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Jbreapena\OneDrive - tesoreria.gov.do\Escritorio\"/>
    </mc:Choice>
  </mc:AlternateContent>
  <xr:revisionPtr revIDLastSave="0" documentId="8_{1C1C7D26-B836-4BBC-9FD9-0E0E5798A16F}" xr6:coauthVersionLast="47" xr6:coauthVersionMax="47" xr10:uidLastSave="{00000000-0000-0000-0000-000000000000}"/>
  <bookViews>
    <workbookView xWindow="-120" yWindow="-120" windowWidth="29040" windowHeight="15840" activeTab="1" xr2:uid="{E4F50FAC-BBD7-429E-B964-49D4E2F80CC0}"/>
  </bookViews>
  <sheets>
    <sheet name="RESUMEN" sheetId="2" r:id="rId1"/>
    <sheet name="PACC" sheetId="1" r:id="rId2"/>
    <sheet name="UNSPSC" sheetId="3" r:id="rId3"/>
  </sheets>
  <externalReferences>
    <externalReference r:id="rId4"/>
  </externalReferences>
  <definedNames>
    <definedName name="Bienes">'[1]Informacion '!$S$3</definedName>
    <definedName name="ConsultoriaServicios">'[1]Informacion '!$S$6</definedName>
    <definedName name="DistritoList">'[1]Informacion '!$J$3:$J$387</definedName>
    <definedName name="MIPYMEMujer">'[1]Informacion '!$N$4</definedName>
    <definedName name="MIPYMENo">'[1]Informacion '!$N$5</definedName>
    <definedName name="MIPYMEOculto">[1]PACC!$I:$I</definedName>
    <definedName name="MIPYMESí">'[1]Informacion '!$N$3</definedName>
    <definedName name="ModCM">'[1]Informacion '!$L$4</definedName>
    <definedName name="ModCP">'[1]Informacion '!$L$3</definedName>
    <definedName name="ModCU">'[1]Informacion '!$L$5</definedName>
    <definedName name="ModE1508">'[1]Informacion '!$L$12</definedName>
    <definedName name="ModE40">'[1]Informacion '!$L$11</definedName>
    <definedName name="ModEBienes">'[1]Informacion '!$L$6</definedName>
    <definedName name="ModEConstruccion">'[1]Informacion '!$L$7</definedName>
    <definedName name="ModEObras">'[1]Informacion '!$L$9</definedName>
    <definedName name="ModEProveedor">'[1]Informacion '!$L$10</definedName>
    <definedName name="ModEPublicidad">'[1]Informacion '!$L$8</definedName>
    <definedName name="ModLI">'[1]Informacion '!$L$14</definedName>
    <definedName name="ModLP">'[1]Informacion '!$L$13</definedName>
    <definedName name="ModLR">'[1]Informacion '!$L$15</definedName>
    <definedName name="ModSO">'[1]Informacion '!$L$16</definedName>
    <definedName name="MunicipioColumn">'[1]Informacion '!$I$3:$I$387</definedName>
    <definedName name="MunicipioList">'[1]Informacion '!$F$3:$F$157</definedName>
    <definedName name="MunicipioStart">'[1]Informacion '!$I$3</definedName>
    <definedName name="ObjetoContratacionOculto">[1]PACC!$H:$H</definedName>
    <definedName name="Obras">'[1]Informacion '!$S$7</definedName>
    <definedName name="_xlnm.Print_Area" localSheetId="1">PACC!$A$1:$F$3325</definedName>
    <definedName name="ProcedimientoOculto">[1]PACC!$J:$J</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Servicios">'[1]Informacion '!$S$4</definedName>
    <definedName name="ServiciosConsultoria">'[1]Informacion '!$S$5</definedName>
    <definedName name="TotalEstColumnName">PACC!$E:$E</definedName>
    <definedName name="TotalEstColumnValue">PACC!$F:$F</definedName>
    <definedName name="TotalEstLabel">'[1]Informacion '!$U$3</definedName>
    <definedName name="UnidadesList">'[1]Informacion '!$Q$3:$Q$43</definedName>
    <definedName name="UNSPSCCode">[1]UNSPSC!$A$1:$A$18298</definedName>
    <definedName name="UNSPSCDes">[1]UNSPSC!$B$1:$B$18298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2" l="1"/>
  <c r="C38" i="2"/>
  <c r="C37" i="2"/>
  <c r="C36" i="2"/>
  <c r="C35" i="2"/>
  <c r="C34" i="2"/>
  <c r="C33" i="2"/>
  <c r="C32" i="2"/>
  <c r="C31" i="2"/>
  <c r="C30" i="2"/>
  <c r="C20" i="2"/>
  <c r="C19" i="2"/>
  <c r="C14" i="2"/>
  <c r="C13" i="2"/>
  <c r="C12" i="2"/>
  <c r="C11" i="2"/>
  <c r="C10" i="2"/>
  <c r="C9" i="2"/>
  <c r="C3316" i="1"/>
  <c r="C3314" i="1"/>
  <c r="C3305" i="1"/>
  <c r="C3303" i="1"/>
  <c r="C3294" i="1"/>
  <c r="C3292" i="1"/>
  <c r="C3283" i="1"/>
  <c r="C3281" i="1"/>
  <c r="C3266" i="1"/>
  <c r="C3264" i="1"/>
  <c r="C3249" i="1"/>
  <c r="C3247" i="1"/>
  <c r="C3234" i="1"/>
  <c r="C3232" i="1"/>
  <c r="C3222" i="1"/>
  <c r="C3220" i="1"/>
  <c r="C3211" i="1"/>
  <c r="C3209" i="1"/>
  <c r="C3200" i="1"/>
  <c r="C3198" i="1"/>
  <c r="C3189" i="1"/>
  <c r="C3187" i="1"/>
  <c r="C3178" i="1"/>
  <c r="C3176" i="1"/>
  <c r="C3164" i="1"/>
  <c r="C3162" i="1"/>
  <c r="C3153" i="1"/>
  <c r="C3151" i="1"/>
  <c r="C3142" i="1"/>
  <c r="C3140" i="1"/>
  <c r="C3131" i="1"/>
  <c r="C3129" i="1"/>
  <c r="C3120" i="1"/>
  <c r="C3118" i="1"/>
  <c r="C3109" i="1"/>
  <c r="C3107" i="1"/>
  <c r="C3098" i="1"/>
  <c r="C3096" i="1"/>
  <c r="C3087" i="1"/>
  <c r="C3085" i="1"/>
  <c r="C3076" i="1"/>
  <c r="C3074" i="1"/>
  <c r="C3068" i="1"/>
  <c r="C3065" i="1"/>
  <c r="C3063" i="1"/>
  <c r="C3057" i="1"/>
  <c r="C3054" i="1"/>
  <c r="C3052" i="1"/>
  <c r="C3046" i="1"/>
  <c r="C3045" i="1"/>
  <c r="C3042" i="1"/>
  <c r="C3040" i="1"/>
  <c r="C3034" i="1"/>
  <c r="C3031" i="1"/>
  <c r="C3029" i="1"/>
  <c r="C3023" i="1"/>
  <c r="C3020" i="1"/>
  <c r="C3018" i="1"/>
  <c r="C3012" i="1"/>
  <c r="C3009" i="1"/>
  <c r="C3007" i="1"/>
  <c r="C3001" i="1"/>
  <c r="C2998" i="1"/>
  <c r="C2996" i="1"/>
  <c r="C2990" i="1"/>
  <c r="C2987" i="1"/>
  <c r="C2985" i="1"/>
  <c r="C2979" i="1"/>
  <c r="C2976" i="1"/>
  <c r="C2974" i="1"/>
  <c r="C2968" i="1"/>
  <c r="C2965" i="1"/>
  <c r="C2963" i="1"/>
  <c r="C2957" i="1"/>
  <c r="C2954" i="1"/>
  <c r="C2952" i="1"/>
  <c r="C2946" i="1"/>
  <c r="C2943" i="1"/>
  <c r="C2941" i="1"/>
  <c r="C2935" i="1"/>
  <c r="C2932" i="1"/>
  <c r="C2930" i="1"/>
  <c r="C2924" i="1"/>
  <c r="C2923" i="1"/>
  <c r="C2922" i="1"/>
  <c r="C2921" i="1"/>
  <c r="C2920" i="1"/>
  <c r="C2917" i="1"/>
  <c r="C2915" i="1"/>
  <c r="C2909" i="1"/>
  <c r="C2908" i="1"/>
  <c r="C2907" i="1"/>
  <c r="C2904" i="1"/>
  <c r="C2902" i="1"/>
  <c r="C2896" i="1"/>
  <c r="C2893" i="1"/>
  <c r="C2891" i="1"/>
  <c r="C2885" i="1"/>
  <c r="C2882" i="1"/>
  <c r="C2880" i="1"/>
  <c r="C2874" i="1"/>
  <c r="C2873" i="1"/>
  <c r="C2870" i="1"/>
  <c r="C2868" i="1"/>
  <c r="C2862" i="1"/>
  <c r="C2861" i="1"/>
  <c r="C2858" i="1"/>
  <c r="C2856" i="1"/>
  <c r="C2850" i="1"/>
  <c r="C2847" i="1"/>
  <c r="C2845" i="1"/>
  <c r="C2839" i="1"/>
  <c r="C2836" i="1"/>
  <c r="C2834" i="1"/>
  <c r="C2825" i="1"/>
  <c r="C2823" i="1"/>
  <c r="C2817" i="1"/>
  <c r="C2814" i="1"/>
  <c r="C2812" i="1"/>
  <c r="C2806" i="1"/>
  <c r="C2803" i="1"/>
  <c r="C2801" i="1"/>
  <c r="C2795" i="1"/>
  <c r="C2794" i="1"/>
  <c r="C2793" i="1"/>
  <c r="C2792" i="1"/>
  <c r="C2791" i="1"/>
  <c r="C2788" i="1"/>
  <c r="C2786" i="1"/>
  <c r="C2780" i="1"/>
  <c r="C2777" i="1"/>
  <c r="C2775" i="1"/>
  <c r="C2769" i="1"/>
  <c r="C2766" i="1"/>
  <c r="C2764" i="1"/>
  <c r="C2758" i="1"/>
  <c r="C2755" i="1"/>
  <c r="C2753" i="1"/>
  <c r="C2747" i="1"/>
  <c r="C2744" i="1"/>
  <c r="C2742" i="1"/>
  <c r="C2736" i="1"/>
  <c r="C2733" i="1"/>
  <c r="C2731" i="1"/>
  <c r="C2725" i="1"/>
  <c r="C2724" i="1"/>
  <c r="C2723" i="1"/>
  <c r="C2722" i="1"/>
  <c r="C2721" i="1"/>
  <c r="C2720" i="1"/>
  <c r="C2719" i="1"/>
  <c r="C2718" i="1"/>
  <c r="C2717" i="1"/>
  <c r="C2716" i="1"/>
  <c r="C2715" i="1"/>
  <c r="C2712" i="1"/>
  <c r="C2710" i="1"/>
  <c r="C2704" i="1"/>
  <c r="C2701" i="1"/>
  <c r="C2699" i="1"/>
  <c r="C2693" i="1"/>
  <c r="C2690" i="1"/>
  <c r="C2688" i="1"/>
  <c r="C2682" i="1"/>
  <c r="C2679" i="1"/>
  <c r="C2677" i="1"/>
  <c r="C2671" i="1"/>
  <c r="C2670" i="1"/>
  <c r="C2667" i="1"/>
  <c r="C2665" i="1"/>
  <c r="C2659" i="1"/>
  <c r="C2656" i="1"/>
  <c r="C2654" i="1"/>
  <c r="C2648" i="1"/>
  <c r="C2645" i="1"/>
  <c r="C2643" i="1"/>
  <c r="C2637" i="1"/>
  <c r="C2636" i="1"/>
  <c r="C2635" i="1"/>
  <c r="C2634" i="1"/>
  <c r="C2633" i="1"/>
  <c r="C2630" i="1"/>
  <c r="C2628" i="1"/>
  <c r="C2622" i="1"/>
  <c r="C2619" i="1"/>
  <c r="C2617" i="1"/>
  <c r="C2611" i="1"/>
  <c r="C2610" i="1"/>
  <c r="C2609" i="1"/>
  <c r="C2608" i="1"/>
  <c r="C2605" i="1"/>
  <c r="C2603" i="1"/>
  <c r="C2597" i="1"/>
  <c r="C2596" i="1"/>
  <c r="C2595" i="1"/>
  <c r="C2594" i="1"/>
  <c r="C2593" i="1"/>
  <c r="C2592" i="1"/>
  <c r="C2591" i="1"/>
  <c r="C2588" i="1"/>
  <c r="C2586" i="1"/>
  <c r="C2580" i="1"/>
  <c r="C2577" i="1"/>
  <c r="C2575" i="1"/>
  <c r="C2569" i="1"/>
  <c r="C2566" i="1"/>
  <c r="C2564" i="1"/>
  <c r="C2558" i="1"/>
  <c r="C2555" i="1"/>
  <c r="C2553" i="1"/>
  <c r="C2547" i="1"/>
  <c r="C2546" i="1"/>
  <c r="C2543" i="1"/>
  <c r="C2541" i="1"/>
  <c r="C2535" i="1"/>
  <c r="C2532" i="1"/>
  <c r="C2530" i="1"/>
  <c r="C2524" i="1"/>
  <c r="C2523" i="1"/>
  <c r="C2520" i="1"/>
  <c r="C2518" i="1"/>
  <c r="C2512" i="1"/>
  <c r="C2511" i="1"/>
  <c r="C2508" i="1"/>
  <c r="C2506" i="1"/>
  <c r="C2500" i="1"/>
  <c r="C2497" i="1"/>
  <c r="C2495" i="1"/>
  <c r="C2488" i="1"/>
  <c r="C2485" i="1"/>
  <c r="C2483" i="1"/>
  <c r="C2477" i="1"/>
  <c r="C2474" i="1"/>
  <c r="C2472" i="1"/>
  <c r="C2466" i="1"/>
  <c r="C2463" i="1"/>
  <c r="C2461" i="1"/>
  <c r="C2455" i="1"/>
  <c r="C2452" i="1"/>
  <c r="C2450" i="1"/>
  <c r="C2444" i="1"/>
  <c r="C2441" i="1"/>
  <c r="C2439" i="1"/>
  <c r="C2433" i="1"/>
  <c r="C2432" i="1"/>
  <c r="C2429" i="1"/>
  <c r="C2427" i="1"/>
  <c r="C2421" i="1"/>
  <c r="C2418" i="1"/>
  <c r="C2416" i="1"/>
  <c r="C2410" i="1"/>
  <c r="C2407" i="1"/>
  <c r="C2405" i="1"/>
  <c r="C2399" i="1"/>
  <c r="C2396" i="1"/>
  <c r="C2394" i="1"/>
  <c r="C2388" i="1"/>
  <c r="C2385" i="1"/>
  <c r="C2383" i="1"/>
  <c r="C2377" i="1"/>
  <c r="C2374" i="1"/>
  <c r="C2372" i="1"/>
  <c r="C2366" i="1"/>
  <c r="C2363" i="1"/>
  <c r="C2361" i="1"/>
  <c r="C2352" i="1"/>
  <c r="C2350" i="1"/>
  <c r="C2341" i="1"/>
  <c r="C2339" i="1"/>
  <c r="C2330" i="1"/>
  <c r="C2328" i="1"/>
  <c r="C2319" i="1"/>
  <c r="C2317" i="1"/>
  <c r="C2311" i="1"/>
  <c r="C2310" i="1"/>
  <c r="C2309" i="1"/>
  <c r="C2308" i="1"/>
  <c r="C2305" i="1"/>
  <c r="C2303" i="1"/>
  <c r="C2297" i="1"/>
  <c r="C2296" i="1"/>
  <c r="C2293" i="1"/>
  <c r="C2291" i="1"/>
  <c r="C2285" i="1"/>
  <c r="C2284" i="1"/>
  <c r="C2281" i="1"/>
  <c r="C2279" i="1"/>
  <c r="C2273" i="1"/>
  <c r="C2272" i="1"/>
  <c r="C2269" i="1"/>
  <c r="C2267" i="1"/>
  <c r="C2261" i="1"/>
  <c r="C2260" i="1"/>
  <c r="C2257" i="1"/>
  <c r="C2255" i="1"/>
  <c r="C2249" i="1"/>
  <c r="C2248" i="1"/>
  <c r="C2247" i="1"/>
  <c r="C2244" i="1"/>
  <c r="C2242" i="1"/>
  <c r="C2236" i="1"/>
  <c r="C2235" i="1"/>
  <c r="C2232" i="1"/>
  <c r="C2230" i="1"/>
  <c r="C2224" i="1"/>
  <c r="C2223" i="1"/>
  <c r="C2222" i="1"/>
  <c r="C2221" i="1"/>
  <c r="C2220" i="1"/>
  <c r="C2217" i="1"/>
  <c r="C2215" i="1"/>
  <c r="C2209" i="1"/>
  <c r="C2208" i="1"/>
  <c r="C2207" i="1"/>
  <c r="C2206" i="1"/>
  <c r="C2205" i="1"/>
  <c r="C2204" i="1"/>
  <c r="C2203" i="1"/>
  <c r="C2202" i="1"/>
  <c r="C2201" i="1"/>
  <c r="C2200" i="1"/>
  <c r="C2199" i="1"/>
  <c r="C2198" i="1"/>
  <c r="C2197" i="1"/>
  <c r="C2196" i="1"/>
  <c r="C2195" i="1"/>
  <c r="C2194" i="1"/>
  <c r="C2193" i="1"/>
  <c r="C2192" i="1"/>
  <c r="C2191" i="1"/>
  <c r="C2190" i="1"/>
  <c r="C2189" i="1"/>
  <c r="C2188" i="1"/>
  <c r="C2185" i="1"/>
  <c r="C2183" i="1"/>
  <c r="C2177" i="1"/>
  <c r="C2176" i="1"/>
  <c r="C2173" i="1"/>
  <c r="C2171" i="1"/>
  <c r="C2165" i="1"/>
  <c r="C2162" i="1"/>
  <c r="C2160" i="1"/>
  <c r="C2154" i="1"/>
  <c r="C2151" i="1"/>
  <c r="C2149" i="1"/>
  <c r="C2143" i="1"/>
  <c r="C2142" i="1"/>
  <c r="C2141" i="1"/>
  <c r="C2140" i="1"/>
  <c r="C2139" i="1"/>
  <c r="C2138" i="1"/>
  <c r="C2137" i="1"/>
  <c r="C2136" i="1"/>
  <c r="C2133" i="1"/>
  <c r="C2131" i="1"/>
  <c r="C2125" i="1"/>
  <c r="C2122" i="1"/>
  <c r="C2120" i="1"/>
  <c r="C2114" i="1"/>
  <c r="C2111" i="1"/>
  <c r="C2109" i="1"/>
  <c r="C2103" i="1"/>
  <c r="C2100" i="1"/>
  <c r="C2098" i="1"/>
  <c r="C2092" i="1"/>
  <c r="C2091" i="1"/>
  <c r="C2088" i="1"/>
  <c r="C2086" i="1"/>
  <c r="C2080" i="1"/>
  <c r="C2079" i="1"/>
  <c r="C2076" i="1"/>
  <c r="C2074" i="1"/>
  <c r="C2068" i="1"/>
  <c r="C2067" i="1"/>
  <c r="C2066" i="1"/>
  <c r="C2063" i="1"/>
  <c r="C2061" i="1"/>
  <c r="C2055" i="1"/>
  <c r="C2054" i="1"/>
  <c r="C2053" i="1"/>
  <c r="C2050" i="1"/>
  <c r="C2048" i="1"/>
  <c r="C2042" i="1"/>
  <c r="C2041" i="1"/>
  <c r="C2038" i="1"/>
  <c r="C2036" i="1"/>
  <c r="C2030" i="1"/>
  <c r="C2029" i="1"/>
  <c r="C2028" i="1"/>
  <c r="C2027" i="1"/>
  <c r="C2024" i="1"/>
  <c r="C2022" i="1"/>
  <c r="C2016" i="1"/>
  <c r="C2013" i="1"/>
  <c r="C2011" i="1"/>
  <c r="C2005" i="1"/>
  <c r="C2004" i="1"/>
  <c r="C2003" i="1"/>
  <c r="C2002" i="1"/>
  <c r="C2001" i="1"/>
  <c r="C1998" i="1"/>
  <c r="C1996" i="1"/>
  <c r="C1990" i="1"/>
  <c r="C1989" i="1"/>
  <c r="C1986" i="1"/>
  <c r="C1984" i="1"/>
  <c r="C1978" i="1"/>
  <c r="C1977" i="1"/>
  <c r="C1976" i="1"/>
  <c r="C1975" i="1"/>
  <c r="C1972" i="1"/>
  <c r="C1970" i="1"/>
  <c r="C1964" i="1"/>
  <c r="C1963" i="1"/>
  <c r="C1962" i="1"/>
  <c r="C1961" i="1"/>
  <c r="C1960" i="1"/>
  <c r="C1959" i="1"/>
  <c r="C1956" i="1"/>
  <c r="C1954" i="1"/>
  <c r="C1948" i="1"/>
  <c r="C1947" i="1"/>
  <c r="C1944" i="1"/>
  <c r="C1942" i="1"/>
  <c r="C1936" i="1"/>
  <c r="C1935" i="1"/>
  <c r="C1932" i="1"/>
  <c r="C1930" i="1"/>
  <c r="C1924" i="1"/>
  <c r="C1923" i="1"/>
  <c r="C1922" i="1"/>
  <c r="C1919" i="1"/>
  <c r="C1917" i="1"/>
  <c r="C1911" i="1"/>
  <c r="C1910" i="1"/>
  <c r="C1907" i="1"/>
  <c r="C1905" i="1"/>
  <c r="C1899" i="1"/>
  <c r="C1896" i="1"/>
  <c r="C1894" i="1"/>
  <c r="C1888" i="1"/>
  <c r="C1887" i="1"/>
  <c r="C1886" i="1"/>
  <c r="C1885" i="1"/>
  <c r="C1882" i="1"/>
  <c r="C1880" i="1"/>
  <c r="C1874" i="1"/>
  <c r="C1873" i="1"/>
  <c r="C1872" i="1"/>
  <c r="C1869" i="1"/>
  <c r="C1867" i="1"/>
  <c r="C1854" i="1"/>
  <c r="C1852"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0" i="1"/>
  <c r="C1818" i="1"/>
  <c r="C1812" i="1"/>
  <c r="C1811" i="1"/>
  <c r="C1810" i="1"/>
  <c r="C1809" i="1"/>
  <c r="C1808" i="1"/>
  <c r="C1807" i="1"/>
  <c r="C1806" i="1"/>
  <c r="C1805" i="1"/>
  <c r="C1804" i="1"/>
  <c r="C1803" i="1"/>
  <c r="C1800" i="1"/>
  <c r="C1798" i="1"/>
  <c r="C1792" i="1"/>
  <c r="C1789" i="1"/>
  <c r="C1787" i="1"/>
  <c r="C1781" i="1"/>
  <c r="C1778" i="1"/>
  <c r="C1776" i="1"/>
  <c r="C1770" i="1"/>
  <c r="C1767" i="1"/>
  <c r="C1765" i="1"/>
  <c r="C1759" i="1"/>
  <c r="C1758" i="1"/>
  <c r="C1757" i="1"/>
  <c r="C1754" i="1"/>
  <c r="C1752" i="1"/>
  <c r="C1746" i="1"/>
  <c r="C1745" i="1"/>
  <c r="C1744" i="1"/>
  <c r="C1741" i="1"/>
  <c r="C1739" i="1"/>
  <c r="C1733" i="1"/>
  <c r="C1732" i="1"/>
  <c r="C1729" i="1"/>
  <c r="C1727" i="1"/>
  <c r="C1721" i="1"/>
  <c r="C1720" i="1"/>
  <c r="C1719" i="1"/>
  <c r="C1718" i="1"/>
  <c r="C1717" i="1"/>
  <c r="C1716" i="1"/>
  <c r="C1715" i="1"/>
  <c r="C1714" i="1"/>
  <c r="C1713" i="1"/>
  <c r="C1710" i="1"/>
  <c r="C1708" i="1"/>
  <c r="C1702" i="1"/>
  <c r="C1701" i="1"/>
  <c r="C1700" i="1"/>
  <c r="C1699" i="1"/>
  <c r="C1698" i="1"/>
  <c r="C1697" i="1"/>
  <c r="C1696" i="1"/>
  <c r="C1693" i="1"/>
  <c r="C1691" i="1"/>
  <c r="C1685" i="1"/>
  <c r="C1684" i="1"/>
  <c r="C1683" i="1"/>
  <c r="C1680" i="1"/>
  <c r="C1678" i="1"/>
  <c r="C1672" i="1"/>
  <c r="C1671" i="1"/>
  <c r="C1670" i="1"/>
  <c r="C1669" i="1"/>
  <c r="C1666" i="1"/>
  <c r="C1664" i="1"/>
  <c r="C1655" i="1"/>
  <c r="C1653" i="1"/>
  <c r="C1647" i="1"/>
  <c r="C1646" i="1"/>
  <c r="C1645" i="1"/>
  <c r="C1644" i="1"/>
  <c r="C1643" i="1"/>
  <c r="C1642" i="1"/>
  <c r="C1641" i="1"/>
  <c r="C1640" i="1"/>
  <c r="C1639" i="1"/>
  <c r="C1638" i="1"/>
  <c r="C1637" i="1"/>
  <c r="C1636" i="1"/>
  <c r="C1635" i="1"/>
  <c r="C1634" i="1"/>
  <c r="C1631" i="1"/>
  <c r="C1629" i="1"/>
  <c r="C1623" i="1"/>
  <c r="C1622" i="1"/>
  <c r="C1621" i="1"/>
  <c r="C1620" i="1"/>
  <c r="C1619" i="1"/>
  <c r="C1616" i="1"/>
  <c r="C1614" i="1"/>
  <c r="C1608" i="1"/>
  <c r="C1607" i="1"/>
  <c r="C1606" i="1"/>
  <c r="C1605" i="1"/>
  <c r="C1604" i="1"/>
  <c r="C1603" i="1"/>
  <c r="C1602" i="1"/>
  <c r="C1601" i="1"/>
  <c r="C1600" i="1"/>
  <c r="C1597" i="1"/>
  <c r="C1595" i="1"/>
  <c r="C1584" i="1"/>
  <c r="C1582" i="1"/>
  <c r="C1573" i="1"/>
  <c r="C1571"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38" i="1"/>
  <c r="C1536" i="1"/>
  <c r="C1530" i="1"/>
  <c r="C1529" i="1"/>
  <c r="C1528" i="1"/>
  <c r="C1527" i="1"/>
  <c r="C1526" i="1"/>
  <c r="C1525" i="1"/>
  <c r="C1522" i="1"/>
  <c r="C1520" i="1"/>
  <c r="C1514" i="1"/>
  <c r="C1513" i="1"/>
  <c r="C1510" i="1"/>
  <c r="C1508" i="1"/>
  <c r="C1502" i="1"/>
  <c r="C1501" i="1"/>
  <c r="C1500" i="1"/>
  <c r="C1499" i="1"/>
  <c r="C1498" i="1"/>
  <c r="C1497" i="1"/>
  <c r="C1496" i="1"/>
  <c r="C1493" i="1"/>
  <c r="C1491" i="1"/>
  <c r="C1485" i="1"/>
  <c r="C1484" i="1"/>
  <c r="C1483" i="1"/>
  <c r="C1482" i="1"/>
  <c r="C1481" i="1"/>
  <c r="C1480" i="1"/>
  <c r="C1479" i="1"/>
  <c r="C1478" i="1"/>
  <c r="C1477" i="1"/>
  <c r="C1476" i="1"/>
  <c r="C1475" i="1"/>
  <c r="C1474" i="1"/>
  <c r="C1473" i="1"/>
  <c r="C1472" i="1"/>
  <c r="C1471" i="1"/>
  <c r="C1470" i="1"/>
  <c r="C1469" i="1"/>
  <c r="C1468" i="1"/>
  <c r="C1467" i="1"/>
  <c r="C1466" i="1"/>
  <c r="C1465" i="1"/>
  <c r="C1464" i="1"/>
  <c r="C1461" i="1"/>
  <c r="C1459" i="1"/>
  <c r="C1450" i="1"/>
  <c r="C1448" i="1"/>
  <c r="C1442" i="1"/>
  <c r="C1441" i="1"/>
  <c r="C1440" i="1"/>
  <c r="C1439" i="1"/>
  <c r="C1438" i="1"/>
  <c r="C1437" i="1"/>
  <c r="C1436" i="1"/>
  <c r="C1435" i="1"/>
  <c r="C1434" i="1"/>
  <c r="C1433" i="1"/>
  <c r="C1432" i="1"/>
  <c r="C1429" i="1"/>
  <c r="C1427" i="1"/>
  <c r="C1421" i="1"/>
  <c r="C1420" i="1"/>
  <c r="C1419" i="1"/>
  <c r="C1418" i="1"/>
  <c r="C1417" i="1"/>
  <c r="C1416" i="1"/>
  <c r="C1415" i="1"/>
  <c r="C1414" i="1"/>
  <c r="C1413" i="1"/>
  <c r="C1412" i="1"/>
  <c r="C1409" i="1"/>
  <c r="C1407" i="1"/>
  <c r="C1401" i="1"/>
  <c r="C1400" i="1"/>
  <c r="C1399" i="1"/>
  <c r="C1398" i="1"/>
  <c r="C1397" i="1"/>
  <c r="C1396" i="1"/>
  <c r="C1395" i="1"/>
  <c r="C1394" i="1"/>
  <c r="C1393" i="1"/>
  <c r="C1390" i="1"/>
  <c r="C1388" i="1"/>
  <c r="C1382" i="1"/>
  <c r="C1381" i="1"/>
  <c r="C1380" i="1"/>
  <c r="C1379" i="1"/>
  <c r="C1378" i="1"/>
  <c r="C1377" i="1"/>
  <c r="C1376" i="1"/>
  <c r="C1375" i="1"/>
  <c r="C1374" i="1"/>
  <c r="C1371" i="1"/>
  <c r="C1369" i="1"/>
  <c r="C1363" i="1"/>
  <c r="C1362" i="1"/>
  <c r="C1361" i="1"/>
  <c r="C1360" i="1"/>
  <c r="C1359" i="1"/>
  <c r="C1358" i="1"/>
  <c r="C1357" i="1"/>
  <c r="C1356" i="1"/>
  <c r="C1355" i="1"/>
  <c r="C1352" i="1"/>
  <c r="C1350" i="1"/>
  <c r="C1344" i="1"/>
  <c r="C1343" i="1"/>
  <c r="C1342" i="1"/>
  <c r="C1341" i="1"/>
  <c r="C1340" i="1"/>
  <c r="C1337" i="1"/>
  <c r="C1335" i="1"/>
  <c r="C1329" i="1"/>
  <c r="C1328" i="1"/>
  <c r="C1327" i="1"/>
  <c r="C1324" i="1"/>
  <c r="C1322" i="1"/>
  <c r="C1316" i="1"/>
  <c r="C1315" i="1"/>
  <c r="C1314" i="1"/>
  <c r="C1313" i="1"/>
  <c r="C1312" i="1"/>
  <c r="C1311" i="1"/>
  <c r="C1310" i="1"/>
  <c r="C1309" i="1"/>
  <c r="C1306" i="1"/>
  <c r="C1304" i="1"/>
  <c r="C1298" i="1"/>
  <c r="C1297" i="1"/>
  <c r="C1294" i="1"/>
  <c r="C1292" i="1"/>
  <c r="C1286" i="1"/>
  <c r="C1285" i="1"/>
  <c r="C1282" i="1"/>
  <c r="C1280" i="1"/>
  <c r="C1274" i="1"/>
  <c r="C1271" i="1"/>
  <c r="C1269" i="1"/>
  <c r="C1263" i="1"/>
  <c r="C1260" i="1"/>
  <c r="C1258" i="1"/>
  <c r="C1252" i="1"/>
  <c r="C1249" i="1"/>
  <c r="C1247" i="1"/>
  <c r="C1241" i="1"/>
  <c r="C1238" i="1"/>
  <c r="C1236" i="1"/>
  <c r="C1227" i="1"/>
  <c r="C1225" i="1"/>
  <c r="C1219" i="1"/>
  <c r="C1216" i="1"/>
  <c r="C1214" i="1"/>
  <c r="C1208" i="1"/>
  <c r="C1205" i="1"/>
  <c r="C1203" i="1"/>
  <c r="C1197" i="1"/>
  <c r="C1194" i="1"/>
  <c r="C1192" i="1"/>
  <c r="C1186" i="1"/>
  <c r="C1183" i="1"/>
  <c r="C1181" i="1"/>
  <c r="C1172" i="1"/>
  <c r="C1170" i="1"/>
  <c r="C1164" i="1"/>
  <c r="C1161" i="1"/>
  <c r="C1159" i="1"/>
  <c r="C1153" i="1"/>
  <c r="C1152" i="1"/>
  <c r="C1151" i="1"/>
  <c r="C1150" i="1"/>
  <c r="C1149" i="1"/>
  <c r="C1148" i="1"/>
  <c r="C1147" i="1"/>
  <c r="C1146" i="1"/>
  <c r="C1143" i="1"/>
  <c r="C1141" i="1"/>
  <c r="C1135" i="1"/>
  <c r="C1132" i="1"/>
  <c r="C1130" i="1"/>
  <c r="C1124" i="1"/>
  <c r="C1123" i="1"/>
  <c r="C1122" i="1"/>
  <c r="C1121" i="1"/>
  <c r="C1120" i="1"/>
  <c r="C1119" i="1"/>
  <c r="C1118" i="1"/>
  <c r="C1117" i="1"/>
  <c r="C1116" i="1"/>
  <c r="C1115" i="1"/>
  <c r="C1114" i="1"/>
  <c r="C1111" i="1"/>
  <c r="C1109" i="1"/>
  <c r="C1103" i="1"/>
  <c r="C1102" i="1"/>
  <c r="C1101" i="1"/>
  <c r="C1100" i="1"/>
  <c r="C1099" i="1"/>
  <c r="C1098" i="1"/>
  <c r="C1097" i="1"/>
  <c r="C1096" i="1"/>
  <c r="C1095" i="1"/>
  <c r="C1094" i="1"/>
  <c r="C1093" i="1"/>
  <c r="C1092" i="1"/>
  <c r="C1089" i="1"/>
  <c r="C1087" i="1"/>
  <c r="C1081" i="1"/>
  <c r="C1078" i="1"/>
  <c r="C1076" i="1"/>
  <c r="C1070" i="1"/>
  <c r="C1067" i="1"/>
  <c r="C1065" i="1"/>
  <c r="C1059" i="1"/>
  <c r="C1058" i="1"/>
  <c r="C1055" i="1"/>
  <c r="C1053" i="1"/>
  <c r="C1047" i="1"/>
  <c r="C1044" i="1"/>
  <c r="C1042" i="1"/>
  <c r="C1036" i="1"/>
  <c r="C1033" i="1"/>
  <c r="C1031" i="1"/>
  <c r="C1025" i="1"/>
  <c r="C1022" i="1"/>
  <c r="C1020" i="1"/>
  <c r="C1014" i="1"/>
  <c r="C1011" i="1"/>
  <c r="C1009" i="1"/>
  <c r="C1003" i="1"/>
  <c r="C1000" i="1"/>
  <c r="C998" i="1"/>
  <c r="C992" i="1"/>
  <c r="C991" i="1"/>
  <c r="C990" i="1"/>
  <c r="C989" i="1"/>
  <c r="C986" i="1"/>
  <c r="C984" i="1"/>
  <c r="C978" i="1"/>
  <c r="C977" i="1"/>
  <c r="C976" i="1"/>
  <c r="C975" i="1"/>
  <c r="C972" i="1"/>
  <c r="C970" i="1"/>
  <c r="C964" i="1"/>
  <c r="C963" i="1"/>
  <c r="C960" i="1"/>
  <c r="C958" i="1"/>
  <c r="C949" i="1"/>
  <c r="C947" i="1"/>
  <c r="C941" i="1"/>
  <c r="C938" i="1"/>
  <c r="C936" i="1"/>
  <c r="C930" i="1"/>
  <c r="C927" i="1"/>
  <c r="C925" i="1"/>
  <c r="C919" i="1"/>
  <c r="C916" i="1"/>
  <c r="C914" i="1"/>
  <c r="C908" i="1"/>
  <c r="C907" i="1"/>
  <c r="C906" i="1"/>
  <c r="C905" i="1"/>
  <c r="C904" i="1"/>
  <c r="C901" i="1"/>
  <c r="C899" i="1"/>
  <c r="C893" i="1"/>
  <c r="C890" i="1"/>
  <c r="C888" i="1"/>
  <c r="C882" i="1"/>
  <c r="C879" i="1"/>
  <c r="C877"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19" i="1"/>
  <c r="C817" i="1"/>
  <c r="C811" i="1"/>
  <c r="C808" i="1"/>
  <c r="C806" i="1"/>
  <c r="C800" i="1"/>
  <c r="C797" i="1"/>
  <c r="C795" i="1"/>
  <c r="C789" i="1"/>
  <c r="C786" i="1"/>
  <c r="C784" i="1"/>
  <c r="C778" i="1"/>
  <c r="C775" i="1"/>
  <c r="C773" i="1"/>
  <c r="C767" i="1"/>
  <c r="C764" i="1"/>
  <c r="C762" i="1"/>
  <c r="C756" i="1"/>
  <c r="C755" i="1"/>
  <c r="C752" i="1"/>
  <c r="C750" i="1"/>
  <c r="C744" i="1"/>
  <c r="C741" i="1"/>
  <c r="C739" i="1"/>
  <c r="C733" i="1"/>
  <c r="C730" i="1"/>
  <c r="C728" i="1"/>
  <c r="C722" i="1"/>
  <c r="C719" i="1"/>
  <c r="C717" i="1"/>
  <c r="C711" i="1"/>
  <c r="C710" i="1"/>
  <c r="C709" i="1"/>
  <c r="C708" i="1"/>
  <c r="C705" i="1"/>
  <c r="C703" i="1"/>
  <c r="C697" i="1"/>
  <c r="C696" i="1"/>
  <c r="C695" i="1"/>
  <c r="C694" i="1"/>
  <c r="C691" i="1"/>
  <c r="C689" i="1"/>
  <c r="C683" i="1"/>
  <c r="C682" i="1"/>
  <c r="C681" i="1"/>
  <c r="C680" i="1"/>
  <c r="C677" i="1"/>
  <c r="C675" i="1"/>
  <c r="C669" i="1"/>
  <c r="C668" i="1"/>
  <c r="C667" i="1"/>
  <c r="C666" i="1"/>
  <c r="C663" i="1"/>
  <c r="C661" i="1"/>
  <c r="C655" i="1"/>
  <c r="C654" i="1"/>
  <c r="C651" i="1"/>
  <c r="C649" i="1"/>
  <c r="C643" i="1"/>
  <c r="C642" i="1"/>
  <c r="C639" i="1"/>
  <c r="C637" i="1"/>
  <c r="C631" i="1"/>
  <c r="C628" i="1"/>
  <c r="C626" i="1"/>
  <c r="C620" i="1"/>
  <c r="C617" i="1"/>
  <c r="C615" i="1"/>
  <c r="C609" i="1"/>
  <c r="C606" i="1"/>
  <c r="C604" i="1"/>
  <c r="C598" i="1"/>
  <c r="C597" i="1"/>
  <c r="C594" i="1"/>
  <c r="C592" i="1"/>
  <c r="C586" i="1"/>
  <c r="C585" i="1"/>
  <c r="C584" i="1"/>
  <c r="C581" i="1"/>
  <c r="C579" i="1"/>
  <c r="C573" i="1"/>
  <c r="C572" i="1"/>
  <c r="C569" i="1"/>
  <c r="C567" i="1"/>
  <c r="C561" i="1"/>
  <c r="C560" i="1"/>
  <c r="C559" i="1"/>
  <c r="C558" i="1"/>
  <c r="C557" i="1"/>
  <c r="C556" i="1"/>
  <c r="C555" i="1"/>
  <c r="C554" i="1"/>
  <c r="C553" i="1"/>
  <c r="C550" i="1"/>
  <c r="C548" i="1"/>
  <c r="C542" i="1"/>
  <c r="C541" i="1"/>
  <c r="C540" i="1"/>
  <c r="C537" i="1"/>
  <c r="C535" i="1"/>
  <c r="C529" i="1"/>
  <c r="C528" i="1"/>
  <c r="C527" i="1"/>
  <c r="C526" i="1"/>
  <c r="C523" i="1"/>
  <c r="C521" i="1"/>
  <c r="C512" i="1"/>
  <c r="C510" i="1"/>
  <c r="C504" i="1"/>
  <c r="C503" i="1"/>
  <c r="C500" i="1"/>
  <c r="C498" i="1"/>
  <c r="C492" i="1"/>
  <c r="C491" i="1"/>
  <c r="C490" i="1"/>
  <c r="C487" i="1"/>
  <c r="C485" i="1"/>
  <c r="C479" i="1"/>
  <c r="C476" i="1"/>
  <c r="C474" i="1"/>
  <c r="C468" i="1"/>
  <c r="C467" i="1"/>
  <c r="C466" i="1"/>
  <c r="C465" i="1"/>
  <c r="C462" i="1"/>
  <c r="C460" i="1"/>
  <c r="C454" i="1"/>
  <c r="C453" i="1"/>
  <c r="C450" i="1"/>
  <c r="C448" i="1"/>
  <c r="C442" i="1"/>
  <c r="C441" i="1"/>
  <c r="C440" i="1"/>
  <c r="C437" i="1"/>
  <c r="C435" i="1"/>
  <c r="C429" i="1"/>
  <c r="C426" i="1"/>
  <c r="C424" i="1"/>
  <c r="C418" i="1"/>
  <c r="C415" i="1"/>
  <c r="C413" i="1"/>
  <c r="C407" i="1"/>
  <c r="C406" i="1"/>
  <c r="C405" i="1"/>
  <c r="C404" i="1"/>
  <c r="C403" i="1"/>
  <c r="C402" i="1"/>
  <c r="C401" i="1"/>
  <c r="C398" i="1"/>
  <c r="C396" i="1"/>
  <c r="C390" i="1"/>
  <c r="C387" i="1"/>
  <c r="C385" i="1"/>
  <c r="C376" i="1"/>
  <c r="C374" i="1"/>
  <c r="C368" i="1"/>
  <c r="C367" i="1"/>
  <c r="C364" i="1"/>
  <c r="C362" i="1"/>
  <c r="C356" i="1"/>
  <c r="C355" i="1"/>
  <c r="C352" i="1"/>
  <c r="C350" i="1"/>
  <c r="C344" i="1"/>
  <c r="C341" i="1"/>
  <c r="C339" i="1"/>
  <c r="C333" i="1"/>
  <c r="C330" i="1"/>
  <c r="C328" i="1"/>
  <c r="C322" i="1"/>
  <c r="C321" i="1"/>
  <c r="C320" i="1"/>
  <c r="C317" i="1"/>
  <c r="C315" i="1"/>
  <c r="C309" i="1"/>
  <c r="C308" i="1"/>
  <c r="C305" i="1"/>
  <c r="C303" i="1"/>
  <c r="C297" i="1"/>
  <c r="C296" i="1"/>
  <c r="C293" i="1"/>
  <c r="C291" i="1"/>
  <c r="C285" i="1"/>
  <c r="C284" i="1"/>
  <c r="C281" i="1"/>
  <c r="C279" i="1"/>
  <c r="C273" i="1"/>
  <c r="C270" i="1"/>
  <c r="C268" i="1"/>
  <c r="C262" i="1"/>
  <c r="C261" i="1"/>
  <c r="C258" i="1"/>
  <c r="C256" i="1"/>
  <c r="C250" i="1"/>
  <c r="C247" i="1"/>
  <c r="C245" i="1"/>
  <c r="C239" i="1"/>
  <c r="C236" i="1"/>
  <c r="C234" i="1"/>
  <c r="C228" i="1"/>
  <c r="C225" i="1"/>
  <c r="C223" i="1"/>
  <c r="C217" i="1"/>
  <c r="C216" i="1"/>
  <c r="C213" i="1"/>
  <c r="C211" i="1"/>
  <c r="C205" i="1"/>
  <c r="C202" i="1"/>
  <c r="C200" i="1"/>
  <c r="C194" i="1"/>
  <c r="C191" i="1"/>
  <c r="C189" i="1"/>
  <c r="C183" i="1"/>
  <c r="C180" i="1"/>
  <c r="C178" i="1"/>
  <c r="C172" i="1"/>
  <c r="C169" i="1"/>
  <c r="C167" i="1"/>
  <c r="C161" i="1"/>
  <c r="C158" i="1"/>
  <c r="C156" i="1"/>
  <c r="C146" i="1"/>
  <c r="C144" i="1"/>
  <c r="C138" i="1"/>
  <c r="C135" i="1"/>
  <c r="C133" i="1"/>
  <c r="C127" i="1"/>
  <c r="C124" i="1"/>
  <c r="C122" i="1"/>
  <c r="C116" i="1"/>
  <c r="C113" i="1"/>
  <c r="C111" i="1"/>
  <c r="C105" i="1"/>
  <c r="C104" i="1"/>
  <c r="C103" i="1"/>
  <c r="C102" i="1"/>
  <c r="C101" i="1"/>
  <c r="C100" i="1"/>
  <c r="C97" i="1"/>
  <c r="C95" i="1"/>
  <c r="C89" i="1"/>
  <c r="C86" i="1"/>
  <c r="C84" i="1"/>
  <c r="C78" i="1"/>
  <c r="C75" i="1"/>
  <c r="C73" i="1"/>
  <c r="C67" i="1"/>
  <c r="C64" i="1"/>
  <c r="C62" i="1"/>
  <c r="C56" i="1"/>
  <c r="C53" i="1"/>
  <c r="C51" i="1"/>
  <c r="C45" i="1"/>
  <c r="C42" i="1"/>
  <c r="C40" i="1"/>
  <c r="C34" i="1"/>
  <c r="C31" i="1"/>
  <c r="C29" i="1"/>
  <c r="C23" i="1"/>
  <c r="C20" i="1"/>
  <c r="C18" i="1"/>
  <c r="B3" i="1"/>
  <c r="F3308" i="1"/>
  <c r="B3297" i="1"/>
  <c r="B3274" i="1"/>
  <c r="B3271" i="1"/>
  <c r="F3256" i="1"/>
  <c r="F3253" i="1"/>
  <c r="B3239" i="1"/>
  <c r="F3181" i="1"/>
  <c r="B3170" i="1"/>
  <c r="B3167" i="1"/>
  <c r="F3112" i="1"/>
  <c r="B3101" i="1"/>
  <c r="B2828" i="1"/>
  <c r="B2817" i="1"/>
  <c r="B2806" i="1"/>
  <c r="B2795" i="1"/>
  <c r="B2793" i="1"/>
  <c r="B2791" i="1"/>
  <c r="B2780" i="1"/>
  <c r="F2724" i="1"/>
  <c r="F2722" i="1"/>
  <c r="F2720" i="1"/>
  <c r="F2718" i="1"/>
  <c r="F2716" i="1"/>
  <c r="F2670" i="1"/>
  <c r="F2659" i="1"/>
  <c r="F2648" i="1"/>
  <c r="F2637" i="1"/>
  <c r="F2635" i="1"/>
  <c r="F2633" i="1"/>
  <c r="F2622" i="1"/>
  <c r="F2611" i="1"/>
  <c r="F2609" i="1"/>
  <c r="F2596" i="1"/>
  <c r="F2594" i="1"/>
  <c r="F2592" i="1"/>
  <c r="F2546" i="1"/>
  <c r="F2535" i="1"/>
  <c r="F2524" i="1"/>
  <c r="F2511" i="1"/>
  <c r="F2500" i="1"/>
  <c r="F2489" i="1"/>
  <c r="B2355" i="1"/>
  <c r="B2310" i="1"/>
  <c r="B2308" i="1"/>
  <c r="B2297" i="1"/>
  <c r="B2284" i="1"/>
  <c r="B2273" i="1"/>
  <c r="B2260" i="1"/>
  <c r="F3319" i="1"/>
  <c r="B3308" i="1"/>
  <c r="F3273" i="1"/>
  <c r="F3270" i="1"/>
  <c r="B3256" i="1"/>
  <c r="B3253" i="1"/>
  <c r="F3241" i="1"/>
  <c r="F3238" i="1"/>
  <c r="F3192" i="1"/>
  <c r="B3181" i="1"/>
  <c r="F3169" i="1"/>
  <c r="F3123" i="1"/>
  <c r="B3112" i="1"/>
  <c r="B3045" i="1"/>
  <c r="B3034" i="1"/>
  <c r="B3023" i="1"/>
  <c r="B3012" i="1"/>
  <c r="B3001" i="1"/>
  <c r="B2990" i="1"/>
  <c r="B2979" i="1"/>
  <c r="B2968" i="1"/>
  <c r="B2957" i="1"/>
  <c r="B2946" i="1"/>
  <c r="B2935" i="1"/>
  <c r="B2924" i="1"/>
  <c r="B2922" i="1"/>
  <c r="B2920" i="1"/>
  <c r="B2909" i="1"/>
  <c r="B2907" i="1"/>
  <c r="B2896" i="1"/>
  <c r="B2885" i="1"/>
  <c r="B2874" i="1"/>
  <c r="B2861" i="1"/>
  <c r="B2850" i="1"/>
  <c r="B2839" i="1"/>
  <c r="F2794" i="1"/>
  <c r="F2792" i="1"/>
  <c r="B2489" i="1"/>
  <c r="B2432" i="1"/>
  <c r="B2421" i="1"/>
  <c r="B2410" i="1"/>
  <c r="B2399" i="1"/>
  <c r="B2388" i="1"/>
  <c r="B2377" i="1"/>
  <c r="B2366" i="1"/>
  <c r="F2311" i="1"/>
  <c r="F2309" i="1"/>
  <c r="F2296" i="1"/>
  <c r="F2285" i="1"/>
  <c r="F2272" i="1"/>
  <c r="F2261" i="1"/>
  <c r="F2248" i="1"/>
  <c r="F2235" i="1"/>
  <c r="F2224" i="1"/>
  <c r="F2222" i="1"/>
  <c r="F2220" i="1"/>
  <c r="F2209" i="1"/>
  <c r="F2207" i="1"/>
  <c r="F2205" i="1"/>
  <c r="F2203" i="1"/>
  <c r="F2201" i="1"/>
  <c r="F2199" i="1"/>
  <c r="F2197" i="1"/>
  <c r="F2195" i="1"/>
  <c r="F2193" i="1"/>
  <c r="F2191" i="1"/>
  <c r="F2189" i="1"/>
  <c r="F2176" i="1"/>
  <c r="F2165" i="1"/>
  <c r="F2154" i="1"/>
  <c r="F2143" i="1"/>
  <c r="F2141" i="1"/>
  <c r="F2139" i="1"/>
  <c r="F2137" i="1"/>
  <c r="F2091" i="1"/>
  <c r="F2080" i="1"/>
  <c r="F2067" i="1"/>
  <c r="F2054" i="1"/>
  <c r="F2041" i="1"/>
  <c r="F2030" i="1"/>
  <c r="F2028" i="1"/>
  <c r="F2004" i="1"/>
  <c r="F2002" i="1"/>
  <c r="F1989" i="1"/>
  <c r="F1978" i="1"/>
  <c r="F1976" i="1"/>
  <c r="F1963" i="1"/>
  <c r="F1961" i="1"/>
  <c r="F1959" i="1"/>
  <c r="F1948" i="1"/>
  <c r="F1935" i="1"/>
  <c r="F1924" i="1"/>
  <c r="F1922" i="1"/>
  <c r="F1911" i="1"/>
  <c r="B3319" i="1"/>
  <c r="B3273" i="1"/>
  <c r="B3270" i="1"/>
  <c r="F3258" i="1"/>
  <c r="F3255" i="1"/>
  <c r="F3252" i="1"/>
  <c r="B3241" i="1"/>
  <c r="B3238" i="1"/>
  <c r="F3226" i="1"/>
  <c r="F3203" i="1"/>
  <c r="B3192" i="1"/>
  <c r="B3169" i="1"/>
  <c r="F3134" i="1"/>
  <c r="B3123" i="1"/>
  <c r="F3068" i="1"/>
  <c r="F3057" i="1"/>
  <c r="F3046" i="1"/>
  <c r="F2923" i="1"/>
  <c r="F2921" i="1"/>
  <c r="F2908" i="1"/>
  <c r="F2873" i="1"/>
  <c r="F2862" i="1"/>
  <c r="F3275" i="1"/>
  <c r="F3272" i="1"/>
  <c r="F3269" i="1"/>
  <c r="B3258" i="1"/>
  <c r="B3255" i="1"/>
  <c r="B3252" i="1"/>
  <c r="F3240" i="1"/>
  <c r="F3237" i="1"/>
  <c r="B3226" i="1"/>
  <c r="F3214" i="1"/>
  <c r="B3203" i="1"/>
  <c r="F3168" i="1"/>
  <c r="F3145" i="1"/>
  <c r="B3134" i="1"/>
  <c r="F3079" i="1"/>
  <c r="F3286" i="1"/>
  <c r="B3275" i="1"/>
  <c r="B3272" i="1"/>
  <c r="B3269" i="1"/>
  <c r="F3257" i="1"/>
  <c r="F3254" i="1"/>
  <c r="B3240" i="1"/>
  <c r="B3237" i="1"/>
  <c r="F3225" i="1"/>
  <c r="B3214" i="1"/>
  <c r="B3168" i="1"/>
  <c r="F3156" i="1"/>
  <c r="B3145" i="1"/>
  <c r="F3090" i="1"/>
  <c r="B3079" i="1"/>
  <c r="B3068" i="1"/>
  <c r="B3057" i="1"/>
  <c r="B3046" i="1"/>
  <c r="B2923" i="1"/>
  <c r="B2921" i="1"/>
  <c r="B2908" i="1"/>
  <c r="B2873" i="1"/>
  <c r="B2862" i="1"/>
  <c r="F2817" i="1"/>
  <c r="F2806" i="1"/>
  <c r="F2795" i="1"/>
  <c r="F2793" i="1"/>
  <c r="F2791" i="1"/>
  <c r="F2780" i="1"/>
  <c r="F2769" i="1"/>
  <c r="B2488" i="1"/>
  <c r="B2477" i="1"/>
  <c r="B2466" i="1"/>
  <c r="B2455" i="1"/>
  <c r="B2444" i="1"/>
  <c r="B2433" i="1"/>
  <c r="F2344" i="1"/>
  <c r="B2333" i="1"/>
  <c r="F2310" i="1"/>
  <c r="F2308" i="1"/>
  <c r="F2297" i="1"/>
  <c r="F2284" i="1"/>
  <c r="F2273" i="1"/>
  <c r="F2260" i="1"/>
  <c r="F2249" i="1"/>
  <c r="F2247" i="1"/>
  <c r="F2236" i="1"/>
  <c r="F2223" i="1"/>
  <c r="F2221" i="1"/>
  <c r="F2208" i="1"/>
  <c r="F2206" i="1"/>
  <c r="F2204" i="1"/>
  <c r="F2202" i="1"/>
  <c r="F2200" i="1"/>
  <c r="F2198" i="1"/>
  <c r="F2196" i="1"/>
  <c r="F2194" i="1"/>
  <c r="F2192" i="1"/>
  <c r="F2190" i="1"/>
  <c r="F2188" i="1"/>
  <c r="F2177" i="1"/>
  <c r="F2142" i="1"/>
  <c r="F2140" i="1"/>
  <c r="F2138" i="1"/>
  <c r="F2136" i="1"/>
  <c r="F2125" i="1"/>
  <c r="F2114" i="1"/>
  <c r="F2103" i="1"/>
  <c r="F2092" i="1"/>
  <c r="F2079" i="1"/>
  <c r="F2068" i="1"/>
  <c r="F2066" i="1"/>
  <c r="F2055" i="1"/>
  <c r="F2053" i="1"/>
  <c r="F2042" i="1"/>
  <c r="F2029" i="1"/>
  <c r="F2027" i="1"/>
  <c r="F2016" i="1"/>
  <c r="F2005" i="1"/>
  <c r="F2003" i="1"/>
  <c r="F2001" i="1"/>
  <c r="F1990" i="1"/>
  <c r="F1977" i="1"/>
  <c r="F1975" i="1"/>
  <c r="F1964" i="1"/>
  <c r="F3297" i="1"/>
  <c r="B3286" i="1"/>
  <c r="F3274" i="1"/>
  <c r="F3271" i="1"/>
  <c r="B3257" i="1"/>
  <c r="B3254" i="1"/>
  <c r="F3239" i="1"/>
  <c r="B3225" i="1"/>
  <c r="F3170" i="1"/>
  <c r="F3167" i="1"/>
  <c r="B3156" i="1"/>
  <c r="F3101" i="1"/>
  <c r="B3090" i="1"/>
  <c r="F3045" i="1"/>
  <c r="F3034" i="1"/>
  <c r="F3023" i="1"/>
  <c r="F3012" i="1"/>
  <c r="F3001" i="1"/>
  <c r="F2990" i="1"/>
  <c r="F2979" i="1"/>
  <c r="F2968" i="1"/>
  <c r="F2957" i="1"/>
  <c r="F2946" i="1"/>
  <c r="F2935" i="1"/>
  <c r="F2924" i="1"/>
  <c r="F2922" i="1"/>
  <c r="F2920" i="1"/>
  <c r="F2909" i="1"/>
  <c r="F2907" i="1"/>
  <c r="F2896" i="1"/>
  <c r="F2885" i="1"/>
  <c r="F2874" i="1"/>
  <c r="F2861" i="1"/>
  <c r="F2850" i="1"/>
  <c r="F2839" i="1"/>
  <c r="F2828" i="1"/>
  <c r="B2758" i="1"/>
  <c r="B2747" i="1"/>
  <c r="B2736" i="1"/>
  <c r="B2725" i="1"/>
  <c r="B2723" i="1"/>
  <c r="B2721" i="1"/>
  <c r="B2719" i="1"/>
  <c r="B2717" i="1"/>
  <c r="B2715" i="1"/>
  <c r="B2704" i="1"/>
  <c r="B2693" i="1"/>
  <c r="B2682" i="1"/>
  <c r="B2671" i="1"/>
  <c r="B2636" i="1"/>
  <c r="B2634" i="1"/>
  <c r="B2610" i="1"/>
  <c r="B2608" i="1"/>
  <c r="B2597" i="1"/>
  <c r="B2595" i="1"/>
  <c r="B2593" i="1"/>
  <c r="B2591" i="1"/>
  <c r="B2580" i="1"/>
  <c r="B2569" i="1"/>
  <c r="B2558" i="1"/>
  <c r="B2547" i="1"/>
  <c r="B2523" i="1"/>
  <c r="B2512" i="1"/>
  <c r="F2432" i="1"/>
  <c r="F2421" i="1"/>
  <c r="F2410" i="1"/>
  <c r="F2399" i="1"/>
  <c r="F2388" i="1"/>
  <c r="F2377" i="1"/>
  <c r="F2366" i="1"/>
  <c r="F2355" i="1"/>
  <c r="B2344" i="1"/>
  <c r="F2723" i="1"/>
  <c r="F2717" i="1"/>
  <c r="F2671" i="1"/>
  <c r="F2608" i="1"/>
  <c r="B2594" i="1"/>
  <c r="B2524" i="1"/>
  <c r="F2512" i="1"/>
  <c r="F2466" i="1"/>
  <c r="F2433" i="1"/>
  <c r="B2247" i="1"/>
  <c r="B2224" i="1"/>
  <c r="B2221" i="1"/>
  <c r="B2177" i="1"/>
  <c r="B2154" i="1"/>
  <c r="B2125" i="1"/>
  <c r="B2079" i="1"/>
  <c r="B2053" i="1"/>
  <c r="B2030" i="1"/>
  <c r="B2027" i="1"/>
  <c r="B2004" i="1"/>
  <c r="B2001" i="1"/>
  <c r="B1978" i="1"/>
  <c r="B1975" i="1"/>
  <c r="B1961" i="1"/>
  <c r="B1911" i="1"/>
  <c r="B1887" i="1"/>
  <c r="B1885" i="1"/>
  <c r="B1874" i="1"/>
  <c r="B1872" i="1"/>
  <c r="F1860" i="1"/>
  <c r="F1857" i="1"/>
  <c r="B2794" i="1"/>
  <c r="B2720" i="1"/>
  <c r="F2682" i="1"/>
  <c r="B2659" i="1"/>
  <c r="B2635" i="1"/>
  <c r="B2611" i="1"/>
  <c r="F2593" i="1"/>
  <c r="F2547" i="1"/>
  <c r="F2523" i="1"/>
  <c r="B2500" i="1"/>
  <c r="B2311" i="1"/>
  <c r="B2235" i="1"/>
  <c r="B2209" i="1"/>
  <c r="B2206" i="1"/>
  <c r="B2203" i="1"/>
  <c r="B2200" i="1"/>
  <c r="B2197" i="1"/>
  <c r="B2194" i="1"/>
  <c r="B2191" i="1"/>
  <c r="B2188" i="1"/>
  <c r="B2165" i="1"/>
  <c r="B2142" i="1"/>
  <c r="B2139" i="1"/>
  <c r="B2136" i="1"/>
  <c r="B2067" i="1"/>
  <c r="B2041" i="1"/>
  <c r="B1989" i="1"/>
  <c r="B1963" i="1"/>
  <c r="F1960" i="1"/>
  <c r="B1947" i="1"/>
  <c r="B1936" i="1"/>
  <c r="B1922" i="1"/>
  <c r="F1910" i="1"/>
  <c r="F1899" i="1"/>
  <c r="F1888" i="1"/>
  <c r="F1886" i="1"/>
  <c r="F1873" i="1"/>
  <c r="B1860" i="1"/>
  <c r="B1857" i="1"/>
  <c r="B1846" i="1"/>
  <c r="B1844" i="1"/>
  <c r="B1842" i="1"/>
  <c r="B1840" i="1"/>
  <c r="B1838" i="1"/>
  <c r="B1836" i="1"/>
  <c r="B1834" i="1"/>
  <c r="B1832" i="1"/>
  <c r="B1830" i="1"/>
  <c r="B1828" i="1"/>
  <c r="B1826" i="1"/>
  <c r="B1824" i="1"/>
  <c r="B1811" i="1"/>
  <c r="B1809" i="1"/>
  <c r="B1807" i="1"/>
  <c r="B1805" i="1"/>
  <c r="B1803" i="1"/>
  <c r="B1792" i="1"/>
  <c r="B1781" i="1"/>
  <c r="B1770" i="1"/>
  <c r="B1759" i="1"/>
  <c r="B1757" i="1"/>
  <c r="B1746" i="1"/>
  <c r="B1744" i="1"/>
  <c r="B1733" i="1"/>
  <c r="B1720" i="1"/>
  <c r="B1718" i="1"/>
  <c r="B1716" i="1"/>
  <c r="B1714" i="1"/>
  <c r="B1701" i="1"/>
  <c r="B1699" i="1"/>
  <c r="B1697" i="1"/>
  <c r="B1684" i="1"/>
  <c r="B1671" i="1"/>
  <c r="B1669" i="1"/>
  <c r="F1646" i="1"/>
  <c r="F1644" i="1"/>
  <c r="F1642" i="1"/>
  <c r="F1640" i="1"/>
  <c r="F1638" i="1"/>
  <c r="F1636" i="1"/>
  <c r="F1634" i="1"/>
  <c r="F1623" i="1"/>
  <c r="F1621" i="1"/>
  <c r="F1619" i="1"/>
  <c r="F1608" i="1"/>
  <c r="F1606" i="1"/>
  <c r="F1604" i="1"/>
  <c r="F1602" i="1"/>
  <c r="F1600" i="1"/>
  <c r="F1589" i="1"/>
  <c r="F2725" i="1"/>
  <c r="F2719" i="1"/>
  <c r="F2693" i="1"/>
  <c r="F2634" i="1"/>
  <c r="F2610" i="1"/>
  <c r="B2596" i="1"/>
  <c r="F2558" i="1"/>
  <c r="B2535" i="1"/>
  <c r="F2477" i="1"/>
  <c r="F2444" i="1"/>
  <c r="F2322" i="1"/>
  <c r="B2261" i="1"/>
  <c r="B2249" i="1"/>
  <c r="B2223" i="1"/>
  <c r="B2220" i="1"/>
  <c r="B2176" i="1"/>
  <c r="B2055" i="1"/>
  <c r="B2029" i="1"/>
  <c r="B2003" i="1"/>
  <c r="B1977" i="1"/>
  <c r="F1962" i="1"/>
  <c r="B1924" i="1"/>
  <c r="F1859" i="1"/>
  <c r="F1845" i="1"/>
  <c r="F1843" i="1"/>
  <c r="F1841" i="1"/>
  <c r="F1839" i="1"/>
  <c r="F1837" i="1"/>
  <c r="F1835" i="1"/>
  <c r="F1833" i="1"/>
  <c r="F1831" i="1"/>
  <c r="F1829" i="1"/>
  <c r="F1827" i="1"/>
  <c r="F1825" i="1"/>
  <c r="F1823" i="1"/>
  <c r="F1812" i="1"/>
  <c r="F1810" i="1"/>
  <c r="F1808" i="1"/>
  <c r="F1806" i="1"/>
  <c r="F1804" i="1"/>
  <c r="F1758" i="1"/>
  <c r="F1745" i="1"/>
  <c r="F1732" i="1"/>
  <c r="F1721" i="1"/>
  <c r="F1719" i="1"/>
  <c r="F1717" i="1"/>
  <c r="F1715" i="1"/>
  <c r="F1713" i="1"/>
  <c r="F1702" i="1"/>
  <c r="F1700" i="1"/>
  <c r="F1698" i="1"/>
  <c r="F1696" i="1"/>
  <c r="F1685" i="1"/>
  <c r="F1683" i="1"/>
  <c r="F1672" i="1"/>
  <c r="F1670" i="1"/>
  <c r="B1589" i="1"/>
  <c r="B1564" i="1"/>
  <c r="B1562" i="1"/>
  <c r="B1560" i="1"/>
  <c r="B1558" i="1"/>
  <c r="B1556" i="1"/>
  <c r="B1554" i="1"/>
  <c r="B1552" i="1"/>
  <c r="B1550" i="1"/>
  <c r="B1548" i="1"/>
  <c r="B1546" i="1"/>
  <c r="B1544" i="1"/>
  <c r="B1542" i="1"/>
  <c r="B1529" i="1"/>
  <c r="B1527" i="1"/>
  <c r="B1525" i="1"/>
  <c r="B1514" i="1"/>
  <c r="B1501" i="1"/>
  <c r="B1499" i="1"/>
  <c r="B1497" i="1"/>
  <c r="B1484" i="1"/>
  <c r="B1482" i="1"/>
  <c r="B1480" i="1"/>
  <c r="B1478" i="1"/>
  <c r="B1476" i="1"/>
  <c r="B1474" i="1"/>
  <c r="B1472" i="1"/>
  <c r="B1470" i="1"/>
  <c r="B1468" i="1"/>
  <c r="B1466" i="1"/>
  <c r="B1464" i="1"/>
  <c r="F1441" i="1"/>
  <c r="F1439" i="1"/>
  <c r="F1437" i="1"/>
  <c r="F1435" i="1"/>
  <c r="F1433" i="1"/>
  <c r="F1420" i="1"/>
  <c r="F1418" i="1"/>
  <c r="F1416" i="1"/>
  <c r="F1414" i="1"/>
  <c r="F1412" i="1"/>
  <c r="F1401" i="1"/>
  <c r="F1399" i="1"/>
  <c r="F1397" i="1"/>
  <c r="F1395" i="1"/>
  <c r="F1393" i="1"/>
  <c r="F1382" i="1"/>
  <c r="F1380" i="1"/>
  <c r="F1378" i="1"/>
  <c r="F1376" i="1"/>
  <c r="F2736" i="1"/>
  <c r="B2722" i="1"/>
  <c r="B2716" i="1"/>
  <c r="F2704" i="1"/>
  <c r="B2670" i="1"/>
  <c r="B2637" i="1"/>
  <c r="B2622" i="1"/>
  <c r="F2595" i="1"/>
  <c r="F2569" i="1"/>
  <c r="B2511" i="1"/>
  <c r="B2322" i="1"/>
  <c r="B2285" i="1"/>
  <c r="B2208" i="1"/>
  <c r="B2205" i="1"/>
  <c r="B2202" i="1"/>
  <c r="B2199" i="1"/>
  <c r="B2196" i="1"/>
  <c r="B2193" i="1"/>
  <c r="B2190" i="1"/>
  <c r="B2141" i="1"/>
  <c r="B2138" i="1"/>
  <c r="B2092" i="1"/>
  <c r="B2066" i="1"/>
  <c r="B1960" i="1"/>
  <c r="B1935" i="1"/>
  <c r="F1923" i="1"/>
  <c r="B1910" i="1"/>
  <c r="B1899" i="1"/>
  <c r="B1888" i="1"/>
  <c r="B1886" i="1"/>
  <c r="B1873" i="1"/>
  <c r="B1859" i="1"/>
  <c r="F2758" i="1"/>
  <c r="F2715" i="1"/>
  <c r="B2236" i="1"/>
  <c r="B2028" i="1"/>
  <c r="B1990" i="1"/>
  <c r="B1948" i="1"/>
  <c r="F1936" i="1"/>
  <c r="F1872" i="1"/>
  <c r="F1858" i="1"/>
  <c r="B1843" i="1"/>
  <c r="B1837" i="1"/>
  <c r="B1831" i="1"/>
  <c r="B1825" i="1"/>
  <c r="B1810" i="1"/>
  <c r="B1804" i="1"/>
  <c r="F1792" i="1"/>
  <c r="B1758" i="1"/>
  <c r="F1746" i="1"/>
  <c r="B1732" i="1"/>
  <c r="B1717" i="1"/>
  <c r="B1702" i="1"/>
  <c r="B1696" i="1"/>
  <c r="B1672" i="1"/>
  <c r="B1644" i="1"/>
  <c r="F1641" i="1"/>
  <c r="B1637" i="1"/>
  <c r="B1623" i="1"/>
  <c r="F1620" i="1"/>
  <c r="B1607" i="1"/>
  <c r="B1602" i="1"/>
  <c r="B1587" i="1"/>
  <c r="F1561" i="1"/>
  <c r="B1557" i="1"/>
  <c r="F1554" i="1"/>
  <c r="F1549" i="1"/>
  <c r="B1545" i="1"/>
  <c r="F1542" i="1"/>
  <c r="F1528" i="1"/>
  <c r="F1498" i="1"/>
  <c r="B1485" i="1"/>
  <c r="F1482" i="1"/>
  <c r="F1477" i="1"/>
  <c r="B1473" i="1"/>
  <c r="F1470" i="1"/>
  <c r="F1465" i="1"/>
  <c r="F1440" i="1"/>
  <c r="B1436" i="1"/>
  <c r="B1420" i="1"/>
  <c r="F1417" i="1"/>
  <c r="B1413" i="1"/>
  <c r="B1399" i="1"/>
  <c r="F1396" i="1"/>
  <c r="B1378" i="1"/>
  <c r="F1375" i="1"/>
  <c r="F1362" i="1"/>
  <c r="F1360" i="1"/>
  <c r="F1358" i="1"/>
  <c r="F1356" i="1"/>
  <c r="F1343" i="1"/>
  <c r="F1341" i="1"/>
  <c r="F1328" i="1"/>
  <c r="F1315" i="1"/>
  <c r="F1313" i="1"/>
  <c r="F1311" i="1"/>
  <c r="F1309" i="1"/>
  <c r="F1298" i="1"/>
  <c r="F1285" i="1"/>
  <c r="F1274" i="1"/>
  <c r="F1263" i="1"/>
  <c r="F1252" i="1"/>
  <c r="F1241" i="1"/>
  <c r="F1230" i="1"/>
  <c r="B2792" i="1"/>
  <c r="B2724" i="1"/>
  <c r="B2633" i="1"/>
  <c r="F2455" i="1"/>
  <c r="B2309" i="1"/>
  <c r="B2296" i="1"/>
  <c r="B2248" i="1"/>
  <c r="B2201" i="1"/>
  <c r="B2192" i="1"/>
  <c r="B2137" i="1"/>
  <c r="B2091" i="1"/>
  <c r="B2002" i="1"/>
  <c r="B1964" i="1"/>
  <c r="F1947" i="1"/>
  <c r="B1923" i="1"/>
  <c r="B1858" i="1"/>
  <c r="F1842" i="1"/>
  <c r="F1836" i="1"/>
  <c r="F1830" i="1"/>
  <c r="F1824" i="1"/>
  <c r="F1809" i="1"/>
  <c r="F1803" i="1"/>
  <c r="F1757" i="1"/>
  <c r="F1716" i="1"/>
  <c r="F1701" i="1"/>
  <c r="F1671" i="1"/>
  <c r="B1646" i="1"/>
  <c r="F1643" i="1"/>
  <c r="B1639" i="1"/>
  <c r="B1634" i="1"/>
  <c r="F1622" i="1"/>
  <c r="B1604" i="1"/>
  <c r="F1601" i="1"/>
  <c r="F1563" i="1"/>
  <c r="B1559" i="1"/>
  <c r="F1556" i="1"/>
  <c r="F1551" i="1"/>
  <c r="B1547" i="1"/>
  <c r="F1544" i="1"/>
  <c r="F1530" i="1"/>
  <c r="B1526" i="1"/>
  <c r="F1514" i="1"/>
  <c r="F1500" i="1"/>
  <c r="B1496" i="1"/>
  <c r="F1484" i="1"/>
  <c r="F1479" i="1"/>
  <c r="B1475" i="1"/>
  <c r="F1472" i="1"/>
  <c r="F1467" i="1"/>
  <c r="F1442" i="1"/>
  <c r="B1438" i="1"/>
  <c r="B1433" i="1"/>
  <c r="F1419" i="1"/>
  <c r="B1415" i="1"/>
  <c r="B1401" i="1"/>
  <c r="F1398" i="1"/>
  <c r="B1394" i="1"/>
  <c r="B1380" i="1"/>
  <c r="F1377" i="1"/>
  <c r="F2636" i="1"/>
  <c r="B2222" i="1"/>
  <c r="B2103" i="1"/>
  <c r="B1976" i="1"/>
  <c r="B1959" i="1"/>
  <c r="F1887" i="1"/>
  <c r="B1845" i="1"/>
  <c r="B1839" i="1"/>
  <c r="B1833" i="1"/>
  <c r="B1827" i="1"/>
  <c r="B1812" i="1"/>
  <c r="B1806" i="1"/>
  <c r="B1719" i="1"/>
  <c r="B1713" i="1"/>
  <c r="B1698" i="1"/>
  <c r="B1683" i="1"/>
  <c r="F1645" i="1"/>
  <c r="B1641" i="1"/>
  <c r="B1636" i="1"/>
  <c r="B1620" i="1"/>
  <c r="B1606" i="1"/>
  <c r="F1603" i="1"/>
  <c r="F1565" i="1"/>
  <c r="B1561" i="1"/>
  <c r="F1558" i="1"/>
  <c r="F1553" i="1"/>
  <c r="B1549" i="1"/>
  <c r="F1546" i="1"/>
  <c r="F1541" i="1"/>
  <c r="B1528" i="1"/>
  <c r="F1525" i="1"/>
  <c r="F1502" i="1"/>
  <c r="B1498" i="1"/>
  <c r="F1481" i="1"/>
  <c r="B1477" i="1"/>
  <c r="F1474" i="1"/>
  <c r="F1469" i="1"/>
  <c r="B1465" i="1"/>
  <c r="F1453" i="1"/>
  <c r="B1440" i="1"/>
  <c r="B1435" i="1"/>
  <c r="F1432" i="1"/>
  <c r="F1421" i="1"/>
  <c r="B1417" i="1"/>
  <c r="B1412" i="1"/>
  <c r="F1400" i="1"/>
  <c r="B1396" i="1"/>
  <c r="B1382" i="1"/>
  <c r="F1379" i="1"/>
  <c r="B1375" i="1"/>
  <c r="B1362" i="1"/>
  <c r="B1360" i="1"/>
  <c r="B1358" i="1"/>
  <c r="B1356" i="1"/>
  <c r="B1343" i="1"/>
  <c r="B1341" i="1"/>
  <c r="B1328" i="1"/>
  <c r="B1315" i="1"/>
  <c r="B1313" i="1"/>
  <c r="B1311" i="1"/>
  <c r="B1309" i="1"/>
  <c r="B1298" i="1"/>
  <c r="B1285" i="1"/>
  <c r="B1274" i="1"/>
  <c r="B1263" i="1"/>
  <c r="B1252" i="1"/>
  <c r="B1241" i="1"/>
  <c r="B2718" i="1"/>
  <c r="F2597" i="1"/>
  <c r="F2580" i="1"/>
  <c r="B2546" i="1"/>
  <c r="F2488" i="1"/>
  <c r="B2204" i="1"/>
  <c r="B2195" i="1"/>
  <c r="B2140" i="1"/>
  <c r="B2005" i="1"/>
  <c r="F1874" i="1"/>
  <c r="F1844" i="1"/>
  <c r="F1838" i="1"/>
  <c r="F1832" i="1"/>
  <c r="F1826" i="1"/>
  <c r="F1811" i="1"/>
  <c r="F1805" i="1"/>
  <c r="F1759" i="1"/>
  <c r="B1745" i="1"/>
  <c r="F1733" i="1"/>
  <c r="F1718" i="1"/>
  <c r="F1697" i="1"/>
  <c r="F1647" i="1"/>
  <c r="B1643" i="1"/>
  <c r="B1638" i="1"/>
  <c r="F1635" i="1"/>
  <c r="B1622" i="1"/>
  <c r="B1608" i="1"/>
  <c r="F1605" i="1"/>
  <c r="B1601" i="1"/>
  <c r="F1588" i="1"/>
  <c r="B1563" i="1"/>
  <c r="F1560" i="1"/>
  <c r="F1555" i="1"/>
  <c r="B1551" i="1"/>
  <c r="F1548" i="1"/>
  <c r="F1543" i="1"/>
  <c r="B1530" i="1"/>
  <c r="F1527" i="1"/>
  <c r="F1513" i="1"/>
  <c r="B1500" i="1"/>
  <c r="F1497" i="1"/>
  <c r="F1483" i="1"/>
  <c r="B1479" i="1"/>
  <c r="F1476" i="1"/>
  <c r="F1471" i="1"/>
  <c r="B1467" i="1"/>
  <c r="F1464" i="1"/>
  <c r="B1453" i="1"/>
  <c r="B1442" i="1"/>
  <c r="B1437" i="1"/>
  <c r="F1434" i="1"/>
  <c r="B1419" i="1"/>
  <c r="B1414" i="1"/>
  <c r="B1398" i="1"/>
  <c r="B1393" i="1"/>
  <c r="F1381" i="1"/>
  <c r="B1377" i="1"/>
  <c r="F1374" i="1"/>
  <c r="F1363" i="1"/>
  <c r="F1361" i="1"/>
  <c r="F1359" i="1"/>
  <c r="F1357" i="1"/>
  <c r="F1355" i="1"/>
  <c r="F1344" i="1"/>
  <c r="F1342" i="1"/>
  <c r="F1340" i="1"/>
  <c r="F1329" i="1"/>
  <c r="F1327" i="1"/>
  <c r="F1316" i="1"/>
  <c r="F1314" i="1"/>
  <c r="F1312" i="1"/>
  <c r="F1310" i="1"/>
  <c r="F1297" i="1"/>
  <c r="F1286" i="1"/>
  <c r="B1152" i="1"/>
  <c r="B1150" i="1"/>
  <c r="B1148" i="1"/>
  <c r="B1146" i="1"/>
  <c r="B1135" i="1"/>
  <c r="B1124" i="1"/>
  <c r="B1122" i="1"/>
  <c r="B1120" i="1"/>
  <c r="B1118" i="1"/>
  <c r="B1116" i="1"/>
  <c r="B1114" i="1"/>
  <c r="B1103" i="1"/>
  <c r="B1101" i="1"/>
  <c r="B1099" i="1"/>
  <c r="B1097" i="1"/>
  <c r="B1095" i="1"/>
  <c r="B1093" i="1"/>
  <c r="B1058" i="1"/>
  <c r="B1047" i="1"/>
  <c r="B1036" i="1"/>
  <c r="B1025" i="1"/>
  <c r="B1014" i="1"/>
  <c r="B1003" i="1"/>
  <c r="B992" i="1"/>
  <c r="B990" i="1"/>
  <c r="B977" i="1"/>
  <c r="B975" i="1"/>
  <c r="B964" i="1"/>
  <c r="F941" i="1"/>
  <c r="F930" i="1"/>
  <c r="F919" i="1"/>
  <c r="F908" i="1"/>
  <c r="F906" i="1"/>
  <c r="F904" i="1"/>
  <c r="F893" i="1"/>
  <c r="F882" i="1"/>
  <c r="F871" i="1"/>
  <c r="F2721" i="1"/>
  <c r="F2591" i="1"/>
  <c r="B2143" i="1"/>
  <c r="B2016" i="1"/>
  <c r="B1962" i="1"/>
  <c r="B1835" i="1"/>
  <c r="B1808" i="1"/>
  <c r="F1770" i="1"/>
  <c r="F1744" i="1"/>
  <c r="F1714" i="1"/>
  <c r="F1684" i="1"/>
  <c r="B1647" i="1"/>
  <c r="B1635" i="1"/>
  <c r="F1587" i="1"/>
  <c r="F1562" i="1"/>
  <c r="F1550" i="1"/>
  <c r="F1529" i="1"/>
  <c r="F1475" i="1"/>
  <c r="B1441" i="1"/>
  <c r="B1421" i="1"/>
  <c r="B1363" i="1"/>
  <c r="B1359" i="1"/>
  <c r="B1355" i="1"/>
  <c r="B1314" i="1"/>
  <c r="B1310" i="1"/>
  <c r="F1219" i="1"/>
  <c r="F1208" i="1"/>
  <c r="F1197" i="1"/>
  <c r="F1186" i="1"/>
  <c r="F1175" i="1"/>
  <c r="B1164" i="1"/>
  <c r="F1152" i="1"/>
  <c r="F1147" i="1"/>
  <c r="F1122" i="1"/>
  <c r="F1117" i="1"/>
  <c r="F2747" i="1"/>
  <c r="B2609" i="1"/>
  <c r="F2333" i="1"/>
  <c r="B2207" i="1"/>
  <c r="B2068" i="1"/>
  <c r="B2042" i="1"/>
  <c r="F1885" i="1"/>
  <c r="F1834" i="1"/>
  <c r="F1807" i="1"/>
  <c r="F1658" i="1"/>
  <c r="B1642" i="1"/>
  <c r="B1605" i="1"/>
  <c r="F1557" i="1"/>
  <c r="F1545" i="1"/>
  <c r="F1499" i="1"/>
  <c r="B1483" i="1"/>
  <c r="B1471" i="1"/>
  <c r="F1436" i="1"/>
  <c r="B1416" i="1"/>
  <c r="B1400" i="1"/>
  <c r="B1379" i="1"/>
  <c r="B1342" i="1"/>
  <c r="B1297" i="1"/>
  <c r="B1175" i="1"/>
  <c r="F1149" i="1"/>
  <c r="F1124" i="1"/>
  <c r="F1119" i="1"/>
  <c r="B1115" i="1"/>
  <c r="F1103" i="1"/>
  <c r="F1098" i="1"/>
  <c r="B1094" i="1"/>
  <c r="F1059" i="1"/>
  <c r="F1025" i="1"/>
  <c r="B989" i="1"/>
  <c r="F977" i="1"/>
  <c r="F963" i="1"/>
  <c r="B952" i="1"/>
  <c r="B904" i="1"/>
  <c r="B870" i="1"/>
  <c r="B868" i="1"/>
  <c r="B866" i="1"/>
  <c r="B864" i="1"/>
  <c r="B862" i="1"/>
  <c r="B860" i="1"/>
  <c r="B858" i="1"/>
  <c r="B856" i="1"/>
  <c r="B854" i="1"/>
  <c r="B852" i="1"/>
  <c r="B850" i="1"/>
  <c r="B848" i="1"/>
  <c r="B846" i="1"/>
  <c r="B844" i="1"/>
  <c r="B842" i="1"/>
  <c r="B840" i="1"/>
  <c r="B838" i="1"/>
  <c r="B836" i="1"/>
  <c r="B834" i="1"/>
  <c r="B832" i="1"/>
  <c r="B830" i="1"/>
  <c r="B828" i="1"/>
  <c r="B826" i="1"/>
  <c r="B824" i="1"/>
  <c r="B822" i="1"/>
  <c r="B811" i="1"/>
  <c r="B800" i="1"/>
  <c r="B789" i="1"/>
  <c r="B778" i="1"/>
  <c r="B767" i="1"/>
  <c r="B756" i="1"/>
  <c r="B710" i="1"/>
  <c r="B708" i="1"/>
  <c r="B697" i="1"/>
  <c r="B695" i="1"/>
  <c r="B682" i="1"/>
  <c r="B680" i="1"/>
  <c r="B669" i="1"/>
  <c r="B667" i="1"/>
  <c r="B654" i="1"/>
  <c r="B643" i="1"/>
  <c r="B597" i="1"/>
  <c r="B586" i="1"/>
  <c r="B584" i="1"/>
  <c r="B573" i="1"/>
  <c r="B560" i="1"/>
  <c r="B558" i="1"/>
  <c r="B556" i="1"/>
  <c r="B554" i="1"/>
  <c r="B541" i="1"/>
  <c r="B528" i="1"/>
  <c r="B526" i="1"/>
  <c r="F503" i="1"/>
  <c r="F492" i="1"/>
  <c r="F490" i="1"/>
  <c r="F479" i="1"/>
  <c r="F468" i="1"/>
  <c r="F466" i="1"/>
  <c r="F453" i="1"/>
  <c r="F442" i="1"/>
  <c r="F440" i="1"/>
  <c r="B2080" i="1"/>
  <c r="B2054" i="1"/>
  <c r="B1829" i="1"/>
  <c r="F1781" i="1"/>
  <c r="B1700" i="1"/>
  <c r="B1670" i="1"/>
  <c r="B1658" i="1"/>
  <c r="F1637" i="1"/>
  <c r="B1621" i="1"/>
  <c r="B1600" i="1"/>
  <c r="B1565" i="1"/>
  <c r="B1553" i="1"/>
  <c r="B1541" i="1"/>
  <c r="F1478" i="1"/>
  <c r="F1466" i="1"/>
  <c r="B1432" i="1"/>
  <c r="F1415" i="1"/>
  <c r="B1395" i="1"/>
  <c r="B1374" i="1"/>
  <c r="B1329" i="1"/>
  <c r="B1230" i="1"/>
  <c r="B1219" i="1"/>
  <c r="B1208" i="1"/>
  <c r="B1197" i="1"/>
  <c r="B1186" i="1"/>
  <c r="F1151" i="1"/>
  <c r="B1147" i="1"/>
  <c r="F1135" i="1"/>
  <c r="F1121" i="1"/>
  <c r="B1117" i="1"/>
  <c r="F1114" i="1"/>
  <c r="F1100" i="1"/>
  <c r="B1096" i="1"/>
  <c r="F1093" i="1"/>
  <c r="F1070" i="1"/>
  <c r="F1036" i="1"/>
  <c r="B991" i="1"/>
  <c r="B906" i="1"/>
  <c r="F869" i="1"/>
  <c r="F867" i="1"/>
  <c r="F865" i="1"/>
  <c r="F863" i="1"/>
  <c r="F861" i="1"/>
  <c r="F859" i="1"/>
  <c r="F857" i="1"/>
  <c r="F855" i="1"/>
  <c r="F853" i="1"/>
  <c r="F851" i="1"/>
  <c r="F849" i="1"/>
  <c r="F847" i="1"/>
  <c r="F845" i="1"/>
  <c r="F843" i="1"/>
  <c r="F841" i="1"/>
  <c r="F839" i="1"/>
  <c r="F837" i="1"/>
  <c r="F835" i="1"/>
  <c r="F833" i="1"/>
  <c r="F831" i="1"/>
  <c r="F829" i="1"/>
  <c r="F827" i="1"/>
  <c r="F825" i="1"/>
  <c r="F823" i="1"/>
  <c r="F755" i="1"/>
  <c r="F744" i="1"/>
  <c r="F733" i="1"/>
  <c r="F722" i="1"/>
  <c r="F711" i="1"/>
  <c r="F709" i="1"/>
  <c r="F696" i="1"/>
  <c r="F694" i="1"/>
  <c r="F683" i="1"/>
  <c r="F681" i="1"/>
  <c r="F668" i="1"/>
  <c r="F666" i="1"/>
  <c r="F655" i="1"/>
  <c r="F642" i="1"/>
  <c r="F631" i="1"/>
  <c r="F620" i="1"/>
  <c r="F609" i="1"/>
  <c r="F598" i="1"/>
  <c r="F585" i="1"/>
  <c r="F572" i="1"/>
  <c r="F561" i="1"/>
  <c r="F559" i="1"/>
  <c r="F557" i="1"/>
  <c r="F555" i="1"/>
  <c r="F553" i="1"/>
  <c r="F542" i="1"/>
  <c r="F540" i="1"/>
  <c r="F529" i="1"/>
  <c r="F527" i="1"/>
  <c r="B2648" i="1"/>
  <c r="B2189" i="1"/>
  <c r="B2114" i="1"/>
  <c r="F1846" i="1"/>
  <c r="F1828" i="1"/>
  <c r="B1721" i="1"/>
  <c r="F1699" i="1"/>
  <c r="F1669" i="1"/>
  <c r="B1645" i="1"/>
  <c r="F1607" i="1"/>
  <c r="F1576" i="1"/>
  <c r="F1564" i="1"/>
  <c r="F1552" i="1"/>
  <c r="B1502" i="1"/>
  <c r="F1485" i="1"/>
  <c r="F1473" i="1"/>
  <c r="B1439" i="1"/>
  <c r="F1394" i="1"/>
  <c r="B1361" i="1"/>
  <c r="B1357" i="1"/>
  <c r="B1316" i="1"/>
  <c r="B1312" i="1"/>
  <c r="F1153" i="1"/>
  <c r="B1149" i="1"/>
  <c r="F1146" i="1"/>
  <c r="F1123" i="1"/>
  <c r="B1119" i="1"/>
  <c r="F1116" i="1"/>
  <c r="F1102" i="1"/>
  <c r="B1098" i="1"/>
  <c r="F1095" i="1"/>
  <c r="F1081" i="1"/>
  <c r="B1059" i="1"/>
  <c r="F1047" i="1"/>
  <c r="F990" i="1"/>
  <c r="F976" i="1"/>
  <c r="B963" i="1"/>
  <c r="B908" i="1"/>
  <c r="F905" i="1"/>
  <c r="B2592" i="1"/>
  <c r="F1861" i="1"/>
  <c r="B1823" i="1"/>
  <c r="B1481" i="1"/>
  <c r="B1397" i="1"/>
  <c r="B1151" i="1"/>
  <c r="B1121" i="1"/>
  <c r="F1097" i="1"/>
  <c r="B1070" i="1"/>
  <c r="F1003" i="1"/>
  <c r="F991" i="1"/>
  <c r="B976" i="1"/>
  <c r="F964" i="1"/>
  <c r="B919" i="1"/>
  <c r="B907" i="1"/>
  <c r="F870" i="1"/>
  <c r="F864" i="1"/>
  <c r="F858" i="1"/>
  <c r="F852" i="1"/>
  <c r="F846" i="1"/>
  <c r="F840" i="1"/>
  <c r="F834" i="1"/>
  <c r="F828" i="1"/>
  <c r="F822" i="1"/>
  <c r="F756" i="1"/>
  <c r="F708" i="1"/>
  <c r="B694" i="1"/>
  <c r="F667" i="1"/>
  <c r="B620" i="1"/>
  <c r="F584" i="1"/>
  <c r="B561" i="1"/>
  <c r="B555" i="1"/>
  <c r="B540" i="1"/>
  <c r="B466" i="1"/>
  <c r="B406" i="1"/>
  <c r="B404" i="1"/>
  <c r="B402" i="1"/>
  <c r="F368" i="1"/>
  <c r="F355" i="1"/>
  <c r="F344" i="1"/>
  <c r="F333" i="1"/>
  <c r="F322" i="1"/>
  <c r="F320" i="1"/>
  <c r="F309" i="1"/>
  <c r="F296" i="1"/>
  <c r="F285" i="1"/>
  <c r="F261" i="1"/>
  <c r="F250" i="1"/>
  <c r="F239" i="1"/>
  <c r="F228" i="1"/>
  <c r="F217" i="1"/>
  <c r="B149" i="1"/>
  <c r="B138" i="1"/>
  <c r="B127" i="1"/>
  <c r="B116" i="1"/>
  <c r="B105" i="1"/>
  <c r="B103" i="1"/>
  <c r="B101" i="1"/>
  <c r="F45" i="1"/>
  <c r="B467" i="1"/>
  <c r="F406" i="1"/>
  <c r="F1840" i="1"/>
  <c r="F1639" i="1"/>
  <c r="B1588" i="1"/>
  <c r="F1559" i="1"/>
  <c r="B1555" i="1"/>
  <c r="B1434" i="1"/>
  <c r="F1101" i="1"/>
  <c r="B835" i="1"/>
  <c r="B829" i="1"/>
  <c r="B356" i="1"/>
  <c r="B183" i="1"/>
  <c r="B2198" i="1"/>
  <c r="B1861" i="1"/>
  <c r="B1685" i="1"/>
  <c r="F1547" i="1"/>
  <c r="B1543" i="1"/>
  <c r="F1480" i="1"/>
  <c r="F1413" i="1"/>
  <c r="B1340" i="1"/>
  <c r="B1327" i="1"/>
  <c r="F1150" i="1"/>
  <c r="F1120" i="1"/>
  <c r="F1014" i="1"/>
  <c r="F978" i="1"/>
  <c r="F975" i="1"/>
  <c r="B882" i="1"/>
  <c r="B867" i="1"/>
  <c r="B861" i="1"/>
  <c r="B855" i="1"/>
  <c r="B849" i="1"/>
  <c r="B843" i="1"/>
  <c r="B837" i="1"/>
  <c r="B831" i="1"/>
  <c r="B825" i="1"/>
  <c r="F767" i="1"/>
  <c r="B744" i="1"/>
  <c r="B711" i="1"/>
  <c r="B655" i="1"/>
  <c r="F643" i="1"/>
  <c r="F560" i="1"/>
  <c r="F554" i="1"/>
  <c r="F504" i="1"/>
  <c r="B491" i="1"/>
  <c r="B468" i="1"/>
  <c r="F465" i="1"/>
  <c r="F454" i="1"/>
  <c r="B441" i="1"/>
  <c r="F429" i="1"/>
  <c r="F418" i="1"/>
  <c r="F407" i="1"/>
  <c r="F405" i="1"/>
  <c r="F403" i="1"/>
  <c r="F401" i="1"/>
  <c r="F390" i="1"/>
  <c r="F379" i="1"/>
  <c r="F104" i="1"/>
  <c r="F102" i="1"/>
  <c r="F100" i="1"/>
  <c r="F89" i="1"/>
  <c r="F78" i="1"/>
  <c r="F67" i="1"/>
  <c r="F56" i="1"/>
  <c r="F34" i="1"/>
  <c r="F23" i="1"/>
  <c r="F832" i="1"/>
  <c r="B559" i="1"/>
  <c r="B553" i="1"/>
  <c r="B529" i="1"/>
  <c r="F127" i="1"/>
  <c r="F105" i="1"/>
  <c r="B1603" i="1"/>
  <c r="B1513" i="1"/>
  <c r="F1094" i="1"/>
  <c r="F952" i="1"/>
  <c r="B871" i="1"/>
  <c r="B865" i="1"/>
  <c r="B859" i="1"/>
  <c r="B841" i="1"/>
  <c r="B823" i="1"/>
  <c r="B733" i="1"/>
  <c r="F697" i="1"/>
  <c r="B585" i="1"/>
  <c r="F573" i="1"/>
  <c r="F528" i="1"/>
  <c r="F491" i="1"/>
  <c r="B453" i="1"/>
  <c r="F441" i="1"/>
  <c r="B367" i="1"/>
  <c r="B297" i="1"/>
  <c r="B273" i="1"/>
  <c r="B216" i="1"/>
  <c r="B194" i="1"/>
  <c r="B161" i="1"/>
  <c r="F149" i="1"/>
  <c r="B2272" i="1"/>
  <c r="B1619" i="1"/>
  <c r="B1576" i="1"/>
  <c r="B1469" i="1"/>
  <c r="B1418" i="1"/>
  <c r="B1344" i="1"/>
  <c r="B1286" i="1"/>
  <c r="F1115" i="1"/>
  <c r="B1100" i="1"/>
  <c r="F1096" i="1"/>
  <c r="F1092" i="1"/>
  <c r="B1081" i="1"/>
  <c r="B930" i="1"/>
  <c r="F866" i="1"/>
  <c r="F860" i="1"/>
  <c r="F854" i="1"/>
  <c r="F848" i="1"/>
  <c r="F842" i="1"/>
  <c r="F836" i="1"/>
  <c r="F830" i="1"/>
  <c r="F824" i="1"/>
  <c r="F778" i="1"/>
  <c r="F710" i="1"/>
  <c r="B696" i="1"/>
  <c r="B681" i="1"/>
  <c r="F669" i="1"/>
  <c r="F654" i="1"/>
  <c r="B631" i="1"/>
  <c r="B598" i="1"/>
  <c r="F586" i="1"/>
  <c r="B572" i="1"/>
  <c r="B557" i="1"/>
  <c r="B542" i="1"/>
  <c r="B527" i="1"/>
  <c r="F515" i="1"/>
  <c r="B479" i="1"/>
  <c r="F467" i="1"/>
  <c r="B379" i="1"/>
  <c r="B368" i="1"/>
  <c r="B355" i="1"/>
  <c r="B344" i="1"/>
  <c r="B333" i="1"/>
  <c r="B322" i="1"/>
  <c r="B320" i="1"/>
  <c r="B309" i="1"/>
  <c r="B296" i="1"/>
  <c r="B285" i="1"/>
  <c r="B261" i="1"/>
  <c r="B250" i="1"/>
  <c r="B239" i="1"/>
  <c r="B228" i="1"/>
  <c r="B217" i="1"/>
  <c r="F1058" i="1"/>
  <c r="F992" i="1"/>
  <c r="F868" i="1"/>
  <c r="F862" i="1"/>
  <c r="F856" i="1"/>
  <c r="F850" i="1"/>
  <c r="F844" i="1"/>
  <c r="F838" i="1"/>
  <c r="F826" i="1"/>
  <c r="B642" i="1"/>
  <c r="F404" i="1"/>
  <c r="F402" i="1"/>
  <c r="F101" i="1"/>
  <c r="F1720" i="1"/>
  <c r="F1501" i="1"/>
  <c r="F1496" i="1"/>
  <c r="F1468" i="1"/>
  <c r="B1381" i="1"/>
  <c r="B1376" i="1"/>
  <c r="B1153" i="1"/>
  <c r="B1123" i="1"/>
  <c r="F1099" i="1"/>
  <c r="F989" i="1"/>
  <c r="B978" i="1"/>
  <c r="B905" i="1"/>
  <c r="B893" i="1"/>
  <c r="B869" i="1"/>
  <c r="B863" i="1"/>
  <c r="B857" i="1"/>
  <c r="B851" i="1"/>
  <c r="B845" i="1"/>
  <c r="B839" i="1"/>
  <c r="B833" i="1"/>
  <c r="B827" i="1"/>
  <c r="F789" i="1"/>
  <c r="B755" i="1"/>
  <c r="B722" i="1"/>
  <c r="F695" i="1"/>
  <c r="F680" i="1"/>
  <c r="B666" i="1"/>
  <c r="F597" i="1"/>
  <c r="F556" i="1"/>
  <c r="F541" i="1"/>
  <c r="F526" i="1"/>
  <c r="B515" i="1"/>
  <c r="B504" i="1"/>
  <c r="B490" i="1"/>
  <c r="B465" i="1"/>
  <c r="B454" i="1"/>
  <c r="B440" i="1"/>
  <c r="B429" i="1"/>
  <c r="B418" i="1"/>
  <c r="B407" i="1"/>
  <c r="B405" i="1"/>
  <c r="B403" i="1"/>
  <c r="B401" i="1"/>
  <c r="B390" i="1"/>
  <c r="F367" i="1"/>
  <c r="F356" i="1"/>
  <c r="F321" i="1"/>
  <c r="F308" i="1"/>
  <c r="F297" i="1"/>
  <c r="F284" i="1"/>
  <c r="F273" i="1"/>
  <c r="F262" i="1"/>
  <c r="F216" i="1"/>
  <c r="F205" i="1"/>
  <c r="F194" i="1"/>
  <c r="F183" i="1"/>
  <c r="F172" i="1"/>
  <c r="F161" i="1"/>
  <c r="F150" i="1"/>
  <c r="B104" i="1"/>
  <c r="B102" i="1"/>
  <c r="B100" i="1"/>
  <c r="B89" i="1"/>
  <c r="B78" i="1"/>
  <c r="B67" i="1"/>
  <c r="B56" i="1"/>
  <c r="B45" i="1"/>
  <c r="B34" i="1"/>
  <c r="B23" i="1"/>
  <c r="B1841" i="1"/>
  <c r="B1715" i="1"/>
  <c r="B1640" i="1"/>
  <c r="F1526" i="1"/>
  <c r="F1164" i="1"/>
  <c r="F1148" i="1"/>
  <c r="F1118" i="1"/>
  <c r="B1102" i="1"/>
  <c r="B1092" i="1"/>
  <c r="B941" i="1"/>
  <c r="F907" i="1"/>
  <c r="F800" i="1"/>
  <c r="B683" i="1"/>
  <c r="B609" i="1"/>
  <c r="B492" i="1"/>
  <c r="B442" i="1"/>
  <c r="B150" i="1"/>
  <c r="F138" i="1"/>
  <c r="F116" i="1"/>
  <c r="F103" i="1"/>
  <c r="F1438" i="1"/>
  <c r="B853" i="1"/>
  <c r="B847" i="1"/>
  <c r="F811" i="1"/>
  <c r="B709" i="1"/>
  <c r="F682" i="1"/>
  <c r="B668" i="1"/>
  <c r="F558" i="1"/>
  <c r="B503" i="1"/>
  <c r="B321" i="1"/>
  <c r="B308" i="1"/>
  <c r="B284" i="1"/>
  <c r="B262" i="1"/>
  <c r="B205" i="1"/>
  <c r="B172" i="1"/>
  <c r="F812" i="1" l="1"/>
  <c r="F117" i="1"/>
  <c r="F139" i="1"/>
  <c r="F801" i="1"/>
  <c r="F1165" i="1"/>
  <c r="F162" i="1"/>
  <c r="F173" i="1"/>
  <c r="F184" i="1"/>
  <c r="F195" i="1"/>
  <c r="F206" i="1"/>
  <c r="F218" i="1"/>
  <c r="F274" i="1"/>
  <c r="F286" i="1"/>
  <c r="F310" i="1"/>
  <c r="F369" i="1"/>
  <c r="F530" i="1"/>
  <c r="F599" i="1"/>
  <c r="F684" i="1"/>
  <c r="F790" i="1"/>
  <c r="F993" i="1"/>
  <c r="F1503" i="1"/>
  <c r="F1060" i="1"/>
  <c r="F516" i="1"/>
  <c r="F656" i="1"/>
  <c r="F779" i="1"/>
  <c r="C29" i="2" s="1"/>
  <c r="F1104" i="1"/>
  <c r="F151" i="1"/>
  <c r="F953" i="1"/>
  <c r="F128" i="1"/>
  <c r="F24" i="1"/>
  <c r="F35" i="1"/>
  <c r="F57" i="1"/>
  <c r="F68" i="1"/>
  <c r="F79" i="1"/>
  <c r="F90" i="1"/>
  <c r="F106" i="1"/>
  <c r="F380" i="1"/>
  <c r="C16" i="2" s="1"/>
  <c r="F391" i="1"/>
  <c r="F408" i="1"/>
  <c r="F419" i="1"/>
  <c r="F430" i="1"/>
  <c r="F469" i="1"/>
  <c r="F768" i="1"/>
  <c r="F979" i="1"/>
  <c r="F1015" i="1"/>
  <c r="F46" i="1"/>
  <c r="F229" i="1"/>
  <c r="F240" i="1"/>
  <c r="F251" i="1"/>
  <c r="F263" i="1"/>
  <c r="F298" i="1"/>
  <c r="F323" i="1"/>
  <c r="F334" i="1"/>
  <c r="F345" i="1"/>
  <c r="F357" i="1"/>
  <c r="F587" i="1"/>
  <c r="F712" i="1"/>
  <c r="F872" i="1"/>
  <c r="F1004" i="1"/>
  <c r="F1048" i="1"/>
  <c r="F1082" i="1"/>
  <c r="F1154" i="1"/>
  <c r="F1577" i="1"/>
  <c r="F1673" i="1"/>
  <c r="F543" i="1"/>
  <c r="F562" i="1"/>
  <c r="F574" i="1"/>
  <c r="F610" i="1"/>
  <c r="F621" i="1"/>
  <c r="F632" i="1"/>
  <c r="F644" i="1"/>
  <c r="F670" i="1"/>
  <c r="F698" i="1"/>
  <c r="F723" i="1"/>
  <c r="F734" i="1"/>
  <c r="F745" i="1"/>
  <c r="F757" i="1"/>
  <c r="F1037" i="1"/>
  <c r="F1071" i="1"/>
  <c r="F1125" i="1"/>
  <c r="F1136" i="1"/>
  <c r="F1782" i="1"/>
  <c r="F443" i="1"/>
  <c r="F455" i="1"/>
  <c r="F480" i="1"/>
  <c r="F493" i="1"/>
  <c r="F505" i="1"/>
  <c r="F965" i="1"/>
  <c r="F1026" i="1"/>
  <c r="F1659" i="1"/>
  <c r="F1889" i="1"/>
  <c r="F2334" i="1"/>
  <c r="F2748" i="1"/>
  <c r="C17" i="2" s="1"/>
  <c r="F1176" i="1"/>
  <c r="F1187" i="1"/>
  <c r="F1198" i="1"/>
  <c r="F1209" i="1"/>
  <c r="F1220" i="1"/>
  <c r="F1590" i="1"/>
  <c r="F1747" i="1"/>
  <c r="F1771" i="1"/>
  <c r="F2598" i="1"/>
  <c r="F883" i="1"/>
  <c r="F894" i="1"/>
  <c r="F909" i="1"/>
  <c r="F920" i="1"/>
  <c r="F931" i="1"/>
  <c r="F942" i="1"/>
  <c r="F1299" i="1"/>
  <c r="F1330" i="1"/>
  <c r="F1345" i="1"/>
  <c r="F1364" i="1"/>
  <c r="F1383" i="1"/>
  <c r="F1486" i="1"/>
  <c r="F1515" i="1"/>
  <c r="F2490" i="1"/>
  <c r="F2581" i="1"/>
  <c r="F1443" i="1"/>
  <c r="F1454" i="1"/>
  <c r="F1531" i="1"/>
  <c r="F1566" i="1"/>
  <c r="F1760" i="1"/>
  <c r="F1813" i="1"/>
  <c r="F1949" i="1"/>
  <c r="F2456" i="1"/>
  <c r="F1231" i="1"/>
  <c r="F1242" i="1"/>
  <c r="F1253" i="1"/>
  <c r="F1264" i="1"/>
  <c r="F1275" i="1"/>
  <c r="F1287" i="1"/>
  <c r="F1317" i="1"/>
  <c r="F1793" i="1"/>
  <c r="F1875" i="1"/>
  <c r="F2726" i="1"/>
  <c r="F2759" i="1"/>
  <c r="F2570" i="1"/>
  <c r="F2705" i="1"/>
  <c r="F2737" i="1"/>
  <c r="F1402" i="1"/>
  <c r="F1422" i="1"/>
  <c r="F1686" i="1"/>
  <c r="F1703" i="1"/>
  <c r="F1722" i="1"/>
  <c r="F1734" i="1"/>
  <c r="F1847" i="1"/>
  <c r="F2323" i="1"/>
  <c r="F2445" i="1"/>
  <c r="F2478" i="1"/>
  <c r="F2559" i="1"/>
  <c r="F2694" i="1"/>
  <c r="F1609" i="1"/>
  <c r="F1624" i="1"/>
  <c r="F1648" i="1"/>
  <c r="F1900" i="1"/>
  <c r="F1912" i="1"/>
  <c r="F2525" i="1"/>
  <c r="F2683" i="1"/>
  <c r="F1862" i="1"/>
  <c r="F2467" i="1"/>
  <c r="F2612" i="1"/>
  <c r="F2356" i="1"/>
  <c r="F2367" i="1"/>
  <c r="F2378" i="1"/>
  <c r="F2389" i="1"/>
  <c r="F2400" i="1"/>
  <c r="F2411" i="1"/>
  <c r="F2422" i="1"/>
  <c r="F2434" i="1"/>
  <c r="F2829" i="1"/>
  <c r="F2840" i="1"/>
  <c r="F2851" i="1"/>
  <c r="F2863" i="1"/>
  <c r="F2886" i="1"/>
  <c r="F2897" i="1"/>
  <c r="F2910" i="1"/>
  <c r="F2925" i="1"/>
  <c r="F2936" i="1"/>
  <c r="F2947" i="1"/>
  <c r="F2958" i="1"/>
  <c r="F2969" i="1"/>
  <c r="F2980" i="1"/>
  <c r="F2991" i="1"/>
  <c r="F3002" i="1"/>
  <c r="F3013" i="1"/>
  <c r="F3024" i="1"/>
  <c r="F3035" i="1"/>
  <c r="F3047" i="1"/>
  <c r="F3102" i="1"/>
  <c r="F3171" i="1"/>
  <c r="F3298" i="1"/>
  <c r="F1979" i="1"/>
  <c r="F2006" i="1"/>
  <c r="F2017" i="1"/>
  <c r="F2031" i="1"/>
  <c r="F2056" i="1"/>
  <c r="F2069" i="1"/>
  <c r="F2081" i="1"/>
  <c r="F2104" i="1"/>
  <c r="F2115" i="1"/>
  <c r="F2126" i="1"/>
  <c r="F2144" i="1"/>
  <c r="F2210" i="1"/>
  <c r="F2250" i="1"/>
  <c r="F2262" i="1"/>
  <c r="F2286" i="1"/>
  <c r="F2312" i="1"/>
  <c r="F2345" i="1"/>
  <c r="F2770" i="1"/>
  <c r="F2781" i="1"/>
  <c r="F2796" i="1"/>
  <c r="F2807" i="1"/>
  <c r="F2818" i="1"/>
  <c r="F3091" i="1"/>
  <c r="F3157" i="1"/>
  <c r="F3227" i="1"/>
  <c r="F3287" i="1"/>
  <c r="F3080" i="1"/>
  <c r="F3146" i="1"/>
  <c r="F3215" i="1"/>
  <c r="F3242" i="1"/>
  <c r="F3276" i="1"/>
  <c r="F2875" i="1"/>
  <c r="F3058" i="1"/>
  <c r="F3069" i="1"/>
  <c r="F3135" i="1"/>
  <c r="F3204" i="1"/>
  <c r="F3259" i="1"/>
  <c r="F1925" i="1"/>
  <c r="F1937" i="1"/>
  <c r="F1965" i="1"/>
  <c r="F1991" i="1"/>
  <c r="F2043" i="1"/>
  <c r="F2093" i="1"/>
  <c r="F2155" i="1"/>
  <c r="F2166" i="1"/>
  <c r="F2178" i="1"/>
  <c r="F2225" i="1"/>
  <c r="F2237" i="1"/>
  <c r="F2274" i="1"/>
  <c r="F2298" i="1"/>
  <c r="F3124" i="1"/>
  <c r="F3193" i="1"/>
  <c r="F3320" i="1"/>
  <c r="F2501" i="1"/>
  <c r="F2513" i="1"/>
  <c r="F2536" i="1"/>
  <c r="F2548" i="1"/>
  <c r="F2623" i="1"/>
  <c r="F2638" i="1"/>
  <c r="F2649" i="1"/>
  <c r="F2660" i="1"/>
  <c r="F2672" i="1"/>
  <c r="F3113" i="1"/>
  <c r="F3182" i="1"/>
  <c r="F3309" i="1"/>
  <c r="C26" i="2" l="1"/>
  <c r="C18" i="2"/>
  <c r="C23" i="2"/>
  <c r="C24" i="2"/>
  <c r="C28" i="2"/>
  <c r="C27" i="2"/>
  <c r="C22" i="2"/>
  <c r="B10" i="1"/>
  <c r="B9" i="1"/>
  <c r="C8" i="2" l="1"/>
  <c r="C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Johanna Martinez</author>
    <author>mcorreia</author>
  </authors>
  <commentList>
    <comment ref="E11" authorId="0" shapeId="0" xr:uid="{F9DA4EC8-1261-41F0-B582-4F2FEB70264E}">
      <text>
        <r>
          <rPr>
            <b/>
            <sz val="9"/>
            <rFont val="Tahoma"/>
            <family val="2"/>
          </rPr>
          <t>Introduzca el año del PACC</t>
        </r>
      </text>
    </comment>
    <comment ref="E12" authorId="0" shapeId="0" xr:uid="{4302217F-CB7A-4900-8BCB-E6F6822BDC12}">
      <text>
        <r>
          <rPr>
            <b/>
            <sz val="9"/>
            <rFont val="Tahoma"/>
            <family val="2"/>
          </rPr>
          <t>Introduzca la fecha de aprobación, en formato dd/mm/aaaa</t>
        </r>
      </text>
    </comment>
    <comment ref="A16" authorId="1" shapeId="0" xr:uid="{B5853BA2-E950-4DF2-8E52-CD46B0BF8A09}">
      <text>
        <r>
          <rPr>
            <sz val="11"/>
            <color theme="1"/>
            <rFont val="Calibri"/>
            <family val="2"/>
            <scheme val="minor"/>
          </rPr>
          <t>Introducir un texto con el nombre o referencia de la contratación</t>
        </r>
      </text>
    </comment>
    <comment ref="B16" authorId="1" shapeId="0" xr:uid="{A873C91C-17CD-4338-A5F3-DA6DDFEC5400}">
      <text>
        <r>
          <rPr>
            <sz val="11"/>
            <color theme="1"/>
            <rFont val="Calibri"/>
            <family val="2"/>
            <scheme val="minor"/>
          </rPr>
          <t>Introduzca un texto con la finalidad de la contratación</t>
        </r>
      </text>
    </comment>
    <comment ref="C16" authorId="1" shapeId="0" xr:uid="{376F2621-8173-4866-868B-BAF4A0641455}">
      <text>
        <r>
          <rPr>
            <sz val="11"/>
            <color theme="1"/>
            <rFont val="Calibri"/>
            <family val="2"/>
            <scheme val="minor"/>
          </rPr>
          <t>Seleccionar un valor del listado</t>
        </r>
      </text>
    </comment>
    <comment ref="D16" authorId="1" shapeId="0" xr:uid="{85033941-A377-4100-9FAF-4817F1EC4B53}">
      <text>
        <r>
          <rPr>
            <sz val="11"/>
            <color theme="1"/>
            <rFont val="Calibri"/>
            <family val="2"/>
            <scheme val="minor"/>
          </rPr>
          <t>Seleccione el tipo de procedimiento</t>
        </r>
      </text>
    </comment>
    <comment ref="E16" authorId="1" shapeId="0" xr:uid="{012C7575-7454-49B8-A260-C732A5B067F2}">
      <text>
        <r>
          <rPr>
            <sz val="11"/>
            <color theme="1"/>
            <rFont val="Calibri"/>
            <family val="2"/>
            <scheme val="minor"/>
          </rPr>
          <t>Seleccione un valor de la lista</t>
        </r>
      </text>
    </comment>
    <comment ref="F16" authorId="1" shapeId="0" xr:uid="{C4336924-C071-4D36-9261-EA88641605ED}">
      <text>
        <r>
          <rPr>
            <sz val="11"/>
            <color theme="1"/>
            <rFont val="Calibri"/>
            <family val="2"/>
            <scheme val="minor"/>
          </rPr>
          <t>Introduzca el código SNIP</t>
        </r>
      </text>
    </comment>
    <comment ref="C17" authorId="1" shapeId="0" xr:uid="{05E3CCAE-9C0E-44F4-9DE6-0CE960312FD8}">
      <text>
        <r>
          <rPr>
            <sz val="11"/>
            <color theme="1"/>
            <rFont val="Calibri"/>
            <family val="2"/>
            <scheme val="minor"/>
          </rPr>
          <t>Introduzca la fecha de inicio del proceso, en formato dd-mm-aaaa</t>
        </r>
      </text>
    </comment>
    <comment ref="F17" authorId="1" shapeId="0" xr:uid="{3ECBD9D8-992C-427F-979B-B4CC71879C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94C9AC9C-23F6-4F6F-B807-5F95BFD994A4}">
      <text/>
    </comment>
    <comment ref="C19" authorId="1" shapeId="0" xr:uid="{D2385DC9-7542-4548-B7D9-08710C4F49C3}">
      <text>
        <r>
          <rPr>
            <sz val="11"/>
            <color theme="1"/>
            <rFont val="Calibri"/>
            <family val="2"/>
            <scheme val="minor"/>
          </rPr>
          <t>Introduzca la fecha prevista de adjudicación, en formato dd-mm-aaaa</t>
        </r>
      </text>
    </comment>
    <comment ref="F19" authorId="1" shapeId="0" xr:uid="{D52427E3-FED7-42A6-910D-9FCEEFA3516E}">
      <text/>
    </comment>
    <comment ref="F20" authorId="1" shapeId="0" xr:uid="{EC2F66A7-00FA-4FA8-9A42-43A6A3B748B3}">
      <text/>
    </comment>
    <comment ref="A22" authorId="1" shapeId="0" xr:uid="{64833C34-DD2F-4CB5-843A-D8F6422707F3}">
      <text>
        <r>
          <rPr>
            <sz val="11"/>
            <color theme="1"/>
            <rFont val="Calibri"/>
            <family val="2"/>
            <scheme val="minor"/>
          </rPr>
          <t>Introduzca un codigo UNSPSC</t>
        </r>
      </text>
    </comment>
    <comment ref="B22" authorId="1" shapeId="0" xr:uid="{D24BEE88-F7E6-4BB9-A87B-E0AC22380A56}">
      <text>
        <r>
          <rPr>
            <sz val="11"/>
            <color theme="1"/>
            <rFont val="Calibri"/>
            <family val="2"/>
            <scheme val="minor"/>
          </rPr>
          <t>Descripción calculada automáticamente a partir de código del artículo</t>
        </r>
      </text>
    </comment>
    <comment ref="C22" authorId="1" shapeId="0" xr:uid="{34644548-AB05-4454-AE9E-6FE374027ABD}">
      <text>
        <r>
          <rPr>
            <sz val="11"/>
            <color theme="1"/>
            <rFont val="Calibri"/>
            <family val="2"/>
            <scheme val="minor"/>
          </rPr>
          <t>Seleccione un valor de la lista</t>
        </r>
      </text>
    </comment>
    <comment ref="D22" authorId="1" shapeId="0" xr:uid="{E7B7104C-CBA2-4C6A-9614-7DD46F0F8E2E}">
      <text>
        <r>
          <rPr>
            <sz val="11"/>
            <color theme="1"/>
            <rFont val="Calibri"/>
            <family val="2"/>
            <scheme val="minor"/>
          </rPr>
          <t>Introduzca un número con dos decimales como máximo. Debe ser igual o mayor a la "Cantidad Real Consumida"</t>
        </r>
      </text>
    </comment>
    <comment ref="E22" authorId="1" shapeId="0" xr:uid="{27B67688-EDED-4D98-89C9-92149C234824}">
      <text>
        <r>
          <rPr>
            <sz val="11"/>
            <color theme="1"/>
            <rFont val="Calibri"/>
            <family val="2"/>
            <scheme val="minor"/>
          </rPr>
          <t>Introduzca un número con dos decimales como máximo</t>
        </r>
      </text>
    </comment>
    <comment ref="F22" authorId="1" shapeId="0" xr:uid="{5DCDB1EC-69CC-4243-B57E-BF7364C616E6}">
      <text>
        <r>
          <rPr>
            <sz val="11"/>
            <color theme="1"/>
            <rFont val="Calibri"/>
            <family val="2"/>
            <scheme val="minor"/>
          </rPr>
          <t>Monto calculado automáticamente por el sistema</t>
        </r>
      </text>
    </comment>
    <comment ref="A27" authorId="1" shapeId="0" xr:uid="{9E629FD0-8900-4DCC-8DB7-415FEFA98DDE}">
      <text>
        <r>
          <rPr>
            <sz val="11"/>
            <color theme="1"/>
            <rFont val="Calibri"/>
            <family val="2"/>
            <scheme val="minor"/>
          </rPr>
          <t>Introducir un texto con el nombre o referencia de la contratación</t>
        </r>
      </text>
    </comment>
    <comment ref="B27" authorId="1" shapeId="0" xr:uid="{542AC466-E32C-460F-BAD9-0F41652FED61}">
      <text>
        <r>
          <rPr>
            <sz val="11"/>
            <color theme="1"/>
            <rFont val="Calibri"/>
            <family val="2"/>
            <scheme val="minor"/>
          </rPr>
          <t>Introduzca un texto con la finalidad de la contratación</t>
        </r>
      </text>
    </comment>
    <comment ref="C27" authorId="1" shapeId="0" xr:uid="{35C03C3B-EFF3-47B8-9F45-29EE42B3C040}">
      <text>
        <r>
          <rPr>
            <sz val="11"/>
            <color theme="1"/>
            <rFont val="Calibri"/>
            <family val="2"/>
            <scheme val="minor"/>
          </rPr>
          <t>Seleccionar un valor del listado</t>
        </r>
      </text>
    </comment>
    <comment ref="D27" authorId="1" shapeId="0" xr:uid="{70D82F66-60E5-4584-9D99-8A331CBAFFDF}">
      <text>
        <r>
          <rPr>
            <sz val="11"/>
            <color theme="1"/>
            <rFont val="Calibri"/>
            <family val="2"/>
            <scheme val="minor"/>
          </rPr>
          <t>Seleccione el tipo de procedimiento</t>
        </r>
      </text>
    </comment>
    <comment ref="E27" authorId="1" shapeId="0" xr:uid="{E38FFB2D-CCB9-4480-9FF3-1CDD527F1176}">
      <text>
        <r>
          <rPr>
            <sz val="11"/>
            <color theme="1"/>
            <rFont val="Calibri"/>
            <family val="2"/>
            <scheme val="minor"/>
          </rPr>
          <t>Seleccione un valor de la lista</t>
        </r>
      </text>
    </comment>
    <comment ref="F27" authorId="1" shapeId="0" xr:uid="{16BA63B4-DE5F-42DE-9F03-73855F3A7C39}">
      <text>
        <r>
          <rPr>
            <sz val="11"/>
            <color theme="1"/>
            <rFont val="Calibri"/>
            <family val="2"/>
            <scheme val="minor"/>
          </rPr>
          <t>Introduzca el código SNIP</t>
        </r>
      </text>
    </comment>
    <comment ref="C28" authorId="1" shapeId="0" xr:uid="{9584EA5A-2440-4092-840F-75FEC240C960}">
      <text>
        <r>
          <rPr>
            <sz val="11"/>
            <color theme="1"/>
            <rFont val="Calibri"/>
            <family val="2"/>
            <scheme val="minor"/>
          </rPr>
          <t>Introduzca la fecha de inicio del proceso, en formato dd-mm-aaaa</t>
        </r>
      </text>
    </comment>
    <comment ref="F28" authorId="1" shapeId="0" xr:uid="{674D48E0-4679-4741-A6C0-D59B1A2173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39DEE59B-A3B5-404A-A33E-F7AB3AEF46C4}">
      <text/>
    </comment>
    <comment ref="C30" authorId="1" shapeId="0" xr:uid="{4E2E84C0-CE7C-441A-83AA-B8E15F4639B4}">
      <text>
        <r>
          <rPr>
            <sz val="11"/>
            <color theme="1"/>
            <rFont val="Calibri"/>
            <family val="2"/>
            <scheme val="minor"/>
          </rPr>
          <t>Introduzca la fecha prevista de adjudicación, en formato dd-mm-aaaa</t>
        </r>
      </text>
    </comment>
    <comment ref="F30" authorId="1" shapeId="0" xr:uid="{675D2385-6624-4A0B-B160-EF23EB067EA5}">
      <text/>
    </comment>
    <comment ref="F31" authorId="1" shapeId="0" xr:uid="{6AC7EDF9-073F-4578-82C1-81D2DEE03B1E}">
      <text/>
    </comment>
    <comment ref="A33" authorId="1" shapeId="0" xr:uid="{940989EF-F6CB-4773-9F8D-C56F9CBCD698}">
      <text>
        <r>
          <rPr>
            <sz val="11"/>
            <color theme="1"/>
            <rFont val="Calibri"/>
            <family val="2"/>
            <scheme val="minor"/>
          </rPr>
          <t>Introduzca un codigo UNSPSC</t>
        </r>
      </text>
    </comment>
    <comment ref="B33" authorId="1" shapeId="0" xr:uid="{543B7AA9-93A1-45CC-BADA-96C10A855310}">
      <text>
        <r>
          <rPr>
            <sz val="11"/>
            <color theme="1"/>
            <rFont val="Calibri"/>
            <family val="2"/>
            <scheme val="minor"/>
          </rPr>
          <t>Descripción calculada automáticamente a partir de código del artículo</t>
        </r>
      </text>
    </comment>
    <comment ref="C33" authorId="1" shapeId="0" xr:uid="{3ECC2F2C-3B37-469C-A225-8322A788B97F}">
      <text>
        <r>
          <rPr>
            <sz val="11"/>
            <color theme="1"/>
            <rFont val="Calibri"/>
            <family val="2"/>
            <scheme val="minor"/>
          </rPr>
          <t>Seleccione un valor de la lista</t>
        </r>
      </text>
    </comment>
    <comment ref="D33" authorId="1" shapeId="0" xr:uid="{8097AA53-5605-4D45-8CEA-DFBE9B5C3558}">
      <text>
        <r>
          <rPr>
            <sz val="11"/>
            <color theme="1"/>
            <rFont val="Calibri"/>
            <family val="2"/>
            <scheme val="minor"/>
          </rPr>
          <t>Introduzca un número con dos decimales como máximo. Debe ser igual o mayor a la "Cantidad Real Consumida"</t>
        </r>
      </text>
    </comment>
    <comment ref="E33" authorId="1" shapeId="0" xr:uid="{FCD80062-0787-4604-9DB5-F59C545F5E48}">
      <text>
        <r>
          <rPr>
            <sz val="11"/>
            <color theme="1"/>
            <rFont val="Calibri"/>
            <family val="2"/>
            <scheme val="minor"/>
          </rPr>
          <t>Introduzca un número con dos decimales como máximo</t>
        </r>
      </text>
    </comment>
    <comment ref="F33" authorId="1" shapeId="0" xr:uid="{ED4016AF-B053-46A9-A25C-764B3D181CBD}">
      <text>
        <r>
          <rPr>
            <sz val="11"/>
            <color theme="1"/>
            <rFont val="Calibri"/>
            <family val="2"/>
            <scheme val="minor"/>
          </rPr>
          <t>Monto calculado automáticamente por el sistema</t>
        </r>
      </text>
    </comment>
    <comment ref="A38" authorId="1" shapeId="0" xr:uid="{E90C9EC8-D396-4397-8F09-7E5EF308FD86}">
      <text>
        <r>
          <rPr>
            <sz val="11"/>
            <color theme="1"/>
            <rFont val="Calibri"/>
            <family val="2"/>
            <scheme val="minor"/>
          </rPr>
          <t>Introducir un texto con el nombre o referencia de la contratación</t>
        </r>
      </text>
    </comment>
    <comment ref="B38" authorId="1" shapeId="0" xr:uid="{FCF1D000-7DB4-4817-8DD1-27FA7C50D3F8}">
      <text>
        <r>
          <rPr>
            <sz val="11"/>
            <color theme="1"/>
            <rFont val="Calibri"/>
            <family val="2"/>
            <scheme val="minor"/>
          </rPr>
          <t>Introduzca un texto con la finalidad de la contratación</t>
        </r>
      </text>
    </comment>
    <comment ref="C38" authorId="1" shapeId="0" xr:uid="{1C1508B5-7590-45F2-A51A-D98F14ECAE21}">
      <text>
        <r>
          <rPr>
            <sz val="11"/>
            <color theme="1"/>
            <rFont val="Calibri"/>
            <family val="2"/>
            <scheme val="minor"/>
          </rPr>
          <t>Seleccionar un valor del listado</t>
        </r>
      </text>
    </comment>
    <comment ref="D38" authorId="1" shapeId="0" xr:uid="{DF925C10-39E6-45B5-9306-FD9F551AA070}">
      <text>
        <r>
          <rPr>
            <sz val="11"/>
            <color theme="1"/>
            <rFont val="Calibri"/>
            <family val="2"/>
            <scheme val="minor"/>
          </rPr>
          <t>Seleccione el tipo de procedimiento</t>
        </r>
      </text>
    </comment>
    <comment ref="E38" authorId="1" shapeId="0" xr:uid="{B37DFB97-92DC-41CB-828A-52AB541AFCC5}">
      <text>
        <r>
          <rPr>
            <sz val="11"/>
            <color theme="1"/>
            <rFont val="Calibri"/>
            <family val="2"/>
            <scheme val="minor"/>
          </rPr>
          <t>Seleccione un valor de la lista</t>
        </r>
      </text>
    </comment>
    <comment ref="F38" authorId="1" shapeId="0" xr:uid="{DF1B16C0-7D7B-495E-A917-B7EA931810B0}">
      <text>
        <r>
          <rPr>
            <sz val="11"/>
            <color theme="1"/>
            <rFont val="Calibri"/>
            <family val="2"/>
            <scheme val="minor"/>
          </rPr>
          <t>Introduzca el código SNIP</t>
        </r>
      </text>
    </comment>
    <comment ref="C39" authorId="1" shapeId="0" xr:uid="{2FF2ED80-C99A-421D-8D67-75F55700784B}">
      <text>
        <r>
          <rPr>
            <sz val="11"/>
            <color theme="1"/>
            <rFont val="Calibri"/>
            <family val="2"/>
            <scheme val="minor"/>
          </rPr>
          <t>Introduzca la fecha de inicio del proceso, en formato dd-mm-aaaa</t>
        </r>
      </text>
    </comment>
    <comment ref="F39" authorId="1" shapeId="0" xr:uid="{4664EC51-1803-409E-8D5B-9F38C54EAEC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C573FF0D-B4C9-4FB0-A15D-156E17DAF086}">
      <text/>
    </comment>
    <comment ref="C41" authorId="1" shapeId="0" xr:uid="{6515BB70-A1D9-49AC-ABC4-5F43699E9388}">
      <text>
        <r>
          <rPr>
            <sz val="11"/>
            <color theme="1"/>
            <rFont val="Calibri"/>
            <family val="2"/>
            <scheme val="minor"/>
          </rPr>
          <t>Introduzca la fecha prevista de adjudicación, en formato dd-mm-aaaa</t>
        </r>
      </text>
    </comment>
    <comment ref="F41" authorId="1" shapeId="0" xr:uid="{2B65C3FB-D8F4-44F1-BD7B-2141FCE18BE6}">
      <text/>
    </comment>
    <comment ref="F42" authorId="1" shapeId="0" xr:uid="{E8D12F4F-8A17-4834-B854-198ADCB77AF2}">
      <text/>
    </comment>
    <comment ref="A44" authorId="1" shapeId="0" xr:uid="{AEE07735-FF94-4708-9DBB-6728906A3A89}">
      <text>
        <r>
          <rPr>
            <sz val="11"/>
            <color theme="1"/>
            <rFont val="Calibri"/>
            <family val="2"/>
            <scheme val="minor"/>
          </rPr>
          <t>Introduzca un codigo UNSPSC</t>
        </r>
      </text>
    </comment>
    <comment ref="B44" authorId="1" shapeId="0" xr:uid="{14272A95-35EA-4691-9B71-68B07169D1E0}">
      <text>
        <r>
          <rPr>
            <sz val="11"/>
            <color theme="1"/>
            <rFont val="Calibri"/>
            <family val="2"/>
            <scheme val="minor"/>
          </rPr>
          <t>Descripción calculada automáticamente a partir de código del artículo</t>
        </r>
      </text>
    </comment>
    <comment ref="C44" authorId="1" shapeId="0" xr:uid="{34B8F0A9-24D0-41B7-81A1-C658706FEABC}">
      <text>
        <r>
          <rPr>
            <sz val="11"/>
            <color theme="1"/>
            <rFont val="Calibri"/>
            <family val="2"/>
            <scheme val="minor"/>
          </rPr>
          <t>Seleccione un valor de la lista</t>
        </r>
      </text>
    </comment>
    <comment ref="D44" authorId="1" shapeId="0" xr:uid="{E9D4B003-27E8-4569-90DD-DA1BF390EF2E}">
      <text>
        <r>
          <rPr>
            <sz val="11"/>
            <color theme="1"/>
            <rFont val="Calibri"/>
            <family val="2"/>
            <scheme val="minor"/>
          </rPr>
          <t>Introduzca un número con dos decimales como máximo. Debe ser igual o mayor a la "Cantidad Real Consumida"</t>
        </r>
      </text>
    </comment>
    <comment ref="E44" authorId="1" shapeId="0" xr:uid="{3BD7EC2B-59E6-4011-B76A-EE88FF2E376C}">
      <text>
        <r>
          <rPr>
            <sz val="11"/>
            <color theme="1"/>
            <rFont val="Calibri"/>
            <family val="2"/>
            <scheme val="minor"/>
          </rPr>
          <t>Introduzca un número con dos decimales como máximo</t>
        </r>
      </text>
    </comment>
    <comment ref="F44" authorId="1" shapeId="0" xr:uid="{976DFCF5-D244-4390-9E7E-C0C219EA9E82}">
      <text>
        <r>
          <rPr>
            <sz val="11"/>
            <color theme="1"/>
            <rFont val="Calibri"/>
            <family val="2"/>
            <scheme val="minor"/>
          </rPr>
          <t>Monto calculado automáticamente por el sistema</t>
        </r>
      </text>
    </comment>
    <comment ref="A49" authorId="1" shapeId="0" xr:uid="{9E6AD965-C72D-44DD-ACE6-E501AA155F7A}">
      <text>
        <r>
          <rPr>
            <sz val="11"/>
            <color theme="1"/>
            <rFont val="Calibri"/>
            <family val="2"/>
            <scheme val="minor"/>
          </rPr>
          <t>Introducir un texto con el nombre o referencia de la contratación</t>
        </r>
      </text>
    </comment>
    <comment ref="B49" authorId="1" shapeId="0" xr:uid="{7554CEBC-F605-4207-900D-791689A876B9}">
      <text>
        <r>
          <rPr>
            <sz val="11"/>
            <color theme="1"/>
            <rFont val="Calibri"/>
            <family val="2"/>
            <scheme val="minor"/>
          </rPr>
          <t>Introduzca un texto con la finalidad de la contratación</t>
        </r>
      </text>
    </comment>
    <comment ref="C49" authorId="1" shapeId="0" xr:uid="{15A27718-E06C-4487-8CC3-2F8040D8275D}">
      <text>
        <r>
          <rPr>
            <sz val="11"/>
            <color theme="1"/>
            <rFont val="Calibri"/>
            <family val="2"/>
            <scheme val="minor"/>
          </rPr>
          <t>Seleccionar un valor del listado</t>
        </r>
      </text>
    </comment>
    <comment ref="D49" authorId="1" shapeId="0" xr:uid="{12CBF01D-FEEE-48CB-814F-9AB57BA902EA}">
      <text>
        <r>
          <rPr>
            <sz val="11"/>
            <color theme="1"/>
            <rFont val="Calibri"/>
            <family val="2"/>
            <scheme val="minor"/>
          </rPr>
          <t>Seleccione el tipo de procedimiento</t>
        </r>
      </text>
    </comment>
    <comment ref="E49" authorId="1" shapeId="0" xr:uid="{55BDC84A-6571-4E48-BF09-76D38C2A0BA8}">
      <text>
        <r>
          <rPr>
            <sz val="11"/>
            <color theme="1"/>
            <rFont val="Calibri"/>
            <family val="2"/>
            <scheme val="minor"/>
          </rPr>
          <t>Seleccione un valor de la lista</t>
        </r>
      </text>
    </comment>
    <comment ref="F49" authorId="1" shapeId="0" xr:uid="{A40BC054-20BA-4FC8-8175-71026B661FE1}">
      <text>
        <r>
          <rPr>
            <sz val="11"/>
            <color theme="1"/>
            <rFont val="Calibri"/>
            <family val="2"/>
            <scheme val="minor"/>
          </rPr>
          <t>Introduzca el código SNIP</t>
        </r>
      </text>
    </comment>
    <comment ref="C50" authorId="1" shapeId="0" xr:uid="{11336E3B-E917-4D6F-8EAF-82167FF0E523}">
      <text>
        <r>
          <rPr>
            <sz val="11"/>
            <color theme="1"/>
            <rFont val="Calibri"/>
            <family val="2"/>
            <scheme val="minor"/>
          </rPr>
          <t>Introduzca la fecha de inicio del proceso, en formato dd-mm-aaaa</t>
        </r>
      </text>
    </comment>
    <comment ref="F50" authorId="1" shapeId="0" xr:uid="{9BF5A54D-5C7B-450F-A35E-B91740C2F1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6EF9B3E3-B49A-448E-90D8-3F78BD8186B9}">
      <text/>
    </comment>
    <comment ref="C52" authorId="1" shapeId="0" xr:uid="{78AC33D8-3319-4E45-A68C-CE14D3329BC3}">
      <text>
        <r>
          <rPr>
            <sz val="11"/>
            <color theme="1"/>
            <rFont val="Calibri"/>
            <family val="2"/>
            <scheme val="minor"/>
          </rPr>
          <t>Introduzca la fecha prevista de adjudicación, en formato dd-mm-aaaa</t>
        </r>
      </text>
    </comment>
    <comment ref="F52" authorId="1" shapeId="0" xr:uid="{BD3C9154-6D72-4DDB-A149-3ADB6944EE7B}">
      <text/>
    </comment>
    <comment ref="F53" authorId="1" shapeId="0" xr:uid="{0DB8A714-FD29-46E5-98A7-CF09DAA80D8F}">
      <text/>
    </comment>
    <comment ref="A55" authorId="1" shapeId="0" xr:uid="{8C04DA80-24C3-4AA3-B86E-AF2A9968C258}">
      <text>
        <r>
          <rPr>
            <sz val="11"/>
            <color theme="1"/>
            <rFont val="Calibri"/>
            <family val="2"/>
            <scheme val="minor"/>
          </rPr>
          <t>Introduzca un codigo UNSPSC</t>
        </r>
      </text>
    </comment>
    <comment ref="B55" authorId="1" shapeId="0" xr:uid="{606FECC4-1B74-4A78-BF6A-65602C7E1D8D}">
      <text>
        <r>
          <rPr>
            <sz val="11"/>
            <color theme="1"/>
            <rFont val="Calibri"/>
            <family val="2"/>
            <scheme val="minor"/>
          </rPr>
          <t>Descripción calculada automáticamente a partir de código del artículo</t>
        </r>
      </text>
    </comment>
    <comment ref="C55" authorId="1" shapeId="0" xr:uid="{93A78EC6-3A25-4106-B413-57AE9AEC5054}">
      <text>
        <r>
          <rPr>
            <sz val="11"/>
            <color theme="1"/>
            <rFont val="Calibri"/>
            <family val="2"/>
            <scheme val="minor"/>
          </rPr>
          <t>Seleccione un valor de la lista</t>
        </r>
      </text>
    </comment>
    <comment ref="D55" authorId="1" shapeId="0" xr:uid="{6A9191D9-76E4-43FC-8F21-425BC7074F46}">
      <text>
        <r>
          <rPr>
            <sz val="11"/>
            <color theme="1"/>
            <rFont val="Calibri"/>
            <family val="2"/>
            <scheme val="minor"/>
          </rPr>
          <t>Introduzca un número con dos decimales como máximo. Debe ser igual o mayor a la "Cantidad Real Consumida"</t>
        </r>
      </text>
    </comment>
    <comment ref="E55" authorId="1" shapeId="0" xr:uid="{33F50A4D-8CD0-4A7D-A15A-FB12A03E8EE3}">
      <text>
        <r>
          <rPr>
            <sz val="11"/>
            <color theme="1"/>
            <rFont val="Calibri"/>
            <family val="2"/>
            <scheme val="minor"/>
          </rPr>
          <t>Introduzca un número con dos decimales como máximo</t>
        </r>
      </text>
    </comment>
    <comment ref="F55" authorId="1" shapeId="0" xr:uid="{0955FB13-0792-4E40-9C6C-6689B8D1AEE0}">
      <text>
        <r>
          <rPr>
            <sz val="11"/>
            <color theme="1"/>
            <rFont val="Calibri"/>
            <family val="2"/>
            <scheme val="minor"/>
          </rPr>
          <t>Monto calculado automáticamente por el sistema</t>
        </r>
      </text>
    </comment>
    <comment ref="A60" authorId="1" shapeId="0" xr:uid="{6F53B9D1-9506-429B-ADD5-4FBDDBD3DD4C}">
      <text>
        <r>
          <rPr>
            <sz val="11"/>
            <color theme="1"/>
            <rFont val="Calibri"/>
            <family val="2"/>
            <scheme val="minor"/>
          </rPr>
          <t>Introducir un texto con el nombre o referencia de la contratación</t>
        </r>
      </text>
    </comment>
    <comment ref="B60" authorId="1" shapeId="0" xr:uid="{18C1CFE9-45C0-46B8-9A1A-EA5C6236560D}">
      <text>
        <r>
          <rPr>
            <sz val="11"/>
            <color theme="1"/>
            <rFont val="Calibri"/>
            <family val="2"/>
            <scheme val="minor"/>
          </rPr>
          <t>Introduzca un texto con la finalidad de la contratación</t>
        </r>
      </text>
    </comment>
    <comment ref="C60" authorId="1" shapeId="0" xr:uid="{DA6D6816-09F6-4257-95D2-E1B67A59B7F2}">
      <text>
        <r>
          <rPr>
            <sz val="11"/>
            <color theme="1"/>
            <rFont val="Calibri"/>
            <family val="2"/>
            <scheme val="minor"/>
          </rPr>
          <t>Seleccionar un valor del listado</t>
        </r>
      </text>
    </comment>
    <comment ref="D60" authorId="1" shapeId="0" xr:uid="{BA821867-F309-45F4-BD9B-AD1CE293B230}">
      <text>
        <r>
          <rPr>
            <sz val="11"/>
            <color theme="1"/>
            <rFont val="Calibri"/>
            <family val="2"/>
            <scheme val="minor"/>
          </rPr>
          <t>Seleccione el tipo de procedimiento</t>
        </r>
      </text>
    </comment>
    <comment ref="E60" authorId="1" shapeId="0" xr:uid="{DE7B0C57-AC0C-4CD3-A1F5-7E94C19AF060}">
      <text>
        <r>
          <rPr>
            <sz val="11"/>
            <color theme="1"/>
            <rFont val="Calibri"/>
            <family val="2"/>
            <scheme val="minor"/>
          </rPr>
          <t>Seleccione un valor de la lista</t>
        </r>
      </text>
    </comment>
    <comment ref="F60" authorId="1" shapeId="0" xr:uid="{2503BA4E-4D3F-47F1-A6B8-CD744FCBDD24}">
      <text>
        <r>
          <rPr>
            <sz val="11"/>
            <color theme="1"/>
            <rFont val="Calibri"/>
            <family val="2"/>
            <scheme val="minor"/>
          </rPr>
          <t>Introduzca el código SNIP</t>
        </r>
      </text>
    </comment>
    <comment ref="C61" authorId="1" shapeId="0" xr:uid="{CF915EFD-6E85-4913-A394-977A070885DA}">
      <text>
        <r>
          <rPr>
            <sz val="11"/>
            <color theme="1"/>
            <rFont val="Calibri"/>
            <family val="2"/>
            <scheme val="minor"/>
          </rPr>
          <t>Introduzca la fecha de inicio del proceso, en formato dd-mm-aaaa</t>
        </r>
      </text>
    </comment>
    <comment ref="F61" authorId="1" shapeId="0" xr:uid="{DEA094FA-565D-4B2A-A08D-F5414786D0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322F37E-A1DE-41CF-9D65-6F8F47184B56}">
      <text/>
    </comment>
    <comment ref="C63" authorId="1" shapeId="0" xr:uid="{2C536D85-657F-487A-AA9B-03916E5D2B04}">
      <text>
        <r>
          <rPr>
            <sz val="11"/>
            <color theme="1"/>
            <rFont val="Calibri"/>
            <family val="2"/>
            <scheme val="minor"/>
          </rPr>
          <t>Introduzca la fecha prevista de adjudicación, en formato dd-mm-aaaa</t>
        </r>
      </text>
    </comment>
    <comment ref="F63" authorId="1" shapeId="0" xr:uid="{8629A11F-D6D8-4F04-9314-724D2ED98052}">
      <text/>
    </comment>
    <comment ref="F64" authorId="1" shapeId="0" xr:uid="{6D9724E9-AF5D-43CC-B509-76F6B0163AF4}">
      <text/>
    </comment>
    <comment ref="A66" authorId="1" shapeId="0" xr:uid="{BF9E4B90-EDCB-47D0-82FA-8F2D4E361585}">
      <text>
        <r>
          <rPr>
            <sz val="11"/>
            <color theme="1"/>
            <rFont val="Calibri"/>
            <family val="2"/>
            <scheme val="minor"/>
          </rPr>
          <t>Introduzca un codigo UNSPSC</t>
        </r>
      </text>
    </comment>
    <comment ref="B66" authorId="1" shapeId="0" xr:uid="{DF6C699C-8538-4731-A7AE-F6A5CCCCA4B2}">
      <text>
        <r>
          <rPr>
            <sz val="11"/>
            <color theme="1"/>
            <rFont val="Calibri"/>
            <family val="2"/>
            <scheme val="minor"/>
          </rPr>
          <t>Descripción calculada automáticamente a partir de código del artículo</t>
        </r>
      </text>
    </comment>
    <comment ref="C66" authorId="1" shapeId="0" xr:uid="{089A3473-BF94-408D-9B9B-A6886667F960}">
      <text>
        <r>
          <rPr>
            <sz val="11"/>
            <color theme="1"/>
            <rFont val="Calibri"/>
            <family val="2"/>
            <scheme val="minor"/>
          </rPr>
          <t>Seleccione un valor de la lista</t>
        </r>
      </text>
    </comment>
    <comment ref="D66" authorId="1" shapeId="0" xr:uid="{CB425848-0F94-493F-AB3A-E41C9F31B80E}">
      <text>
        <r>
          <rPr>
            <sz val="11"/>
            <color theme="1"/>
            <rFont val="Calibri"/>
            <family val="2"/>
            <scheme val="minor"/>
          </rPr>
          <t>Introduzca un número con dos decimales como máximo. Debe ser igual o mayor a la "Cantidad Real Consumida"</t>
        </r>
      </text>
    </comment>
    <comment ref="E66" authorId="1" shapeId="0" xr:uid="{B1964FDB-50F1-41D5-A30F-2C4EC343D594}">
      <text>
        <r>
          <rPr>
            <sz val="11"/>
            <color theme="1"/>
            <rFont val="Calibri"/>
            <family val="2"/>
            <scheme val="minor"/>
          </rPr>
          <t>Introduzca un número con dos decimales como máximo</t>
        </r>
      </text>
    </comment>
    <comment ref="F66" authorId="1" shapeId="0" xr:uid="{EBDF5A55-0035-4EF5-A956-5B3ADE8E8444}">
      <text>
        <r>
          <rPr>
            <sz val="11"/>
            <color theme="1"/>
            <rFont val="Calibri"/>
            <family val="2"/>
            <scheme val="minor"/>
          </rPr>
          <t>Monto calculado automáticamente por el sistema</t>
        </r>
      </text>
    </comment>
    <comment ref="A71" authorId="1" shapeId="0" xr:uid="{3662E3F1-697B-4559-B4EE-A766B54EE004}">
      <text>
        <r>
          <rPr>
            <sz val="11"/>
            <color theme="1"/>
            <rFont val="Calibri"/>
            <family val="2"/>
            <scheme val="minor"/>
          </rPr>
          <t>Introducir un texto con el nombre o referencia de la contratación</t>
        </r>
      </text>
    </comment>
    <comment ref="B71" authorId="1" shapeId="0" xr:uid="{011C4C96-8AAB-460A-89F2-1638A2A46B3C}">
      <text>
        <r>
          <rPr>
            <sz val="11"/>
            <color theme="1"/>
            <rFont val="Calibri"/>
            <family val="2"/>
            <scheme val="minor"/>
          </rPr>
          <t>Introduzca un texto con la finalidad de la contratación</t>
        </r>
      </text>
    </comment>
    <comment ref="C71" authorId="1" shapeId="0" xr:uid="{3C637541-1397-47F0-BBD3-4974A7436C04}">
      <text>
        <r>
          <rPr>
            <sz val="11"/>
            <color theme="1"/>
            <rFont val="Calibri"/>
            <family val="2"/>
            <scheme val="minor"/>
          </rPr>
          <t>Seleccionar un valor del listado</t>
        </r>
      </text>
    </comment>
    <comment ref="D71" authorId="1" shapeId="0" xr:uid="{02F8DA60-2D62-41CE-852D-FACA4725CF4F}">
      <text>
        <r>
          <rPr>
            <sz val="11"/>
            <color theme="1"/>
            <rFont val="Calibri"/>
            <family val="2"/>
            <scheme val="minor"/>
          </rPr>
          <t>Seleccione el tipo de procedimiento</t>
        </r>
      </text>
    </comment>
    <comment ref="E71" authorId="1" shapeId="0" xr:uid="{027E4EFA-2F1A-40CB-AAF1-B440CB96380E}">
      <text>
        <r>
          <rPr>
            <sz val="11"/>
            <color theme="1"/>
            <rFont val="Calibri"/>
            <family val="2"/>
            <scheme val="minor"/>
          </rPr>
          <t>Seleccione un valor de la lista</t>
        </r>
      </text>
    </comment>
    <comment ref="F71" authorId="1" shapeId="0" xr:uid="{B75CA0BC-817B-4A05-BB9B-A05AE993C400}">
      <text>
        <r>
          <rPr>
            <sz val="11"/>
            <color theme="1"/>
            <rFont val="Calibri"/>
            <family val="2"/>
            <scheme val="minor"/>
          </rPr>
          <t>Introduzca el código SNIP</t>
        </r>
      </text>
    </comment>
    <comment ref="C72" authorId="1" shapeId="0" xr:uid="{65DA2A95-3EB6-49C9-B5DA-74E880F04513}">
      <text>
        <r>
          <rPr>
            <sz val="11"/>
            <color theme="1"/>
            <rFont val="Calibri"/>
            <family val="2"/>
            <scheme val="minor"/>
          </rPr>
          <t>Introduzca la fecha de inicio del proceso, en formato dd-mm-aaaa</t>
        </r>
      </text>
    </comment>
    <comment ref="F72" authorId="1" shapeId="0" xr:uid="{AEB2354A-0553-4244-B708-6591324FED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66C6A76D-C95E-49F5-89AE-CFAD774D025C}">
      <text/>
    </comment>
    <comment ref="C74" authorId="1" shapeId="0" xr:uid="{D528B2F8-8462-4E13-AE5C-9E5BFA8A72C9}">
      <text>
        <r>
          <rPr>
            <sz val="11"/>
            <color theme="1"/>
            <rFont val="Calibri"/>
            <family val="2"/>
            <scheme val="minor"/>
          </rPr>
          <t>Introduzca la fecha prevista de adjudicación, en formato dd-mm-aaaa</t>
        </r>
      </text>
    </comment>
    <comment ref="F74" authorId="1" shapeId="0" xr:uid="{C7E6F68A-139A-4385-8CA9-56C78454E0B9}">
      <text/>
    </comment>
    <comment ref="F75" authorId="1" shapeId="0" xr:uid="{61F0A74B-AEBE-41F0-9B12-88C2B70CC8DC}">
      <text/>
    </comment>
    <comment ref="A77" authorId="1" shapeId="0" xr:uid="{B5F28549-B256-4954-8C49-45F9FBB9428C}">
      <text>
        <r>
          <rPr>
            <sz val="11"/>
            <color theme="1"/>
            <rFont val="Calibri"/>
            <family val="2"/>
            <scheme val="minor"/>
          </rPr>
          <t>Introduzca un codigo UNSPSC</t>
        </r>
      </text>
    </comment>
    <comment ref="B77" authorId="1" shapeId="0" xr:uid="{7A239216-F547-4FAB-86F6-E1DB6AB38F1C}">
      <text>
        <r>
          <rPr>
            <sz val="11"/>
            <color theme="1"/>
            <rFont val="Calibri"/>
            <family val="2"/>
            <scheme val="minor"/>
          </rPr>
          <t>Descripción calculada automáticamente a partir de código del artículo</t>
        </r>
      </text>
    </comment>
    <comment ref="C77" authorId="1" shapeId="0" xr:uid="{CC701C05-6105-458C-A0EC-449E20C947BD}">
      <text>
        <r>
          <rPr>
            <sz val="11"/>
            <color theme="1"/>
            <rFont val="Calibri"/>
            <family val="2"/>
            <scheme val="minor"/>
          </rPr>
          <t>Seleccione un valor de la lista</t>
        </r>
      </text>
    </comment>
    <comment ref="D77" authorId="1" shapeId="0" xr:uid="{75D958A9-DCB4-4843-AA2B-A4AF4632B5C4}">
      <text>
        <r>
          <rPr>
            <sz val="11"/>
            <color theme="1"/>
            <rFont val="Calibri"/>
            <family val="2"/>
            <scheme val="minor"/>
          </rPr>
          <t>Introduzca un número con dos decimales como máximo. Debe ser igual o mayor a la "Cantidad Real Consumida"</t>
        </r>
      </text>
    </comment>
    <comment ref="E77" authorId="1" shapeId="0" xr:uid="{12913A8D-2BF3-4055-9A7B-088E8E1D8710}">
      <text>
        <r>
          <rPr>
            <sz val="11"/>
            <color theme="1"/>
            <rFont val="Calibri"/>
            <family val="2"/>
            <scheme val="minor"/>
          </rPr>
          <t>Introduzca un número con dos decimales como máximo</t>
        </r>
      </text>
    </comment>
    <comment ref="F77" authorId="1" shapeId="0" xr:uid="{903C9401-B4BB-4B3A-8F3D-B12F418170AF}">
      <text>
        <r>
          <rPr>
            <sz val="11"/>
            <color theme="1"/>
            <rFont val="Calibri"/>
            <family val="2"/>
            <scheme val="minor"/>
          </rPr>
          <t>Monto calculado automáticamente por el sistema</t>
        </r>
      </text>
    </comment>
    <comment ref="A82" authorId="1" shapeId="0" xr:uid="{83007B05-88C4-4FF2-BB65-1B2B94BC105F}">
      <text>
        <r>
          <rPr>
            <sz val="11"/>
            <color theme="1"/>
            <rFont val="Calibri"/>
            <family val="2"/>
            <scheme val="minor"/>
          </rPr>
          <t>Introducir un texto con el nombre o referencia de la contratación</t>
        </r>
      </text>
    </comment>
    <comment ref="B82" authorId="1" shapeId="0" xr:uid="{66B3D6D0-C643-4FEB-B189-06EA1EB4C060}">
      <text>
        <r>
          <rPr>
            <sz val="11"/>
            <color theme="1"/>
            <rFont val="Calibri"/>
            <family val="2"/>
            <scheme val="minor"/>
          </rPr>
          <t>Introduzca un texto con la finalidad de la contratación</t>
        </r>
      </text>
    </comment>
    <comment ref="C82" authorId="1" shapeId="0" xr:uid="{ED68F1E3-B83E-4D4D-A285-D6135899AEF4}">
      <text>
        <r>
          <rPr>
            <sz val="11"/>
            <color theme="1"/>
            <rFont val="Calibri"/>
            <family val="2"/>
            <scheme val="minor"/>
          </rPr>
          <t>Seleccionar un valor del listado</t>
        </r>
      </text>
    </comment>
    <comment ref="D82" authorId="1" shapeId="0" xr:uid="{9693253B-530A-47D0-A871-D908545A07AF}">
      <text>
        <r>
          <rPr>
            <sz val="11"/>
            <color theme="1"/>
            <rFont val="Calibri"/>
            <family val="2"/>
            <scheme val="minor"/>
          </rPr>
          <t>Seleccione el tipo de procedimiento</t>
        </r>
      </text>
    </comment>
    <comment ref="E82" authorId="1" shapeId="0" xr:uid="{1EF9BE48-99BB-4E2B-B7D1-C196625FEE83}">
      <text>
        <r>
          <rPr>
            <sz val="11"/>
            <color theme="1"/>
            <rFont val="Calibri"/>
            <family val="2"/>
            <scheme val="minor"/>
          </rPr>
          <t>Seleccione un valor de la lista</t>
        </r>
      </text>
    </comment>
    <comment ref="F82" authorId="1" shapeId="0" xr:uid="{8FCF973E-7D04-48A3-80C0-E9177CEE8A80}">
      <text>
        <r>
          <rPr>
            <sz val="11"/>
            <color theme="1"/>
            <rFont val="Calibri"/>
            <family val="2"/>
            <scheme val="minor"/>
          </rPr>
          <t>Introduzca el código SNIP</t>
        </r>
      </text>
    </comment>
    <comment ref="C83" authorId="1" shapeId="0" xr:uid="{03BB6F80-8D85-4AB9-BA77-8216C65E1276}">
      <text>
        <r>
          <rPr>
            <sz val="11"/>
            <color theme="1"/>
            <rFont val="Calibri"/>
            <family val="2"/>
            <scheme val="minor"/>
          </rPr>
          <t>Introduzca la fecha de inicio del proceso, en formato dd-mm-aaaa</t>
        </r>
      </text>
    </comment>
    <comment ref="F83" authorId="1" shapeId="0" xr:uid="{59949FE8-55A3-4B03-BDFD-76DDD8F2E3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98AE57-2E13-414C-A333-5226B241F351}">
      <text/>
    </comment>
    <comment ref="C85" authorId="1" shapeId="0" xr:uid="{9B99CF14-6572-49B2-B82D-87DEBE00065E}">
      <text>
        <r>
          <rPr>
            <sz val="11"/>
            <color theme="1"/>
            <rFont val="Calibri"/>
            <family val="2"/>
            <scheme val="minor"/>
          </rPr>
          <t>Introduzca la fecha prevista de adjudicación, en formato dd-mm-aaaa</t>
        </r>
      </text>
    </comment>
    <comment ref="F85" authorId="1" shapeId="0" xr:uid="{5DAA6C6F-FF29-4517-AFFD-B94B6832ABBB}">
      <text/>
    </comment>
    <comment ref="F86" authorId="1" shapeId="0" xr:uid="{DD792B59-A221-4F20-A3B7-9697304311F9}">
      <text/>
    </comment>
    <comment ref="A88" authorId="1" shapeId="0" xr:uid="{7E177EBC-892F-4594-86AA-8B5971A0A18D}">
      <text>
        <r>
          <rPr>
            <sz val="11"/>
            <color theme="1"/>
            <rFont val="Calibri"/>
            <family val="2"/>
            <scheme val="minor"/>
          </rPr>
          <t>Introduzca un codigo UNSPSC</t>
        </r>
      </text>
    </comment>
    <comment ref="B88" authorId="1" shapeId="0" xr:uid="{96EAE481-BD17-4E98-AD9E-919DCF68EAA3}">
      <text>
        <r>
          <rPr>
            <sz val="11"/>
            <color theme="1"/>
            <rFont val="Calibri"/>
            <family val="2"/>
            <scheme val="minor"/>
          </rPr>
          <t>Descripción calculada automáticamente a partir de código del artículo</t>
        </r>
      </text>
    </comment>
    <comment ref="C88" authorId="1" shapeId="0" xr:uid="{48317AFB-BA82-42D6-A1B6-21347BF2DE80}">
      <text>
        <r>
          <rPr>
            <sz val="11"/>
            <color theme="1"/>
            <rFont val="Calibri"/>
            <family val="2"/>
            <scheme val="minor"/>
          </rPr>
          <t>Seleccione un valor de la lista</t>
        </r>
      </text>
    </comment>
    <comment ref="D88" authorId="1" shapeId="0" xr:uid="{74589925-BE24-480F-ABE8-73FD51C9DCE0}">
      <text>
        <r>
          <rPr>
            <sz val="11"/>
            <color theme="1"/>
            <rFont val="Calibri"/>
            <family val="2"/>
            <scheme val="minor"/>
          </rPr>
          <t>Introduzca un número con dos decimales como máximo. Debe ser igual o mayor a la "Cantidad Real Consumida"</t>
        </r>
      </text>
    </comment>
    <comment ref="E88" authorId="1" shapeId="0" xr:uid="{00108795-2398-4D0D-AE0D-918D4360739B}">
      <text>
        <r>
          <rPr>
            <sz val="11"/>
            <color theme="1"/>
            <rFont val="Calibri"/>
            <family val="2"/>
            <scheme val="minor"/>
          </rPr>
          <t>Introduzca un número con dos decimales como máximo</t>
        </r>
      </text>
    </comment>
    <comment ref="F88" authorId="1" shapeId="0" xr:uid="{0BA805AE-AAE6-4573-9958-D583810AD103}">
      <text>
        <r>
          <rPr>
            <sz val="11"/>
            <color theme="1"/>
            <rFont val="Calibri"/>
            <family val="2"/>
            <scheme val="minor"/>
          </rPr>
          <t>Monto calculado automáticamente por el sistema</t>
        </r>
      </text>
    </comment>
    <comment ref="A93" authorId="1" shapeId="0" xr:uid="{A90E9983-BCA8-412D-A8C4-A33A86C0476A}">
      <text>
        <r>
          <rPr>
            <sz val="11"/>
            <color theme="1"/>
            <rFont val="Calibri"/>
            <family val="2"/>
            <scheme val="minor"/>
          </rPr>
          <t>Introducir un texto con el nombre o referencia de la contratación</t>
        </r>
      </text>
    </comment>
    <comment ref="B93" authorId="1" shapeId="0" xr:uid="{6C454F12-A58A-4A6C-8A24-84CB84DCEB5C}">
      <text>
        <r>
          <rPr>
            <sz val="11"/>
            <color theme="1"/>
            <rFont val="Calibri"/>
            <family val="2"/>
            <scheme val="minor"/>
          </rPr>
          <t>Introduzca un texto con la finalidad de la contratación</t>
        </r>
      </text>
    </comment>
    <comment ref="C93" authorId="1" shapeId="0" xr:uid="{DF22083C-DEB3-49CB-92FC-04A976B2EEB1}">
      <text>
        <r>
          <rPr>
            <sz val="11"/>
            <color theme="1"/>
            <rFont val="Calibri"/>
            <family val="2"/>
            <scheme val="minor"/>
          </rPr>
          <t>Seleccionar un valor del listado</t>
        </r>
      </text>
    </comment>
    <comment ref="D93" authorId="1" shapeId="0" xr:uid="{F571757F-8CD1-4831-BCA9-FF33127C9456}">
      <text>
        <r>
          <rPr>
            <sz val="11"/>
            <color theme="1"/>
            <rFont val="Calibri"/>
            <family val="2"/>
            <scheme val="minor"/>
          </rPr>
          <t>Seleccione el tipo de procedimiento</t>
        </r>
      </text>
    </comment>
    <comment ref="E93" authorId="1" shapeId="0" xr:uid="{A9628EFB-EA5A-4D9A-8694-92305570DC63}">
      <text>
        <r>
          <rPr>
            <sz val="11"/>
            <color theme="1"/>
            <rFont val="Calibri"/>
            <family val="2"/>
            <scheme val="minor"/>
          </rPr>
          <t>Seleccione un valor de la lista</t>
        </r>
      </text>
    </comment>
    <comment ref="F93" authorId="1" shapeId="0" xr:uid="{715751C5-68C3-4B89-9369-A7FB354EC2F5}">
      <text>
        <r>
          <rPr>
            <sz val="11"/>
            <color theme="1"/>
            <rFont val="Calibri"/>
            <family val="2"/>
            <scheme val="minor"/>
          </rPr>
          <t>Introduzca el código SNIP</t>
        </r>
      </text>
    </comment>
    <comment ref="C94" authorId="1" shapeId="0" xr:uid="{63AF0819-3F02-49CC-9F43-7A42BAD3B5EE}">
      <text>
        <r>
          <rPr>
            <sz val="11"/>
            <color theme="1"/>
            <rFont val="Calibri"/>
            <family val="2"/>
            <scheme val="minor"/>
          </rPr>
          <t>Introduzca la fecha de inicio del proceso, en formato dd-mm-aaaa</t>
        </r>
      </text>
    </comment>
    <comment ref="F94" authorId="1" shapeId="0" xr:uid="{C8E69DAC-5F24-401D-885F-C74636882D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637ABA9-A68C-4ECE-B7CD-9E1AFC5E33D6}">
      <text/>
    </comment>
    <comment ref="C96" authorId="1" shapeId="0" xr:uid="{A8FAEAB3-86CD-4CEB-8079-A2A4BB745808}">
      <text>
        <r>
          <rPr>
            <sz val="11"/>
            <color theme="1"/>
            <rFont val="Calibri"/>
            <family val="2"/>
            <scheme val="minor"/>
          </rPr>
          <t>Introduzca la fecha prevista de adjudicación, en formato dd-mm-aaaa</t>
        </r>
      </text>
    </comment>
    <comment ref="F96" authorId="1" shapeId="0" xr:uid="{A6D95D4C-450E-438E-9E1F-EB8A57FB172B}">
      <text/>
    </comment>
    <comment ref="F97" authorId="1" shapeId="0" xr:uid="{997F5CD7-285E-4183-ACBA-66F7D326C8B3}">
      <text/>
    </comment>
    <comment ref="A99" authorId="1" shapeId="0" xr:uid="{E0987E3E-B599-40EB-9C2A-EF71DBCC765B}">
      <text>
        <r>
          <rPr>
            <sz val="11"/>
            <color theme="1"/>
            <rFont val="Calibri"/>
            <family val="2"/>
            <scheme val="minor"/>
          </rPr>
          <t>Introduzca un codigo UNSPSC</t>
        </r>
      </text>
    </comment>
    <comment ref="B99" authorId="1" shapeId="0" xr:uid="{ACCA9015-B698-40CC-9A44-86A361B8D87F}">
      <text>
        <r>
          <rPr>
            <sz val="11"/>
            <color theme="1"/>
            <rFont val="Calibri"/>
            <family val="2"/>
            <scheme val="minor"/>
          </rPr>
          <t>Descripción calculada automáticamente a partir de código del artículo</t>
        </r>
      </text>
    </comment>
    <comment ref="C99" authorId="1" shapeId="0" xr:uid="{BBE0E02E-88CF-4013-A1CB-E9F0483F4E10}">
      <text>
        <r>
          <rPr>
            <sz val="11"/>
            <color theme="1"/>
            <rFont val="Calibri"/>
            <family val="2"/>
            <scheme val="minor"/>
          </rPr>
          <t>Seleccione un valor de la lista</t>
        </r>
      </text>
    </comment>
    <comment ref="D99" authorId="1" shapeId="0" xr:uid="{B021F598-E4B1-4A55-A4A5-C48BA8D949CA}">
      <text>
        <r>
          <rPr>
            <sz val="11"/>
            <color theme="1"/>
            <rFont val="Calibri"/>
            <family val="2"/>
            <scheme val="minor"/>
          </rPr>
          <t>Introduzca un número con dos decimales como máximo. Debe ser igual o mayor a la "Cantidad Real Consumida"</t>
        </r>
      </text>
    </comment>
    <comment ref="E99" authorId="1" shapeId="0" xr:uid="{B40CBAD9-FC43-4018-8D6A-0F7346C6C377}">
      <text>
        <r>
          <rPr>
            <sz val="11"/>
            <color theme="1"/>
            <rFont val="Calibri"/>
            <family val="2"/>
            <scheme val="minor"/>
          </rPr>
          <t>Introduzca un número con dos decimales como máximo</t>
        </r>
      </text>
    </comment>
    <comment ref="F99" authorId="1" shapeId="0" xr:uid="{35254D52-A803-4439-B96C-C47DB637FD61}">
      <text>
        <r>
          <rPr>
            <sz val="11"/>
            <color theme="1"/>
            <rFont val="Calibri"/>
            <family val="2"/>
            <scheme val="minor"/>
          </rPr>
          <t>Monto calculado automáticamente por el sistema</t>
        </r>
      </text>
    </comment>
    <comment ref="E100" authorId="2" shapeId="0" xr:uid="{CE259C64-8486-46D3-A79C-D43FF5B0050D}">
      <text>
        <r>
          <rPr>
            <b/>
            <sz val="9"/>
            <color indexed="81"/>
            <rFont val="Tahoma"/>
            <family val="2"/>
          </rPr>
          <t>Johanna Martinez:</t>
        </r>
        <r>
          <rPr>
            <sz val="9"/>
            <color indexed="81"/>
            <rFont val="Tahoma"/>
            <family val="2"/>
          </rPr>
          <t xml:space="preserve">
</t>
        </r>
      </text>
    </comment>
    <comment ref="A109" authorId="1" shapeId="0" xr:uid="{C479E441-8142-4F04-B2A0-67749B91B48B}">
      <text>
        <r>
          <rPr>
            <sz val="11"/>
            <color theme="1"/>
            <rFont val="Calibri"/>
            <family val="2"/>
            <scheme val="minor"/>
          </rPr>
          <t>Introducir un texto con el nombre o referencia de la contratación</t>
        </r>
      </text>
    </comment>
    <comment ref="B109" authorId="1" shapeId="0" xr:uid="{CFF5E4EE-B2C1-488E-86CC-740EF8A64F22}">
      <text>
        <r>
          <rPr>
            <sz val="11"/>
            <color theme="1"/>
            <rFont val="Calibri"/>
            <family val="2"/>
            <scheme val="minor"/>
          </rPr>
          <t>Introduzca un texto con la finalidad de la contratación</t>
        </r>
      </text>
    </comment>
    <comment ref="C109" authorId="1" shapeId="0" xr:uid="{FF5C9749-B59C-4EBE-922F-E853EB987CFF}">
      <text>
        <r>
          <rPr>
            <sz val="11"/>
            <color theme="1"/>
            <rFont val="Calibri"/>
            <family val="2"/>
            <scheme val="minor"/>
          </rPr>
          <t>Seleccionar un valor del listado</t>
        </r>
      </text>
    </comment>
    <comment ref="D109" authorId="1" shapeId="0" xr:uid="{33F90DD1-16B5-4282-8C18-E19FD479D2DE}">
      <text>
        <r>
          <rPr>
            <sz val="11"/>
            <color theme="1"/>
            <rFont val="Calibri"/>
            <family val="2"/>
            <scheme val="minor"/>
          </rPr>
          <t>Seleccione el tipo de procedimiento</t>
        </r>
      </text>
    </comment>
    <comment ref="E109" authorId="1" shapeId="0" xr:uid="{8F2CE24B-3276-474A-947E-6F9CABAAFE1A}">
      <text>
        <r>
          <rPr>
            <sz val="11"/>
            <color theme="1"/>
            <rFont val="Calibri"/>
            <family val="2"/>
            <scheme val="minor"/>
          </rPr>
          <t>Seleccione un valor de la lista</t>
        </r>
      </text>
    </comment>
    <comment ref="F109" authorId="1" shapeId="0" xr:uid="{3CE84607-D4FE-4ADA-9F52-625623F33181}">
      <text>
        <r>
          <rPr>
            <sz val="11"/>
            <color theme="1"/>
            <rFont val="Calibri"/>
            <family val="2"/>
            <scheme val="minor"/>
          </rPr>
          <t>Introduzca el código SNIP</t>
        </r>
      </text>
    </comment>
    <comment ref="C110" authorId="1" shapeId="0" xr:uid="{2A5C85D6-B8C7-4616-B531-669049F5AD5E}">
      <text>
        <r>
          <rPr>
            <sz val="11"/>
            <color theme="1"/>
            <rFont val="Calibri"/>
            <family val="2"/>
            <scheme val="minor"/>
          </rPr>
          <t>Introduzca la fecha de inicio del proceso, en formato dd-mm-aaaa</t>
        </r>
      </text>
    </comment>
    <comment ref="F110" authorId="1" shapeId="0" xr:uid="{20391316-62FB-4EFD-BAEC-AF06A74AD3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1" shapeId="0" xr:uid="{37C77AD8-BA46-4C5D-A014-ED50A11FC4F0}">
      <text/>
    </comment>
    <comment ref="C112" authorId="1" shapeId="0" xr:uid="{42A32005-C2E4-4260-BAF2-F3D93B587D45}">
      <text>
        <r>
          <rPr>
            <sz val="11"/>
            <color theme="1"/>
            <rFont val="Calibri"/>
            <family val="2"/>
            <scheme val="minor"/>
          </rPr>
          <t>Introduzca la fecha prevista de adjudicación, en formato dd-mm-aaaa</t>
        </r>
      </text>
    </comment>
    <comment ref="F112" authorId="1" shapeId="0" xr:uid="{B8C4EBDD-C4AC-4545-BC1F-7115D742B906}">
      <text/>
    </comment>
    <comment ref="F113" authorId="1" shapeId="0" xr:uid="{ED722E17-10AB-4DA9-A8C9-455E20A4C50D}">
      <text/>
    </comment>
    <comment ref="A115" authorId="1" shapeId="0" xr:uid="{B372B991-C3AC-4080-B6CF-4F8833D7D440}">
      <text>
        <r>
          <rPr>
            <sz val="11"/>
            <color theme="1"/>
            <rFont val="Calibri"/>
            <family val="2"/>
            <scheme val="minor"/>
          </rPr>
          <t>Introduzca un codigo UNSPSC</t>
        </r>
      </text>
    </comment>
    <comment ref="B115" authorId="1" shapeId="0" xr:uid="{688198BE-EABA-40AA-B0A4-A64B791D8814}">
      <text>
        <r>
          <rPr>
            <sz val="11"/>
            <color theme="1"/>
            <rFont val="Calibri"/>
            <family val="2"/>
            <scheme val="minor"/>
          </rPr>
          <t>Descripción calculada automáticamente a partir de código del artículo</t>
        </r>
      </text>
    </comment>
    <comment ref="C115" authorId="1" shapeId="0" xr:uid="{15BE3937-6029-4807-8601-C4B6211CA8B6}">
      <text>
        <r>
          <rPr>
            <sz val="11"/>
            <color theme="1"/>
            <rFont val="Calibri"/>
            <family val="2"/>
            <scheme val="minor"/>
          </rPr>
          <t>Seleccione un valor de la lista</t>
        </r>
      </text>
    </comment>
    <comment ref="D115" authorId="1" shapeId="0" xr:uid="{1EB7F3FE-7FC6-4227-9E0F-90C47B9CA1DB}">
      <text>
        <r>
          <rPr>
            <sz val="11"/>
            <color theme="1"/>
            <rFont val="Calibri"/>
            <family val="2"/>
            <scheme val="minor"/>
          </rPr>
          <t>Introduzca un número con dos decimales como máximo. Debe ser igual o mayor a la "Cantidad Real Consumida"</t>
        </r>
      </text>
    </comment>
    <comment ref="E115" authorId="1" shapeId="0" xr:uid="{FE9061BD-DB91-49BA-B04A-922024F5309D}">
      <text>
        <r>
          <rPr>
            <sz val="11"/>
            <color theme="1"/>
            <rFont val="Calibri"/>
            <family val="2"/>
            <scheme val="minor"/>
          </rPr>
          <t>Introduzca un número con dos decimales como máximo</t>
        </r>
      </text>
    </comment>
    <comment ref="F115" authorId="1" shapeId="0" xr:uid="{BEA6BD61-C39B-461C-8233-B550B5B65894}">
      <text>
        <r>
          <rPr>
            <sz val="11"/>
            <color theme="1"/>
            <rFont val="Calibri"/>
            <family val="2"/>
            <scheme val="minor"/>
          </rPr>
          <t>Monto calculado automáticamente por el sistema</t>
        </r>
      </text>
    </comment>
    <comment ref="A120" authorId="1" shapeId="0" xr:uid="{B7D7950A-5BEF-4592-998B-D5425A079091}">
      <text>
        <r>
          <rPr>
            <sz val="11"/>
            <color theme="1"/>
            <rFont val="Calibri"/>
            <family val="2"/>
            <scheme val="minor"/>
          </rPr>
          <t>Introducir un texto con el nombre o referencia de la contratación</t>
        </r>
      </text>
    </comment>
    <comment ref="B120" authorId="1" shapeId="0" xr:uid="{21787BF5-D06B-4D2D-99D2-3CEBF19A5CCE}">
      <text>
        <r>
          <rPr>
            <sz val="11"/>
            <color theme="1"/>
            <rFont val="Calibri"/>
            <family val="2"/>
            <scheme val="minor"/>
          </rPr>
          <t>Introduzca un texto con la finalidad de la contratación</t>
        </r>
      </text>
    </comment>
    <comment ref="C120" authorId="1" shapeId="0" xr:uid="{842DFFAA-B2FC-467A-9628-FD19EDDE9127}">
      <text>
        <r>
          <rPr>
            <sz val="11"/>
            <color theme="1"/>
            <rFont val="Calibri"/>
            <family val="2"/>
            <scheme val="minor"/>
          </rPr>
          <t>Seleccionar un valor del listado</t>
        </r>
      </text>
    </comment>
    <comment ref="D120" authorId="1" shapeId="0" xr:uid="{58470EC7-B8A4-45AE-8332-DB7E2572740B}">
      <text>
        <r>
          <rPr>
            <sz val="11"/>
            <color theme="1"/>
            <rFont val="Calibri"/>
            <family val="2"/>
            <scheme val="minor"/>
          </rPr>
          <t>Seleccione el tipo de procedimiento</t>
        </r>
      </text>
    </comment>
    <comment ref="E120" authorId="1" shapeId="0" xr:uid="{3F5DB206-82F5-42B3-9729-CDB450956812}">
      <text>
        <r>
          <rPr>
            <sz val="11"/>
            <color theme="1"/>
            <rFont val="Calibri"/>
            <family val="2"/>
            <scheme val="minor"/>
          </rPr>
          <t>Seleccione un valor de la lista</t>
        </r>
      </text>
    </comment>
    <comment ref="F120" authorId="1" shapeId="0" xr:uid="{878D9E47-6009-4855-B946-EE1A793A0708}">
      <text>
        <r>
          <rPr>
            <sz val="11"/>
            <color theme="1"/>
            <rFont val="Calibri"/>
            <family val="2"/>
            <scheme val="minor"/>
          </rPr>
          <t>Introduzca el código SNIP</t>
        </r>
      </text>
    </comment>
    <comment ref="C121" authorId="1" shapeId="0" xr:uid="{104BA095-AC66-4856-A882-71DE9EAC611F}">
      <text>
        <r>
          <rPr>
            <sz val="11"/>
            <color theme="1"/>
            <rFont val="Calibri"/>
            <family val="2"/>
            <scheme val="minor"/>
          </rPr>
          <t>Introduzca la fecha de inicio del proceso, en formato dd-mm-aaaa</t>
        </r>
      </text>
    </comment>
    <comment ref="F121" authorId="1" shapeId="0" xr:uid="{F738FDBC-8FBD-44FC-BA75-503F0A100A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1" shapeId="0" xr:uid="{3B314C61-7549-4A2D-A3E7-D6242FF5CAB5}">
      <text/>
    </comment>
    <comment ref="C123" authorId="1" shapeId="0" xr:uid="{88AA132B-4F0B-4158-BB5F-B1E76BBE50A4}">
      <text>
        <r>
          <rPr>
            <sz val="11"/>
            <color theme="1"/>
            <rFont val="Calibri"/>
            <family val="2"/>
            <scheme val="minor"/>
          </rPr>
          <t>Introduzca la fecha prevista de adjudicación, en formato dd-mm-aaaa</t>
        </r>
      </text>
    </comment>
    <comment ref="F123" authorId="1" shapeId="0" xr:uid="{9FC68BEE-75AF-4A51-B128-0D91C3798E94}">
      <text/>
    </comment>
    <comment ref="F124" authorId="1" shapeId="0" xr:uid="{DED6304F-342A-4C85-A85D-B3A31699E128}">
      <text/>
    </comment>
    <comment ref="A126" authorId="1" shapeId="0" xr:uid="{A6CBA012-701C-44F5-88C4-F9B276A13307}">
      <text>
        <r>
          <rPr>
            <sz val="11"/>
            <color theme="1"/>
            <rFont val="Calibri"/>
            <family val="2"/>
            <scheme val="minor"/>
          </rPr>
          <t>Introduzca un codigo UNSPSC</t>
        </r>
      </text>
    </comment>
    <comment ref="B126" authorId="1" shapeId="0" xr:uid="{DC588AEB-5058-4EFD-8EE7-AF3B9CCBCAD6}">
      <text>
        <r>
          <rPr>
            <sz val="11"/>
            <color theme="1"/>
            <rFont val="Calibri"/>
            <family val="2"/>
            <scheme val="minor"/>
          </rPr>
          <t>Descripción calculada automáticamente a partir de código del artículo</t>
        </r>
      </text>
    </comment>
    <comment ref="C126" authorId="1" shapeId="0" xr:uid="{B478B047-81E6-4EB3-8F3B-6C845E7F1D9D}">
      <text>
        <r>
          <rPr>
            <sz val="11"/>
            <color theme="1"/>
            <rFont val="Calibri"/>
            <family val="2"/>
            <scheme val="minor"/>
          </rPr>
          <t>Seleccione un valor de la lista</t>
        </r>
      </text>
    </comment>
    <comment ref="D126" authorId="1" shapeId="0" xr:uid="{31059EAC-2CE4-4860-8CA6-37CECA77E02B}">
      <text>
        <r>
          <rPr>
            <sz val="11"/>
            <color theme="1"/>
            <rFont val="Calibri"/>
            <family val="2"/>
            <scheme val="minor"/>
          </rPr>
          <t>Introduzca un número con dos decimales como máximo. Debe ser igual o mayor a la "Cantidad Real Consumida"</t>
        </r>
      </text>
    </comment>
    <comment ref="E126" authorId="1" shapeId="0" xr:uid="{57EFD003-908D-4738-A3D8-5D897DF31C50}">
      <text>
        <r>
          <rPr>
            <sz val="11"/>
            <color theme="1"/>
            <rFont val="Calibri"/>
            <family val="2"/>
            <scheme val="minor"/>
          </rPr>
          <t>Introduzca un número con dos decimales como máximo</t>
        </r>
      </text>
    </comment>
    <comment ref="F126" authorId="1" shapeId="0" xr:uid="{6C4B66B8-F8D1-446D-8F0C-3D2852EF307B}">
      <text>
        <r>
          <rPr>
            <sz val="11"/>
            <color theme="1"/>
            <rFont val="Calibri"/>
            <family val="2"/>
            <scheme val="minor"/>
          </rPr>
          <t>Monto calculado automáticamente por el sistema</t>
        </r>
      </text>
    </comment>
    <comment ref="A131" authorId="1" shapeId="0" xr:uid="{2E686723-6B4B-4CFD-82E9-207AE3A26F58}">
      <text>
        <r>
          <rPr>
            <sz val="11"/>
            <color theme="1"/>
            <rFont val="Calibri"/>
            <family val="2"/>
            <scheme val="minor"/>
          </rPr>
          <t>Introducir un texto con el nombre o referencia de la contratación</t>
        </r>
      </text>
    </comment>
    <comment ref="B131" authorId="1" shapeId="0" xr:uid="{D51A1D99-FD8C-471C-AF59-83CBDE18FE3F}">
      <text>
        <r>
          <rPr>
            <sz val="11"/>
            <color theme="1"/>
            <rFont val="Calibri"/>
            <family val="2"/>
            <scheme val="minor"/>
          </rPr>
          <t>Introduzca un texto con la finalidad de la contratación</t>
        </r>
      </text>
    </comment>
    <comment ref="C131" authorId="1" shapeId="0" xr:uid="{4D5D3AC9-AFDC-4291-A43E-687AA6E395D6}">
      <text>
        <r>
          <rPr>
            <sz val="11"/>
            <color theme="1"/>
            <rFont val="Calibri"/>
            <family val="2"/>
            <scheme val="minor"/>
          </rPr>
          <t>Seleccionar un valor del listado</t>
        </r>
      </text>
    </comment>
    <comment ref="D131" authorId="1" shapeId="0" xr:uid="{A772CD5C-AE53-4DA4-A30E-BBEEF67A9984}">
      <text>
        <r>
          <rPr>
            <sz val="11"/>
            <color theme="1"/>
            <rFont val="Calibri"/>
            <family val="2"/>
            <scheme val="minor"/>
          </rPr>
          <t>Seleccione el tipo de procedimiento</t>
        </r>
      </text>
    </comment>
    <comment ref="E131" authorId="1" shapeId="0" xr:uid="{B0E2942E-ACB3-4C37-B789-1012E807FF95}">
      <text>
        <r>
          <rPr>
            <sz val="11"/>
            <color theme="1"/>
            <rFont val="Calibri"/>
            <family val="2"/>
            <scheme val="minor"/>
          </rPr>
          <t>Seleccione un valor de la lista</t>
        </r>
      </text>
    </comment>
    <comment ref="F131" authorId="1" shapeId="0" xr:uid="{C930E384-1E31-4990-9DC5-D0F6F6A52C36}">
      <text>
        <r>
          <rPr>
            <sz val="11"/>
            <color theme="1"/>
            <rFont val="Calibri"/>
            <family val="2"/>
            <scheme val="minor"/>
          </rPr>
          <t>Introduzca el código SNIP</t>
        </r>
      </text>
    </comment>
    <comment ref="C132" authorId="1" shapeId="0" xr:uid="{C1559F1C-6327-49CF-8CA9-900CAC0CB0AB}">
      <text>
        <r>
          <rPr>
            <sz val="11"/>
            <color theme="1"/>
            <rFont val="Calibri"/>
            <family val="2"/>
            <scheme val="minor"/>
          </rPr>
          <t>Introduzca la fecha de inicio del proceso, en formato dd-mm-aaaa</t>
        </r>
      </text>
    </comment>
    <comment ref="F132" authorId="1" shapeId="0" xr:uid="{AD7BE805-56CB-4552-A4C0-43467C3959D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xr:uid="{37458009-5370-43A4-B775-242D7C0010E4}">
      <text/>
    </comment>
    <comment ref="C134" authorId="1" shapeId="0" xr:uid="{C9045B02-8550-499A-B87F-03917C775687}">
      <text>
        <r>
          <rPr>
            <sz val="11"/>
            <color theme="1"/>
            <rFont val="Calibri"/>
            <family val="2"/>
            <scheme val="minor"/>
          </rPr>
          <t>Introduzca la fecha prevista de adjudicación, en formato dd-mm-aaaa</t>
        </r>
      </text>
    </comment>
    <comment ref="F134" authorId="1" shapeId="0" xr:uid="{B8C99E06-9E69-40BD-87E9-93C2357098A1}">
      <text/>
    </comment>
    <comment ref="F135" authorId="1" shapeId="0" xr:uid="{30802D95-CFDA-4486-B9B4-33C663C14868}">
      <text/>
    </comment>
    <comment ref="A137" authorId="1" shapeId="0" xr:uid="{1BA822D9-AF4A-4D1B-B7C9-2DEFB27D99DB}">
      <text>
        <r>
          <rPr>
            <sz val="11"/>
            <color theme="1"/>
            <rFont val="Calibri"/>
            <family val="2"/>
            <scheme val="minor"/>
          </rPr>
          <t>Introduzca un codigo UNSPSC</t>
        </r>
      </text>
    </comment>
    <comment ref="B137" authorId="1" shapeId="0" xr:uid="{42C03182-58CD-4E77-ACE8-8399E6BB7507}">
      <text>
        <r>
          <rPr>
            <sz val="11"/>
            <color theme="1"/>
            <rFont val="Calibri"/>
            <family val="2"/>
            <scheme val="minor"/>
          </rPr>
          <t>Descripción calculada automáticamente a partir de código del artículo</t>
        </r>
      </text>
    </comment>
    <comment ref="C137" authorId="1" shapeId="0" xr:uid="{53A5805E-E038-440A-ADD5-97296C14A40C}">
      <text>
        <r>
          <rPr>
            <sz val="11"/>
            <color theme="1"/>
            <rFont val="Calibri"/>
            <family val="2"/>
            <scheme val="minor"/>
          </rPr>
          <t>Seleccione un valor de la lista</t>
        </r>
      </text>
    </comment>
    <comment ref="D137" authorId="1" shapeId="0" xr:uid="{5340E090-D379-412D-AC64-C502E4D2A641}">
      <text>
        <r>
          <rPr>
            <sz val="11"/>
            <color theme="1"/>
            <rFont val="Calibri"/>
            <family val="2"/>
            <scheme val="minor"/>
          </rPr>
          <t>Introduzca un número con dos decimales como máximo. Debe ser igual o mayor a la "Cantidad Real Consumida"</t>
        </r>
      </text>
    </comment>
    <comment ref="E137" authorId="1" shapeId="0" xr:uid="{9CC86A7F-50C8-4B52-B6D9-7F759B5C3D16}">
      <text>
        <r>
          <rPr>
            <sz val="11"/>
            <color theme="1"/>
            <rFont val="Calibri"/>
            <family val="2"/>
            <scheme val="minor"/>
          </rPr>
          <t>Introduzca un número con dos decimales como máximo</t>
        </r>
      </text>
    </comment>
    <comment ref="F137" authorId="1" shapeId="0" xr:uid="{36FAD69A-F687-4B4A-98CA-2439B9496D9E}">
      <text>
        <r>
          <rPr>
            <sz val="11"/>
            <color theme="1"/>
            <rFont val="Calibri"/>
            <family val="2"/>
            <scheme val="minor"/>
          </rPr>
          <t>Monto calculado automáticamente por el sistema</t>
        </r>
      </text>
    </comment>
    <comment ref="A142" authorId="1" shapeId="0" xr:uid="{4F9E73CA-5A7B-4BD9-ACCD-3CDA2B301A74}">
      <text>
        <r>
          <rPr>
            <sz val="11"/>
            <color theme="1"/>
            <rFont val="Calibri"/>
            <family val="2"/>
            <scheme val="minor"/>
          </rPr>
          <t>Introducir un texto con el nombre o referencia de la contratación</t>
        </r>
      </text>
    </comment>
    <comment ref="B142" authorId="1" shapeId="0" xr:uid="{6A667669-97FD-4E8B-B39D-F147A5D85997}">
      <text>
        <r>
          <rPr>
            <sz val="11"/>
            <color theme="1"/>
            <rFont val="Calibri"/>
            <family val="2"/>
            <scheme val="minor"/>
          </rPr>
          <t>Introduzca un texto con la finalidad de la contratación</t>
        </r>
      </text>
    </comment>
    <comment ref="C142" authorId="1" shapeId="0" xr:uid="{BB0A04D3-1ADC-454C-AA7A-83F449890C05}">
      <text>
        <r>
          <rPr>
            <sz val="11"/>
            <color theme="1"/>
            <rFont val="Calibri"/>
            <family val="2"/>
            <scheme val="minor"/>
          </rPr>
          <t>Seleccionar un valor del listado</t>
        </r>
      </text>
    </comment>
    <comment ref="D142" authorId="1" shapeId="0" xr:uid="{7F356942-DC27-454C-B057-7C3D710BA779}">
      <text>
        <r>
          <rPr>
            <sz val="11"/>
            <color theme="1"/>
            <rFont val="Calibri"/>
            <family val="2"/>
            <scheme val="minor"/>
          </rPr>
          <t>Seleccione el tipo de procedimiento</t>
        </r>
      </text>
    </comment>
    <comment ref="E142" authorId="1" shapeId="0" xr:uid="{B0102AAA-4F82-4D64-BC26-C267FA8F6258}">
      <text>
        <r>
          <rPr>
            <sz val="11"/>
            <color theme="1"/>
            <rFont val="Calibri"/>
            <family val="2"/>
            <scheme val="minor"/>
          </rPr>
          <t>Seleccione un valor de la lista</t>
        </r>
      </text>
    </comment>
    <comment ref="F142" authorId="1" shapeId="0" xr:uid="{869B7815-8E05-4BBC-A68A-0FE1E53EBD05}">
      <text>
        <r>
          <rPr>
            <sz val="11"/>
            <color theme="1"/>
            <rFont val="Calibri"/>
            <family val="2"/>
            <scheme val="minor"/>
          </rPr>
          <t>Introduzca el código SNIP</t>
        </r>
      </text>
    </comment>
    <comment ref="C143" authorId="1" shapeId="0" xr:uid="{DDB7557A-DEF8-4BE5-8EBB-DA9248F7CD8E}">
      <text>
        <r>
          <rPr>
            <sz val="11"/>
            <color theme="1"/>
            <rFont val="Calibri"/>
            <family val="2"/>
            <scheme val="minor"/>
          </rPr>
          <t>Introduzca la fecha de inicio del proceso, en formato dd-mm-aaaa</t>
        </r>
      </text>
    </comment>
    <comment ref="F143" authorId="1" shapeId="0" xr:uid="{0C60C32B-C169-44CB-BAED-B2D4B5A00E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 authorId="1" shapeId="0" xr:uid="{BE64F0A9-CD8A-41B7-ACA9-4DF7DF575E1E}">
      <text/>
    </comment>
    <comment ref="C145" authorId="1" shapeId="0" xr:uid="{7FE64493-7D59-45EE-BF21-D1502379A950}">
      <text>
        <r>
          <rPr>
            <sz val="11"/>
            <color theme="1"/>
            <rFont val="Calibri"/>
            <family val="2"/>
            <scheme val="minor"/>
          </rPr>
          <t>Introduzca la fecha prevista de adjudicación, en formato dd-mm-aaaa</t>
        </r>
      </text>
    </comment>
    <comment ref="F145" authorId="1" shapeId="0" xr:uid="{290538C8-1F07-4FC0-A226-7A6CCF8BD3F0}">
      <text/>
    </comment>
    <comment ref="F146" authorId="1" shapeId="0" xr:uid="{751EAEDA-CFBA-4CF9-8868-47F8F3DC999B}">
      <text/>
    </comment>
    <comment ref="A148" authorId="1" shapeId="0" xr:uid="{4826D207-1390-4374-AE56-435534B87703}">
      <text>
        <r>
          <rPr>
            <sz val="11"/>
            <color theme="1"/>
            <rFont val="Calibri"/>
            <family val="2"/>
            <scheme val="minor"/>
          </rPr>
          <t>Introduzca un codigo UNSPSC</t>
        </r>
      </text>
    </comment>
    <comment ref="B148" authorId="1" shapeId="0" xr:uid="{97FAE515-9B6E-4BC9-8EF8-3D3775642220}">
      <text>
        <r>
          <rPr>
            <sz val="11"/>
            <color theme="1"/>
            <rFont val="Calibri"/>
            <family val="2"/>
            <scheme val="minor"/>
          </rPr>
          <t>Descripción calculada automáticamente a partir de código del artículo</t>
        </r>
      </text>
    </comment>
    <comment ref="C148" authorId="1" shapeId="0" xr:uid="{4E36E055-1ADC-458D-B9F2-70E5DDE8F2A2}">
      <text>
        <r>
          <rPr>
            <sz val="11"/>
            <color theme="1"/>
            <rFont val="Calibri"/>
            <family val="2"/>
            <scheme val="minor"/>
          </rPr>
          <t>Seleccione un valor de la lista</t>
        </r>
      </text>
    </comment>
    <comment ref="D148" authorId="1" shapeId="0" xr:uid="{872846B8-1B61-4434-8348-22B549EBC3DB}">
      <text>
        <r>
          <rPr>
            <sz val="11"/>
            <color theme="1"/>
            <rFont val="Calibri"/>
            <family val="2"/>
            <scheme val="minor"/>
          </rPr>
          <t>Introduzca un número con dos decimales como máximo. Debe ser igual o mayor a la "Cantidad Real Consumida"</t>
        </r>
      </text>
    </comment>
    <comment ref="E148" authorId="1" shapeId="0" xr:uid="{7E12916C-BE20-4DB6-8598-9F61312A41C6}">
      <text>
        <r>
          <rPr>
            <sz val="11"/>
            <color theme="1"/>
            <rFont val="Calibri"/>
            <family val="2"/>
            <scheme val="minor"/>
          </rPr>
          <t>Introduzca un número con dos decimales como máximo</t>
        </r>
      </text>
    </comment>
    <comment ref="F148" authorId="1" shapeId="0" xr:uid="{BE9ED770-4ECB-404A-B43D-0D9E22BBF2DD}">
      <text>
        <r>
          <rPr>
            <sz val="11"/>
            <color theme="1"/>
            <rFont val="Calibri"/>
            <family val="2"/>
            <scheme val="minor"/>
          </rPr>
          <t>Monto calculado automáticamente por el sistema</t>
        </r>
      </text>
    </comment>
    <comment ref="A154" authorId="1" shapeId="0" xr:uid="{94FFD782-BDD1-456A-A98D-466724527AA3}">
      <text>
        <r>
          <rPr>
            <sz val="11"/>
            <color theme="1"/>
            <rFont val="Calibri"/>
            <family val="2"/>
            <scheme val="minor"/>
          </rPr>
          <t>Introducir un texto con el nombre o referencia de la contratación</t>
        </r>
      </text>
    </comment>
    <comment ref="B154" authorId="1" shapeId="0" xr:uid="{9A735E5C-1477-4658-9391-B26B4F152A9B}">
      <text>
        <r>
          <rPr>
            <sz val="11"/>
            <color theme="1"/>
            <rFont val="Calibri"/>
            <family val="2"/>
            <scheme val="minor"/>
          </rPr>
          <t>Introduzca un texto con la finalidad de la contratación</t>
        </r>
      </text>
    </comment>
    <comment ref="C154" authorId="1" shapeId="0" xr:uid="{9095BF5E-22B1-41C2-990B-6BBF899B22D4}">
      <text>
        <r>
          <rPr>
            <sz val="11"/>
            <color theme="1"/>
            <rFont val="Calibri"/>
            <family val="2"/>
            <scheme val="minor"/>
          </rPr>
          <t>Seleccionar un valor del listado</t>
        </r>
      </text>
    </comment>
    <comment ref="D154" authorId="1" shapeId="0" xr:uid="{BC38D1DA-3994-4CA5-960F-E4BA87D0F6A5}">
      <text>
        <r>
          <rPr>
            <sz val="11"/>
            <color theme="1"/>
            <rFont val="Calibri"/>
            <family val="2"/>
            <scheme val="minor"/>
          </rPr>
          <t>Seleccione el tipo de procedimiento</t>
        </r>
      </text>
    </comment>
    <comment ref="E154" authorId="1" shapeId="0" xr:uid="{6195765B-1C1D-4C60-90C3-92146D7AADB5}">
      <text>
        <r>
          <rPr>
            <sz val="11"/>
            <color theme="1"/>
            <rFont val="Calibri"/>
            <family val="2"/>
            <scheme val="minor"/>
          </rPr>
          <t>Seleccione un valor de la lista</t>
        </r>
      </text>
    </comment>
    <comment ref="F154" authorId="1" shapeId="0" xr:uid="{4695E274-A04B-492E-9DA8-408449904D7D}">
      <text>
        <r>
          <rPr>
            <sz val="11"/>
            <color theme="1"/>
            <rFont val="Calibri"/>
            <family val="2"/>
            <scheme val="minor"/>
          </rPr>
          <t>Introduzca el código SNIP</t>
        </r>
      </text>
    </comment>
    <comment ref="C155" authorId="1" shapeId="0" xr:uid="{30185AF7-658F-4EFF-9903-DE68AEF026BE}">
      <text>
        <r>
          <rPr>
            <sz val="11"/>
            <color theme="1"/>
            <rFont val="Calibri"/>
            <family val="2"/>
            <scheme val="minor"/>
          </rPr>
          <t>Introduzca la fecha de inicio del proceso, en formato dd-mm-aaaa</t>
        </r>
      </text>
    </comment>
    <comment ref="F155" authorId="1" shapeId="0" xr:uid="{142F0902-3764-48E4-90DB-7B3C3AC094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1" shapeId="0" xr:uid="{5FC3838B-7289-4641-A920-506872729BA5}">
      <text/>
    </comment>
    <comment ref="C157" authorId="1" shapeId="0" xr:uid="{A12381A5-7930-4B36-9ABF-85C007CE4D84}">
      <text>
        <r>
          <rPr>
            <sz val="11"/>
            <color theme="1"/>
            <rFont val="Calibri"/>
            <family val="2"/>
            <scheme val="minor"/>
          </rPr>
          <t>Introduzca la fecha prevista de adjudicación, en formato dd-mm-aaaa</t>
        </r>
      </text>
    </comment>
    <comment ref="F157" authorId="1" shapeId="0" xr:uid="{0608B4BF-E0AC-43FE-8F2F-49040352803B}">
      <text/>
    </comment>
    <comment ref="F158" authorId="1" shapeId="0" xr:uid="{40BEB7AB-B78D-4C12-8175-70B00F09D708}">
      <text/>
    </comment>
    <comment ref="A160" authorId="1" shapeId="0" xr:uid="{78262809-1981-49EA-9F69-552654869A50}">
      <text>
        <r>
          <rPr>
            <sz val="11"/>
            <color theme="1"/>
            <rFont val="Calibri"/>
            <family val="2"/>
            <scheme val="minor"/>
          </rPr>
          <t>Introduzca un codigo UNSPSC</t>
        </r>
      </text>
    </comment>
    <comment ref="B160" authorId="1" shapeId="0" xr:uid="{38C77FEC-77B5-44CB-B4E2-8ADF02E38E9B}">
      <text>
        <r>
          <rPr>
            <sz val="11"/>
            <color theme="1"/>
            <rFont val="Calibri"/>
            <family val="2"/>
            <scheme val="minor"/>
          </rPr>
          <t>Descripción calculada automáticamente a partir de código del artículo</t>
        </r>
      </text>
    </comment>
    <comment ref="C160" authorId="1" shapeId="0" xr:uid="{8E2CB836-E815-4527-BA72-014EE17C7ECA}">
      <text>
        <r>
          <rPr>
            <sz val="11"/>
            <color theme="1"/>
            <rFont val="Calibri"/>
            <family val="2"/>
            <scheme val="minor"/>
          </rPr>
          <t>Seleccione un valor de la lista</t>
        </r>
      </text>
    </comment>
    <comment ref="D160" authorId="1" shapeId="0" xr:uid="{1F32D964-32D0-4C40-ABB2-8ACACE278937}">
      <text>
        <r>
          <rPr>
            <sz val="11"/>
            <color theme="1"/>
            <rFont val="Calibri"/>
            <family val="2"/>
            <scheme val="minor"/>
          </rPr>
          <t>Introduzca un número con dos decimales como máximo. Debe ser igual o mayor a la "Cantidad Real Consumida"</t>
        </r>
      </text>
    </comment>
    <comment ref="E160" authorId="1" shapeId="0" xr:uid="{BF735D02-9785-43EA-8E2B-094A8BB279C6}">
      <text>
        <r>
          <rPr>
            <sz val="11"/>
            <color theme="1"/>
            <rFont val="Calibri"/>
            <family val="2"/>
            <scheme val="minor"/>
          </rPr>
          <t>Introduzca un número con dos decimales como máximo</t>
        </r>
      </text>
    </comment>
    <comment ref="F160" authorId="1" shapeId="0" xr:uid="{ECC6F6FB-CADE-44DA-881E-5A57A83CF131}">
      <text>
        <r>
          <rPr>
            <sz val="11"/>
            <color theme="1"/>
            <rFont val="Calibri"/>
            <family val="2"/>
            <scheme val="minor"/>
          </rPr>
          <t>Monto calculado automáticamente por el sistema</t>
        </r>
      </text>
    </comment>
    <comment ref="A165" authorId="1" shapeId="0" xr:uid="{99C04332-A05E-4686-AD0F-D46C7EB5B3E7}">
      <text>
        <r>
          <rPr>
            <sz val="11"/>
            <color theme="1"/>
            <rFont val="Calibri"/>
            <family val="2"/>
            <scheme val="minor"/>
          </rPr>
          <t>Introducir un texto con el nombre o referencia de la contratación</t>
        </r>
      </text>
    </comment>
    <comment ref="B165" authorId="1" shapeId="0" xr:uid="{60B54663-D2B3-4963-97AE-306D6D6E3AA8}">
      <text>
        <r>
          <rPr>
            <sz val="11"/>
            <color theme="1"/>
            <rFont val="Calibri"/>
            <family val="2"/>
            <scheme val="minor"/>
          </rPr>
          <t>Introduzca un texto con la finalidad de la contratación</t>
        </r>
      </text>
    </comment>
    <comment ref="C165" authorId="1" shapeId="0" xr:uid="{4C721D0E-6ADA-4C6E-BFD8-507D245943E6}">
      <text>
        <r>
          <rPr>
            <sz val="11"/>
            <color theme="1"/>
            <rFont val="Calibri"/>
            <family val="2"/>
            <scheme val="minor"/>
          </rPr>
          <t>Seleccionar un valor del listado</t>
        </r>
      </text>
    </comment>
    <comment ref="D165" authorId="1" shapeId="0" xr:uid="{E4846B64-ECC3-4B73-8714-0D03F2DFBAF6}">
      <text>
        <r>
          <rPr>
            <sz val="11"/>
            <color theme="1"/>
            <rFont val="Calibri"/>
            <family val="2"/>
            <scheme val="minor"/>
          </rPr>
          <t>Seleccione el tipo de procedimiento</t>
        </r>
      </text>
    </comment>
    <comment ref="E165" authorId="1" shapeId="0" xr:uid="{D81AE63D-E496-4781-839E-DFD4FB80B873}">
      <text>
        <r>
          <rPr>
            <sz val="11"/>
            <color theme="1"/>
            <rFont val="Calibri"/>
            <family val="2"/>
            <scheme val="minor"/>
          </rPr>
          <t>Seleccione un valor de la lista</t>
        </r>
      </text>
    </comment>
    <comment ref="F165" authorId="1" shapeId="0" xr:uid="{6D84D973-8A47-4D42-A871-CE0DA46436E9}">
      <text>
        <r>
          <rPr>
            <sz val="11"/>
            <color theme="1"/>
            <rFont val="Calibri"/>
            <family val="2"/>
            <scheme val="minor"/>
          </rPr>
          <t>Introduzca el código SNIP</t>
        </r>
      </text>
    </comment>
    <comment ref="C166" authorId="1" shapeId="0" xr:uid="{4A4DF5F4-2EDB-4166-9D66-051431D75611}">
      <text>
        <r>
          <rPr>
            <sz val="11"/>
            <color theme="1"/>
            <rFont val="Calibri"/>
            <family val="2"/>
            <scheme val="minor"/>
          </rPr>
          <t>Introduzca la fecha de inicio del proceso, en formato dd-mm-aaaa</t>
        </r>
      </text>
    </comment>
    <comment ref="F166" authorId="1" shapeId="0" xr:uid="{6787961B-7511-4BF9-BAE2-0081508C4A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 authorId="1" shapeId="0" xr:uid="{BE7CBFE8-6D02-41ED-B928-72A416C6233E}">
      <text/>
    </comment>
    <comment ref="C168" authorId="1" shapeId="0" xr:uid="{B20E6BD6-B65D-4FFD-B93E-BEA37BCA2E9D}">
      <text>
        <r>
          <rPr>
            <sz val="11"/>
            <color theme="1"/>
            <rFont val="Calibri"/>
            <family val="2"/>
            <scheme val="minor"/>
          </rPr>
          <t>Introduzca la fecha prevista de adjudicación, en formato dd-mm-aaaa</t>
        </r>
      </text>
    </comment>
    <comment ref="F168" authorId="1" shapeId="0" xr:uid="{43088EC7-4E21-4336-8546-D5C4725C487E}">
      <text/>
    </comment>
    <comment ref="F169" authorId="1" shapeId="0" xr:uid="{81A75B9F-6E86-41C0-8CEE-D9BC4797835C}">
      <text/>
    </comment>
    <comment ref="A171" authorId="1" shapeId="0" xr:uid="{DF830B25-F070-4359-A525-91D44ACF449C}">
      <text>
        <r>
          <rPr>
            <sz val="11"/>
            <color theme="1"/>
            <rFont val="Calibri"/>
            <family val="2"/>
            <scheme val="minor"/>
          </rPr>
          <t>Introduzca un codigo UNSPSC</t>
        </r>
      </text>
    </comment>
    <comment ref="B171" authorId="1" shapeId="0" xr:uid="{39AAAF85-DAFB-4399-8D04-FFA1F753B452}">
      <text>
        <r>
          <rPr>
            <sz val="11"/>
            <color theme="1"/>
            <rFont val="Calibri"/>
            <family val="2"/>
            <scheme val="minor"/>
          </rPr>
          <t>Descripción calculada automáticamente a partir de código del artículo</t>
        </r>
      </text>
    </comment>
    <comment ref="C171" authorId="1" shapeId="0" xr:uid="{F3D85D87-0A5E-4EEC-B173-1B098F503785}">
      <text>
        <r>
          <rPr>
            <sz val="11"/>
            <color theme="1"/>
            <rFont val="Calibri"/>
            <family val="2"/>
            <scheme val="minor"/>
          </rPr>
          <t>Seleccione un valor de la lista</t>
        </r>
      </text>
    </comment>
    <comment ref="D171" authorId="1" shapeId="0" xr:uid="{8BA4459D-BA35-4692-8E48-BBFCD23F9230}">
      <text>
        <r>
          <rPr>
            <sz val="11"/>
            <color theme="1"/>
            <rFont val="Calibri"/>
            <family val="2"/>
            <scheme val="minor"/>
          </rPr>
          <t>Introduzca un número con dos decimales como máximo. Debe ser igual o mayor a la "Cantidad Real Consumida"</t>
        </r>
      </text>
    </comment>
    <comment ref="E171" authorId="1" shapeId="0" xr:uid="{2D2CDE79-BE1E-4E75-8F5B-9F42C436A048}">
      <text>
        <r>
          <rPr>
            <sz val="11"/>
            <color theme="1"/>
            <rFont val="Calibri"/>
            <family val="2"/>
            <scheme val="minor"/>
          </rPr>
          <t>Introduzca un número con dos decimales como máximo</t>
        </r>
      </text>
    </comment>
    <comment ref="F171" authorId="1" shapeId="0" xr:uid="{AC71F724-17D9-4D2E-A985-A8F85D0892E1}">
      <text>
        <r>
          <rPr>
            <sz val="11"/>
            <color theme="1"/>
            <rFont val="Calibri"/>
            <family val="2"/>
            <scheme val="minor"/>
          </rPr>
          <t>Monto calculado automáticamente por el sistema</t>
        </r>
      </text>
    </comment>
    <comment ref="A176" authorId="1" shapeId="0" xr:uid="{0E1D90A1-3D9C-4353-85D5-8A5DAB4DB0EA}">
      <text>
        <r>
          <rPr>
            <sz val="11"/>
            <color theme="1"/>
            <rFont val="Calibri"/>
            <family val="2"/>
            <scheme val="minor"/>
          </rPr>
          <t>Introducir un texto con el nombre o referencia de la contratación</t>
        </r>
      </text>
    </comment>
    <comment ref="B176" authorId="1" shapeId="0" xr:uid="{53458446-8FFB-4C24-9680-29A1BC272C28}">
      <text>
        <r>
          <rPr>
            <sz val="11"/>
            <color theme="1"/>
            <rFont val="Calibri"/>
            <family val="2"/>
            <scheme val="minor"/>
          </rPr>
          <t>Introduzca un texto con la finalidad de la contratación</t>
        </r>
      </text>
    </comment>
    <comment ref="C176" authorId="1" shapeId="0" xr:uid="{14471D03-110D-497C-BEA8-E1F36B89E91A}">
      <text>
        <r>
          <rPr>
            <sz val="11"/>
            <color theme="1"/>
            <rFont val="Calibri"/>
            <family val="2"/>
            <scheme val="minor"/>
          </rPr>
          <t>Seleccionar un valor del listado</t>
        </r>
      </text>
    </comment>
    <comment ref="D176" authorId="1" shapeId="0" xr:uid="{DDCAF97A-E44B-4A4B-A5C1-91C348A3AFA9}">
      <text>
        <r>
          <rPr>
            <sz val="11"/>
            <color theme="1"/>
            <rFont val="Calibri"/>
            <family val="2"/>
            <scheme val="minor"/>
          </rPr>
          <t>Seleccione el tipo de procedimiento</t>
        </r>
      </text>
    </comment>
    <comment ref="E176" authorId="1" shapeId="0" xr:uid="{C8815F40-C904-49DD-83D1-ECA39017FE8C}">
      <text>
        <r>
          <rPr>
            <sz val="11"/>
            <color theme="1"/>
            <rFont val="Calibri"/>
            <family val="2"/>
            <scheme val="minor"/>
          </rPr>
          <t>Seleccione un valor de la lista</t>
        </r>
      </text>
    </comment>
    <comment ref="F176" authorId="1" shapeId="0" xr:uid="{992A5CB0-51AD-4667-8895-D67D3207DF63}">
      <text>
        <r>
          <rPr>
            <sz val="11"/>
            <color theme="1"/>
            <rFont val="Calibri"/>
            <family val="2"/>
            <scheme val="minor"/>
          </rPr>
          <t>Introduzca el código SNIP</t>
        </r>
      </text>
    </comment>
    <comment ref="C177" authorId="1" shapeId="0" xr:uid="{48A33365-347D-4614-BCF9-6B73F4ED3BF9}">
      <text>
        <r>
          <rPr>
            <sz val="11"/>
            <color theme="1"/>
            <rFont val="Calibri"/>
            <family val="2"/>
            <scheme val="minor"/>
          </rPr>
          <t>Introduzca la fecha de inicio del proceso, en formato dd-mm-aaaa</t>
        </r>
      </text>
    </comment>
    <comment ref="F177" authorId="1" shapeId="0" xr:uid="{8BDC9DBF-D772-4988-A905-76DAAB84C0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 authorId="1" shapeId="0" xr:uid="{F2FDD6A0-451C-4E42-AC02-6DF327F68858}">
      <text/>
    </comment>
    <comment ref="C179" authorId="1" shapeId="0" xr:uid="{3B223233-E8B7-4939-9378-10CF9AAB51CC}">
      <text>
        <r>
          <rPr>
            <sz val="11"/>
            <color theme="1"/>
            <rFont val="Calibri"/>
            <family val="2"/>
            <scheme val="minor"/>
          </rPr>
          <t>Introduzca la fecha prevista de adjudicación, en formato dd-mm-aaaa</t>
        </r>
      </text>
    </comment>
    <comment ref="F179" authorId="1" shapeId="0" xr:uid="{3F202F3E-AFD8-4EA1-954C-77A151499319}">
      <text/>
    </comment>
    <comment ref="F180" authorId="1" shapeId="0" xr:uid="{8E0D7899-EFA7-4AC0-B4FF-981A4E3E3037}">
      <text/>
    </comment>
    <comment ref="A182" authorId="1" shapeId="0" xr:uid="{455DEB79-D12F-4520-A6DE-3FDF3462C737}">
      <text>
        <r>
          <rPr>
            <sz val="11"/>
            <color theme="1"/>
            <rFont val="Calibri"/>
            <family val="2"/>
            <scheme val="minor"/>
          </rPr>
          <t>Introduzca un codigo UNSPSC</t>
        </r>
      </text>
    </comment>
    <comment ref="B182" authorId="1" shapeId="0" xr:uid="{FBD277A4-69F7-493E-AB0F-8A3AE6BD8E0D}">
      <text>
        <r>
          <rPr>
            <sz val="11"/>
            <color theme="1"/>
            <rFont val="Calibri"/>
            <family val="2"/>
            <scheme val="minor"/>
          </rPr>
          <t>Descripción calculada automáticamente a partir de código del artículo</t>
        </r>
      </text>
    </comment>
    <comment ref="C182" authorId="1" shapeId="0" xr:uid="{776CB4C0-985A-4B0F-B4E1-F62D3E832B0C}">
      <text>
        <r>
          <rPr>
            <sz val="11"/>
            <color theme="1"/>
            <rFont val="Calibri"/>
            <family val="2"/>
            <scheme val="minor"/>
          </rPr>
          <t>Seleccione un valor de la lista</t>
        </r>
      </text>
    </comment>
    <comment ref="D182" authorId="1" shapeId="0" xr:uid="{88B04127-882C-4C8C-9CB1-F69C1E0CC2F6}">
      <text>
        <r>
          <rPr>
            <sz val="11"/>
            <color theme="1"/>
            <rFont val="Calibri"/>
            <family val="2"/>
            <scheme val="minor"/>
          </rPr>
          <t>Introduzca un número con dos decimales como máximo. Debe ser igual o mayor a la "Cantidad Real Consumida"</t>
        </r>
      </text>
    </comment>
    <comment ref="E182" authorId="1" shapeId="0" xr:uid="{F54D9286-2D5C-4B1F-9C0F-46E429A6B94D}">
      <text>
        <r>
          <rPr>
            <sz val="11"/>
            <color theme="1"/>
            <rFont val="Calibri"/>
            <family val="2"/>
            <scheme val="minor"/>
          </rPr>
          <t>Introduzca un número con dos decimales como máximo</t>
        </r>
      </text>
    </comment>
    <comment ref="F182" authorId="1" shapeId="0" xr:uid="{02CF49A2-08C5-4E06-8EAC-BEEC8268954C}">
      <text>
        <r>
          <rPr>
            <sz val="11"/>
            <color theme="1"/>
            <rFont val="Calibri"/>
            <family val="2"/>
            <scheme val="minor"/>
          </rPr>
          <t>Monto calculado automáticamente por el sistema</t>
        </r>
      </text>
    </comment>
    <comment ref="A187" authorId="1" shapeId="0" xr:uid="{E4BE68FA-3DA9-463D-A99C-903ACBAE268E}">
      <text>
        <r>
          <rPr>
            <sz val="11"/>
            <color theme="1"/>
            <rFont val="Calibri"/>
            <family val="2"/>
            <scheme val="minor"/>
          </rPr>
          <t>Introducir un texto con el nombre o referencia de la contratación</t>
        </r>
      </text>
    </comment>
    <comment ref="B187" authorId="1" shapeId="0" xr:uid="{828A7708-EDB8-4270-8181-ADBBC4BAE30D}">
      <text>
        <r>
          <rPr>
            <sz val="11"/>
            <color theme="1"/>
            <rFont val="Calibri"/>
            <family val="2"/>
            <scheme val="minor"/>
          </rPr>
          <t>Introduzca un texto con la finalidad de la contratación</t>
        </r>
      </text>
    </comment>
    <comment ref="C187" authorId="1" shapeId="0" xr:uid="{A03B69EF-A500-4ACE-831D-141E66D6C7D8}">
      <text>
        <r>
          <rPr>
            <sz val="11"/>
            <color theme="1"/>
            <rFont val="Calibri"/>
            <family val="2"/>
            <scheme val="minor"/>
          </rPr>
          <t>Seleccionar un valor del listado</t>
        </r>
      </text>
    </comment>
    <comment ref="D187" authorId="1" shapeId="0" xr:uid="{E32F8D85-C583-4AA7-9B29-E3906C6AAC2E}">
      <text>
        <r>
          <rPr>
            <sz val="11"/>
            <color theme="1"/>
            <rFont val="Calibri"/>
            <family val="2"/>
            <scheme val="minor"/>
          </rPr>
          <t>Seleccione el tipo de procedimiento</t>
        </r>
      </text>
    </comment>
    <comment ref="E187" authorId="1" shapeId="0" xr:uid="{B0126E3E-DEF2-4FE1-92BB-8F5C72A810D2}">
      <text>
        <r>
          <rPr>
            <sz val="11"/>
            <color theme="1"/>
            <rFont val="Calibri"/>
            <family val="2"/>
            <scheme val="minor"/>
          </rPr>
          <t>Seleccione un valor de la lista</t>
        </r>
      </text>
    </comment>
    <comment ref="F187" authorId="1" shapeId="0" xr:uid="{F310F2C7-9152-44F4-9A89-40BBF92FC227}">
      <text>
        <r>
          <rPr>
            <sz val="11"/>
            <color theme="1"/>
            <rFont val="Calibri"/>
            <family val="2"/>
            <scheme val="minor"/>
          </rPr>
          <t>Introduzca el código SNIP</t>
        </r>
      </text>
    </comment>
    <comment ref="C188" authorId="1" shapeId="0" xr:uid="{4CEF4C08-2BB4-4CE2-B854-4AB5C1875014}">
      <text>
        <r>
          <rPr>
            <sz val="11"/>
            <color theme="1"/>
            <rFont val="Calibri"/>
            <family val="2"/>
            <scheme val="minor"/>
          </rPr>
          <t>Introduzca la fecha de inicio del proceso, en formato dd-mm-aaaa</t>
        </r>
      </text>
    </comment>
    <comment ref="F188" authorId="1" shapeId="0" xr:uid="{3DB9884C-6A78-4E1D-BB3B-19AEEFADA4A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 authorId="1" shapeId="0" xr:uid="{F6CF7CFA-07BD-4AC6-A9D0-1A14D91D5617}">
      <text/>
    </comment>
    <comment ref="C190" authorId="1" shapeId="0" xr:uid="{34CF8E5D-F359-4576-B69C-835187CC6502}">
      <text>
        <r>
          <rPr>
            <sz val="11"/>
            <color theme="1"/>
            <rFont val="Calibri"/>
            <family val="2"/>
            <scheme val="minor"/>
          </rPr>
          <t>Introduzca la fecha prevista de adjudicación, en formato dd-mm-aaaa</t>
        </r>
      </text>
    </comment>
    <comment ref="F190" authorId="1" shapeId="0" xr:uid="{394C1CA3-98CA-4937-B3EE-43BC442751FB}">
      <text/>
    </comment>
    <comment ref="F191" authorId="1" shapeId="0" xr:uid="{6A97D553-98C4-4D61-BB75-C722559750D8}">
      <text/>
    </comment>
    <comment ref="A193" authorId="1" shapeId="0" xr:uid="{89528576-4968-4941-80F1-30B0E3250038}">
      <text>
        <r>
          <rPr>
            <sz val="11"/>
            <color theme="1"/>
            <rFont val="Calibri"/>
            <family val="2"/>
            <scheme val="minor"/>
          </rPr>
          <t>Introduzca un codigo UNSPSC</t>
        </r>
      </text>
    </comment>
    <comment ref="B193" authorId="1" shapeId="0" xr:uid="{680339DD-4149-40A7-8853-3A9B2CDE39C7}">
      <text>
        <r>
          <rPr>
            <sz val="11"/>
            <color theme="1"/>
            <rFont val="Calibri"/>
            <family val="2"/>
            <scheme val="minor"/>
          </rPr>
          <t>Descripción calculada automáticamente a partir de código del artículo</t>
        </r>
      </text>
    </comment>
    <comment ref="C193" authorId="1" shapeId="0" xr:uid="{66ED7BB8-2009-4D18-A69D-E9EF5281950B}">
      <text>
        <r>
          <rPr>
            <sz val="11"/>
            <color theme="1"/>
            <rFont val="Calibri"/>
            <family val="2"/>
            <scheme val="minor"/>
          </rPr>
          <t>Seleccione un valor de la lista</t>
        </r>
      </text>
    </comment>
    <comment ref="D193" authorId="1" shapeId="0" xr:uid="{C59A2EC0-5D81-46A9-B6AB-4633C97089D6}">
      <text>
        <r>
          <rPr>
            <sz val="11"/>
            <color theme="1"/>
            <rFont val="Calibri"/>
            <family val="2"/>
            <scheme val="minor"/>
          </rPr>
          <t>Introduzca un número con dos decimales como máximo. Debe ser igual o mayor a la "Cantidad Real Consumida"</t>
        </r>
      </text>
    </comment>
    <comment ref="E193" authorId="1" shapeId="0" xr:uid="{48FD5BBA-5BEF-464A-8A15-0188B5AA96BB}">
      <text>
        <r>
          <rPr>
            <sz val="11"/>
            <color theme="1"/>
            <rFont val="Calibri"/>
            <family val="2"/>
            <scheme val="minor"/>
          </rPr>
          <t>Introduzca un número con dos decimales como máximo</t>
        </r>
      </text>
    </comment>
    <comment ref="F193" authorId="1" shapeId="0" xr:uid="{344DBDCA-F34C-440D-BF10-2825026E748D}">
      <text>
        <r>
          <rPr>
            <sz val="11"/>
            <color theme="1"/>
            <rFont val="Calibri"/>
            <family val="2"/>
            <scheme val="minor"/>
          </rPr>
          <t>Monto calculado automáticamente por el sistema</t>
        </r>
      </text>
    </comment>
    <comment ref="A198" authorId="1" shapeId="0" xr:uid="{59DF7043-51A7-4CDB-A208-11F453132A0B}">
      <text>
        <r>
          <rPr>
            <sz val="11"/>
            <color theme="1"/>
            <rFont val="Calibri"/>
            <family val="2"/>
            <scheme val="minor"/>
          </rPr>
          <t>Introducir un texto con el nombre o referencia de la contratación</t>
        </r>
      </text>
    </comment>
    <comment ref="B198" authorId="1" shapeId="0" xr:uid="{2E3387E8-8B40-4FFB-9F73-455F9AC8DF58}">
      <text>
        <r>
          <rPr>
            <sz val="11"/>
            <color theme="1"/>
            <rFont val="Calibri"/>
            <family val="2"/>
            <scheme val="minor"/>
          </rPr>
          <t>Introduzca un texto con la finalidad de la contratación</t>
        </r>
      </text>
    </comment>
    <comment ref="C198" authorId="1" shapeId="0" xr:uid="{935EA3FE-023A-4812-8848-6D3BC8C916AD}">
      <text>
        <r>
          <rPr>
            <sz val="11"/>
            <color theme="1"/>
            <rFont val="Calibri"/>
            <family val="2"/>
            <scheme val="minor"/>
          </rPr>
          <t>Seleccionar un valor del listado</t>
        </r>
      </text>
    </comment>
    <comment ref="D198" authorId="1" shapeId="0" xr:uid="{BD364D0C-837A-4A31-B7AE-172634127A00}">
      <text>
        <r>
          <rPr>
            <sz val="11"/>
            <color theme="1"/>
            <rFont val="Calibri"/>
            <family val="2"/>
            <scheme val="minor"/>
          </rPr>
          <t>Seleccione el tipo de procedimiento</t>
        </r>
      </text>
    </comment>
    <comment ref="E198" authorId="1" shapeId="0" xr:uid="{7E37B508-0B26-4460-899B-A0F9BBD394E5}">
      <text>
        <r>
          <rPr>
            <sz val="11"/>
            <color theme="1"/>
            <rFont val="Calibri"/>
            <family val="2"/>
            <scheme val="minor"/>
          </rPr>
          <t>Seleccione un valor de la lista</t>
        </r>
      </text>
    </comment>
    <comment ref="F198" authorId="1" shapeId="0" xr:uid="{99A5681D-048A-4588-99F7-11852A959C6F}">
      <text>
        <r>
          <rPr>
            <sz val="11"/>
            <color theme="1"/>
            <rFont val="Calibri"/>
            <family val="2"/>
            <scheme val="minor"/>
          </rPr>
          <t>Introduzca el código SNIP</t>
        </r>
      </text>
    </comment>
    <comment ref="C199" authorId="1" shapeId="0" xr:uid="{414FB315-CA55-4DA9-AEDE-4EA3648DC1A5}">
      <text>
        <r>
          <rPr>
            <sz val="11"/>
            <color theme="1"/>
            <rFont val="Calibri"/>
            <family val="2"/>
            <scheme val="minor"/>
          </rPr>
          <t>Introduzca la fecha de inicio del proceso, en formato dd-mm-aaaa</t>
        </r>
      </text>
    </comment>
    <comment ref="F199" authorId="1" shapeId="0" xr:uid="{6113D823-88C5-42BD-BA54-7DB155B945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 authorId="1" shapeId="0" xr:uid="{C6E1BF70-10BD-4394-A781-C83BB6A355C6}">
      <text/>
    </comment>
    <comment ref="C201" authorId="1" shapeId="0" xr:uid="{01CEAE1D-3F21-4D9D-A215-BFDB85902EC4}">
      <text>
        <r>
          <rPr>
            <sz val="11"/>
            <color theme="1"/>
            <rFont val="Calibri"/>
            <family val="2"/>
            <scheme val="minor"/>
          </rPr>
          <t>Introduzca la fecha prevista de adjudicación, en formato dd-mm-aaaa</t>
        </r>
      </text>
    </comment>
    <comment ref="F201" authorId="1" shapeId="0" xr:uid="{52AF9AA8-5496-4549-B0A7-24151088E6C6}">
      <text/>
    </comment>
    <comment ref="F202" authorId="1" shapeId="0" xr:uid="{16DCEC52-E7AB-4982-81E9-DC7E899B885A}">
      <text/>
    </comment>
    <comment ref="A204" authorId="1" shapeId="0" xr:uid="{197F3B55-9697-4EE2-A0A6-5EBB55D5C20A}">
      <text>
        <r>
          <rPr>
            <sz val="11"/>
            <color theme="1"/>
            <rFont val="Calibri"/>
            <family val="2"/>
            <scheme val="minor"/>
          </rPr>
          <t>Introduzca un codigo UNSPSC</t>
        </r>
      </text>
    </comment>
    <comment ref="B204" authorId="1" shapeId="0" xr:uid="{24454B51-254D-45FD-B9B0-AC5946C8E520}">
      <text>
        <r>
          <rPr>
            <sz val="11"/>
            <color theme="1"/>
            <rFont val="Calibri"/>
            <family val="2"/>
            <scheme val="minor"/>
          </rPr>
          <t>Descripción calculada automáticamente a partir de código del artículo</t>
        </r>
      </text>
    </comment>
    <comment ref="C204" authorId="1" shapeId="0" xr:uid="{D25F0E66-9014-4A25-A0C7-841AAE5D5F7B}">
      <text>
        <r>
          <rPr>
            <sz val="11"/>
            <color theme="1"/>
            <rFont val="Calibri"/>
            <family val="2"/>
            <scheme val="minor"/>
          </rPr>
          <t>Seleccione un valor de la lista</t>
        </r>
      </text>
    </comment>
    <comment ref="D204" authorId="1" shapeId="0" xr:uid="{77C6BB17-76C2-4CEA-9833-C265DAE295AB}">
      <text>
        <r>
          <rPr>
            <sz val="11"/>
            <color theme="1"/>
            <rFont val="Calibri"/>
            <family val="2"/>
            <scheme val="minor"/>
          </rPr>
          <t>Introduzca un número con dos decimales como máximo. Debe ser igual o mayor a la "Cantidad Real Consumida"</t>
        </r>
      </text>
    </comment>
    <comment ref="E204" authorId="1" shapeId="0" xr:uid="{5E460594-D9A7-4C19-9092-C8C1B6984296}">
      <text>
        <r>
          <rPr>
            <sz val="11"/>
            <color theme="1"/>
            <rFont val="Calibri"/>
            <family val="2"/>
            <scheme val="minor"/>
          </rPr>
          <t>Introduzca un número con dos decimales como máximo</t>
        </r>
      </text>
    </comment>
    <comment ref="F204" authorId="1" shapeId="0" xr:uid="{976F2607-B998-4656-A385-DE5885120D8A}">
      <text>
        <r>
          <rPr>
            <sz val="11"/>
            <color theme="1"/>
            <rFont val="Calibri"/>
            <family val="2"/>
            <scheme val="minor"/>
          </rPr>
          <t>Monto calculado automáticamente por el sistema</t>
        </r>
      </text>
    </comment>
    <comment ref="A209" authorId="1" shapeId="0" xr:uid="{E09A9C31-D07F-4B01-ABC9-2E30DCD11899}">
      <text>
        <r>
          <rPr>
            <sz val="11"/>
            <color theme="1"/>
            <rFont val="Calibri"/>
            <family val="2"/>
            <scheme val="minor"/>
          </rPr>
          <t>Introducir un texto con el nombre o referencia de la contratación</t>
        </r>
      </text>
    </comment>
    <comment ref="B209" authorId="1" shapeId="0" xr:uid="{3C768050-2644-40E5-AFB2-41E0145ABA66}">
      <text>
        <r>
          <rPr>
            <sz val="11"/>
            <color theme="1"/>
            <rFont val="Calibri"/>
            <family val="2"/>
            <scheme val="minor"/>
          </rPr>
          <t>Introduzca un texto con la finalidad de la contratación</t>
        </r>
      </text>
    </comment>
    <comment ref="C209" authorId="1" shapeId="0" xr:uid="{C93909D8-D46F-4C12-A518-3017A3A393AC}">
      <text>
        <r>
          <rPr>
            <sz val="11"/>
            <color theme="1"/>
            <rFont val="Calibri"/>
            <family val="2"/>
            <scheme val="minor"/>
          </rPr>
          <t>Seleccionar un valor del listado</t>
        </r>
      </text>
    </comment>
    <comment ref="D209" authorId="1" shapeId="0" xr:uid="{C913BF37-9059-41F6-A944-D53155AF50B1}">
      <text>
        <r>
          <rPr>
            <sz val="11"/>
            <color theme="1"/>
            <rFont val="Calibri"/>
            <family val="2"/>
            <scheme val="minor"/>
          </rPr>
          <t>Seleccione el tipo de procedimiento</t>
        </r>
      </text>
    </comment>
    <comment ref="E209" authorId="1" shapeId="0" xr:uid="{3F62247A-08E2-4F18-A58E-8C31DAFCF969}">
      <text>
        <r>
          <rPr>
            <sz val="11"/>
            <color theme="1"/>
            <rFont val="Calibri"/>
            <family val="2"/>
            <scheme val="minor"/>
          </rPr>
          <t>Seleccione un valor de la lista</t>
        </r>
      </text>
    </comment>
    <comment ref="F209" authorId="1" shapeId="0" xr:uid="{62DA6DB7-D9D7-45E9-8114-BF5D2D6281DB}">
      <text>
        <r>
          <rPr>
            <sz val="11"/>
            <color theme="1"/>
            <rFont val="Calibri"/>
            <family val="2"/>
            <scheme val="minor"/>
          </rPr>
          <t>Introduzca el código SNIP</t>
        </r>
      </text>
    </comment>
    <comment ref="C210" authorId="1" shapeId="0" xr:uid="{5BD223FA-08FE-4DF5-8744-80AFFB38E758}">
      <text>
        <r>
          <rPr>
            <sz val="11"/>
            <color theme="1"/>
            <rFont val="Calibri"/>
            <family val="2"/>
            <scheme val="minor"/>
          </rPr>
          <t>Introduzca la fecha de inicio del proceso, en formato dd-mm-aaaa</t>
        </r>
      </text>
    </comment>
    <comment ref="F210" authorId="1" shapeId="0" xr:uid="{0D29362B-70D9-4194-A7AC-A9B0353D8D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 authorId="1" shapeId="0" xr:uid="{EE042802-52E3-4E1F-81BB-6F029C2534BF}">
      <text/>
    </comment>
    <comment ref="C212" authorId="1" shapeId="0" xr:uid="{A278E89A-E69B-413D-B0AD-764B937C8727}">
      <text>
        <r>
          <rPr>
            <sz val="11"/>
            <color theme="1"/>
            <rFont val="Calibri"/>
            <family val="2"/>
            <scheme val="minor"/>
          </rPr>
          <t>Introduzca la fecha prevista de adjudicación, en formato dd-mm-aaaa</t>
        </r>
      </text>
    </comment>
    <comment ref="F212" authorId="1" shapeId="0" xr:uid="{846726DD-5676-4663-8503-90F09B8250A7}">
      <text/>
    </comment>
    <comment ref="F213" authorId="1" shapeId="0" xr:uid="{AB820B75-7650-4C0F-8AC3-9E57E0EBCA60}">
      <text/>
    </comment>
    <comment ref="A215" authorId="1" shapeId="0" xr:uid="{D465BE91-5880-473C-9C51-35FEB1AB8E17}">
      <text>
        <r>
          <rPr>
            <sz val="11"/>
            <color theme="1"/>
            <rFont val="Calibri"/>
            <family val="2"/>
            <scheme val="minor"/>
          </rPr>
          <t>Introduzca un codigo UNSPSC</t>
        </r>
      </text>
    </comment>
    <comment ref="B215" authorId="1" shapeId="0" xr:uid="{24BD6A2E-2EBC-4484-9A69-89F7DBE3A1C2}">
      <text>
        <r>
          <rPr>
            <sz val="11"/>
            <color theme="1"/>
            <rFont val="Calibri"/>
            <family val="2"/>
            <scheme val="minor"/>
          </rPr>
          <t>Descripción calculada automáticamente a partir de código del artículo</t>
        </r>
      </text>
    </comment>
    <comment ref="C215" authorId="1" shapeId="0" xr:uid="{AF27DC53-638D-4DBE-90A3-F158B71F69F7}">
      <text>
        <r>
          <rPr>
            <sz val="11"/>
            <color theme="1"/>
            <rFont val="Calibri"/>
            <family val="2"/>
            <scheme val="minor"/>
          </rPr>
          <t>Seleccione un valor de la lista</t>
        </r>
      </text>
    </comment>
    <comment ref="D215" authorId="1" shapeId="0" xr:uid="{9667CD54-4754-404F-A339-0BF9640A1F18}">
      <text>
        <r>
          <rPr>
            <sz val="11"/>
            <color theme="1"/>
            <rFont val="Calibri"/>
            <family val="2"/>
            <scheme val="minor"/>
          </rPr>
          <t>Introduzca un número con dos decimales como máximo. Debe ser igual o mayor a la "Cantidad Real Consumida"</t>
        </r>
      </text>
    </comment>
    <comment ref="E215" authorId="1" shapeId="0" xr:uid="{2A285FAF-B433-487D-9879-7078264D3DB2}">
      <text>
        <r>
          <rPr>
            <sz val="11"/>
            <color theme="1"/>
            <rFont val="Calibri"/>
            <family val="2"/>
            <scheme val="minor"/>
          </rPr>
          <t>Introduzca un número con dos decimales como máximo</t>
        </r>
      </text>
    </comment>
    <comment ref="F215" authorId="1" shapeId="0" xr:uid="{605E72F3-AABE-4BCF-A1D3-CE1019BC56C3}">
      <text>
        <r>
          <rPr>
            <sz val="11"/>
            <color theme="1"/>
            <rFont val="Calibri"/>
            <family val="2"/>
            <scheme val="minor"/>
          </rPr>
          <t>Monto calculado automáticamente por el sistema</t>
        </r>
      </text>
    </comment>
    <comment ref="A221" authorId="1" shapeId="0" xr:uid="{6426A101-C9EC-4962-AD96-72973B1DFD23}">
      <text>
        <r>
          <rPr>
            <sz val="11"/>
            <color theme="1"/>
            <rFont val="Calibri"/>
            <family val="2"/>
            <scheme val="minor"/>
          </rPr>
          <t>Introducir un texto con el nombre o referencia de la contratación</t>
        </r>
      </text>
    </comment>
    <comment ref="B221" authorId="1" shapeId="0" xr:uid="{2796E6FC-A431-445A-AB65-F252E5F29260}">
      <text>
        <r>
          <rPr>
            <sz val="11"/>
            <color theme="1"/>
            <rFont val="Calibri"/>
            <family val="2"/>
            <scheme val="minor"/>
          </rPr>
          <t>Introduzca un texto con la finalidad de la contratación</t>
        </r>
      </text>
    </comment>
    <comment ref="C221" authorId="1" shapeId="0" xr:uid="{0B1C7DBC-5A23-412F-B243-4E2397F8253F}">
      <text>
        <r>
          <rPr>
            <sz val="11"/>
            <color theme="1"/>
            <rFont val="Calibri"/>
            <family val="2"/>
            <scheme val="minor"/>
          </rPr>
          <t>Seleccionar un valor del listado</t>
        </r>
      </text>
    </comment>
    <comment ref="D221" authorId="1" shapeId="0" xr:uid="{372C9E95-3393-4361-A340-3A04613E9F80}">
      <text>
        <r>
          <rPr>
            <sz val="11"/>
            <color theme="1"/>
            <rFont val="Calibri"/>
            <family val="2"/>
            <scheme val="minor"/>
          </rPr>
          <t>Seleccione el tipo de procedimiento</t>
        </r>
      </text>
    </comment>
    <comment ref="E221" authorId="1" shapeId="0" xr:uid="{50B0242E-8109-43C9-B4AD-F6E225B1D11D}">
      <text>
        <r>
          <rPr>
            <sz val="11"/>
            <color theme="1"/>
            <rFont val="Calibri"/>
            <family val="2"/>
            <scheme val="minor"/>
          </rPr>
          <t>Seleccione un valor de la lista</t>
        </r>
      </text>
    </comment>
    <comment ref="F221" authorId="1" shapeId="0" xr:uid="{14267FFC-BA69-4414-88AF-9A15EF7A68D5}">
      <text>
        <r>
          <rPr>
            <sz val="11"/>
            <color theme="1"/>
            <rFont val="Calibri"/>
            <family val="2"/>
            <scheme val="minor"/>
          </rPr>
          <t>Introduzca el código SNIP</t>
        </r>
      </text>
    </comment>
    <comment ref="C222" authorId="1" shapeId="0" xr:uid="{1F44B2AB-B2BA-44E7-99F8-FEE01FAB79AB}">
      <text>
        <r>
          <rPr>
            <sz val="11"/>
            <color theme="1"/>
            <rFont val="Calibri"/>
            <family val="2"/>
            <scheme val="minor"/>
          </rPr>
          <t>Introduzca la fecha de inicio del proceso, en formato dd-mm-aaaa</t>
        </r>
      </text>
    </comment>
    <comment ref="F222" authorId="1" shapeId="0" xr:uid="{9D697129-47B4-4838-A341-F178ECC8D7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1" shapeId="0" xr:uid="{297ED5CC-8D27-4435-96D8-0BBE64853C17}">
      <text/>
    </comment>
    <comment ref="C224" authorId="1" shapeId="0" xr:uid="{2E7AF09A-CF33-4231-8864-F43F56C50975}">
      <text>
        <r>
          <rPr>
            <sz val="11"/>
            <color theme="1"/>
            <rFont val="Calibri"/>
            <family val="2"/>
            <scheme val="minor"/>
          </rPr>
          <t>Introduzca la fecha prevista de adjudicación, en formato dd-mm-aaaa</t>
        </r>
      </text>
    </comment>
    <comment ref="F224" authorId="1" shapeId="0" xr:uid="{0DFCE7DA-2DBC-4B0A-B99C-9445715C0826}">
      <text/>
    </comment>
    <comment ref="F225" authorId="1" shapeId="0" xr:uid="{2929DDA9-7040-4A93-A16E-838A78366914}">
      <text/>
    </comment>
    <comment ref="A227" authorId="1" shapeId="0" xr:uid="{C546896F-05E6-41DF-B7C7-01288B842221}">
      <text>
        <r>
          <rPr>
            <sz val="11"/>
            <color theme="1"/>
            <rFont val="Calibri"/>
            <family val="2"/>
            <scheme val="minor"/>
          </rPr>
          <t>Introduzca un codigo UNSPSC</t>
        </r>
      </text>
    </comment>
    <comment ref="B227" authorId="1" shapeId="0" xr:uid="{FC0263D9-98D4-4DAF-A5B2-D4C7EE67FD61}">
      <text>
        <r>
          <rPr>
            <sz val="11"/>
            <color theme="1"/>
            <rFont val="Calibri"/>
            <family val="2"/>
            <scheme val="minor"/>
          </rPr>
          <t>Descripción calculada automáticamente a partir de código del artículo</t>
        </r>
      </text>
    </comment>
    <comment ref="C227" authorId="1" shapeId="0" xr:uid="{79BB95F4-1459-4E3D-A510-11181395B30A}">
      <text>
        <r>
          <rPr>
            <sz val="11"/>
            <color theme="1"/>
            <rFont val="Calibri"/>
            <family val="2"/>
            <scheme val="minor"/>
          </rPr>
          <t>Seleccione un valor de la lista</t>
        </r>
      </text>
    </comment>
    <comment ref="D227" authorId="1" shapeId="0" xr:uid="{FE850E19-D6BD-47DD-8886-573EAF9C9826}">
      <text>
        <r>
          <rPr>
            <sz val="11"/>
            <color theme="1"/>
            <rFont val="Calibri"/>
            <family val="2"/>
            <scheme val="minor"/>
          </rPr>
          <t>Introduzca un número con dos decimales como máximo. Debe ser igual o mayor a la "Cantidad Real Consumida"</t>
        </r>
      </text>
    </comment>
    <comment ref="E227" authorId="1" shapeId="0" xr:uid="{0F918D83-BF69-4862-97EA-0D42FF78E293}">
      <text>
        <r>
          <rPr>
            <sz val="11"/>
            <color theme="1"/>
            <rFont val="Calibri"/>
            <family val="2"/>
            <scheme val="minor"/>
          </rPr>
          <t>Introduzca un número con dos decimales como máximo</t>
        </r>
      </text>
    </comment>
    <comment ref="F227" authorId="1" shapeId="0" xr:uid="{EAFDC40E-8A7F-4272-8568-8644C52375EA}">
      <text>
        <r>
          <rPr>
            <sz val="11"/>
            <color theme="1"/>
            <rFont val="Calibri"/>
            <family val="2"/>
            <scheme val="minor"/>
          </rPr>
          <t>Monto calculado automáticamente por el sistema</t>
        </r>
      </text>
    </comment>
    <comment ref="A232" authorId="1" shapeId="0" xr:uid="{483DC0E9-1C63-4675-860C-47AF5AF89CC2}">
      <text>
        <r>
          <rPr>
            <sz val="11"/>
            <color theme="1"/>
            <rFont val="Calibri"/>
            <family val="2"/>
            <scheme val="minor"/>
          </rPr>
          <t>Introducir un texto con el nombre o referencia de la contratación</t>
        </r>
      </text>
    </comment>
    <comment ref="B232" authorId="1" shapeId="0" xr:uid="{4C5BE366-7F76-4A8F-884C-E4EB8D4CE394}">
      <text>
        <r>
          <rPr>
            <sz val="11"/>
            <color theme="1"/>
            <rFont val="Calibri"/>
            <family val="2"/>
            <scheme val="minor"/>
          </rPr>
          <t>Introduzca un texto con la finalidad de la contratación</t>
        </r>
      </text>
    </comment>
    <comment ref="C232" authorId="1" shapeId="0" xr:uid="{08F29BE4-DBF2-4702-A15E-E69CB19A7A90}">
      <text>
        <r>
          <rPr>
            <sz val="11"/>
            <color theme="1"/>
            <rFont val="Calibri"/>
            <family val="2"/>
            <scheme val="minor"/>
          </rPr>
          <t>Seleccionar un valor del listado</t>
        </r>
      </text>
    </comment>
    <comment ref="D232" authorId="1" shapeId="0" xr:uid="{43B26824-86EA-480D-BF09-95B2BB795EA8}">
      <text>
        <r>
          <rPr>
            <sz val="11"/>
            <color theme="1"/>
            <rFont val="Calibri"/>
            <family val="2"/>
            <scheme val="minor"/>
          </rPr>
          <t>Seleccione el tipo de procedimiento</t>
        </r>
      </text>
    </comment>
    <comment ref="E232" authorId="1" shapeId="0" xr:uid="{F4D2CB42-A71E-424F-8C42-1C4AF7912880}">
      <text>
        <r>
          <rPr>
            <sz val="11"/>
            <color theme="1"/>
            <rFont val="Calibri"/>
            <family val="2"/>
            <scheme val="minor"/>
          </rPr>
          <t>Seleccione un valor de la lista</t>
        </r>
      </text>
    </comment>
    <comment ref="F232" authorId="1" shapeId="0" xr:uid="{203575DA-F9B0-4D23-A23F-3367AF5C12C0}">
      <text>
        <r>
          <rPr>
            <sz val="11"/>
            <color theme="1"/>
            <rFont val="Calibri"/>
            <family val="2"/>
            <scheme val="minor"/>
          </rPr>
          <t>Introduzca el código SNIP</t>
        </r>
      </text>
    </comment>
    <comment ref="C233" authorId="1" shapeId="0" xr:uid="{C221E909-41B1-40A7-B9C4-38B21D3612B9}">
      <text>
        <r>
          <rPr>
            <sz val="11"/>
            <color theme="1"/>
            <rFont val="Calibri"/>
            <family val="2"/>
            <scheme val="minor"/>
          </rPr>
          <t>Introduzca la fecha de inicio del proceso, en formato dd-mm-aaaa</t>
        </r>
      </text>
    </comment>
    <comment ref="F233" authorId="1" shapeId="0" xr:uid="{82ECDB88-AD93-4AB2-9ABA-4242B4D831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1" shapeId="0" xr:uid="{C3ADF3C6-9C0C-4226-A189-DD3D90FF008A}">
      <text/>
    </comment>
    <comment ref="C235" authorId="1" shapeId="0" xr:uid="{46F0AD6D-0977-40BF-863E-8C8E6933FD66}">
      <text>
        <r>
          <rPr>
            <sz val="11"/>
            <color theme="1"/>
            <rFont val="Calibri"/>
            <family val="2"/>
            <scheme val="minor"/>
          </rPr>
          <t>Introduzca la fecha prevista de adjudicación, en formato dd-mm-aaaa</t>
        </r>
      </text>
    </comment>
    <comment ref="F235" authorId="1" shapeId="0" xr:uid="{A5F9C31D-D144-4ECE-AF1A-D124A203CFDB}">
      <text/>
    </comment>
    <comment ref="F236" authorId="1" shapeId="0" xr:uid="{21CE1F6B-8042-48A8-94BC-881ACDE4608F}">
      <text/>
    </comment>
    <comment ref="A238" authorId="1" shapeId="0" xr:uid="{38C7CCC5-D302-49D1-86D6-685B12E40CAC}">
      <text>
        <r>
          <rPr>
            <sz val="11"/>
            <color theme="1"/>
            <rFont val="Calibri"/>
            <family val="2"/>
            <scheme val="minor"/>
          </rPr>
          <t>Introduzca un codigo UNSPSC</t>
        </r>
      </text>
    </comment>
    <comment ref="B238" authorId="1" shapeId="0" xr:uid="{87034458-DFA0-4B57-A971-625245E2A06D}">
      <text>
        <r>
          <rPr>
            <sz val="11"/>
            <color theme="1"/>
            <rFont val="Calibri"/>
            <family val="2"/>
            <scheme val="minor"/>
          </rPr>
          <t>Descripción calculada automáticamente a partir de código del artículo</t>
        </r>
      </text>
    </comment>
    <comment ref="C238" authorId="1" shapeId="0" xr:uid="{D6109432-F778-495D-A086-E3B64FFCFD10}">
      <text>
        <r>
          <rPr>
            <sz val="11"/>
            <color theme="1"/>
            <rFont val="Calibri"/>
            <family val="2"/>
            <scheme val="minor"/>
          </rPr>
          <t>Seleccione un valor de la lista</t>
        </r>
      </text>
    </comment>
    <comment ref="D238" authorId="1" shapeId="0" xr:uid="{436B73F1-1DBD-4C2E-BCE1-79835C884301}">
      <text>
        <r>
          <rPr>
            <sz val="11"/>
            <color theme="1"/>
            <rFont val="Calibri"/>
            <family val="2"/>
            <scheme val="minor"/>
          </rPr>
          <t>Introduzca un número con dos decimales como máximo. Debe ser igual o mayor a la "Cantidad Real Consumida"</t>
        </r>
      </text>
    </comment>
    <comment ref="E238" authorId="1" shapeId="0" xr:uid="{170DABB5-0009-4075-8653-1954EE2E581A}">
      <text>
        <r>
          <rPr>
            <sz val="11"/>
            <color theme="1"/>
            <rFont val="Calibri"/>
            <family val="2"/>
            <scheme val="minor"/>
          </rPr>
          <t>Introduzca un número con dos decimales como máximo</t>
        </r>
      </text>
    </comment>
    <comment ref="F238" authorId="1" shapeId="0" xr:uid="{9516C6C8-6C3E-4524-917B-9B83FEAE1949}">
      <text>
        <r>
          <rPr>
            <sz val="11"/>
            <color theme="1"/>
            <rFont val="Calibri"/>
            <family val="2"/>
            <scheme val="minor"/>
          </rPr>
          <t>Monto calculado automáticamente por el sistema</t>
        </r>
      </text>
    </comment>
    <comment ref="A243" authorId="1" shapeId="0" xr:uid="{D676D807-67AE-4C3C-BE6E-C3BF241842D4}">
      <text>
        <r>
          <rPr>
            <sz val="11"/>
            <color theme="1"/>
            <rFont val="Calibri"/>
            <family val="2"/>
            <scheme val="minor"/>
          </rPr>
          <t>Introducir un texto con el nombre o referencia de la contratación</t>
        </r>
      </text>
    </comment>
    <comment ref="B243" authorId="1" shapeId="0" xr:uid="{9B5FDF38-93CF-4D43-8EB5-A09C63CF9AF1}">
      <text>
        <r>
          <rPr>
            <sz val="11"/>
            <color theme="1"/>
            <rFont val="Calibri"/>
            <family val="2"/>
            <scheme val="minor"/>
          </rPr>
          <t>Introduzca un texto con la finalidad de la contratación</t>
        </r>
      </text>
    </comment>
    <comment ref="C243" authorId="1" shapeId="0" xr:uid="{D3A4902F-15C1-43D5-8B6E-32679DCCD8A9}">
      <text>
        <r>
          <rPr>
            <sz val="11"/>
            <color theme="1"/>
            <rFont val="Calibri"/>
            <family val="2"/>
            <scheme val="minor"/>
          </rPr>
          <t>Seleccionar un valor del listado</t>
        </r>
      </text>
    </comment>
    <comment ref="D243" authorId="1" shapeId="0" xr:uid="{3D981D10-BABC-4F1F-A541-29D9675C3EDC}">
      <text>
        <r>
          <rPr>
            <sz val="11"/>
            <color theme="1"/>
            <rFont val="Calibri"/>
            <family val="2"/>
            <scheme val="minor"/>
          </rPr>
          <t>Seleccione el tipo de procedimiento</t>
        </r>
      </text>
    </comment>
    <comment ref="E243" authorId="1" shapeId="0" xr:uid="{B0729577-46F6-4DDD-9988-CC74A5F074DB}">
      <text>
        <r>
          <rPr>
            <sz val="11"/>
            <color theme="1"/>
            <rFont val="Calibri"/>
            <family val="2"/>
            <scheme val="minor"/>
          </rPr>
          <t>Seleccione un valor de la lista</t>
        </r>
      </text>
    </comment>
    <comment ref="F243" authorId="1" shapeId="0" xr:uid="{24FF7D9A-3003-4B2E-8EB6-CAE937EDB0F4}">
      <text>
        <r>
          <rPr>
            <sz val="11"/>
            <color theme="1"/>
            <rFont val="Calibri"/>
            <family val="2"/>
            <scheme val="minor"/>
          </rPr>
          <t>Introduzca el código SNIP</t>
        </r>
      </text>
    </comment>
    <comment ref="C244" authorId="1" shapeId="0" xr:uid="{F9CF5AF9-99E8-4152-BF29-5542835F6B44}">
      <text>
        <r>
          <rPr>
            <sz val="11"/>
            <color theme="1"/>
            <rFont val="Calibri"/>
            <family val="2"/>
            <scheme val="minor"/>
          </rPr>
          <t>Introduzca la fecha de inicio del proceso, en formato dd-mm-aaaa</t>
        </r>
      </text>
    </comment>
    <comment ref="F244" authorId="1" shapeId="0" xr:uid="{934374C6-8C06-4CC0-A706-971FAF4365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xr:uid="{5C13251D-8CB1-4B95-94A2-E43B718C29D5}">
      <text/>
    </comment>
    <comment ref="C246" authorId="1" shapeId="0" xr:uid="{8411EAC4-EC8C-48B1-BDCA-CD8DED0E31B2}">
      <text>
        <r>
          <rPr>
            <sz val="11"/>
            <color theme="1"/>
            <rFont val="Calibri"/>
            <family val="2"/>
            <scheme val="minor"/>
          </rPr>
          <t>Introduzca la fecha prevista de adjudicación, en formato dd-mm-aaaa</t>
        </r>
      </text>
    </comment>
    <comment ref="F246" authorId="1" shapeId="0" xr:uid="{BAB24D67-1C63-417B-8B89-44D754511935}">
      <text/>
    </comment>
    <comment ref="F247" authorId="1" shapeId="0" xr:uid="{F32B3FB1-8664-4D86-8408-6CE7F8B87301}">
      <text/>
    </comment>
    <comment ref="A249" authorId="1" shapeId="0" xr:uid="{D1EF438E-7700-4B64-AFA8-07141D1EED71}">
      <text>
        <r>
          <rPr>
            <sz val="11"/>
            <color theme="1"/>
            <rFont val="Calibri"/>
            <family val="2"/>
            <scheme val="minor"/>
          </rPr>
          <t>Introduzca un codigo UNSPSC</t>
        </r>
      </text>
    </comment>
    <comment ref="B249" authorId="1" shapeId="0" xr:uid="{56D831C7-62B6-40DF-A5FF-CA29B988A640}">
      <text>
        <r>
          <rPr>
            <sz val="11"/>
            <color theme="1"/>
            <rFont val="Calibri"/>
            <family val="2"/>
            <scheme val="minor"/>
          </rPr>
          <t>Descripción calculada automáticamente a partir de código del artículo</t>
        </r>
      </text>
    </comment>
    <comment ref="C249" authorId="1" shapeId="0" xr:uid="{30EBD89F-DB5B-4975-9E95-A65B25BBADEE}">
      <text>
        <r>
          <rPr>
            <sz val="11"/>
            <color theme="1"/>
            <rFont val="Calibri"/>
            <family val="2"/>
            <scheme val="minor"/>
          </rPr>
          <t>Seleccione un valor de la lista</t>
        </r>
      </text>
    </comment>
    <comment ref="D249" authorId="1" shapeId="0" xr:uid="{B2AA0856-DA47-43E2-8DA1-4BFAE54E6628}">
      <text>
        <r>
          <rPr>
            <sz val="11"/>
            <color theme="1"/>
            <rFont val="Calibri"/>
            <family val="2"/>
            <scheme val="minor"/>
          </rPr>
          <t>Introduzca un número con dos decimales como máximo. Debe ser igual o mayor a la "Cantidad Real Consumida"</t>
        </r>
      </text>
    </comment>
    <comment ref="E249" authorId="1" shapeId="0" xr:uid="{CB2907E1-6CFE-46E3-985F-F0C76B1A045F}">
      <text>
        <r>
          <rPr>
            <sz val="11"/>
            <color theme="1"/>
            <rFont val="Calibri"/>
            <family val="2"/>
            <scheme val="minor"/>
          </rPr>
          <t>Introduzca un número con dos decimales como máximo</t>
        </r>
      </text>
    </comment>
    <comment ref="F249" authorId="1" shapeId="0" xr:uid="{6F6ACA2D-E5F2-43C2-AFFE-7C1C3C12D762}">
      <text>
        <r>
          <rPr>
            <sz val="11"/>
            <color theme="1"/>
            <rFont val="Calibri"/>
            <family val="2"/>
            <scheme val="minor"/>
          </rPr>
          <t>Monto calculado automáticamente por el sistema</t>
        </r>
      </text>
    </comment>
    <comment ref="A254" authorId="1" shapeId="0" xr:uid="{1C1F5555-1EE7-498E-82CF-4EBF0C045B2F}">
      <text>
        <r>
          <rPr>
            <sz val="11"/>
            <color theme="1"/>
            <rFont val="Calibri"/>
            <family val="2"/>
            <scheme val="minor"/>
          </rPr>
          <t>Introducir un texto con el nombre o referencia de la contratación</t>
        </r>
      </text>
    </comment>
    <comment ref="B254" authorId="1" shapeId="0" xr:uid="{66426566-49CC-4147-9159-7B5239C1DAEF}">
      <text>
        <r>
          <rPr>
            <sz val="11"/>
            <color theme="1"/>
            <rFont val="Calibri"/>
            <family val="2"/>
            <scheme val="minor"/>
          </rPr>
          <t>Introduzca un texto con la finalidad de la contratación</t>
        </r>
      </text>
    </comment>
    <comment ref="C254" authorId="1" shapeId="0" xr:uid="{6300C800-676A-4251-A5AD-25A48ED84380}">
      <text>
        <r>
          <rPr>
            <sz val="11"/>
            <color theme="1"/>
            <rFont val="Calibri"/>
            <family val="2"/>
            <scheme val="minor"/>
          </rPr>
          <t>Seleccionar un valor del listado</t>
        </r>
      </text>
    </comment>
    <comment ref="D254" authorId="1" shapeId="0" xr:uid="{D4F33005-A9AC-484D-909E-A0F06508C3FC}">
      <text>
        <r>
          <rPr>
            <sz val="11"/>
            <color theme="1"/>
            <rFont val="Calibri"/>
            <family val="2"/>
            <scheme val="minor"/>
          </rPr>
          <t>Seleccione el tipo de procedimiento</t>
        </r>
      </text>
    </comment>
    <comment ref="E254" authorId="1" shapeId="0" xr:uid="{C5DF1B49-FFA9-41E5-9EE4-CDEB544019DB}">
      <text>
        <r>
          <rPr>
            <sz val="11"/>
            <color theme="1"/>
            <rFont val="Calibri"/>
            <family val="2"/>
            <scheme val="minor"/>
          </rPr>
          <t>Seleccione un valor de la lista</t>
        </r>
      </text>
    </comment>
    <comment ref="F254" authorId="1" shapeId="0" xr:uid="{C6489889-4D31-4514-ABC5-3C33501A56E7}">
      <text>
        <r>
          <rPr>
            <sz val="11"/>
            <color theme="1"/>
            <rFont val="Calibri"/>
            <family val="2"/>
            <scheme val="minor"/>
          </rPr>
          <t>Introduzca el código SNIP</t>
        </r>
      </text>
    </comment>
    <comment ref="C255" authorId="1" shapeId="0" xr:uid="{5104E623-39A5-4BF3-BE53-0D2D1E953671}">
      <text>
        <r>
          <rPr>
            <sz val="11"/>
            <color theme="1"/>
            <rFont val="Calibri"/>
            <family val="2"/>
            <scheme val="minor"/>
          </rPr>
          <t>Introduzca la fecha de inicio del proceso, en formato dd-mm-aaaa</t>
        </r>
      </text>
    </comment>
    <comment ref="F255" authorId="1" shapeId="0" xr:uid="{E2271F97-6045-4DE1-B851-EF3821FD8B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xr:uid="{50EE87A3-56C2-410B-87C6-CE6DB824782C}">
      <text/>
    </comment>
    <comment ref="C257" authorId="1" shapeId="0" xr:uid="{C6436870-5314-4FAD-A677-A56FC4FD68A0}">
      <text>
        <r>
          <rPr>
            <sz val="11"/>
            <color theme="1"/>
            <rFont val="Calibri"/>
            <family val="2"/>
            <scheme val="minor"/>
          </rPr>
          <t>Introduzca la fecha prevista de adjudicación, en formato dd-mm-aaaa</t>
        </r>
      </text>
    </comment>
    <comment ref="F257" authorId="1" shapeId="0" xr:uid="{8EDD557F-F5D8-4761-81D0-179868E3A789}">
      <text/>
    </comment>
    <comment ref="F258" authorId="1" shapeId="0" xr:uid="{62AD566C-48F5-48C6-90FA-49068BA6637E}">
      <text/>
    </comment>
    <comment ref="A260" authorId="1" shapeId="0" xr:uid="{FC40CBF1-1CFF-457A-9E49-E31802B81D62}">
      <text>
        <r>
          <rPr>
            <sz val="11"/>
            <color theme="1"/>
            <rFont val="Calibri"/>
            <family val="2"/>
            <scheme val="minor"/>
          </rPr>
          <t>Introduzca un codigo UNSPSC</t>
        </r>
      </text>
    </comment>
    <comment ref="B260" authorId="1" shapeId="0" xr:uid="{D4B6FE66-71BE-4444-957C-A0E082CE3C6E}">
      <text>
        <r>
          <rPr>
            <sz val="11"/>
            <color theme="1"/>
            <rFont val="Calibri"/>
            <family val="2"/>
            <scheme val="minor"/>
          </rPr>
          <t>Descripción calculada automáticamente a partir de código del artículo</t>
        </r>
      </text>
    </comment>
    <comment ref="C260" authorId="1" shapeId="0" xr:uid="{A5CA83A6-EB2A-4938-BEAF-4E25E26863BE}">
      <text>
        <r>
          <rPr>
            <sz val="11"/>
            <color theme="1"/>
            <rFont val="Calibri"/>
            <family val="2"/>
            <scheme val="minor"/>
          </rPr>
          <t>Seleccione un valor de la lista</t>
        </r>
      </text>
    </comment>
    <comment ref="D260" authorId="1" shapeId="0" xr:uid="{7CE10149-8C34-4072-9A65-B8BDF59B8A01}">
      <text>
        <r>
          <rPr>
            <sz val="11"/>
            <color theme="1"/>
            <rFont val="Calibri"/>
            <family val="2"/>
            <scheme val="minor"/>
          </rPr>
          <t>Introduzca un número con dos decimales como máximo. Debe ser igual o mayor a la "Cantidad Real Consumida"</t>
        </r>
      </text>
    </comment>
    <comment ref="E260" authorId="1" shapeId="0" xr:uid="{1F4367F7-054A-4D5F-88E3-4A0DF1CBCC47}">
      <text>
        <r>
          <rPr>
            <sz val="11"/>
            <color theme="1"/>
            <rFont val="Calibri"/>
            <family val="2"/>
            <scheme val="minor"/>
          </rPr>
          <t>Introduzca un número con dos decimales como máximo</t>
        </r>
      </text>
    </comment>
    <comment ref="F260" authorId="1" shapeId="0" xr:uid="{8DA9ED5C-C7F2-46B5-8B30-6B3002571769}">
      <text>
        <r>
          <rPr>
            <sz val="11"/>
            <color theme="1"/>
            <rFont val="Calibri"/>
            <family val="2"/>
            <scheme val="minor"/>
          </rPr>
          <t>Monto calculado automáticamente por el sistema</t>
        </r>
      </text>
    </comment>
    <comment ref="A266" authorId="1" shapeId="0" xr:uid="{587F933E-36FA-4143-95B5-48B1368FFD1A}">
      <text>
        <r>
          <rPr>
            <sz val="11"/>
            <color theme="1"/>
            <rFont val="Calibri"/>
            <family val="2"/>
            <scheme val="minor"/>
          </rPr>
          <t>Introducir un texto con el nombre o referencia de la contratación</t>
        </r>
      </text>
    </comment>
    <comment ref="B266" authorId="1" shapeId="0" xr:uid="{A9F21777-F4BD-4B21-884E-99BB932BC378}">
      <text>
        <r>
          <rPr>
            <sz val="11"/>
            <color theme="1"/>
            <rFont val="Calibri"/>
            <family val="2"/>
            <scheme val="minor"/>
          </rPr>
          <t>Introduzca un texto con la finalidad de la contratación</t>
        </r>
      </text>
    </comment>
    <comment ref="C266" authorId="1" shapeId="0" xr:uid="{400DCE5D-056A-4B94-8088-91E7594F3BA2}">
      <text>
        <r>
          <rPr>
            <sz val="11"/>
            <color theme="1"/>
            <rFont val="Calibri"/>
            <family val="2"/>
            <scheme val="minor"/>
          </rPr>
          <t>Seleccionar un valor del listado</t>
        </r>
      </text>
    </comment>
    <comment ref="D266" authorId="1" shapeId="0" xr:uid="{45A6749D-855E-4153-9CA7-0A8F2E741E07}">
      <text>
        <r>
          <rPr>
            <sz val="11"/>
            <color theme="1"/>
            <rFont val="Calibri"/>
            <family val="2"/>
            <scheme val="minor"/>
          </rPr>
          <t>Seleccione el tipo de procedimiento</t>
        </r>
      </text>
    </comment>
    <comment ref="E266" authorId="1" shapeId="0" xr:uid="{B6DDD896-084C-42BF-BAE0-54F443765E28}">
      <text>
        <r>
          <rPr>
            <sz val="11"/>
            <color theme="1"/>
            <rFont val="Calibri"/>
            <family val="2"/>
            <scheme val="minor"/>
          </rPr>
          <t>Seleccione un valor de la lista</t>
        </r>
      </text>
    </comment>
    <comment ref="F266" authorId="1" shapeId="0" xr:uid="{AB075EF7-B094-4703-9CCE-7C93AFBC5EA0}">
      <text>
        <r>
          <rPr>
            <sz val="11"/>
            <color theme="1"/>
            <rFont val="Calibri"/>
            <family val="2"/>
            <scheme val="minor"/>
          </rPr>
          <t>Introduzca el código SNIP</t>
        </r>
      </text>
    </comment>
    <comment ref="C267" authorId="1" shapeId="0" xr:uid="{A6D6A5BC-A698-4F60-BF19-2F52EABB490A}">
      <text>
        <r>
          <rPr>
            <sz val="11"/>
            <color theme="1"/>
            <rFont val="Calibri"/>
            <family val="2"/>
            <scheme val="minor"/>
          </rPr>
          <t>Introduzca la fecha de inicio del proceso, en formato dd-mm-aaaa</t>
        </r>
      </text>
    </comment>
    <comment ref="F267" authorId="1" shapeId="0" xr:uid="{559E70E9-635C-4142-9C43-B2EF0ECB814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1" shapeId="0" xr:uid="{5F6EE521-EE8C-4E19-BF16-84098532197B}">
      <text/>
    </comment>
    <comment ref="C269" authorId="1" shapeId="0" xr:uid="{768E000A-5239-4253-A6F2-5692F4E1C1D3}">
      <text>
        <r>
          <rPr>
            <sz val="11"/>
            <color theme="1"/>
            <rFont val="Calibri"/>
            <family val="2"/>
            <scheme val="minor"/>
          </rPr>
          <t>Introduzca la fecha prevista de adjudicación, en formato dd-mm-aaaa</t>
        </r>
      </text>
    </comment>
    <comment ref="F269" authorId="1" shapeId="0" xr:uid="{CA4C16D9-6592-4CA6-A40F-71F8D84EB8E6}">
      <text/>
    </comment>
    <comment ref="F270" authorId="1" shapeId="0" xr:uid="{3617FDE8-DD6A-4C73-B23A-7537EA9BB1C3}">
      <text/>
    </comment>
    <comment ref="A272" authorId="1" shapeId="0" xr:uid="{A2D6F37A-5E8F-4FA4-90E7-5691580B75F5}">
      <text>
        <r>
          <rPr>
            <sz val="11"/>
            <color theme="1"/>
            <rFont val="Calibri"/>
            <family val="2"/>
            <scheme val="minor"/>
          </rPr>
          <t>Introduzca un codigo UNSPSC</t>
        </r>
      </text>
    </comment>
    <comment ref="B272" authorId="1" shapeId="0" xr:uid="{A219B703-7032-4D1C-B54D-E1A05DAEE7AA}">
      <text>
        <r>
          <rPr>
            <sz val="11"/>
            <color theme="1"/>
            <rFont val="Calibri"/>
            <family val="2"/>
            <scheme val="minor"/>
          </rPr>
          <t>Descripción calculada automáticamente a partir de código del artículo</t>
        </r>
      </text>
    </comment>
    <comment ref="C272" authorId="1" shapeId="0" xr:uid="{71AD433D-65DE-4776-A47E-18A0D5573B77}">
      <text>
        <r>
          <rPr>
            <sz val="11"/>
            <color theme="1"/>
            <rFont val="Calibri"/>
            <family val="2"/>
            <scheme val="minor"/>
          </rPr>
          <t>Seleccione un valor de la lista</t>
        </r>
      </text>
    </comment>
    <comment ref="D272" authorId="1" shapeId="0" xr:uid="{4C51C8EB-A307-4B85-A6F5-22913D3A0ADE}">
      <text>
        <r>
          <rPr>
            <sz val="11"/>
            <color theme="1"/>
            <rFont val="Calibri"/>
            <family val="2"/>
            <scheme val="minor"/>
          </rPr>
          <t>Introduzca un número con dos decimales como máximo. Debe ser igual o mayor a la "Cantidad Real Consumida"</t>
        </r>
      </text>
    </comment>
    <comment ref="E272" authorId="1" shapeId="0" xr:uid="{81850EC4-62F8-4A19-BD12-5B6874F5F03E}">
      <text>
        <r>
          <rPr>
            <sz val="11"/>
            <color theme="1"/>
            <rFont val="Calibri"/>
            <family val="2"/>
            <scheme val="minor"/>
          </rPr>
          <t>Introduzca un número con dos decimales como máximo</t>
        </r>
      </text>
    </comment>
    <comment ref="F272" authorId="1" shapeId="0" xr:uid="{8AA26F9E-648F-4178-B4D1-155830491863}">
      <text>
        <r>
          <rPr>
            <sz val="11"/>
            <color theme="1"/>
            <rFont val="Calibri"/>
            <family val="2"/>
            <scheme val="minor"/>
          </rPr>
          <t>Monto calculado automáticamente por el sistema</t>
        </r>
      </text>
    </comment>
    <comment ref="A277" authorId="1" shapeId="0" xr:uid="{1ECC03A5-DDDF-4AE9-AA41-70C59AF5ACC5}">
      <text>
        <r>
          <rPr>
            <sz val="11"/>
            <color theme="1"/>
            <rFont val="Calibri"/>
            <family val="2"/>
            <scheme val="minor"/>
          </rPr>
          <t>Introducir un texto con el nombre o referencia de la contratación</t>
        </r>
      </text>
    </comment>
    <comment ref="B277" authorId="1" shapeId="0" xr:uid="{241E8B8D-657B-4185-A4EE-2505187F5037}">
      <text>
        <r>
          <rPr>
            <sz val="11"/>
            <color theme="1"/>
            <rFont val="Calibri"/>
            <family val="2"/>
            <scheme val="minor"/>
          </rPr>
          <t>Introduzca un texto con la finalidad de la contratación</t>
        </r>
      </text>
    </comment>
    <comment ref="C277" authorId="1" shapeId="0" xr:uid="{F75F72D2-92AF-4B28-911D-D3AC96790D39}">
      <text>
        <r>
          <rPr>
            <sz val="11"/>
            <color theme="1"/>
            <rFont val="Calibri"/>
            <family val="2"/>
            <scheme val="minor"/>
          </rPr>
          <t>Seleccionar un valor del listado</t>
        </r>
      </text>
    </comment>
    <comment ref="D277" authorId="1" shapeId="0" xr:uid="{AA4E3649-92AD-4407-A7D8-E948EA44AE22}">
      <text>
        <r>
          <rPr>
            <sz val="11"/>
            <color theme="1"/>
            <rFont val="Calibri"/>
            <family val="2"/>
            <scheme val="minor"/>
          </rPr>
          <t>Seleccione el tipo de procedimiento</t>
        </r>
      </text>
    </comment>
    <comment ref="E277" authorId="1" shapeId="0" xr:uid="{379782C4-2A9F-4994-9093-B924AA36950B}">
      <text>
        <r>
          <rPr>
            <sz val="11"/>
            <color theme="1"/>
            <rFont val="Calibri"/>
            <family val="2"/>
            <scheme val="minor"/>
          </rPr>
          <t>Seleccione un valor de la lista</t>
        </r>
      </text>
    </comment>
    <comment ref="F277" authorId="1" shapeId="0" xr:uid="{965A07CC-65E8-4CFA-895A-360AAC09746B}">
      <text>
        <r>
          <rPr>
            <sz val="11"/>
            <color theme="1"/>
            <rFont val="Calibri"/>
            <family val="2"/>
            <scheme val="minor"/>
          </rPr>
          <t>Introduzca el código SNIP</t>
        </r>
      </text>
    </comment>
    <comment ref="C278" authorId="1" shapeId="0" xr:uid="{D10F7235-7640-4558-8BC6-FEB2C494F00C}">
      <text>
        <r>
          <rPr>
            <sz val="11"/>
            <color theme="1"/>
            <rFont val="Calibri"/>
            <family val="2"/>
            <scheme val="minor"/>
          </rPr>
          <t>Introduzca la fecha de inicio del proceso, en formato dd-mm-aaaa</t>
        </r>
      </text>
    </comment>
    <comment ref="F278" authorId="1" shapeId="0" xr:uid="{D12B0C33-F53E-4EFA-B971-F3B332757C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 authorId="1" shapeId="0" xr:uid="{B27C9E03-01C2-4845-8D02-0FCC9B6ED218}">
      <text/>
    </comment>
    <comment ref="C280" authorId="1" shapeId="0" xr:uid="{64D84345-AA8F-48FE-8C41-099AD66E2090}">
      <text>
        <r>
          <rPr>
            <sz val="11"/>
            <color theme="1"/>
            <rFont val="Calibri"/>
            <family val="2"/>
            <scheme val="minor"/>
          </rPr>
          <t>Introduzca la fecha prevista de adjudicación, en formato dd-mm-aaaa</t>
        </r>
      </text>
    </comment>
    <comment ref="F280" authorId="1" shapeId="0" xr:uid="{60E693C6-C7A9-42AA-94C0-5E86854C64EB}">
      <text/>
    </comment>
    <comment ref="F281" authorId="1" shapeId="0" xr:uid="{0D56BB47-5AC9-4617-A2D9-2C626DEBEF75}">
      <text/>
    </comment>
    <comment ref="A283" authorId="1" shapeId="0" xr:uid="{3629B11F-2296-4C9F-A531-C21444A8D39E}">
      <text>
        <r>
          <rPr>
            <sz val="11"/>
            <color theme="1"/>
            <rFont val="Calibri"/>
            <family val="2"/>
            <scheme val="minor"/>
          </rPr>
          <t>Introduzca un codigo UNSPSC</t>
        </r>
      </text>
    </comment>
    <comment ref="B283" authorId="1" shapeId="0" xr:uid="{A6CB15D8-DCED-4E07-9ED3-AD454868F14A}">
      <text>
        <r>
          <rPr>
            <sz val="11"/>
            <color theme="1"/>
            <rFont val="Calibri"/>
            <family val="2"/>
            <scheme val="minor"/>
          </rPr>
          <t>Descripción calculada automáticamente a partir de código del artículo</t>
        </r>
      </text>
    </comment>
    <comment ref="C283" authorId="1" shapeId="0" xr:uid="{458EF63E-FCF3-48E6-9F54-FE16CDFC9156}">
      <text>
        <r>
          <rPr>
            <sz val="11"/>
            <color theme="1"/>
            <rFont val="Calibri"/>
            <family val="2"/>
            <scheme val="minor"/>
          </rPr>
          <t>Seleccione un valor de la lista</t>
        </r>
      </text>
    </comment>
    <comment ref="D283" authorId="1" shapeId="0" xr:uid="{954AB4D5-1ECD-4301-85FD-113B15CF9884}">
      <text>
        <r>
          <rPr>
            <sz val="11"/>
            <color theme="1"/>
            <rFont val="Calibri"/>
            <family val="2"/>
            <scheme val="minor"/>
          </rPr>
          <t>Introduzca un número con dos decimales como máximo. Debe ser igual o mayor a la "Cantidad Real Consumida"</t>
        </r>
      </text>
    </comment>
    <comment ref="E283" authorId="1" shapeId="0" xr:uid="{BBEEF9FF-2408-4B46-911C-E2C9036EE0C3}">
      <text>
        <r>
          <rPr>
            <sz val="11"/>
            <color theme="1"/>
            <rFont val="Calibri"/>
            <family val="2"/>
            <scheme val="minor"/>
          </rPr>
          <t>Introduzca un número con dos decimales como máximo</t>
        </r>
      </text>
    </comment>
    <comment ref="F283" authorId="1" shapeId="0" xr:uid="{DD96D250-588C-4FB1-87B5-787584B6CD87}">
      <text>
        <r>
          <rPr>
            <sz val="11"/>
            <color theme="1"/>
            <rFont val="Calibri"/>
            <family val="2"/>
            <scheme val="minor"/>
          </rPr>
          <t>Monto calculado automáticamente por el sistema</t>
        </r>
      </text>
    </comment>
    <comment ref="A289" authorId="1" shapeId="0" xr:uid="{3EA580A0-7032-43CE-908D-A851B140DEA1}">
      <text>
        <r>
          <rPr>
            <sz val="11"/>
            <color theme="1"/>
            <rFont val="Calibri"/>
            <family val="2"/>
            <scheme val="minor"/>
          </rPr>
          <t>Introducir un texto con el nombre o referencia de la contratación</t>
        </r>
      </text>
    </comment>
    <comment ref="B289" authorId="1" shapeId="0" xr:uid="{8335291E-49FF-4B19-B966-6679CFC441EB}">
      <text>
        <r>
          <rPr>
            <sz val="11"/>
            <color theme="1"/>
            <rFont val="Calibri"/>
            <family val="2"/>
            <scheme val="minor"/>
          </rPr>
          <t>Introduzca un texto con la finalidad de la contratación</t>
        </r>
      </text>
    </comment>
    <comment ref="C289" authorId="1" shapeId="0" xr:uid="{B577D0C8-A0E2-425D-ADE0-F9AF8F7BBA4B}">
      <text>
        <r>
          <rPr>
            <sz val="11"/>
            <color theme="1"/>
            <rFont val="Calibri"/>
            <family val="2"/>
            <scheme val="minor"/>
          </rPr>
          <t>Seleccionar un valor del listado</t>
        </r>
      </text>
    </comment>
    <comment ref="D289" authorId="1" shapeId="0" xr:uid="{8857B0BC-EC2E-441B-A463-B4B288552063}">
      <text>
        <r>
          <rPr>
            <sz val="11"/>
            <color theme="1"/>
            <rFont val="Calibri"/>
            <family val="2"/>
            <scheme val="minor"/>
          </rPr>
          <t>Seleccione el tipo de procedimiento</t>
        </r>
      </text>
    </comment>
    <comment ref="E289" authorId="1" shapeId="0" xr:uid="{1CEC67BC-75CA-4AA9-94E5-47C7C644589F}">
      <text>
        <r>
          <rPr>
            <sz val="11"/>
            <color theme="1"/>
            <rFont val="Calibri"/>
            <family val="2"/>
            <scheme val="minor"/>
          </rPr>
          <t>Seleccione un valor de la lista</t>
        </r>
      </text>
    </comment>
    <comment ref="F289" authorId="1" shapeId="0" xr:uid="{DA210700-A367-49A2-8398-448B22DC9E52}">
      <text>
        <r>
          <rPr>
            <sz val="11"/>
            <color theme="1"/>
            <rFont val="Calibri"/>
            <family val="2"/>
            <scheme val="minor"/>
          </rPr>
          <t>Introduzca el código SNIP</t>
        </r>
      </text>
    </comment>
    <comment ref="C290" authorId="1" shapeId="0" xr:uid="{1822CEC0-7713-4CA5-9945-58DF812412C3}">
      <text>
        <r>
          <rPr>
            <sz val="11"/>
            <color theme="1"/>
            <rFont val="Calibri"/>
            <family val="2"/>
            <scheme val="minor"/>
          </rPr>
          <t>Introduzca la fecha de inicio del proceso, en formato dd-mm-aaaa</t>
        </r>
      </text>
    </comment>
    <comment ref="F290" authorId="1" shapeId="0" xr:uid="{F19E971D-FFBD-4FD7-B656-DF037F3C58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 authorId="1" shapeId="0" xr:uid="{F5819F07-8BBF-4961-ADDB-71AE3DB1C043}">
      <text/>
    </comment>
    <comment ref="C292" authorId="1" shapeId="0" xr:uid="{3AF5A786-1C63-40E2-BE75-AB95CCBEAB49}">
      <text>
        <r>
          <rPr>
            <sz val="11"/>
            <color theme="1"/>
            <rFont val="Calibri"/>
            <family val="2"/>
            <scheme val="minor"/>
          </rPr>
          <t>Introduzca la fecha prevista de adjudicación, en formato dd-mm-aaaa</t>
        </r>
      </text>
    </comment>
    <comment ref="F292" authorId="1" shapeId="0" xr:uid="{6D005215-F7FE-4821-9105-546D4D5DDC5B}">
      <text/>
    </comment>
    <comment ref="F293" authorId="1" shapeId="0" xr:uid="{DB64E883-1A72-4F27-90EF-DB1FC36F034F}">
      <text/>
    </comment>
    <comment ref="A295" authorId="1" shapeId="0" xr:uid="{0C05A5DC-DB85-4CB7-985F-B9C124577471}">
      <text>
        <r>
          <rPr>
            <sz val="11"/>
            <color theme="1"/>
            <rFont val="Calibri"/>
            <family val="2"/>
            <scheme val="minor"/>
          </rPr>
          <t>Introduzca un codigo UNSPSC</t>
        </r>
      </text>
    </comment>
    <comment ref="B295" authorId="1" shapeId="0" xr:uid="{D54926AD-D857-4DCA-92A0-3A3C08B45FBD}">
      <text>
        <r>
          <rPr>
            <sz val="11"/>
            <color theme="1"/>
            <rFont val="Calibri"/>
            <family val="2"/>
            <scheme val="minor"/>
          </rPr>
          <t>Descripción calculada automáticamente a partir de código del artículo</t>
        </r>
      </text>
    </comment>
    <comment ref="C295" authorId="1" shapeId="0" xr:uid="{997173F4-5411-468A-A665-FC25DE57C44A}">
      <text>
        <r>
          <rPr>
            <sz val="11"/>
            <color theme="1"/>
            <rFont val="Calibri"/>
            <family val="2"/>
            <scheme val="minor"/>
          </rPr>
          <t>Seleccione un valor de la lista</t>
        </r>
      </text>
    </comment>
    <comment ref="D295" authorId="1" shapeId="0" xr:uid="{2EFDAF45-4F9D-4045-BC83-83188FFEA3BD}">
      <text>
        <r>
          <rPr>
            <sz val="11"/>
            <color theme="1"/>
            <rFont val="Calibri"/>
            <family val="2"/>
            <scheme val="minor"/>
          </rPr>
          <t>Introduzca un número con dos decimales como máximo. Debe ser igual o mayor a la "Cantidad Real Consumida"</t>
        </r>
      </text>
    </comment>
    <comment ref="E295" authorId="1" shapeId="0" xr:uid="{A845D926-9784-45F1-8BAB-ACF327CCA097}">
      <text>
        <r>
          <rPr>
            <sz val="11"/>
            <color theme="1"/>
            <rFont val="Calibri"/>
            <family val="2"/>
            <scheme val="minor"/>
          </rPr>
          <t>Introduzca un número con dos decimales como máximo</t>
        </r>
      </text>
    </comment>
    <comment ref="F295" authorId="1" shapeId="0" xr:uid="{B2FB92C5-119C-4B61-8DDE-E215F8CDE5EE}">
      <text>
        <r>
          <rPr>
            <sz val="11"/>
            <color theme="1"/>
            <rFont val="Calibri"/>
            <family val="2"/>
            <scheme val="minor"/>
          </rPr>
          <t>Monto calculado automáticamente por el sistema</t>
        </r>
      </text>
    </comment>
    <comment ref="A301" authorId="1" shapeId="0" xr:uid="{41B7F0A2-29F8-42F9-8FCD-24170956280B}">
      <text>
        <r>
          <rPr>
            <sz val="11"/>
            <color theme="1"/>
            <rFont val="Calibri"/>
            <family val="2"/>
            <scheme val="minor"/>
          </rPr>
          <t>Introducir un texto con el nombre o referencia de la contratación</t>
        </r>
      </text>
    </comment>
    <comment ref="B301" authorId="1" shapeId="0" xr:uid="{45DCD6FD-BFD3-4386-A740-14F42FDEA6E7}">
      <text>
        <r>
          <rPr>
            <sz val="11"/>
            <color theme="1"/>
            <rFont val="Calibri"/>
            <family val="2"/>
            <scheme val="minor"/>
          </rPr>
          <t>Introduzca un texto con la finalidad de la contratación</t>
        </r>
      </text>
    </comment>
    <comment ref="C301" authorId="1" shapeId="0" xr:uid="{311CC2A2-DE2F-499A-B71E-EE8B06E6BCDC}">
      <text>
        <r>
          <rPr>
            <sz val="11"/>
            <color theme="1"/>
            <rFont val="Calibri"/>
            <family val="2"/>
            <scheme val="minor"/>
          </rPr>
          <t>Seleccionar un valor del listado</t>
        </r>
      </text>
    </comment>
    <comment ref="D301" authorId="1" shapeId="0" xr:uid="{4ED80BB1-D733-469D-92C7-7C0611A33338}">
      <text>
        <r>
          <rPr>
            <sz val="11"/>
            <color theme="1"/>
            <rFont val="Calibri"/>
            <family val="2"/>
            <scheme val="minor"/>
          </rPr>
          <t>Seleccione el tipo de procedimiento</t>
        </r>
      </text>
    </comment>
    <comment ref="E301" authorId="1" shapeId="0" xr:uid="{8C33691D-CC31-4758-97E6-2781AE65D711}">
      <text>
        <r>
          <rPr>
            <sz val="11"/>
            <color theme="1"/>
            <rFont val="Calibri"/>
            <family val="2"/>
            <scheme val="minor"/>
          </rPr>
          <t>Seleccione un valor de la lista</t>
        </r>
      </text>
    </comment>
    <comment ref="F301" authorId="1" shapeId="0" xr:uid="{CDFD565B-39A7-4A22-B035-EFE91D6BC1DF}">
      <text>
        <r>
          <rPr>
            <sz val="11"/>
            <color theme="1"/>
            <rFont val="Calibri"/>
            <family val="2"/>
            <scheme val="minor"/>
          </rPr>
          <t>Introduzca el código SNIP</t>
        </r>
      </text>
    </comment>
    <comment ref="C302" authorId="1" shapeId="0" xr:uid="{58FE978D-32FA-498E-9C01-537D5889C209}">
      <text>
        <r>
          <rPr>
            <sz val="11"/>
            <color theme="1"/>
            <rFont val="Calibri"/>
            <family val="2"/>
            <scheme val="minor"/>
          </rPr>
          <t>Introduzca la fecha de inicio del proceso, en formato dd-mm-aaaa</t>
        </r>
      </text>
    </comment>
    <comment ref="F302" authorId="1" shapeId="0" xr:uid="{3F64E582-03FA-46C9-BF37-37B4BB728E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 authorId="1" shapeId="0" xr:uid="{686C9F48-BB68-45D6-B68D-F71091FB1B4C}">
      <text/>
    </comment>
    <comment ref="C304" authorId="1" shapeId="0" xr:uid="{7D35AF3A-79CE-49EA-A1D3-8A14F5F68D70}">
      <text>
        <r>
          <rPr>
            <sz val="11"/>
            <color theme="1"/>
            <rFont val="Calibri"/>
            <family val="2"/>
            <scheme val="minor"/>
          </rPr>
          <t>Introduzca la fecha prevista de adjudicación, en formato dd-mm-aaaa</t>
        </r>
      </text>
    </comment>
    <comment ref="F304" authorId="1" shapeId="0" xr:uid="{75580680-E05B-4136-8198-3FE4FF0C3519}">
      <text/>
    </comment>
    <comment ref="F305" authorId="1" shapeId="0" xr:uid="{0B759E56-BDAA-4879-A45A-9A11FA205609}">
      <text/>
    </comment>
    <comment ref="A307" authorId="1" shapeId="0" xr:uid="{3CD5F8D0-CE55-441E-B416-B109BBF73CD9}">
      <text>
        <r>
          <rPr>
            <sz val="11"/>
            <color theme="1"/>
            <rFont val="Calibri"/>
            <family val="2"/>
            <scheme val="minor"/>
          </rPr>
          <t>Introduzca un codigo UNSPSC</t>
        </r>
      </text>
    </comment>
    <comment ref="B307" authorId="1" shapeId="0" xr:uid="{58C029EB-36E2-4DB0-8796-F95517691BF1}">
      <text>
        <r>
          <rPr>
            <sz val="11"/>
            <color theme="1"/>
            <rFont val="Calibri"/>
            <family val="2"/>
            <scheme val="minor"/>
          </rPr>
          <t>Descripción calculada automáticamente a partir de código del artículo</t>
        </r>
      </text>
    </comment>
    <comment ref="C307" authorId="1" shapeId="0" xr:uid="{0A9C14AE-683F-4906-8F73-0C58AE6D3B72}">
      <text>
        <r>
          <rPr>
            <sz val="11"/>
            <color theme="1"/>
            <rFont val="Calibri"/>
            <family val="2"/>
            <scheme val="minor"/>
          </rPr>
          <t>Seleccione un valor de la lista</t>
        </r>
      </text>
    </comment>
    <comment ref="D307" authorId="1" shapeId="0" xr:uid="{8229EB25-2A93-41E1-91F4-054BD5A85104}">
      <text>
        <r>
          <rPr>
            <sz val="11"/>
            <color theme="1"/>
            <rFont val="Calibri"/>
            <family val="2"/>
            <scheme val="minor"/>
          </rPr>
          <t>Introduzca un número con dos decimales como máximo. Debe ser igual o mayor a la "Cantidad Real Consumida"</t>
        </r>
      </text>
    </comment>
    <comment ref="E307" authorId="1" shapeId="0" xr:uid="{D42426A1-6C50-4BD2-8BEF-9A5351E1F393}">
      <text>
        <r>
          <rPr>
            <sz val="11"/>
            <color theme="1"/>
            <rFont val="Calibri"/>
            <family val="2"/>
            <scheme val="minor"/>
          </rPr>
          <t>Introduzca un número con dos decimales como máximo</t>
        </r>
      </text>
    </comment>
    <comment ref="F307" authorId="1" shapeId="0" xr:uid="{2C9EF7D7-190E-4A18-A348-9B408E94E73B}">
      <text>
        <r>
          <rPr>
            <sz val="11"/>
            <color theme="1"/>
            <rFont val="Calibri"/>
            <family val="2"/>
            <scheme val="minor"/>
          </rPr>
          <t>Monto calculado automáticamente por el sistema</t>
        </r>
      </text>
    </comment>
    <comment ref="A313" authorId="1" shapeId="0" xr:uid="{986FB3AD-F998-41D3-ABA4-99193F797F0E}">
      <text>
        <r>
          <rPr>
            <sz val="11"/>
            <color theme="1"/>
            <rFont val="Calibri"/>
            <family val="2"/>
            <scheme val="minor"/>
          </rPr>
          <t>Introducir un texto con el nombre o referencia de la contratación</t>
        </r>
      </text>
    </comment>
    <comment ref="B313" authorId="1" shapeId="0" xr:uid="{E05A3E78-92AC-43FF-A594-8288F205FAB9}">
      <text>
        <r>
          <rPr>
            <sz val="11"/>
            <color theme="1"/>
            <rFont val="Calibri"/>
            <family val="2"/>
            <scheme val="minor"/>
          </rPr>
          <t>Introduzca un texto con la finalidad de la contratación</t>
        </r>
      </text>
    </comment>
    <comment ref="C313" authorId="1" shapeId="0" xr:uid="{0289EBC4-3401-4508-8723-0025B27DFF3D}">
      <text>
        <r>
          <rPr>
            <sz val="11"/>
            <color theme="1"/>
            <rFont val="Calibri"/>
            <family val="2"/>
            <scheme val="minor"/>
          </rPr>
          <t>Seleccionar un valor del listado</t>
        </r>
      </text>
    </comment>
    <comment ref="D313" authorId="1" shapeId="0" xr:uid="{06798112-1F6D-4EA0-99AD-F8D6D76282FD}">
      <text>
        <r>
          <rPr>
            <sz val="11"/>
            <color theme="1"/>
            <rFont val="Calibri"/>
            <family val="2"/>
            <scheme val="minor"/>
          </rPr>
          <t>Seleccione el tipo de procedimiento</t>
        </r>
      </text>
    </comment>
    <comment ref="E313" authorId="1" shapeId="0" xr:uid="{38F77D82-59BD-430D-B2D0-654E0A7A9068}">
      <text>
        <r>
          <rPr>
            <sz val="11"/>
            <color theme="1"/>
            <rFont val="Calibri"/>
            <family val="2"/>
            <scheme val="minor"/>
          </rPr>
          <t>Seleccione un valor de la lista</t>
        </r>
      </text>
    </comment>
    <comment ref="F313" authorId="1" shapeId="0" xr:uid="{667719FA-6518-4757-88D4-BC832B728F76}">
      <text>
        <r>
          <rPr>
            <sz val="11"/>
            <color theme="1"/>
            <rFont val="Calibri"/>
            <family val="2"/>
            <scheme val="minor"/>
          </rPr>
          <t>Introduzca el código SNIP</t>
        </r>
      </text>
    </comment>
    <comment ref="C314" authorId="1" shapeId="0" xr:uid="{AA47D1EF-B5BF-4E51-9C9F-13901F469125}">
      <text>
        <r>
          <rPr>
            <sz val="11"/>
            <color theme="1"/>
            <rFont val="Calibri"/>
            <family val="2"/>
            <scheme val="minor"/>
          </rPr>
          <t>Introduzca la fecha de inicio del proceso, en formato dd-mm-aaaa</t>
        </r>
      </text>
    </comment>
    <comment ref="F314" authorId="1" shapeId="0" xr:uid="{6F617BB9-488F-48D7-ADB6-19E0B9D88A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xr:uid="{C94A53A7-958A-4611-BBE8-011BF8B5E5F1}">
      <text/>
    </comment>
    <comment ref="C316" authorId="1" shapeId="0" xr:uid="{84D5BA7A-36AC-4BD1-9E71-00B8112AF20B}">
      <text>
        <r>
          <rPr>
            <sz val="11"/>
            <color theme="1"/>
            <rFont val="Calibri"/>
            <family val="2"/>
            <scheme val="minor"/>
          </rPr>
          <t>Introduzca la fecha prevista de adjudicación, en formato dd-mm-aaaa</t>
        </r>
      </text>
    </comment>
    <comment ref="F316" authorId="1" shapeId="0" xr:uid="{543B387F-A77C-4DF9-8BE1-B69A4A4FCA99}">
      <text/>
    </comment>
    <comment ref="F317" authorId="1" shapeId="0" xr:uid="{9B193913-BCA7-490A-865A-27C8B0810CA4}">
      <text/>
    </comment>
    <comment ref="A319" authorId="1" shapeId="0" xr:uid="{C0ED77C8-85F1-4042-84AB-FB9F395ADEDE}">
      <text>
        <r>
          <rPr>
            <sz val="11"/>
            <color theme="1"/>
            <rFont val="Calibri"/>
            <family val="2"/>
            <scheme val="minor"/>
          </rPr>
          <t>Introduzca un codigo UNSPSC</t>
        </r>
      </text>
    </comment>
    <comment ref="B319" authorId="1" shapeId="0" xr:uid="{C49488F7-4C1E-40BE-8400-EB1EFEDFFBC2}">
      <text>
        <r>
          <rPr>
            <sz val="11"/>
            <color theme="1"/>
            <rFont val="Calibri"/>
            <family val="2"/>
            <scheme val="minor"/>
          </rPr>
          <t>Descripción calculada automáticamente a partir de código del artículo</t>
        </r>
      </text>
    </comment>
    <comment ref="C319" authorId="1" shapeId="0" xr:uid="{18A0F645-7583-4348-B445-1BE43BC25C97}">
      <text>
        <r>
          <rPr>
            <sz val="11"/>
            <color theme="1"/>
            <rFont val="Calibri"/>
            <family val="2"/>
            <scheme val="minor"/>
          </rPr>
          <t>Seleccione un valor de la lista</t>
        </r>
      </text>
    </comment>
    <comment ref="D319" authorId="1" shapeId="0" xr:uid="{691F6722-BD7F-4D0D-BEF4-66224F95057C}">
      <text>
        <r>
          <rPr>
            <sz val="11"/>
            <color theme="1"/>
            <rFont val="Calibri"/>
            <family val="2"/>
            <scheme val="minor"/>
          </rPr>
          <t>Introduzca un número con dos decimales como máximo. Debe ser igual o mayor a la "Cantidad Real Consumida"</t>
        </r>
      </text>
    </comment>
    <comment ref="E319" authorId="1" shapeId="0" xr:uid="{B6209CAB-6B1B-457D-85B3-F7422E0D5BBF}">
      <text>
        <r>
          <rPr>
            <sz val="11"/>
            <color theme="1"/>
            <rFont val="Calibri"/>
            <family val="2"/>
            <scheme val="minor"/>
          </rPr>
          <t>Introduzca un número con dos decimales como máximo</t>
        </r>
      </text>
    </comment>
    <comment ref="F319" authorId="1" shapeId="0" xr:uid="{05CA7EBE-6A41-4C5A-9700-5104AD838C7E}">
      <text>
        <r>
          <rPr>
            <sz val="11"/>
            <color theme="1"/>
            <rFont val="Calibri"/>
            <family val="2"/>
            <scheme val="minor"/>
          </rPr>
          <t>Monto calculado automáticamente por el sistema</t>
        </r>
      </text>
    </comment>
    <comment ref="A326" authorId="1" shapeId="0" xr:uid="{32EA2237-D93E-4434-856F-CCFCFDC43830}">
      <text>
        <r>
          <rPr>
            <sz val="11"/>
            <color theme="1"/>
            <rFont val="Calibri"/>
            <family val="2"/>
            <scheme val="minor"/>
          </rPr>
          <t>Introducir un texto con el nombre o referencia de la contratación</t>
        </r>
      </text>
    </comment>
    <comment ref="B326" authorId="1" shapeId="0" xr:uid="{7593158A-879B-470E-880B-DFAC31A6D260}">
      <text>
        <r>
          <rPr>
            <sz val="11"/>
            <color theme="1"/>
            <rFont val="Calibri"/>
            <family val="2"/>
            <scheme val="minor"/>
          </rPr>
          <t>Introduzca un texto con la finalidad de la contratación</t>
        </r>
      </text>
    </comment>
    <comment ref="C326" authorId="1" shapeId="0" xr:uid="{EF1801E8-53FD-47EA-818F-01E80CD214B7}">
      <text>
        <r>
          <rPr>
            <sz val="11"/>
            <color theme="1"/>
            <rFont val="Calibri"/>
            <family val="2"/>
            <scheme val="minor"/>
          </rPr>
          <t>Seleccionar un valor del listado</t>
        </r>
      </text>
    </comment>
    <comment ref="D326" authorId="1" shapeId="0" xr:uid="{1C0D9CF0-AA82-4B70-8540-96E3BF95E8EB}">
      <text>
        <r>
          <rPr>
            <sz val="11"/>
            <color theme="1"/>
            <rFont val="Calibri"/>
            <family val="2"/>
            <scheme val="minor"/>
          </rPr>
          <t>Seleccione el tipo de procedimiento</t>
        </r>
      </text>
    </comment>
    <comment ref="E326" authorId="1" shapeId="0" xr:uid="{71C9DD9E-8E62-488C-B9EF-F5187C588D8C}">
      <text>
        <r>
          <rPr>
            <sz val="11"/>
            <color theme="1"/>
            <rFont val="Calibri"/>
            <family val="2"/>
            <scheme val="minor"/>
          </rPr>
          <t>Seleccione un valor de la lista</t>
        </r>
      </text>
    </comment>
    <comment ref="F326" authorId="1" shapeId="0" xr:uid="{6A821DAB-510B-494A-BA03-B288CF3198E7}">
      <text>
        <r>
          <rPr>
            <sz val="11"/>
            <color theme="1"/>
            <rFont val="Calibri"/>
            <family val="2"/>
            <scheme val="minor"/>
          </rPr>
          <t>Introduzca el código SNIP</t>
        </r>
      </text>
    </comment>
    <comment ref="C327" authorId="1" shapeId="0" xr:uid="{E635DA82-6C88-4ADF-9E55-96D3FB1526DC}">
      <text>
        <r>
          <rPr>
            <sz val="11"/>
            <color theme="1"/>
            <rFont val="Calibri"/>
            <family val="2"/>
            <scheme val="minor"/>
          </rPr>
          <t>Introduzca la fecha de inicio del proceso, en formato dd-mm-aaaa</t>
        </r>
      </text>
    </comment>
    <comment ref="F327" authorId="1" shapeId="0" xr:uid="{A895C8B2-BAFB-47E1-9197-D8BC7993EDA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shapeId="0" xr:uid="{FAB90E9A-3000-4EC4-BE7E-9577BC02EAA8}">
      <text/>
    </comment>
    <comment ref="C329" authorId="1" shapeId="0" xr:uid="{1BBD1CA0-3CD4-4A19-B5C0-6F2B537AF11C}">
      <text>
        <r>
          <rPr>
            <sz val="11"/>
            <color theme="1"/>
            <rFont val="Calibri"/>
            <family val="2"/>
            <scheme val="minor"/>
          </rPr>
          <t>Introduzca la fecha prevista de adjudicación, en formato dd-mm-aaaa</t>
        </r>
      </text>
    </comment>
    <comment ref="F329" authorId="1" shapeId="0" xr:uid="{D338AB8A-2ED1-4083-AC77-A1FCFA689541}">
      <text/>
    </comment>
    <comment ref="F330" authorId="1" shapeId="0" xr:uid="{E395A0EE-FDE4-40F5-A6DB-C137200A3798}">
      <text/>
    </comment>
    <comment ref="A332" authorId="1" shapeId="0" xr:uid="{9892461C-E561-4C90-9B39-43A351360B2D}">
      <text>
        <r>
          <rPr>
            <sz val="11"/>
            <color theme="1"/>
            <rFont val="Calibri"/>
            <family val="2"/>
            <scheme val="minor"/>
          </rPr>
          <t>Introduzca un codigo UNSPSC</t>
        </r>
      </text>
    </comment>
    <comment ref="B332" authorId="1" shapeId="0" xr:uid="{29A69D55-0767-4325-A0C7-C27D9C780144}">
      <text>
        <r>
          <rPr>
            <sz val="11"/>
            <color theme="1"/>
            <rFont val="Calibri"/>
            <family val="2"/>
            <scheme val="minor"/>
          </rPr>
          <t>Descripción calculada automáticamente a partir de código del artículo</t>
        </r>
      </text>
    </comment>
    <comment ref="C332" authorId="1" shapeId="0" xr:uid="{026DFE9F-EF44-478F-BA91-5D511B8E552E}">
      <text>
        <r>
          <rPr>
            <sz val="11"/>
            <color theme="1"/>
            <rFont val="Calibri"/>
            <family val="2"/>
            <scheme val="minor"/>
          </rPr>
          <t>Seleccione un valor de la lista</t>
        </r>
      </text>
    </comment>
    <comment ref="D332" authorId="1" shapeId="0" xr:uid="{8990F2F9-66E6-4730-9EB8-B5E7ED9DB671}">
      <text>
        <r>
          <rPr>
            <sz val="11"/>
            <color theme="1"/>
            <rFont val="Calibri"/>
            <family val="2"/>
            <scheme val="minor"/>
          </rPr>
          <t>Introduzca un número con dos decimales como máximo. Debe ser igual o mayor a la "Cantidad Real Consumida"</t>
        </r>
      </text>
    </comment>
    <comment ref="E332" authorId="1" shapeId="0" xr:uid="{0218522B-E2DA-4631-A4B6-8C7D3357C4C2}">
      <text>
        <r>
          <rPr>
            <sz val="11"/>
            <color theme="1"/>
            <rFont val="Calibri"/>
            <family val="2"/>
            <scheme val="minor"/>
          </rPr>
          <t>Introduzca un número con dos decimales como máximo</t>
        </r>
      </text>
    </comment>
    <comment ref="F332" authorId="1" shapeId="0" xr:uid="{71B9C4B1-5433-43F5-9B23-4BEDF228599B}">
      <text>
        <r>
          <rPr>
            <sz val="11"/>
            <color theme="1"/>
            <rFont val="Calibri"/>
            <family val="2"/>
            <scheme val="minor"/>
          </rPr>
          <t>Monto calculado automáticamente por el sistema</t>
        </r>
      </text>
    </comment>
    <comment ref="A337" authorId="1" shapeId="0" xr:uid="{7674365C-0572-4C7E-ACBB-8772EA269459}">
      <text>
        <r>
          <rPr>
            <sz val="11"/>
            <color theme="1"/>
            <rFont val="Calibri"/>
            <family val="2"/>
            <scheme val="minor"/>
          </rPr>
          <t>Introducir un texto con el nombre o referencia de la contratación</t>
        </r>
      </text>
    </comment>
    <comment ref="B337" authorId="1" shapeId="0" xr:uid="{CE031133-A342-49EF-995C-21F785DF1C53}">
      <text>
        <r>
          <rPr>
            <sz val="11"/>
            <color theme="1"/>
            <rFont val="Calibri"/>
            <family val="2"/>
            <scheme val="minor"/>
          </rPr>
          <t>Introduzca un texto con la finalidad de la contratación</t>
        </r>
      </text>
    </comment>
    <comment ref="C337" authorId="1" shapeId="0" xr:uid="{B9DB9338-405E-4CE6-83D6-379E1D608988}">
      <text>
        <r>
          <rPr>
            <sz val="11"/>
            <color theme="1"/>
            <rFont val="Calibri"/>
            <family val="2"/>
            <scheme val="minor"/>
          </rPr>
          <t>Seleccionar un valor del listado</t>
        </r>
      </text>
    </comment>
    <comment ref="D337" authorId="1" shapeId="0" xr:uid="{199D08B5-DE57-4652-AB89-71AB6283F6FC}">
      <text>
        <r>
          <rPr>
            <sz val="11"/>
            <color theme="1"/>
            <rFont val="Calibri"/>
            <family val="2"/>
            <scheme val="minor"/>
          </rPr>
          <t>Seleccione el tipo de procedimiento</t>
        </r>
      </text>
    </comment>
    <comment ref="E337" authorId="1" shapeId="0" xr:uid="{FFBFD32C-24F8-4675-B574-AB141714F0A0}">
      <text>
        <r>
          <rPr>
            <sz val="11"/>
            <color theme="1"/>
            <rFont val="Calibri"/>
            <family val="2"/>
            <scheme val="minor"/>
          </rPr>
          <t>Seleccione un valor de la lista</t>
        </r>
      </text>
    </comment>
    <comment ref="F337" authorId="1" shapeId="0" xr:uid="{65F9277E-A46D-4AFE-AED4-3ADB55F200C6}">
      <text>
        <r>
          <rPr>
            <sz val="11"/>
            <color theme="1"/>
            <rFont val="Calibri"/>
            <family val="2"/>
            <scheme val="minor"/>
          </rPr>
          <t>Introduzca el código SNIP</t>
        </r>
      </text>
    </comment>
    <comment ref="C338" authorId="1" shapeId="0" xr:uid="{B944D9FB-90EB-4B51-8F46-F8807631AD6F}">
      <text>
        <r>
          <rPr>
            <sz val="11"/>
            <color theme="1"/>
            <rFont val="Calibri"/>
            <family val="2"/>
            <scheme val="minor"/>
          </rPr>
          <t>Introduzca la fecha de inicio del proceso, en formato dd-mm-aaaa</t>
        </r>
      </text>
    </comment>
    <comment ref="F338" authorId="1" shapeId="0" xr:uid="{6E1246EC-AC01-4437-8985-3550D537A9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1" shapeId="0" xr:uid="{E601E36B-18ED-4E72-8871-8B73253D107A}">
      <text/>
    </comment>
    <comment ref="C340" authorId="1" shapeId="0" xr:uid="{C5AB7DED-EF0D-44EE-A876-8D1C62B40B45}">
      <text>
        <r>
          <rPr>
            <sz val="11"/>
            <color theme="1"/>
            <rFont val="Calibri"/>
            <family val="2"/>
            <scheme val="minor"/>
          </rPr>
          <t>Introduzca la fecha prevista de adjudicación, en formato dd-mm-aaaa</t>
        </r>
      </text>
    </comment>
    <comment ref="F340" authorId="1" shapeId="0" xr:uid="{2A3E52DF-9BE7-4FA4-8E5B-9E01EECD6124}">
      <text/>
    </comment>
    <comment ref="F341" authorId="1" shapeId="0" xr:uid="{C0154085-DDB3-41E7-8E9A-67ED9FE13847}">
      <text/>
    </comment>
    <comment ref="A343" authorId="1" shapeId="0" xr:uid="{DCFA5E35-F83D-402A-93F7-B66386F1FBA5}">
      <text>
        <r>
          <rPr>
            <sz val="11"/>
            <color theme="1"/>
            <rFont val="Calibri"/>
            <family val="2"/>
            <scheme val="minor"/>
          </rPr>
          <t>Introduzca un codigo UNSPSC</t>
        </r>
      </text>
    </comment>
    <comment ref="B343" authorId="1" shapeId="0" xr:uid="{10FAC1BE-2CFA-4325-A1D4-79164EAA7911}">
      <text>
        <r>
          <rPr>
            <sz val="11"/>
            <color theme="1"/>
            <rFont val="Calibri"/>
            <family val="2"/>
            <scheme val="minor"/>
          </rPr>
          <t>Descripción calculada automáticamente a partir de código del artículo</t>
        </r>
      </text>
    </comment>
    <comment ref="C343" authorId="1" shapeId="0" xr:uid="{E6065B2F-A96B-4AA4-9C52-2515E0BB4969}">
      <text>
        <r>
          <rPr>
            <sz val="11"/>
            <color theme="1"/>
            <rFont val="Calibri"/>
            <family val="2"/>
            <scheme val="minor"/>
          </rPr>
          <t>Seleccione un valor de la lista</t>
        </r>
      </text>
    </comment>
    <comment ref="D343" authorId="1" shapeId="0" xr:uid="{0C1CADD3-3426-4F3A-91E3-E4A158247B4E}">
      <text>
        <r>
          <rPr>
            <sz val="11"/>
            <color theme="1"/>
            <rFont val="Calibri"/>
            <family val="2"/>
            <scheme val="minor"/>
          </rPr>
          <t>Introduzca un número con dos decimales como máximo. Debe ser igual o mayor a la "Cantidad Real Consumida"</t>
        </r>
      </text>
    </comment>
    <comment ref="E343" authorId="1" shapeId="0" xr:uid="{15E0C03C-B0F2-4D42-91FB-64E9D4B4AF3D}">
      <text>
        <r>
          <rPr>
            <sz val="11"/>
            <color theme="1"/>
            <rFont val="Calibri"/>
            <family val="2"/>
            <scheme val="minor"/>
          </rPr>
          <t>Introduzca un número con dos decimales como máximo</t>
        </r>
      </text>
    </comment>
    <comment ref="F343" authorId="1" shapeId="0" xr:uid="{6D860EA3-9F89-412A-A79B-1C8622A3F63A}">
      <text>
        <r>
          <rPr>
            <sz val="11"/>
            <color theme="1"/>
            <rFont val="Calibri"/>
            <family val="2"/>
            <scheme val="minor"/>
          </rPr>
          <t>Monto calculado automáticamente por el sistema</t>
        </r>
      </text>
    </comment>
    <comment ref="A348" authorId="1" shapeId="0" xr:uid="{E3D5AC23-38A5-415E-8DDD-AD045017760D}">
      <text>
        <r>
          <rPr>
            <sz val="11"/>
            <color theme="1"/>
            <rFont val="Calibri"/>
            <family val="2"/>
            <scheme val="minor"/>
          </rPr>
          <t>Introducir un texto con el nombre o referencia de la contratación</t>
        </r>
      </text>
    </comment>
    <comment ref="B348" authorId="1" shapeId="0" xr:uid="{F5067DEC-F36B-47F6-BADF-D76A2707CD82}">
      <text>
        <r>
          <rPr>
            <sz val="11"/>
            <color theme="1"/>
            <rFont val="Calibri"/>
            <family val="2"/>
            <scheme val="minor"/>
          </rPr>
          <t>Introduzca un texto con la finalidad de la contratación</t>
        </r>
      </text>
    </comment>
    <comment ref="C348" authorId="1" shapeId="0" xr:uid="{7951B893-B1C9-4BD5-87FB-6692AC93F2B8}">
      <text>
        <r>
          <rPr>
            <sz val="11"/>
            <color theme="1"/>
            <rFont val="Calibri"/>
            <family val="2"/>
            <scheme val="minor"/>
          </rPr>
          <t>Seleccionar un valor del listado</t>
        </r>
      </text>
    </comment>
    <comment ref="D348" authorId="1" shapeId="0" xr:uid="{89BF27F6-D3A8-4019-AA0A-300E8AE2D2B1}">
      <text>
        <r>
          <rPr>
            <sz val="11"/>
            <color theme="1"/>
            <rFont val="Calibri"/>
            <family val="2"/>
            <scheme val="minor"/>
          </rPr>
          <t>Seleccione el tipo de procedimiento</t>
        </r>
      </text>
    </comment>
    <comment ref="E348" authorId="1" shapeId="0" xr:uid="{286FB78C-A738-4C50-B38F-0CB876E739F8}">
      <text>
        <r>
          <rPr>
            <sz val="11"/>
            <color theme="1"/>
            <rFont val="Calibri"/>
            <family val="2"/>
            <scheme val="minor"/>
          </rPr>
          <t>Seleccione un valor de la lista</t>
        </r>
      </text>
    </comment>
    <comment ref="F348" authorId="1" shapeId="0" xr:uid="{157DC373-C7EB-4903-9E14-9C4034E73BD4}">
      <text>
        <r>
          <rPr>
            <sz val="11"/>
            <color theme="1"/>
            <rFont val="Calibri"/>
            <family val="2"/>
            <scheme val="minor"/>
          </rPr>
          <t>Introduzca el código SNIP</t>
        </r>
      </text>
    </comment>
    <comment ref="C349" authorId="1" shapeId="0" xr:uid="{80417C9C-8460-440B-AFD4-C180C77C2CA8}">
      <text>
        <r>
          <rPr>
            <sz val="11"/>
            <color theme="1"/>
            <rFont val="Calibri"/>
            <family val="2"/>
            <scheme val="minor"/>
          </rPr>
          <t>Introduzca la fecha de inicio del proceso, en formato dd-mm-aaaa</t>
        </r>
      </text>
    </comment>
    <comment ref="F349" authorId="1" shapeId="0" xr:uid="{7DB88F71-A36F-4D62-878C-330FF8818A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1" shapeId="0" xr:uid="{CCFA8F42-284F-4D09-9B2B-B3802E279CB4}">
      <text/>
    </comment>
    <comment ref="C351" authorId="1" shapeId="0" xr:uid="{EE92073D-5BF1-4327-9346-0301FD9013F4}">
      <text>
        <r>
          <rPr>
            <sz val="11"/>
            <color theme="1"/>
            <rFont val="Calibri"/>
            <family val="2"/>
            <scheme val="minor"/>
          </rPr>
          <t>Introduzca la fecha prevista de adjudicación, en formato dd-mm-aaaa</t>
        </r>
      </text>
    </comment>
    <comment ref="F351" authorId="1" shapeId="0" xr:uid="{421381AB-93DF-4C1E-BF3E-1CFFB734BEA3}">
      <text/>
    </comment>
    <comment ref="F352" authorId="1" shapeId="0" xr:uid="{C1DF3CD0-2E6E-49A1-8FCD-A0BADA6553A6}">
      <text/>
    </comment>
    <comment ref="A354" authorId="1" shapeId="0" xr:uid="{F14290E3-DD67-43DC-9298-8FB1D9AEB13F}">
      <text>
        <r>
          <rPr>
            <sz val="11"/>
            <color theme="1"/>
            <rFont val="Calibri"/>
            <family val="2"/>
            <scheme val="minor"/>
          </rPr>
          <t>Introduzca un codigo UNSPSC</t>
        </r>
      </text>
    </comment>
    <comment ref="B354" authorId="1" shapeId="0" xr:uid="{0AC19818-D335-427A-A332-099EC3ECF465}">
      <text>
        <r>
          <rPr>
            <sz val="11"/>
            <color theme="1"/>
            <rFont val="Calibri"/>
            <family val="2"/>
            <scheme val="minor"/>
          </rPr>
          <t>Descripción calculada automáticamente a partir de código del artículo</t>
        </r>
      </text>
    </comment>
    <comment ref="C354" authorId="1" shapeId="0" xr:uid="{CD2E1DB2-08AB-4E2B-A926-B38A70E0E291}">
      <text>
        <r>
          <rPr>
            <sz val="11"/>
            <color theme="1"/>
            <rFont val="Calibri"/>
            <family val="2"/>
            <scheme val="minor"/>
          </rPr>
          <t>Seleccione un valor de la lista</t>
        </r>
      </text>
    </comment>
    <comment ref="D354" authorId="1" shapeId="0" xr:uid="{A405F54F-21F6-493A-AFC6-EDCD6E20C9DB}">
      <text>
        <r>
          <rPr>
            <sz val="11"/>
            <color theme="1"/>
            <rFont val="Calibri"/>
            <family val="2"/>
            <scheme val="minor"/>
          </rPr>
          <t>Introduzca un número con dos decimales como máximo. Debe ser igual o mayor a la "Cantidad Real Consumida"</t>
        </r>
      </text>
    </comment>
    <comment ref="E354" authorId="1" shapeId="0" xr:uid="{B428366B-904E-44BF-976F-4DA1EA7FF953}">
      <text>
        <r>
          <rPr>
            <sz val="11"/>
            <color theme="1"/>
            <rFont val="Calibri"/>
            <family val="2"/>
            <scheme val="minor"/>
          </rPr>
          <t>Introduzca un número con dos decimales como máximo</t>
        </r>
      </text>
    </comment>
    <comment ref="F354" authorId="1" shapeId="0" xr:uid="{F7120296-9CDD-4082-8A5D-C62BEFCCC366}">
      <text>
        <r>
          <rPr>
            <sz val="11"/>
            <color theme="1"/>
            <rFont val="Calibri"/>
            <family val="2"/>
            <scheme val="minor"/>
          </rPr>
          <t>Monto calculado automáticamente por el sistema</t>
        </r>
      </text>
    </comment>
    <comment ref="A360" authorId="1" shapeId="0" xr:uid="{E9365D41-1371-4A31-8EBE-7B75E1005B73}">
      <text>
        <r>
          <rPr>
            <sz val="11"/>
            <color theme="1"/>
            <rFont val="Calibri"/>
            <family val="2"/>
            <scheme val="minor"/>
          </rPr>
          <t>Introducir un texto con el nombre o referencia de la contratación</t>
        </r>
      </text>
    </comment>
    <comment ref="B360" authorId="1" shapeId="0" xr:uid="{E2FD2192-CC1B-428C-BFBF-C0B9FD551703}">
      <text>
        <r>
          <rPr>
            <sz val="11"/>
            <color theme="1"/>
            <rFont val="Calibri"/>
            <family val="2"/>
            <scheme val="minor"/>
          </rPr>
          <t>Introduzca un texto con la finalidad de la contratación</t>
        </r>
      </text>
    </comment>
    <comment ref="C360" authorId="1" shapeId="0" xr:uid="{C8FC5C00-25AB-48D4-921D-9CD8C323D248}">
      <text>
        <r>
          <rPr>
            <sz val="11"/>
            <color theme="1"/>
            <rFont val="Calibri"/>
            <family val="2"/>
            <scheme val="minor"/>
          </rPr>
          <t>Seleccionar un valor del listado</t>
        </r>
      </text>
    </comment>
    <comment ref="D360" authorId="1" shapeId="0" xr:uid="{D71DFB21-8EAD-4267-9B5B-CDE9ECBDD91B}">
      <text>
        <r>
          <rPr>
            <sz val="11"/>
            <color theme="1"/>
            <rFont val="Calibri"/>
            <family val="2"/>
            <scheme val="minor"/>
          </rPr>
          <t>Seleccione el tipo de procedimiento</t>
        </r>
      </text>
    </comment>
    <comment ref="E360" authorId="1" shapeId="0" xr:uid="{364376AC-7A4A-4D7F-902F-81F9DF2D5D94}">
      <text>
        <r>
          <rPr>
            <sz val="11"/>
            <color theme="1"/>
            <rFont val="Calibri"/>
            <family val="2"/>
            <scheme val="minor"/>
          </rPr>
          <t>Seleccione un valor de la lista</t>
        </r>
      </text>
    </comment>
    <comment ref="F360" authorId="1" shapeId="0" xr:uid="{9F33F5C7-344B-4670-9520-7FBD0F8F5ABC}">
      <text>
        <r>
          <rPr>
            <sz val="11"/>
            <color theme="1"/>
            <rFont val="Calibri"/>
            <family val="2"/>
            <scheme val="minor"/>
          </rPr>
          <t>Introduzca el código SNIP</t>
        </r>
      </text>
    </comment>
    <comment ref="C361" authorId="1" shapeId="0" xr:uid="{15EBC66A-97F3-4458-BD06-3DA6CC5B7DE6}">
      <text>
        <r>
          <rPr>
            <sz val="11"/>
            <color theme="1"/>
            <rFont val="Calibri"/>
            <family val="2"/>
            <scheme val="minor"/>
          </rPr>
          <t>Introduzca la fecha de inicio del proceso, en formato dd-mm-aaaa</t>
        </r>
      </text>
    </comment>
    <comment ref="F361" authorId="1" shapeId="0" xr:uid="{E8C955D5-BAFB-4167-AD43-8A664AEAAD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1" shapeId="0" xr:uid="{B1F9555C-5EC0-49BD-A0D4-7DFE990DE02B}">
      <text/>
    </comment>
    <comment ref="C363" authorId="1" shapeId="0" xr:uid="{B08B7683-0F9F-463D-A7E9-613CB77B1DB4}">
      <text>
        <r>
          <rPr>
            <sz val="11"/>
            <color theme="1"/>
            <rFont val="Calibri"/>
            <family val="2"/>
            <scheme val="minor"/>
          </rPr>
          <t>Introduzca la fecha prevista de adjudicación, en formato dd-mm-aaaa</t>
        </r>
      </text>
    </comment>
    <comment ref="F363" authorId="1" shapeId="0" xr:uid="{31CC6ACC-0799-4325-9206-BE21A625833E}">
      <text/>
    </comment>
    <comment ref="F364" authorId="1" shapeId="0" xr:uid="{B2BD66F2-1E2C-4CAA-8166-429ECB2CDBC2}">
      <text/>
    </comment>
    <comment ref="A366" authorId="1" shapeId="0" xr:uid="{31F48304-BFC7-4B95-B90F-91C9CB57130A}">
      <text>
        <r>
          <rPr>
            <sz val="11"/>
            <color theme="1"/>
            <rFont val="Calibri"/>
            <family val="2"/>
            <scheme val="minor"/>
          </rPr>
          <t>Introduzca un codigo UNSPSC</t>
        </r>
      </text>
    </comment>
    <comment ref="B366" authorId="1" shapeId="0" xr:uid="{4E6B7921-225B-445A-989A-D020170A459F}">
      <text>
        <r>
          <rPr>
            <sz val="11"/>
            <color theme="1"/>
            <rFont val="Calibri"/>
            <family val="2"/>
            <scheme val="minor"/>
          </rPr>
          <t>Descripción calculada automáticamente a partir de código del artículo</t>
        </r>
      </text>
    </comment>
    <comment ref="C366" authorId="1" shapeId="0" xr:uid="{00D35E2D-DC0D-4CDB-A7EA-966680760119}">
      <text>
        <r>
          <rPr>
            <sz val="11"/>
            <color theme="1"/>
            <rFont val="Calibri"/>
            <family val="2"/>
            <scheme val="minor"/>
          </rPr>
          <t>Seleccione un valor de la lista</t>
        </r>
      </text>
    </comment>
    <comment ref="D366" authorId="1" shapeId="0" xr:uid="{69FBCB56-470A-4387-A7ED-2C7D0915BDF3}">
      <text>
        <r>
          <rPr>
            <sz val="11"/>
            <color theme="1"/>
            <rFont val="Calibri"/>
            <family val="2"/>
            <scheme val="minor"/>
          </rPr>
          <t>Introduzca un número con dos decimales como máximo. Debe ser igual o mayor a la "Cantidad Real Consumida"</t>
        </r>
      </text>
    </comment>
    <comment ref="E366" authorId="1" shapeId="0" xr:uid="{1FDD1A6E-474E-492D-AB41-974D5F327836}">
      <text>
        <r>
          <rPr>
            <sz val="11"/>
            <color theme="1"/>
            <rFont val="Calibri"/>
            <family val="2"/>
            <scheme val="minor"/>
          </rPr>
          <t>Introduzca un número con dos decimales como máximo</t>
        </r>
      </text>
    </comment>
    <comment ref="F366" authorId="1" shapeId="0" xr:uid="{34B23705-B75F-492C-975C-A348FBB89F8C}">
      <text>
        <r>
          <rPr>
            <sz val="11"/>
            <color theme="1"/>
            <rFont val="Calibri"/>
            <family val="2"/>
            <scheme val="minor"/>
          </rPr>
          <t>Monto calculado automáticamente por el sistema</t>
        </r>
      </text>
    </comment>
    <comment ref="A372" authorId="1" shapeId="0" xr:uid="{BE087BD1-5B33-44AD-AD78-B7D27C7313D4}">
      <text>
        <r>
          <rPr>
            <sz val="11"/>
            <color theme="1"/>
            <rFont val="Calibri"/>
            <family val="2"/>
            <scheme val="minor"/>
          </rPr>
          <t>Introducir un texto con el nombre o referencia de la contratación</t>
        </r>
      </text>
    </comment>
    <comment ref="B372" authorId="1" shapeId="0" xr:uid="{D4EBD386-1B30-4DF9-9EF8-414A645360CD}">
      <text>
        <r>
          <rPr>
            <sz val="11"/>
            <color theme="1"/>
            <rFont val="Calibri"/>
            <family val="2"/>
            <scheme val="minor"/>
          </rPr>
          <t>Introduzca un texto con la finalidad de la contratación</t>
        </r>
      </text>
    </comment>
    <comment ref="C372" authorId="1" shapeId="0" xr:uid="{8ABE4672-9AEF-4B39-86B2-245DA06BF44D}">
      <text>
        <r>
          <rPr>
            <sz val="11"/>
            <color theme="1"/>
            <rFont val="Calibri"/>
            <family val="2"/>
            <scheme val="minor"/>
          </rPr>
          <t>Seleccionar un valor del listado</t>
        </r>
      </text>
    </comment>
    <comment ref="D372" authorId="1" shapeId="0" xr:uid="{7277A58A-4C58-4396-9273-266E84AFCA6C}">
      <text>
        <r>
          <rPr>
            <sz val="11"/>
            <color theme="1"/>
            <rFont val="Calibri"/>
            <family val="2"/>
            <scheme val="minor"/>
          </rPr>
          <t>Seleccione el tipo de procedimiento</t>
        </r>
      </text>
    </comment>
    <comment ref="E372" authorId="1" shapeId="0" xr:uid="{E1DCF167-E8E9-4092-9EBC-A10270CE6BEA}">
      <text>
        <r>
          <rPr>
            <sz val="11"/>
            <color theme="1"/>
            <rFont val="Calibri"/>
            <family val="2"/>
            <scheme val="minor"/>
          </rPr>
          <t>Seleccione un valor de la lista</t>
        </r>
      </text>
    </comment>
    <comment ref="F372" authorId="1" shapeId="0" xr:uid="{9A36EAEF-5695-47AB-8B74-C82DC268D80F}">
      <text>
        <r>
          <rPr>
            <sz val="11"/>
            <color theme="1"/>
            <rFont val="Calibri"/>
            <family val="2"/>
            <scheme val="minor"/>
          </rPr>
          <t>Introduzca el código SNIP</t>
        </r>
      </text>
    </comment>
    <comment ref="C373" authorId="1" shapeId="0" xr:uid="{7D59E654-73BB-4A0A-8714-7F6FA0BCCEE3}">
      <text>
        <r>
          <rPr>
            <sz val="11"/>
            <color theme="1"/>
            <rFont val="Calibri"/>
            <family val="2"/>
            <scheme val="minor"/>
          </rPr>
          <t>Introduzca la fecha de inicio del proceso, en formato dd-mm-aaaa</t>
        </r>
      </text>
    </comment>
    <comment ref="F373" authorId="1" shapeId="0" xr:uid="{F18221B1-941F-4CA8-9F56-40A8333BA0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 authorId="1" shapeId="0" xr:uid="{1A850B2B-191D-4256-AD19-1667858064F6}">
      <text/>
    </comment>
    <comment ref="C375" authorId="1" shapeId="0" xr:uid="{4F45D4AD-B0A1-4443-A498-9FAB3E3886B4}">
      <text>
        <r>
          <rPr>
            <sz val="11"/>
            <color theme="1"/>
            <rFont val="Calibri"/>
            <family val="2"/>
            <scheme val="minor"/>
          </rPr>
          <t>Introduzca la fecha prevista de adjudicación, en formato dd-mm-aaaa</t>
        </r>
      </text>
    </comment>
    <comment ref="F375" authorId="1" shapeId="0" xr:uid="{ADC97306-B5A9-454E-893F-D7D158FBEE03}">
      <text/>
    </comment>
    <comment ref="F376" authorId="1" shapeId="0" xr:uid="{AFA8E9E0-1EF4-4F58-8050-57A94D5E97D6}">
      <text/>
    </comment>
    <comment ref="A378" authorId="1" shapeId="0" xr:uid="{080ECD35-D3AF-4F2F-A177-0583FE1795A6}">
      <text>
        <r>
          <rPr>
            <sz val="11"/>
            <color theme="1"/>
            <rFont val="Calibri"/>
            <family val="2"/>
            <scheme val="minor"/>
          </rPr>
          <t>Introduzca un codigo UNSPSC</t>
        </r>
      </text>
    </comment>
    <comment ref="B378" authorId="1" shapeId="0" xr:uid="{12868019-2B68-4913-B7C4-345AFA82290C}">
      <text>
        <r>
          <rPr>
            <sz val="11"/>
            <color theme="1"/>
            <rFont val="Calibri"/>
            <family val="2"/>
            <scheme val="minor"/>
          </rPr>
          <t>Descripción calculada automáticamente a partir de código del artículo</t>
        </r>
      </text>
    </comment>
    <comment ref="C378" authorId="1" shapeId="0" xr:uid="{A8485736-9DE1-4D2B-9A1A-11B29AB7472F}">
      <text>
        <r>
          <rPr>
            <sz val="11"/>
            <color theme="1"/>
            <rFont val="Calibri"/>
            <family val="2"/>
            <scheme val="minor"/>
          </rPr>
          <t>Seleccione un valor de la lista</t>
        </r>
      </text>
    </comment>
    <comment ref="D378" authorId="1" shapeId="0" xr:uid="{743199BB-1373-4FB9-82CA-48CC2F238F8B}">
      <text>
        <r>
          <rPr>
            <sz val="11"/>
            <color theme="1"/>
            <rFont val="Calibri"/>
            <family val="2"/>
            <scheme val="minor"/>
          </rPr>
          <t>Introduzca un número con dos decimales como máximo. Debe ser igual o mayor a la "Cantidad Real Consumida"</t>
        </r>
      </text>
    </comment>
    <comment ref="E378" authorId="1" shapeId="0" xr:uid="{1494F9B8-DEC3-4110-9E50-B64B275652B7}">
      <text>
        <r>
          <rPr>
            <sz val="11"/>
            <color theme="1"/>
            <rFont val="Calibri"/>
            <family val="2"/>
            <scheme val="minor"/>
          </rPr>
          <t>Introduzca un número con dos decimales como máximo</t>
        </r>
      </text>
    </comment>
    <comment ref="F378" authorId="1" shapeId="0" xr:uid="{AA1DB8BF-7AC1-4BB6-95DC-BDE9EA536F2A}">
      <text>
        <r>
          <rPr>
            <sz val="11"/>
            <color theme="1"/>
            <rFont val="Calibri"/>
            <family val="2"/>
            <scheme val="minor"/>
          </rPr>
          <t>Monto calculado automáticamente por el sistema</t>
        </r>
      </text>
    </comment>
    <comment ref="A383" authorId="1" shapeId="0" xr:uid="{2765279D-23D6-43C8-A8B5-12BA13A26EE6}">
      <text>
        <r>
          <rPr>
            <sz val="11"/>
            <color theme="1"/>
            <rFont val="Calibri"/>
            <family val="2"/>
            <scheme val="minor"/>
          </rPr>
          <t>Introducir un texto con el nombre o referencia de la contratación</t>
        </r>
      </text>
    </comment>
    <comment ref="B383" authorId="1" shapeId="0" xr:uid="{A00BDBE7-FEC8-4FDF-8CD5-F2CEA0EC4FA8}">
      <text>
        <r>
          <rPr>
            <sz val="11"/>
            <color theme="1"/>
            <rFont val="Calibri"/>
            <family val="2"/>
            <scheme val="minor"/>
          </rPr>
          <t>Introduzca un texto con la finalidad de la contratación</t>
        </r>
      </text>
    </comment>
    <comment ref="C383" authorId="1" shapeId="0" xr:uid="{4A13254D-A724-49EE-BBEB-5FB7F43275BA}">
      <text>
        <r>
          <rPr>
            <sz val="11"/>
            <color theme="1"/>
            <rFont val="Calibri"/>
            <family val="2"/>
            <scheme val="minor"/>
          </rPr>
          <t>Seleccionar un valor del listado</t>
        </r>
      </text>
    </comment>
    <comment ref="D383" authorId="1" shapeId="0" xr:uid="{C2E71C2D-19C7-4605-B616-F86723C59D90}">
      <text>
        <r>
          <rPr>
            <sz val="11"/>
            <color theme="1"/>
            <rFont val="Calibri"/>
            <family val="2"/>
            <scheme val="minor"/>
          </rPr>
          <t>Seleccione el tipo de procedimiento</t>
        </r>
      </text>
    </comment>
    <comment ref="E383" authorId="1" shapeId="0" xr:uid="{76AB03ED-3FD0-4606-BED1-0DF67EE37D5C}">
      <text>
        <r>
          <rPr>
            <sz val="11"/>
            <color theme="1"/>
            <rFont val="Calibri"/>
            <family val="2"/>
            <scheme val="minor"/>
          </rPr>
          <t>Seleccione un valor de la lista</t>
        </r>
      </text>
    </comment>
    <comment ref="F383" authorId="1" shapeId="0" xr:uid="{285A7702-0F12-4152-BADE-28E581C633FE}">
      <text>
        <r>
          <rPr>
            <sz val="11"/>
            <color theme="1"/>
            <rFont val="Calibri"/>
            <family val="2"/>
            <scheme val="minor"/>
          </rPr>
          <t>Introduzca el código SNIP</t>
        </r>
      </text>
    </comment>
    <comment ref="C384" authorId="1" shapeId="0" xr:uid="{66F4A25E-8750-4BFC-ABCD-30AA876A62E9}">
      <text>
        <r>
          <rPr>
            <sz val="11"/>
            <color theme="1"/>
            <rFont val="Calibri"/>
            <family val="2"/>
            <scheme val="minor"/>
          </rPr>
          <t>Introduzca la fecha de inicio del proceso, en formato dd-mm-aaaa</t>
        </r>
      </text>
    </comment>
    <comment ref="F384" authorId="1" shapeId="0" xr:uid="{7A74BE40-93A0-422E-909B-C377DB094C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1" shapeId="0" xr:uid="{28E7DEEC-3211-499D-9E3C-84AC5488AC32}">
      <text/>
    </comment>
    <comment ref="C386" authorId="1" shapeId="0" xr:uid="{13B4A191-DD11-43E6-9B6C-1663C2337A65}">
      <text>
        <r>
          <rPr>
            <sz val="11"/>
            <color theme="1"/>
            <rFont val="Calibri"/>
            <family val="2"/>
            <scheme val="minor"/>
          </rPr>
          <t>Introduzca la fecha prevista de adjudicación, en formato dd-mm-aaaa</t>
        </r>
      </text>
    </comment>
    <comment ref="F386" authorId="1" shapeId="0" xr:uid="{3475009B-B672-4FCB-A4BE-5A8FD4732DBB}">
      <text/>
    </comment>
    <comment ref="F387" authorId="1" shapeId="0" xr:uid="{CF32C7A9-9630-4645-A9C0-DC89B8F1CF73}">
      <text/>
    </comment>
    <comment ref="A389" authorId="1" shapeId="0" xr:uid="{4A8C3EFF-D15E-48F0-ABEF-3D8201B2B056}">
      <text>
        <r>
          <rPr>
            <sz val="11"/>
            <color theme="1"/>
            <rFont val="Calibri"/>
            <family val="2"/>
            <scheme val="minor"/>
          </rPr>
          <t>Introduzca un codigo UNSPSC</t>
        </r>
      </text>
    </comment>
    <comment ref="B389" authorId="1" shapeId="0" xr:uid="{099142F5-95DC-4A4E-B3A2-A1F4F582BC33}">
      <text>
        <r>
          <rPr>
            <sz val="11"/>
            <color theme="1"/>
            <rFont val="Calibri"/>
            <family val="2"/>
            <scheme val="minor"/>
          </rPr>
          <t>Descripción calculada automáticamente a partir de código del artículo</t>
        </r>
      </text>
    </comment>
    <comment ref="C389" authorId="1" shapeId="0" xr:uid="{DBF3F45C-5628-4F0C-887A-B5B52F90B7BF}">
      <text>
        <r>
          <rPr>
            <sz val="11"/>
            <color theme="1"/>
            <rFont val="Calibri"/>
            <family val="2"/>
            <scheme val="minor"/>
          </rPr>
          <t>Seleccione un valor de la lista</t>
        </r>
      </text>
    </comment>
    <comment ref="D389" authorId="1" shapeId="0" xr:uid="{61F25DD8-1C59-4361-B399-0CEB7A5BF73B}">
      <text>
        <r>
          <rPr>
            <sz val="11"/>
            <color theme="1"/>
            <rFont val="Calibri"/>
            <family val="2"/>
            <scheme val="minor"/>
          </rPr>
          <t>Introduzca un número con dos decimales como máximo. Debe ser igual o mayor a la "Cantidad Real Consumida"</t>
        </r>
      </text>
    </comment>
    <comment ref="E389" authorId="1" shapeId="0" xr:uid="{C25B48C3-D5FB-433F-98AC-EE0BAE43C9C3}">
      <text>
        <r>
          <rPr>
            <sz val="11"/>
            <color theme="1"/>
            <rFont val="Calibri"/>
            <family val="2"/>
            <scheme val="minor"/>
          </rPr>
          <t>Introduzca un número con dos decimales como máximo</t>
        </r>
      </text>
    </comment>
    <comment ref="F389" authorId="1" shapeId="0" xr:uid="{042693C2-D6B1-430E-8355-D1BC6D2B4AF9}">
      <text>
        <r>
          <rPr>
            <sz val="11"/>
            <color theme="1"/>
            <rFont val="Calibri"/>
            <family val="2"/>
            <scheme val="minor"/>
          </rPr>
          <t>Monto calculado automáticamente por el sistema</t>
        </r>
      </text>
    </comment>
    <comment ref="A394" authorId="1" shapeId="0" xr:uid="{9783DB47-9516-4744-BA46-7DAEB5A66089}">
      <text>
        <r>
          <rPr>
            <sz val="11"/>
            <color theme="1"/>
            <rFont val="Calibri"/>
            <family val="2"/>
            <scheme val="minor"/>
          </rPr>
          <t>Introducir un texto con el nombre o referencia de la contratación</t>
        </r>
      </text>
    </comment>
    <comment ref="B394" authorId="1" shapeId="0" xr:uid="{A409B126-9F49-44C9-96C6-ECE5351CA25A}">
      <text>
        <r>
          <rPr>
            <sz val="11"/>
            <color theme="1"/>
            <rFont val="Calibri"/>
            <family val="2"/>
            <scheme val="minor"/>
          </rPr>
          <t>Introduzca un texto con la finalidad de la contratación</t>
        </r>
      </text>
    </comment>
    <comment ref="C394" authorId="1" shapeId="0" xr:uid="{0781B955-2B37-4706-8C5B-148B146EDEF0}">
      <text>
        <r>
          <rPr>
            <sz val="11"/>
            <color theme="1"/>
            <rFont val="Calibri"/>
            <family val="2"/>
            <scheme val="minor"/>
          </rPr>
          <t>Seleccionar un valor del listado</t>
        </r>
      </text>
    </comment>
    <comment ref="D394" authorId="1" shapeId="0" xr:uid="{86EBE795-32D1-41FF-B508-C184BD877B60}">
      <text>
        <r>
          <rPr>
            <sz val="11"/>
            <color theme="1"/>
            <rFont val="Calibri"/>
            <family val="2"/>
            <scheme val="minor"/>
          </rPr>
          <t>Seleccione el tipo de procedimiento</t>
        </r>
      </text>
    </comment>
    <comment ref="E394" authorId="1" shapeId="0" xr:uid="{D653AD1B-F759-40E9-8D51-1E61289022F2}">
      <text>
        <r>
          <rPr>
            <sz val="11"/>
            <color theme="1"/>
            <rFont val="Calibri"/>
            <family val="2"/>
            <scheme val="minor"/>
          </rPr>
          <t>Seleccione un valor de la lista</t>
        </r>
      </text>
    </comment>
    <comment ref="F394" authorId="1" shapeId="0" xr:uid="{B3CDA852-0D6B-4200-8444-D2F3C754EDD7}">
      <text>
        <r>
          <rPr>
            <sz val="11"/>
            <color theme="1"/>
            <rFont val="Calibri"/>
            <family val="2"/>
            <scheme val="minor"/>
          </rPr>
          <t>Introduzca el código SNIP</t>
        </r>
      </text>
    </comment>
    <comment ref="C395" authorId="1" shapeId="0" xr:uid="{709F166F-66CB-43E6-BBE0-BE4DDC7AF9A9}">
      <text>
        <r>
          <rPr>
            <sz val="11"/>
            <color theme="1"/>
            <rFont val="Calibri"/>
            <family val="2"/>
            <scheme val="minor"/>
          </rPr>
          <t>Introduzca la fecha de inicio del proceso, en formato dd-mm-aaaa</t>
        </r>
      </text>
    </comment>
    <comment ref="F395" authorId="1" shapeId="0" xr:uid="{71C3A929-CAEA-4221-8E86-E60C37119B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1" shapeId="0" xr:uid="{D1D6BCBE-32E4-4A63-AC3B-1008899B6E61}">
      <text/>
    </comment>
    <comment ref="C397" authorId="1" shapeId="0" xr:uid="{3C3210D4-2C94-47C5-B7F3-11E7B6CA70D1}">
      <text>
        <r>
          <rPr>
            <sz val="11"/>
            <color theme="1"/>
            <rFont val="Calibri"/>
            <family val="2"/>
            <scheme val="minor"/>
          </rPr>
          <t>Introduzca la fecha prevista de adjudicación, en formato dd-mm-aaaa</t>
        </r>
      </text>
    </comment>
    <comment ref="F397" authorId="1" shapeId="0" xr:uid="{709CBA7F-A68D-484D-B5D4-FDEE8EBF7C34}">
      <text/>
    </comment>
    <comment ref="F398" authorId="1" shapeId="0" xr:uid="{74799B7C-94D0-4215-8DC2-FC15D5A1C8C3}">
      <text/>
    </comment>
    <comment ref="A400" authorId="1" shapeId="0" xr:uid="{C533AF74-7519-4B61-98B9-463A2EACD1BC}">
      <text>
        <r>
          <rPr>
            <sz val="11"/>
            <color theme="1"/>
            <rFont val="Calibri"/>
            <family val="2"/>
            <scheme val="minor"/>
          </rPr>
          <t>Introduzca un codigo UNSPSC</t>
        </r>
      </text>
    </comment>
    <comment ref="B400" authorId="1" shapeId="0" xr:uid="{93639AAA-186D-4865-9E72-8EA9E5773558}">
      <text>
        <r>
          <rPr>
            <sz val="11"/>
            <color theme="1"/>
            <rFont val="Calibri"/>
            <family val="2"/>
            <scheme val="minor"/>
          </rPr>
          <t>Descripción calculada automáticamente a partir de código del artículo</t>
        </r>
      </text>
    </comment>
    <comment ref="C400" authorId="1" shapeId="0" xr:uid="{F6756221-0362-43B1-B3FD-D11C5232BE0C}">
      <text>
        <r>
          <rPr>
            <sz val="11"/>
            <color theme="1"/>
            <rFont val="Calibri"/>
            <family val="2"/>
            <scheme val="minor"/>
          </rPr>
          <t>Seleccione un valor de la lista</t>
        </r>
      </text>
    </comment>
    <comment ref="D400" authorId="1" shapeId="0" xr:uid="{4B4820F5-921A-42C6-856B-4E234B2E9A6C}">
      <text>
        <r>
          <rPr>
            <sz val="11"/>
            <color theme="1"/>
            <rFont val="Calibri"/>
            <family val="2"/>
            <scheme val="minor"/>
          </rPr>
          <t>Introduzca un número con dos decimales como máximo. Debe ser igual o mayor a la "Cantidad Real Consumida"</t>
        </r>
      </text>
    </comment>
    <comment ref="E400" authorId="1" shapeId="0" xr:uid="{5C48720E-F610-4099-9847-EE2DDB2CD143}">
      <text>
        <r>
          <rPr>
            <sz val="11"/>
            <color theme="1"/>
            <rFont val="Calibri"/>
            <family val="2"/>
            <scheme val="minor"/>
          </rPr>
          <t>Introduzca un número con dos decimales como máximo</t>
        </r>
      </text>
    </comment>
    <comment ref="F400" authorId="1" shapeId="0" xr:uid="{CEF02E07-34C8-49EF-B0A4-BFB366B607BB}">
      <text>
        <r>
          <rPr>
            <sz val="11"/>
            <color theme="1"/>
            <rFont val="Calibri"/>
            <family val="2"/>
            <scheme val="minor"/>
          </rPr>
          <t>Monto calculado automáticamente por el sistema</t>
        </r>
      </text>
    </comment>
    <comment ref="A411" authorId="1" shapeId="0" xr:uid="{E7268883-5A6E-4D03-B43C-D81FF0EF88D9}">
      <text>
        <r>
          <rPr>
            <sz val="11"/>
            <color theme="1"/>
            <rFont val="Calibri"/>
            <family val="2"/>
            <scheme val="minor"/>
          </rPr>
          <t>Introducir un texto con el nombre o referencia de la contratación</t>
        </r>
      </text>
    </comment>
    <comment ref="B411" authorId="1" shapeId="0" xr:uid="{ACA01E58-7704-4B8E-B731-D2056A11BCF0}">
      <text>
        <r>
          <rPr>
            <sz val="11"/>
            <color theme="1"/>
            <rFont val="Calibri"/>
            <family val="2"/>
            <scheme val="minor"/>
          </rPr>
          <t>Introduzca un texto con la finalidad de la contratación</t>
        </r>
      </text>
    </comment>
    <comment ref="C411" authorId="1" shapeId="0" xr:uid="{2BF8E59F-1020-46CB-BFA8-3D8DCA15522B}">
      <text>
        <r>
          <rPr>
            <sz val="11"/>
            <color theme="1"/>
            <rFont val="Calibri"/>
            <family val="2"/>
            <scheme val="minor"/>
          </rPr>
          <t>Seleccionar un valor del listado</t>
        </r>
      </text>
    </comment>
    <comment ref="D411" authorId="1" shapeId="0" xr:uid="{7EFF98BE-500E-4837-83ED-CD352DE7DC5C}">
      <text>
        <r>
          <rPr>
            <sz val="11"/>
            <color theme="1"/>
            <rFont val="Calibri"/>
            <family val="2"/>
            <scheme val="minor"/>
          </rPr>
          <t>Seleccione el tipo de procedimiento</t>
        </r>
      </text>
    </comment>
    <comment ref="E411" authorId="1" shapeId="0" xr:uid="{4A2982DA-D8AF-4BB7-B7C0-FC5A003A5BF1}">
      <text>
        <r>
          <rPr>
            <sz val="11"/>
            <color theme="1"/>
            <rFont val="Calibri"/>
            <family val="2"/>
            <scheme val="minor"/>
          </rPr>
          <t>Seleccione un valor de la lista</t>
        </r>
      </text>
    </comment>
    <comment ref="F411" authorId="1" shapeId="0" xr:uid="{E57210CA-3706-45BF-955E-9FE8D408E7F9}">
      <text>
        <r>
          <rPr>
            <sz val="11"/>
            <color theme="1"/>
            <rFont val="Calibri"/>
            <family val="2"/>
            <scheme val="minor"/>
          </rPr>
          <t>Introduzca el código SNIP</t>
        </r>
      </text>
    </comment>
    <comment ref="C412" authorId="1" shapeId="0" xr:uid="{C6CAB4F9-1992-4F76-86C4-4D08E24D8220}">
      <text>
        <r>
          <rPr>
            <sz val="11"/>
            <color theme="1"/>
            <rFont val="Calibri"/>
            <family val="2"/>
            <scheme val="minor"/>
          </rPr>
          <t>Introduzca la fecha de inicio del proceso, en formato dd-mm-aaaa</t>
        </r>
      </text>
    </comment>
    <comment ref="F412" authorId="1" shapeId="0" xr:uid="{E33F87EB-10D0-41E7-B10D-73E3174D7A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1" shapeId="0" xr:uid="{F7F28766-078B-49D8-A704-2E1CE493D1FF}">
      <text/>
    </comment>
    <comment ref="C414" authorId="1" shapeId="0" xr:uid="{A92417CA-9ADC-4DEA-AE89-162CDDC91F60}">
      <text>
        <r>
          <rPr>
            <sz val="11"/>
            <color theme="1"/>
            <rFont val="Calibri"/>
            <family val="2"/>
            <scheme val="minor"/>
          </rPr>
          <t>Introduzca la fecha prevista de adjudicación, en formato dd-mm-aaaa</t>
        </r>
      </text>
    </comment>
    <comment ref="F414" authorId="1" shapeId="0" xr:uid="{DF7DB428-14E8-4859-9ABE-B5B2198FF961}">
      <text/>
    </comment>
    <comment ref="F415" authorId="1" shapeId="0" xr:uid="{2CECADD4-C5C5-442E-A283-E07A065964A5}">
      <text/>
    </comment>
    <comment ref="A417" authorId="1" shapeId="0" xr:uid="{CFE41359-31EB-4F76-B3B3-3B802CC07EE3}">
      <text>
        <r>
          <rPr>
            <sz val="11"/>
            <color theme="1"/>
            <rFont val="Calibri"/>
            <family val="2"/>
            <scheme val="minor"/>
          </rPr>
          <t>Introduzca un codigo UNSPSC</t>
        </r>
      </text>
    </comment>
    <comment ref="B417" authorId="1" shapeId="0" xr:uid="{06A2BBA1-DABF-45A9-8216-0FB8B066C150}">
      <text>
        <r>
          <rPr>
            <sz val="11"/>
            <color theme="1"/>
            <rFont val="Calibri"/>
            <family val="2"/>
            <scheme val="minor"/>
          </rPr>
          <t>Descripción calculada automáticamente a partir de código del artículo</t>
        </r>
      </text>
    </comment>
    <comment ref="C417" authorId="1" shapeId="0" xr:uid="{B5223791-7DB2-4528-8375-783F81CBFF92}">
      <text>
        <r>
          <rPr>
            <sz val="11"/>
            <color theme="1"/>
            <rFont val="Calibri"/>
            <family val="2"/>
            <scheme val="minor"/>
          </rPr>
          <t>Seleccione un valor de la lista</t>
        </r>
      </text>
    </comment>
    <comment ref="D417" authorId="1" shapeId="0" xr:uid="{9AE996F3-8E2E-46ED-9E48-5A202D5F0A10}">
      <text>
        <r>
          <rPr>
            <sz val="11"/>
            <color theme="1"/>
            <rFont val="Calibri"/>
            <family val="2"/>
            <scheme val="minor"/>
          </rPr>
          <t>Introduzca un número con dos decimales como máximo. Debe ser igual o mayor a la "Cantidad Real Consumida"</t>
        </r>
      </text>
    </comment>
    <comment ref="E417" authorId="1" shapeId="0" xr:uid="{838E46DE-524E-40C1-98E6-2F5431D048AB}">
      <text>
        <r>
          <rPr>
            <sz val="11"/>
            <color theme="1"/>
            <rFont val="Calibri"/>
            <family val="2"/>
            <scheme val="minor"/>
          </rPr>
          <t>Introduzca un número con dos decimales como máximo</t>
        </r>
      </text>
    </comment>
    <comment ref="F417" authorId="1" shapeId="0" xr:uid="{5A08106D-69A8-4417-A008-2D81B8207900}">
      <text>
        <r>
          <rPr>
            <sz val="11"/>
            <color theme="1"/>
            <rFont val="Calibri"/>
            <family val="2"/>
            <scheme val="minor"/>
          </rPr>
          <t>Monto calculado automáticamente por el sistema</t>
        </r>
      </text>
    </comment>
    <comment ref="A422" authorId="1" shapeId="0" xr:uid="{650B2963-4F2A-46E8-9F75-43A9FF529DC8}">
      <text>
        <r>
          <rPr>
            <sz val="11"/>
            <color theme="1"/>
            <rFont val="Calibri"/>
            <family val="2"/>
            <scheme val="minor"/>
          </rPr>
          <t>Introducir un texto con el nombre o referencia de la contratación</t>
        </r>
      </text>
    </comment>
    <comment ref="B422" authorId="1" shapeId="0" xr:uid="{9A3574DF-8B7F-4091-807B-FD2AE0877635}">
      <text>
        <r>
          <rPr>
            <sz val="11"/>
            <color theme="1"/>
            <rFont val="Calibri"/>
            <family val="2"/>
            <scheme val="minor"/>
          </rPr>
          <t>Introduzca un texto con la finalidad de la contratación</t>
        </r>
      </text>
    </comment>
    <comment ref="C422" authorId="1" shapeId="0" xr:uid="{DC0FC3FE-DAFB-407A-8A76-5B5802A5E77D}">
      <text>
        <r>
          <rPr>
            <sz val="11"/>
            <color theme="1"/>
            <rFont val="Calibri"/>
            <family val="2"/>
            <scheme val="minor"/>
          </rPr>
          <t>Seleccionar un valor del listado</t>
        </r>
      </text>
    </comment>
    <comment ref="D422" authorId="1" shapeId="0" xr:uid="{7236205B-D151-4AB6-88B9-619C1C5CEEB3}">
      <text>
        <r>
          <rPr>
            <sz val="11"/>
            <color theme="1"/>
            <rFont val="Calibri"/>
            <family val="2"/>
            <scheme val="minor"/>
          </rPr>
          <t>Seleccione el tipo de procedimiento</t>
        </r>
      </text>
    </comment>
    <comment ref="E422" authorId="1" shapeId="0" xr:uid="{04056803-9BC8-45D3-A2F6-D21433BCC257}">
      <text>
        <r>
          <rPr>
            <sz val="11"/>
            <color theme="1"/>
            <rFont val="Calibri"/>
            <family val="2"/>
            <scheme val="minor"/>
          </rPr>
          <t>Seleccione un valor de la lista</t>
        </r>
      </text>
    </comment>
    <comment ref="F422" authorId="1" shapeId="0" xr:uid="{560F6794-5DED-418C-92FF-4130D8E43694}">
      <text>
        <r>
          <rPr>
            <sz val="11"/>
            <color theme="1"/>
            <rFont val="Calibri"/>
            <family val="2"/>
            <scheme val="minor"/>
          </rPr>
          <t>Introduzca el código SNIP</t>
        </r>
      </text>
    </comment>
    <comment ref="C423" authorId="1" shapeId="0" xr:uid="{D18F9FF2-566B-48E5-9A15-19AAA769F131}">
      <text>
        <r>
          <rPr>
            <sz val="11"/>
            <color theme="1"/>
            <rFont val="Calibri"/>
            <family val="2"/>
            <scheme val="minor"/>
          </rPr>
          <t>Introduzca la fecha de inicio del proceso, en formato dd-mm-aaaa</t>
        </r>
      </text>
    </comment>
    <comment ref="F423" authorId="1" shapeId="0" xr:uid="{7354764E-8278-4D55-84A3-5012CE9E41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 authorId="1" shapeId="0" xr:uid="{EAC5AC06-B413-42F4-9B1F-9FBB866E5834}">
      <text/>
    </comment>
    <comment ref="C425" authorId="1" shapeId="0" xr:uid="{036F685A-9962-4325-8950-D52E3AA6E3CC}">
      <text>
        <r>
          <rPr>
            <sz val="11"/>
            <color theme="1"/>
            <rFont val="Calibri"/>
            <family val="2"/>
            <scheme val="minor"/>
          </rPr>
          <t>Introduzca la fecha prevista de adjudicación, en formato dd-mm-aaaa</t>
        </r>
      </text>
    </comment>
    <comment ref="F425" authorId="1" shapeId="0" xr:uid="{3B4F909F-00E5-4157-B557-8A75682C90FF}">
      <text/>
    </comment>
    <comment ref="F426" authorId="1" shapeId="0" xr:uid="{5D4193C4-3F44-4434-87CA-D047B2FFF537}">
      <text/>
    </comment>
    <comment ref="A428" authorId="1" shapeId="0" xr:uid="{65CE4B7E-B9A6-4B08-B628-BB4A1089DC37}">
      <text>
        <r>
          <rPr>
            <sz val="11"/>
            <color theme="1"/>
            <rFont val="Calibri"/>
            <family val="2"/>
            <scheme val="minor"/>
          </rPr>
          <t>Introduzca un codigo UNSPSC</t>
        </r>
      </text>
    </comment>
    <comment ref="B428" authorId="1" shapeId="0" xr:uid="{39F8FECA-D952-408B-B4D9-EC2940325DE8}">
      <text>
        <r>
          <rPr>
            <sz val="11"/>
            <color theme="1"/>
            <rFont val="Calibri"/>
            <family val="2"/>
            <scheme val="minor"/>
          </rPr>
          <t>Descripción calculada automáticamente a partir de código del artículo</t>
        </r>
      </text>
    </comment>
    <comment ref="C428" authorId="1" shapeId="0" xr:uid="{CD20319C-1771-475F-9B76-CBB6C8511BC3}">
      <text>
        <r>
          <rPr>
            <sz val="11"/>
            <color theme="1"/>
            <rFont val="Calibri"/>
            <family val="2"/>
            <scheme val="minor"/>
          </rPr>
          <t>Seleccione un valor de la lista</t>
        </r>
      </text>
    </comment>
    <comment ref="D428" authorId="1" shapeId="0" xr:uid="{BA14E4CD-3E02-403E-90CD-596D13001CFD}">
      <text>
        <r>
          <rPr>
            <sz val="11"/>
            <color theme="1"/>
            <rFont val="Calibri"/>
            <family val="2"/>
            <scheme val="minor"/>
          </rPr>
          <t>Introduzca un número con dos decimales como máximo. Debe ser igual o mayor a la "Cantidad Real Consumida"</t>
        </r>
      </text>
    </comment>
    <comment ref="E428" authorId="1" shapeId="0" xr:uid="{4AFB2855-6029-4919-AB88-82ECA3226694}">
      <text>
        <r>
          <rPr>
            <sz val="11"/>
            <color theme="1"/>
            <rFont val="Calibri"/>
            <family val="2"/>
            <scheme val="minor"/>
          </rPr>
          <t>Introduzca un número con dos decimales como máximo</t>
        </r>
      </text>
    </comment>
    <comment ref="F428" authorId="1" shapeId="0" xr:uid="{B5A2ECB3-70F0-4B47-B3AE-AC7DDB6B227A}">
      <text>
        <r>
          <rPr>
            <sz val="11"/>
            <color theme="1"/>
            <rFont val="Calibri"/>
            <family val="2"/>
            <scheme val="minor"/>
          </rPr>
          <t>Monto calculado automáticamente por el sistema</t>
        </r>
      </text>
    </comment>
    <comment ref="A433" authorId="1" shapeId="0" xr:uid="{61713D47-FFDB-4FC3-88E9-4AD98CBE394D}">
      <text>
        <r>
          <rPr>
            <sz val="11"/>
            <color theme="1"/>
            <rFont val="Calibri"/>
            <family val="2"/>
            <scheme val="minor"/>
          </rPr>
          <t>Introducir un texto con el nombre o referencia de la contratación</t>
        </r>
      </text>
    </comment>
    <comment ref="B433" authorId="1" shapeId="0" xr:uid="{E1BBA1B8-DB85-49B0-94CB-A5153090226F}">
      <text>
        <r>
          <rPr>
            <sz val="11"/>
            <color theme="1"/>
            <rFont val="Calibri"/>
            <family val="2"/>
            <scheme val="minor"/>
          </rPr>
          <t>Introduzca un texto con la finalidad de la contratación</t>
        </r>
      </text>
    </comment>
    <comment ref="C433" authorId="1" shapeId="0" xr:uid="{C81165C4-D31E-43BC-A297-2F29B0BE5693}">
      <text>
        <r>
          <rPr>
            <sz val="11"/>
            <color theme="1"/>
            <rFont val="Calibri"/>
            <family val="2"/>
            <scheme val="minor"/>
          </rPr>
          <t>Seleccionar un valor del listado</t>
        </r>
      </text>
    </comment>
    <comment ref="D433" authorId="1" shapeId="0" xr:uid="{CC8F9B5A-A472-4740-8D6E-0AFDE7BE3349}">
      <text>
        <r>
          <rPr>
            <sz val="11"/>
            <color theme="1"/>
            <rFont val="Calibri"/>
            <family val="2"/>
            <scheme val="minor"/>
          </rPr>
          <t>Seleccione el tipo de procedimiento</t>
        </r>
      </text>
    </comment>
    <comment ref="E433" authorId="1" shapeId="0" xr:uid="{4B50C1CE-AD7F-4DE8-9645-187B421AB7BF}">
      <text>
        <r>
          <rPr>
            <sz val="11"/>
            <color theme="1"/>
            <rFont val="Calibri"/>
            <family val="2"/>
            <scheme val="minor"/>
          </rPr>
          <t>Seleccione un valor de la lista</t>
        </r>
      </text>
    </comment>
    <comment ref="F433" authorId="1" shapeId="0" xr:uid="{24BEE3A5-2836-41C0-BE78-85FD3120586D}">
      <text>
        <r>
          <rPr>
            <sz val="11"/>
            <color theme="1"/>
            <rFont val="Calibri"/>
            <family val="2"/>
            <scheme val="minor"/>
          </rPr>
          <t>Introduzca el código SNIP</t>
        </r>
      </text>
    </comment>
    <comment ref="C434" authorId="1" shapeId="0" xr:uid="{83F030C4-2104-4334-A409-B8014ECD53E8}">
      <text>
        <r>
          <rPr>
            <sz val="11"/>
            <color theme="1"/>
            <rFont val="Calibri"/>
            <family val="2"/>
            <scheme val="minor"/>
          </rPr>
          <t>Introduzca la fecha de inicio del proceso, en formato dd-mm-aaaa</t>
        </r>
      </text>
    </comment>
    <comment ref="F434" authorId="1" shapeId="0" xr:uid="{8F856F19-3FD4-4033-B66B-E1BC8D6470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 authorId="1" shapeId="0" xr:uid="{C657AE61-7BB9-427F-95F4-07A435EB8CA0}">
      <text/>
    </comment>
    <comment ref="C436" authorId="1" shapeId="0" xr:uid="{A075EA6F-8DF4-4DD8-A3C9-EF925EE876CC}">
      <text>
        <r>
          <rPr>
            <sz val="11"/>
            <color theme="1"/>
            <rFont val="Calibri"/>
            <family val="2"/>
            <scheme val="minor"/>
          </rPr>
          <t>Introduzca la fecha prevista de adjudicación, en formato dd-mm-aaaa</t>
        </r>
      </text>
    </comment>
    <comment ref="F436" authorId="1" shapeId="0" xr:uid="{F3BC2C8E-6D56-4A8E-A354-A77190DE02AC}">
      <text/>
    </comment>
    <comment ref="F437" authorId="1" shapeId="0" xr:uid="{96E21067-7EBD-4DC9-B04C-80B25502AE14}">
      <text/>
    </comment>
    <comment ref="A439" authorId="1" shapeId="0" xr:uid="{B4DA2385-9EDA-415C-BEA0-94D6E443290B}">
      <text>
        <r>
          <rPr>
            <sz val="11"/>
            <color theme="1"/>
            <rFont val="Calibri"/>
            <family val="2"/>
            <scheme val="minor"/>
          </rPr>
          <t>Introduzca un codigo UNSPSC</t>
        </r>
      </text>
    </comment>
    <comment ref="B439" authorId="1" shapeId="0" xr:uid="{2C51AA6B-56E7-4585-9E53-79DF7C06D0D2}">
      <text>
        <r>
          <rPr>
            <sz val="11"/>
            <color theme="1"/>
            <rFont val="Calibri"/>
            <family val="2"/>
            <scheme val="minor"/>
          </rPr>
          <t>Descripción calculada automáticamente a partir de código del artículo</t>
        </r>
      </text>
    </comment>
    <comment ref="C439" authorId="1" shapeId="0" xr:uid="{3B09AD2A-E8E1-47A3-8B79-2A9AD6D4B2F5}">
      <text>
        <r>
          <rPr>
            <sz val="11"/>
            <color theme="1"/>
            <rFont val="Calibri"/>
            <family val="2"/>
            <scheme val="minor"/>
          </rPr>
          <t>Seleccione un valor de la lista</t>
        </r>
      </text>
    </comment>
    <comment ref="D439" authorId="1" shapeId="0" xr:uid="{E06537B2-EDD6-45EA-AB1E-A87F750EAFCE}">
      <text>
        <r>
          <rPr>
            <sz val="11"/>
            <color theme="1"/>
            <rFont val="Calibri"/>
            <family val="2"/>
            <scheme val="minor"/>
          </rPr>
          <t>Introduzca un número con dos decimales como máximo. Debe ser igual o mayor a la "Cantidad Real Consumida"</t>
        </r>
      </text>
    </comment>
    <comment ref="E439" authorId="1" shapeId="0" xr:uid="{FBFCA8EA-5370-4B55-A0EE-7B08EF9FB659}">
      <text>
        <r>
          <rPr>
            <sz val="11"/>
            <color theme="1"/>
            <rFont val="Calibri"/>
            <family val="2"/>
            <scheme val="minor"/>
          </rPr>
          <t>Introduzca un número con dos decimales como máximo</t>
        </r>
      </text>
    </comment>
    <comment ref="F439" authorId="1" shapeId="0" xr:uid="{0855A2F9-EA75-4EC2-834D-FF27FD23C37A}">
      <text>
        <r>
          <rPr>
            <sz val="11"/>
            <color theme="1"/>
            <rFont val="Calibri"/>
            <family val="2"/>
            <scheme val="minor"/>
          </rPr>
          <t>Monto calculado automáticamente por el sistema</t>
        </r>
      </text>
    </comment>
    <comment ref="A446" authorId="1" shapeId="0" xr:uid="{7D3A9636-FF38-42AE-99C9-4A666AB38148}">
      <text>
        <r>
          <rPr>
            <sz val="11"/>
            <color theme="1"/>
            <rFont val="Calibri"/>
            <family val="2"/>
            <scheme val="minor"/>
          </rPr>
          <t>Introducir un texto con el nombre o referencia de la contratación</t>
        </r>
      </text>
    </comment>
    <comment ref="B446" authorId="1" shapeId="0" xr:uid="{93311929-EF69-4EDA-B2C5-55B8C68408D2}">
      <text>
        <r>
          <rPr>
            <sz val="11"/>
            <color theme="1"/>
            <rFont val="Calibri"/>
            <family val="2"/>
            <scheme val="minor"/>
          </rPr>
          <t>Introduzca un texto con la finalidad de la contratación</t>
        </r>
      </text>
    </comment>
    <comment ref="C446" authorId="1" shapeId="0" xr:uid="{94C1C8CE-A74C-4403-9AA5-DDF0980A6382}">
      <text>
        <r>
          <rPr>
            <sz val="11"/>
            <color theme="1"/>
            <rFont val="Calibri"/>
            <family val="2"/>
            <scheme val="minor"/>
          </rPr>
          <t>Seleccionar un valor del listado</t>
        </r>
      </text>
    </comment>
    <comment ref="D446" authorId="1" shapeId="0" xr:uid="{F593D6FE-7DD1-4A7F-A9CE-62A7FEEEBA79}">
      <text>
        <r>
          <rPr>
            <sz val="11"/>
            <color theme="1"/>
            <rFont val="Calibri"/>
            <family val="2"/>
            <scheme val="minor"/>
          </rPr>
          <t>Seleccione el tipo de procedimiento</t>
        </r>
      </text>
    </comment>
    <comment ref="E446" authorId="1" shapeId="0" xr:uid="{A82F9733-34CE-480A-9C87-77E9AD3A94D5}">
      <text>
        <r>
          <rPr>
            <sz val="11"/>
            <color theme="1"/>
            <rFont val="Calibri"/>
            <family val="2"/>
            <scheme val="minor"/>
          </rPr>
          <t>Seleccione un valor de la lista</t>
        </r>
      </text>
    </comment>
    <comment ref="F446" authorId="1" shapeId="0" xr:uid="{5AB0ED01-605B-47E8-8A79-7CD08C67B513}">
      <text>
        <r>
          <rPr>
            <sz val="11"/>
            <color theme="1"/>
            <rFont val="Calibri"/>
            <family val="2"/>
            <scheme val="minor"/>
          </rPr>
          <t>Introduzca el código SNIP</t>
        </r>
      </text>
    </comment>
    <comment ref="C447" authorId="1" shapeId="0" xr:uid="{E97EDC42-5F5C-4E06-A7E3-68D4AC07BD17}">
      <text>
        <r>
          <rPr>
            <sz val="11"/>
            <color theme="1"/>
            <rFont val="Calibri"/>
            <family val="2"/>
            <scheme val="minor"/>
          </rPr>
          <t>Introduzca la fecha de inicio del proceso, en formato dd-mm-aaaa</t>
        </r>
      </text>
    </comment>
    <comment ref="F447" authorId="1" shapeId="0" xr:uid="{C6532D8E-A269-48BC-965B-1068DEF11B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 authorId="1" shapeId="0" xr:uid="{5A93271F-0483-4BAC-BF7D-E99B986A7550}">
      <text/>
    </comment>
    <comment ref="C449" authorId="1" shapeId="0" xr:uid="{92B1AEB6-79C5-4FDA-9FF6-C71A32B22652}">
      <text>
        <r>
          <rPr>
            <sz val="11"/>
            <color theme="1"/>
            <rFont val="Calibri"/>
            <family val="2"/>
            <scheme val="minor"/>
          </rPr>
          <t>Introduzca la fecha prevista de adjudicación, en formato dd-mm-aaaa</t>
        </r>
      </text>
    </comment>
    <comment ref="F449" authorId="1" shapeId="0" xr:uid="{9790DD19-46B5-404D-9F91-D05B19D4B49A}">
      <text/>
    </comment>
    <comment ref="F450" authorId="1" shapeId="0" xr:uid="{12A198C1-FB2D-4A20-A89D-C0FDCC20DE34}">
      <text/>
    </comment>
    <comment ref="A452" authorId="1" shapeId="0" xr:uid="{2A93A18E-318F-4873-A8CE-9294859E9506}">
      <text>
        <r>
          <rPr>
            <sz val="11"/>
            <color theme="1"/>
            <rFont val="Calibri"/>
            <family val="2"/>
            <scheme val="minor"/>
          </rPr>
          <t>Introduzca un codigo UNSPSC</t>
        </r>
      </text>
    </comment>
    <comment ref="B452" authorId="1" shapeId="0" xr:uid="{C58904A0-3F78-4A8B-A00F-E34F860EC4CD}">
      <text>
        <r>
          <rPr>
            <sz val="11"/>
            <color theme="1"/>
            <rFont val="Calibri"/>
            <family val="2"/>
            <scheme val="minor"/>
          </rPr>
          <t>Descripción calculada automáticamente a partir de código del artículo</t>
        </r>
      </text>
    </comment>
    <comment ref="C452" authorId="1" shapeId="0" xr:uid="{6380E636-6DCA-4746-BE64-4D97F01BCA68}">
      <text>
        <r>
          <rPr>
            <sz val="11"/>
            <color theme="1"/>
            <rFont val="Calibri"/>
            <family val="2"/>
            <scheme val="minor"/>
          </rPr>
          <t>Seleccione un valor de la lista</t>
        </r>
      </text>
    </comment>
    <comment ref="D452" authorId="1" shapeId="0" xr:uid="{02066F3A-8718-41AC-B59B-A5D7CCED043C}">
      <text>
        <r>
          <rPr>
            <sz val="11"/>
            <color theme="1"/>
            <rFont val="Calibri"/>
            <family val="2"/>
            <scheme val="minor"/>
          </rPr>
          <t>Introduzca un número con dos decimales como máximo. Debe ser igual o mayor a la "Cantidad Real Consumida"</t>
        </r>
      </text>
    </comment>
    <comment ref="E452" authorId="1" shapeId="0" xr:uid="{A3205E44-DA0F-4460-B30F-1B2FD14DCC7C}">
      <text>
        <r>
          <rPr>
            <sz val="11"/>
            <color theme="1"/>
            <rFont val="Calibri"/>
            <family val="2"/>
            <scheme val="minor"/>
          </rPr>
          <t>Introduzca un número con dos decimales como máximo</t>
        </r>
      </text>
    </comment>
    <comment ref="F452" authorId="1" shapeId="0" xr:uid="{642DC4B3-3F84-45B0-9798-AB752F2497CD}">
      <text>
        <r>
          <rPr>
            <sz val="11"/>
            <color theme="1"/>
            <rFont val="Calibri"/>
            <family val="2"/>
            <scheme val="minor"/>
          </rPr>
          <t>Monto calculado automáticamente por el sistema</t>
        </r>
      </text>
    </comment>
    <comment ref="A458" authorId="1" shapeId="0" xr:uid="{3A9456DF-99CD-47B0-84DE-D1332081E4F2}">
      <text>
        <r>
          <rPr>
            <sz val="11"/>
            <color theme="1"/>
            <rFont val="Calibri"/>
            <family val="2"/>
            <scheme val="minor"/>
          </rPr>
          <t>Introducir un texto con el nombre o referencia de la contratación</t>
        </r>
      </text>
    </comment>
    <comment ref="B458" authorId="1" shapeId="0" xr:uid="{E96996F4-61E1-4224-BF04-0B92CF4BB0E4}">
      <text>
        <r>
          <rPr>
            <sz val="11"/>
            <color theme="1"/>
            <rFont val="Calibri"/>
            <family val="2"/>
            <scheme val="minor"/>
          </rPr>
          <t>Introduzca un texto con la finalidad de la contratación</t>
        </r>
      </text>
    </comment>
    <comment ref="C458" authorId="1" shapeId="0" xr:uid="{6BC0C117-77B2-4684-8579-D53244FE251C}">
      <text>
        <r>
          <rPr>
            <sz val="11"/>
            <color theme="1"/>
            <rFont val="Calibri"/>
            <family val="2"/>
            <scheme val="minor"/>
          </rPr>
          <t>Seleccionar un valor del listado</t>
        </r>
      </text>
    </comment>
    <comment ref="D458" authorId="1" shapeId="0" xr:uid="{A7E304A1-1F19-4C94-8BC0-4EEEF2C9F3DB}">
      <text>
        <r>
          <rPr>
            <sz val="11"/>
            <color theme="1"/>
            <rFont val="Calibri"/>
            <family val="2"/>
            <scheme val="minor"/>
          </rPr>
          <t>Seleccione el tipo de procedimiento</t>
        </r>
      </text>
    </comment>
    <comment ref="E458" authorId="1" shapeId="0" xr:uid="{F5708391-A782-4ADD-A220-E67A132E85E8}">
      <text>
        <r>
          <rPr>
            <sz val="11"/>
            <color theme="1"/>
            <rFont val="Calibri"/>
            <family val="2"/>
            <scheme val="minor"/>
          </rPr>
          <t>Seleccione un valor de la lista</t>
        </r>
      </text>
    </comment>
    <comment ref="F458" authorId="1" shapeId="0" xr:uid="{0C3A89AD-DD5C-4B6C-8D52-00256FB75B65}">
      <text>
        <r>
          <rPr>
            <sz val="11"/>
            <color theme="1"/>
            <rFont val="Calibri"/>
            <family val="2"/>
            <scheme val="minor"/>
          </rPr>
          <t>Introduzca el código SNIP</t>
        </r>
      </text>
    </comment>
    <comment ref="C459" authorId="1" shapeId="0" xr:uid="{61602FB6-13C1-4361-B1B3-8B238A2F9F9C}">
      <text>
        <r>
          <rPr>
            <sz val="11"/>
            <color theme="1"/>
            <rFont val="Calibri"/>
            <family val="2"/>
            <scheme val="minor"/>
          </rPr>
          <t>Introduzca la fecha de inicio del proceso, en formato dd-mm-aaaa</t>
        </r>
      </text>
    </comment>
    <comment ref="F459" authorId="1" shapeId="0" xr:uid="{57DCFFB7-FD96-4AA5-9C10-2CE00A78C9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75B28F7A-40D1-4E01-AC70-1910DD5BE2FF}">
      <text/>
    </comment>
    <comment ref="C461" authorId="1" shapeId="0" xr:uid="{D7721C29-32C4-4985-9D12-2EA0BE9E9DBA}">
      <text>
        <r>
          <rPr>
            <sz val="11"/>
            <color theme="1"/>
            <rFont val="Calibri"/>
            <family val="2"/>
            <scheme val="minor"/>
          </rPr>
          <t>Introduzca la fecha prevista de adjudicación, en formato dd-mm-aaaa</t>
        </r>
      </text>
    </comment>
    <comment ref="F461" authorId="1" shapeId="0" xr:uid="{973050B5-6498-40C6-9D5D-0FD9DB65876F}">
      <text/>
    </comment>
    <comment ref="F462" authorId="1" shapeId="0" xr:uid="{8C935568-13EC-46D4-870E-F2728327554A}">
      <text/>
    </comment>
    <comment ref="A464" authorId="1" shapeId="0" xr:uid="{4C61918B-32A4-439D-8D95-ED97F5DA533C}">
      <text>
        <r>
          <rPr>
            <sz val="11"/>
            <color theme="1"/>
            <rFont val="Calibri"/>
            <family val="2"/>
            <scheme val="minor"/>
          </rPr>
          <t>Introduzca un codigo UNSPSC</t>
        </r>
      </text>
    </comment>
    <comment ref="B464" authorId="1" shapeId="0" xr:uid="{AFD3619E-E9A0-4E67-9A0D-10EF6BB08936}">
      <text>
        <r>
          <rPr>
            <sz val="11"/>
            <color theme="1"/>
            <rFont val="Calibri"/>
            <family val="2"/>
            <scheme val="minor"/>
          </rPr>
          <t>Descripción calculada automáticamente a partir de código del artículo</t>
        </r>
      </text>
    </comment>
    <comment ref="C464" authorId="1" shapeId="0" xr:uid="{B78D73D9-338E-47D4-9649-F9E774FED8C9}">
      <text>
        <r>
          <rPr>
            <sz val="11"/>
            <color theme="1"/>
            <rFont val="Calibri"/>
            <family val="2"/>
            <scheme val="minor"/>
          </rPr>
          <t>Seleccione un valor de la lista</t>
        </r>
      </text>
    </comment>
    <comment ref="D464" authorId="1" shapeId="0" xr:uid="{D42F4C14-4541-4ED2-974A-3949576B0A57}">
      <text>
        <r>
          <rPr>
            <sz val="11"/>
            <color theme="1"/>
            <rFont val="Calibri"/>
            <family val="2"/>
            <scheme val="minor"/>
          </rPr>
          <t>Introduzca un número con dos decimales como máximo. Debe ser igual o mayor a la "Cantidad Real Consumida"</t>
        </r>
      </text>
    </comment>
    <comment ref="E464" authorId="1" shapeId="0" xr:uid="{01A83D36-A87E-4F02-BC38-8FFA63CC502C}">
      <text>
        <r>
          <rPr>
            <sz val="11"/>
            <color theme="1"/>
            <rFont val="Calibri"/>
            <family val="2"/>
            <scheme val="minor"/>
          </rPr>
          <t>Introduzca un número con dos decimales como máximo</t>
        </r>
      </text>
    </comment>
    <comment ref="F464" authorId="1" shapeId="0" xr:uid="{5F9C6D68-F29F-48BD-9A14-F144A626D774}">
      <text>
        <r>
          <rPr>
            <sz val="11"/>
            <color theme="1"/>
            <rFont val="Calibri"/>
            <family val="2"/>
            <scheme val="minor"/>
          </rPr>
          <t>Monto calculado automáticamente por el sistema</t>
        </r>
      </text>
    </comment>
    <comment ref="A472" authorId="1" shapeId="0" xr:uid="{0F3E2A21-C3AC-416B-9E28-2FED64A7DEB6}">
      <text>
        <r>
          <rPr>
            <sz val="11"/>
            <color theme="1"/>
            <rFont val="Calibri"/>
            <family val="2"/>
            <scheme val="minor"/>
          </rPr>
          <t>Introducir un texto con el nombre o referencia de la contratación</t>
        </r>
      </text>
    </comment>
    <comment ref="B472" authorId="1" shapeId="0" xr:uid="{D83C2699-2013-46D1-8C64-9218FDE9C9FE}">
      <text>
        <r>
          <rPr>
            <sz val="11"/>
            <color theme="1"/>
            <rFont val="Calibri"/>
            <family val="2"/>
            <scheme val="minor"/>
          </rPr>
          <t>Introduzca un texto con la finalidad de la contratación</t>
        </r>
      </text>
    </comment>
    <comment ref="C472" authorId="1" shapeId="0" xr:uid="{AA3859BD-FEA2-44C2-81BA-C1131CECDF19}">
      <text>
        <r>
          <rPr>
            <sz val="11"/>
            <color theme="1"/>
            <rFont val="Calibri"/>
            <family val="2"/>
            <scheme val="minor"/>
          </rPr>
          <t>Seleccionar un valor del listado</t>
        </r>
      </text>
    </comment>
    <comment ref="D472" authorId="1" shapeId="0" xr:uid="{1E926ECA-E531-44CD-B6A0-BD55929F9D07}">
      <text>
        <r>
          <rPr>
            <sz val="11"/>
            <color theme="1"/>
            <rFont val="Calibri"/>
            <family val="2"/>
            <scheme val="minor"/>
          </rPr>
          <t>Seleccione el tipo de procedimiento</t>
        </r>
      </text>
    </comment>
    <comment ref="E472" authorId="1" shapeId="0" xr:uid="{C30939F4-A5F7-4841-8D1F-43FD895FE08D}">
      <text>
        <r>
          <rPr>
            <sz val="11"/>
            <color theme="1"/>
            <rFont val="Calibri"/>
            <family val="2"/>
            <scheme val="minor"/>
          </rPr>
          <t>Seleccione un valor de la lista</t>
        </r>
      </text>
    </comment>
    <comment ref="F472" authorId="1" shapeId="0" xr:uid="{1D788D74-DE37-41DE-B5C7-910D3478B8E9}">
      <text>
        <r>
          <rPr>
            <sz val="11"/>
            <color theme="1"/>
            <rFont val="Calibri"/>
            <family val="2"/>
            <scheme val="minor"/>
          </rPr>
          <t>Introduzca el código SNIP</t>
        </r>
      </text>
    </comment>
    <comment ref="C473" authorId="1" shapeId="0" xr:uid="{0D5CA131-4C53-4567-8BBE-46E400D67B44}">
      <text>
        <r>
          <rPr>
            <sz val="11"/>
            <color theme="1"/>
            <rFont val="Calibri"/>
            <family val="2"/>
            <scheme val="minor"/>
          </rPr>
          <t>Introduzca la fecha de inicio del proceso, en formato dd-mm-aaaa</t>
        </r>
      </text>
    </comment>
    <comment ref="F473" authorId="1" shapeId="0" xr:uid="{B28A199B-C42B-45FA-91F4-7852B060C4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xr:uid="{1B57A59C-A31D-437B-93B8-700D66A6DDE6}">
      <text/>
    </comment>
    <comment ref="C475" authorId="1" shapeId="0" xr:uid="{06E8850C-3F58-4F03-879D-1DCAE1423CF4}">
      <text>
        <r>
          <rPr>
            <sz val="11"/>
            <color theme="1"/>
            <rFont val="Calibri"/>
            <family val="2"/>
            <scheme val="minor"/>
          </rPr>
          <t>Introduzca la fecha prevista de adjudicación, en formato dd-mm-aaaa</t>
        </r>
      </text>
    </comment>
    <comment ref="F475" authorId="1" shapeId="0" xr:uid="{C182DCD3-8ECD-4FAF-8D97-8AA1115F3E38}">
      <text/>
    </comment>
    <comment ref="F476" authorId="1" shapeId="0" xr:uid="{B293CD17-A042-4D3B-A988-3D8EF0DD9E05}">
      <text/>
    </comment>
    <comment ref="A478" authorId="1" shapeId="0" xr:uid="{A3D2D6D7-C049-4B74-A46D-2384F77C68A1}">
      <text>
        <r>
          <rPr>
            <sz val="11"/>
            <color theme="1"/>
            <rFont val="Calibri"/>
            <family val="2"/>
            <scheme val="minor"/>
          </rPr>
          <t>Introduzca un codigo UNSPSC</t>
        </r>
      </text>
    </comment>
    <comment ref="B478" authorId="1" shapeId="0" xr:uid="{00DBEED3-F335-4A45-981F-087BB341791D}">
      <text>
        <r>
          <rPr>
            <sz val="11"/>
            <color theme="1"/>
            <rFont val="Calibri"/>
            <family val="2"/>
            <scheme val="minor"/>
          </rPr>
          <t>Descripción calculada automáticamente a partir de código del artículo</t>
        </r>
      </text>
    </comment>
    <comment ref="C478" authorId="1" shapeId="0" xr:uid="{759E885F-10B7-4F86-99F0-F5004BA1C67E}">
      <text>
        <r>
          <rPr>
            <sz val="11"/>
            <color theme="1"/>
            <rFont val="Calibri"/>
            <family val="2"/>
            <scheme val="minor"/>
          </rPr>
          <t>Seleccione un valor de la lista</t>
        </r>
      </text>
    </comment>
    <comment ref="D478" authorId="1" shapeId="0" xr:uid="{03A57E45-936F-4A7C-B637-46B905BBFBD9}">
      <text>
        <r>
          <rPr>
            <sz val="11"/>
            <color theme="1"/>
            <rFont val="Calibri"/>
            <family val="2"/>
            <scheme val="minor"/>
          </rPr>
          <t>Introduzca un número con dos decimales como máximo. Debe ser igual o mayor a la "Cantidad Real Consumida"</t>
        </r>
      </text>
    </comment>
    <comment ref="E478" authorId="1" shapeId="0" xr:uid="{EDF36307-DE00-48C4-8E20-3CF4DE87E167}">
      <text>
        <r>
          <rPr>
            <sz val="11"/>
            <color theme="1"/>
            <rFont val="Calibri"/>
            <family val="2"/>
            <scheme val="minor"/>
          </rPr>
          <t>Introduzca un número con dos decimales como máximo</t>
        </r>
      </text>
    </comment>
    <comment ref="F478" authorId="1" shapeId="0" xr:uid="{03608DE3-C388-4E42-87DC-3A3C4DB278D3}">
      <text>
        <r>
          <rPr>
            <sz val="11"/>
            <color theme="1"/>
            <rFont val="Calibri"/>
            <family val="2"/>
            <scheme val="minor"/>
          </rPr>
          <t>Monto calculado automáticamente por el sistema</t>
        </r>
      </text>
    </comment>
    <comment ref="A483" authorId="1" shapeId="0" xr:uid="{F69C87A3-AA5E-47F8-85D1-3BDF032D8EFC}">
      <text>
        <r>
          <rPr>
            <sz val="11"/>
            <color theme="1"/>
            <rFont val="Calibri"/>
            <family val="2"/>
            <scheme val="minor"/>
          </rPr>
          <t>Introducir un texto con el nombre o referencia de la contratación</t>
        </r>
      </text>
    </comment>
    <comment ref="B483" authorId="1" shapeId="0" xr:uid="{8F2E8D12-5A6A-4A9A-9BB6-D61A89ADBC83}">
      <text>
        <r>
          <rPr>
            <sz val="11"/>
            <color theme="1"/>
            <rFont val="Calibri"/>
            <family val="2"/>
            <scheme val="minor"/>
          </rPr>
          <t>Introduzca un texto con la finalidad de la contratación</t>
        </r>
      </text>
    </comment>
    <comment ref="C483" authorId="1" shapeId="0" xr:uid="{B35A9C60-39B0-4E13-B71D-41F6692F34CF}">
      <text>
        <r>
          <rPr>
            <sz val="11"/>
            <color theme="1"/>
            <rFont val="Calibri"/>
            <family val="2"/>
            <scheme val="minor"/>
          </rPr>
          <t>Seleccionar un valor del listado</t>
        </r>
      </text>
    </comment>
    <comment ref="D483" authorId="1" shapeId="0" xr:uid="{BEA37C87-79D6-492C-A33A-20140FE5AA29}">
      <text>
        <r>
          <rPr>
            <sz val="11"/>
            <color theme="1"/>
            <rFont val="Calibri"/>
            <family val="2"/>
            <scheme val="minor"/>
          </rPr>
          <t>Seleccione el tipo de procedimiento</t>
        </r>
      </text>
    </comment>
    <comment ref="E483" authorId="1" shapeId="0" xr:uid="{33CE0A97-EF7E-4C96-96E9-C4D9785BE2F9}">
      <text>
        <r>
          <rPr>
            <sz val="11"/>
            <color theme="1"/>
            <rFont val="Calibri"/>
            <family val="2"/>
            <scheme val="minor"/>
          </rPr>
          <t>Seleccione un valor de la lista</t>
        </r>
      </text>
    </comment>
    <comment ref="F483" authorId="1" shapeId="0" xr:uid="{1AFFE1F9-1AD4-4517-9EB7-CA1E566E9A6F}">
      <text>
        <r>
          <rPr>
            <sz val="11"/>
            <color theme="1"/>
            <rFont val="Calibri"/>
            <family val="2"/>
            <scheme val="minor"/>
          </rPr>
          <t>Introduzca el código SNIP</t>
        </r>
      </text>
    </comment>
    <comment ref="C484" authorId="1" shapeId="0" xr:uid="{4F2857C2-4CA1-4205-BE6E-164FFC70E3B2}">
      <text>
        <r>
          <rPr>
            <sz val="11"/>
            <color theme="1"/>
            <rFont val="Calibri"/>
            <family val="2"/>
            <scheme val="minor"/>
          </rPr>
          <t>Introduzca la fecha de inicio del proceso, en formato dd-mm-aaaa</t>
        </r>
      </text>
    </comment>
    <comment ref="F484" authorId="1" shapeId="0" xr:uid="{EBB4BCC9-CE4D-49B3-A4F4-FEB317A510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1" shapeId="0" xr:uid="{EFC3B2BD-5DC7-489F-BA52-4F9BA0EAE097}">
      <text/>
    </comment>
    <comment ref="C486" authorId="1" shapeId="0" xr:uid="{DC27233C-BD72-4DE2-974A-FC75BBCFD64C}">
      <text>
        <r>
          <rPr>
            <sz val="11"/>
            <color theme="1"/>
            <rFont val="Calibri"/>
            <family val="2"/>
            <scheme val="minor"/>
          </rPr>
          <t>Introduzca la fecha prevista de adjudicación, en formato dd-mm-aaaa</t>
        </r>
      </text>
    </comment>
    <comment ref="F486" authorId="1" shapeId="0" xr:uid="{FAD43271-149A-4F95-A389-938F20608C60}">
      <text/>
    </comment>
    <comment ref="F487" authorId="1" shapeId="0" xr:uid="{4E1E5DC8-BDC5-44AA-8003-716E852B5BE5}">
      <text/>
    </comment>
    <comment ref="A489" authorId="1" shapeId="0" xr:uid="{EC9582C5-FAD2-48DC-A069-4B523D09C2EA}">
      <text>
        <r>
          <rPr>
            <sz val="11"/>
            <color theme="1"/>
            <rFont val="Calibri"/>
            <family val="2"/>
            <scheme val="minor"/>
          </rPr>
          <t>Introduzca un codigo UNSPSC</t>
        </r>
      </text>
    </comment>
    <comment ref="B489" authorId="1" shapeId="0" xr:uid="{9499F426-779C-4106-8B16-E4061457FBB7}">
      <text>
        <r>
          <rPr>
            <sz val="11"/>
            <color theme="1"/>
            <rFont val="Calibri"/>
            <family val="2"/>
            <scheme val="minor"/>
          </rPr>
          <t>Descripción calculada automáticamente a partir de código del artículo</t>
        </r>
      </text>
    </comment>
    <comment ref="C489" authorId="1" shapeId="0" xr:uid="{D17D1E22-5446-416E-A788-B0653AFECAB2}">
      <text>
        <r>
          <rPr>
            <sz val="11"/>
            <color theme="1"/>
            <rFont val="Calibri"/>
            <family val="2"/>
            <scheme val="minor"/>
          </rPr>
          <t>Seleccione un valor de la lista</t>
        </r>
      </text>
    </comment>
    <comment ref="D489" authorId="1" shapeId="0" xr:uid="{2FE157CD-A46C-4A6E-8964-2D3897F8654F}">
      <text>
        <r>
          <rPr>
            <sz val="11"/>
            <color theme="1"/>
            <rFont val="Calibri"/>
            <family val="2"/>
            <scheme val="minor"/>
          </rPr>
          <t>Introduzca un número con dos decimales como máximo. Debe ser igual o mayor a la "Cantidad Real Consumida"</t>
        </r>
      </text>
    </comment>
    <comment ref="E489" authorId="1" shapeId="0" xr:uid="{2623F3DA-7366-4002-B23F-799605DF98FB}">
      <text>
        <r>
          <rPr>
            <sz val="11"/>
            <color theme="1"/>
            <rFont val="Calibri"/>
            <family val="2"/>
            <scheme val="minor"/>
          </rPr>
          <t>Introduzca un número con dos decimales como máximo</t>
        </r>
      </text>
    </comment>
    <comment ref="F489" authorId="1" shapeId="0" xr:uid="{3C5ECCE8-677C-4762-B549-5F231DF3B86D}">
      <text>
        <r>
          <rPr>
            <sz val="11"/>
            <color theme="1"/>
            <rFont val="Calibri"/>
            <family val="2"/>
            <scheme val="minor"/>
          </rPr>
          <t>Monto calculado automáticamente por el sistema</t>
        </r>
      </text>
    </comment>
    <comment ref="A496" authorId="1" shapeId="0" xr:uid="{5353227B-EF1A-42FC-A81B-255A404FC96A}">
      <text>
        <r>
          <rPr>
            <sz val="11"/>
            <color theme="1"/>
            <rFont val="Calibri"/>
            <family val="2"/>
            <scheme val="minor"/>
          </rPr>
          <t>Introducir un texto con el nombre o referencia de la contratación</t>
        </r>
      </text>
    </comment>
    <comment ref="B496" authorId="1" shapeId="0" xr:uid="{299116FE-0A55-40BD-BAC4-7A400921966D}">
      <text>
        <r>
          <rPr>
            <sz val="11"/>
            <color theme="1"/>
            <rFont val="Calibri"/>
            <family val="2"/>
            <scheme val="minor"/>
          </rPr>
          <t>Introduzca un texto con la finalidad de la contratación</t>
        </r>
      </text>
    </comment>
    <comment ref="C496" authorId="1" shapeId="0" xr:uid="{31603DE2-9982-41EA-B506-68D8C89EF1E6}">
      <text>
        <r>
          <rPr>
            <sz val="11"/>
            <color theme="1"/>
            <rFont val="Calibri"/>
            <family val="2"/>
            <scheme val="minor"/>
          </rPr>
          <t>Seleccionar un valor del listado</t>
        </r>
      </text>
    </comment>
    <comment ref="D496" authorId="1" shapeId="0" xr:uid="{211D3B93-F555-4112-84AA-A4F0275D1BC7}">
      <text>
        <r>
          <rPr>
            <sz val="11"/>
            <color theme="1"/>
            <rFont val="Calibri"/>
            <family val="2"/>
            <scheme val="minor"/>
          </rPr>
          <t>Seleccione el tipo de procedimiento</t>
        </r>
      </text>
    </comment>
    <comment ref="E496" authorId="1" shapeId="0" xr:uid="{4D787678-77B2-42E1-B3E9-FD40020FA5A0}">
      <text>
        <r>
          <rPr>
            <sz val="11"/>
            <color theme="1"/>
            <rFont val="Calibri"/>
            <family val="2"/>
            <scheme val="minor"/>
          </rPr>
          <t>Seleccione un valor de la lista</t>
        </r>
      </text>
    </comment>
    <comment ref="F496" authorId="1" shapeId="0" xr:uid="{983F49CE-29A9-4453-875F-C3F433F6F4B4}">
      <text>
        <r>
          <rPr>
            <sz val="11"/>
            <color theme="1"/>
            <rFont val="Calibri"/>
            <family val="2"/>
            <scheme val="minor"/>
          </rPr>
          <t>Introduzca el código SNIP</t>
        </r>
      </text>
    </comment>
    <comment ref="C497" authorId="1" shapeId="0" xr:uid="{A483F078-BDB5-4863-9750-6B06EFAE402C}">
      <text>
        <r>
          <rPr>
            <sz val="11"/>
            <color theme="1"/>
            <rFont val="Calibri"/>
            <family val="2"/>
            <scheme val="minor"/>
          </rPr>
          <t>Introduzca la fecha de inicio del proceso, en formato dd-mm-aaaa</t>
        </r>
      </text>
    </comment>
    <comment ref="F497" authorId="1" shapeId="0" xr:uid="{77A546CC-515F-4FC8-AE61-EEDFB57A9D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8" authorId="1" shapeId="0" xr:uid="{559EB6CC-E973-475A-939F-4E396230CDEA}">
      <text/>
    </comment>
    <comment ref="C499" authorId="1" shapeId="0" xr:uid="{AC780E37-51FE-49FE-AF1E-A5B11C35649E}">
      <text>
        <r>
          <rPr>
            <sz val="11"/>
            <color theme="1"/>
            <rFont val="Calibri"/>
            <family val="2"/>
            <scheme val="minor"/>
          </rPr>
          <t>Introduzca la fecha prevista de adjudicación, en formato dd-mm-aaaa</t>
        </r>
      </text>
    </comment>
    <comment ref="F499" authorId="1" shapeId="0" xr:uid="{3D8A8E71-79D0-4177-8FA7-49EF6E2B32B8}">
      <text/>
    </comment>
    <comment ref="F500" authorId="1" shapeId="0" xr:uid="{6119AB6F-5364-475A-9A51-E9B4B227FE33}">
      <text/>
    </comment>
    <comment ref="A502" authorId="1" shapeId="0" xr:uid="{6517C056-1801-4509-B4A4-7152FCF5ECA4}">
      <text>
        <r>
          <rPr>
            <sz val="11"/>
            <color theme="1"/>
            <rFont val="Calibri"/>
            <family val="2"/>
            <scheme val="minor"/>
          </rPr>
          <t>Introduzca un codigo UNSPSC</t>
        </r>
      </text>
    </comment>
    <comment ref="B502" authorId="1" shapeId="0" xr:uid="{35A8AAB5-1A34-4D10-BAD4-EBF1D7A47E03}">
      <text>
        <r>
          <rPr>
            <sz val="11"/>
            <color theme="1"/>
            <rFont val="Calibri"/>
            <family val="2"/>
            <scheme val="minor"/>
          </rPr>
          <t>Descripción calculada automáticamente a partir de código del artículo</t>
        </r>
      </text>
    </comment>
    <comment ref="C502" authorId="1" shapeId="0" xr:uid="{EE8975C8-8A7E-43E6-B2A6-F8E11C3A01E7}">
      <text>
        <r>
          <rPr>
            <sz val="11"/>
            <color theme="1"/>
            <rFont val="Calibri"/>
            <family val="2"/>
            <scheme val="minor"/>
          </rPr>
          <t>Seleccione un valor de la lista</t>
        </r>
      </text>
    </comment>
    <comment ref="D502" authorId="1" shapeId="0" xr:uid="{4C433EC9-271E-46D2-A422-3A3B604BA874}">
      <text>
        <r>
          <rPr>
            <sz val="11"/>
            <color theme="1"/>
            <rFont val="Calibri"/>
            <family val="2"/>
            <scheme val="minor"/>
          </rPr>
          <t>Introduzca un número con dos decimales como máximo. Debe ser igual o mayor a la "Cantidad Real Consumida"</t>
        </r>
      </text>
    </comment>
    <comment ref="E502" authorId="1" shapeId="0" xr:uid="{38FC18AE-BF5A-4484-B612-96272E452C9B}">
      <text>
        <r>
          <rPr>
            <sz val="11"/>
            <color theme="1"/>
            <rFont val="Calibri"/>
            <family val="2"/>
            <scheme val="minor"/>
          </rPr>
          <t>Introduzca un número con dos decimales como máximo</t>
        </r>
      </text>
    </comment>
    <comment ref="F502" authorId="1" shapeId="0" xr:uid="{0892CEDD-E4AB-48F9-AB4B-638F5F1FFD43}">
      <text>
        <r>
          <rPr>
            <sz val="11"/>
            <color theme="1"/>
            <rFont val="Calibri"/>
            <family val="2"/>
            <scheme val="minor"/>
          </rPr>
          <t>Monto calculado automáticamente por el sistema</t>
        </r>
      </text>
    </comment>
    <comment ref="A508" authorId="1" shapeId="0" xr:uid="{88127EDF-A7B7-44FF-AEB6-1272BF8E927E}">
      <text>
        <r>
          <rPr>
            <sz val="11"/>
            <color theme="1"/>
            <rFont val="Calibri"/>
            <family val="2"/>
            <scheme val="minor"/>
          </rPr>
          <t>Introducir un texto con el nombre o referencia de la contratación</t>
        </r>
      </text>
    </comment>
    <comment ref="B508" authorId="1" shapeId="0" xr:uid="{362A1D9F-0E2B-48AA-A294-5B7BC0E5DEBE}">
      <text>
        <r>
          <rPr>
            <sz val="11"/>
            <color theme="1"/>
            <rFont val="Calibri"/>
            <family val="2"/>
            <scheme val="minor"/>
          </rPr>
          <t>Introduzca un texto con la finalidad de la contratación</t>
        </r>
      </text>
    </comment>
    <comment ref="C508" authorId="1" shapeId="0" xr:uid="{7C02C288-1EB3-4722-89BD-4A14BFA2806C}">
      <text>
        <r>
          <rPr>
            <sz val="11"/>
            <color theme="1"/>
            <rFont val="Calibri"/>
            <family val="2"/>
            <scheme val="minor"/>
          </rPr>
          <t>Seleccionar un valor del listado</t>
        </r>
      </text>
    </comment>
    <comment ref="D508" authorId="1" shapeId="0" xr:uid="{776E65F8-6AA0-4643-9D4D-45F073A4E470}">
      <text>
        <r>
          <rPr>
            <sz val="11"/>
            <color theme="1"/>
            <rFont val="Calibri"/>
            <family val="2"/>
            <scheme val="minor"/>
          </rPr>
          <t>Seleccione el tipo de procedimiento</t>
        </r>
      </text>
    </comment>
    <comment ref="E508" authorId="1" shapeId="0" xr:uid="{776BF906-C347-4BE1-9BC5-E526C673A4AC}">
      <text>
        <r>
          <rPr>
            <sz val="11"/>
            <color theme="1"/>
            <rFont val="Calibri"/>
            <family val="2"/>
            <scheme val="minor"/>
          </rPr>
          <t>Seleccione un valor de la lista</t>
        </r>
      </text>
    </comment>
    <comment ref="F508" authorId="1" shapeId="0" xr:uid="{F004453E-362A-49E2-8977-A1BC68A4D663}">
      <text>
        <r>
          <rPr>
            <sz val="11"/>
            <color theme="1"/>
            <rFont val="Calibri"/>
            <family val="2"/>
            <scheme val="minor"/>
          </rPr>
          <t>Introduzca el código SNIP</t>
        </r>
      </text>
    </comment>
    <comment ref="C509" authorId="1" shapeId="0" xr:uid="{9EDCD2BA-7674-435A-99AA-190F3750E387}">
      <text>
        <r>
          <rPr>
            <sz val="11"/>
            <color theme="1"/>
            <rFont val="Calibri"/>
            <family val="2"/>
            <scheme val="minor"/>
          </rPr>
          <t>Introduzca la fecha de inicio del proceso, en formato dd-mm-aaaa</t>
        </r>
      </text>
    </comment>
    <comment ref="F509" authorId="1" shapeId="0" xr:uid="{E93486F3-BDB6-4296-BDD0-15500E0010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1" shapeId="0" xr:uid="{77128521-0056-40A7-986B-887560E2E32D}">
      <text/>
    </comment>
    <comment ref="C511" authorId="1" shapeId="0" xr:uid="{37D8CB61-3D82-408A-9404-5D583A3DD58E}">
      <text>
        <r>
          <rPr>
            <sz val="11"/>
            <color theme="1"/>
            <rFont val="Calibri"/>
            <family val="2"/>
            <scheme val="minor"/>
          </rPr>
          <t>Introduzca la fecha prevista de adjudicación, en formato dd-mm-aaaa</t>
        </r>
      </text>
    </comment>
    <comment ref="F511" authorId="1" shapeId="0" xr:uid="{D13C5A45-8087-4FB2-B502-8BF080944F48}">
      <text/>
    </comment>
    <comment ref="F512" authorId="1" shapeId="0" xr:uid="{F92F06E2-3B23-4924-9910-A654A1E1B1B1}">
      <text/>
    </comment>
    <comment ref="A514" authorId="1" shapeId="0" xr:uid="{C5FBB5EF-4587-4B58-BADB-B30F4F09941F}">
      <text>
        <r>
          <rPr>
            <sz val="11"/>
            <color theme="1"/>
            <rFont val="Calibri"/>
            <family val="2"/>
            <scheme val="minor"/>
          </rPr>
          <t>Introduzca un codigo UNSPSC</t>
        </r>
      </text>
    </comment>
    <comment ref="B514" authorId="1" shapeId="0" xr:uid="{5A51BCED-EC82-4D94-8783-87E01A047AF2}">
      <text>
        <r>
          <rPr>
            <sz val="11"/>
            <color theme="1"/>
            <rFont val="Calibri"/>
            <family val="2"/>
            <scheme val="minor"/>
          </rPr>
          <t>Descripción calculada automáticamente a partir de código del artículo</t>
        </r>
      </text>
    </comment>
    <comment ref="C514" authorId="1" shapeId="0" xr:uid="{8943436A-1D8E-4381-B321-43236607FF72}">
      <text>
        <r>
          <rPr>
            <sz val="11"/>
            <color theme="1"/>
            <rFont val="Calibri"/>
            <family val="2"/>
            <scheme val="minor"/>
          </rPr>
          <t>Seleccione un valor de la lista</t>
        </r>
      </text>
    </comment>
    <comment ref="D514" authorId="1" shapeId="0" xr:uid="{D930500F-7E4F-437A-8CBF-7ED948DFBD87}">
      <text>
        <r>
          <rPr>
            <sz val="11"/>
            <color theme="1"/>
            <rFont val="Calibri"/>
            <family val="2"/>
            <scheme val="minor"/>
          </rPr>
          <t>Introduzca un número con dos decimales como máximo. Debe ser igual o mayor a la "Cantidad Real Consumida"</t>
        </r>
      </text>
    </comment>
    <comment ref="E514" authorId="1" shapeId="0" xr:uid="{6CB682BE-015A-42D4-B313-6F738E3EA736}">
      <text>
        <r>
          <rPr>
            <sz val="11"/>
            <color theme="1"/>
            <rFont val="Calibri"/>
            <family val="2"/>
            <scheme val="minor"/>
          </rPr>
          <t>Introduzca un número con dos decimales como máximo</t>
        </r>
      </text>
    </comment>
    <comment ref="F514" authorId="1" shapeId="0" xr:uid="{C34966F2-E01A-45B9-B71D-42C3793447A6}">
      <text>
        <r>
          <rPr>
            <sz val="11"/>
            <color theme="1"/>
            <rFont val="Calibri"/>
            <family val="2"/>
            <scheme val="minor"/>
          </rPr>
          <t>Monto calculado automáticamente por el sistema</t>
        </r>
      </text>
    </comment>
    <comment ref="A519" authorId="1" shapeId="0" xr:uid="{34B2EBD4-62D8-4D29-B6F7-C45159FCEA57}">
      <text>
        <r>
          <rPr>
            <sz val="11"/>
            <color theme="1"/>
            <rFont val="Calibri"/>
            <family val="2"/>
            <scheme val="minor"/>
          </rPr>
          <t>Introducir un texto con el nombre o referencia de la contratación</t>
        </r>
      </text>
    </comment>
    <comment ref="B519" authorId="1" shapeId="0" xr:uid="{74EC6FA6-8CAB-4E9F-A9F3-BC3E25986F31}">
      <text>
        <r>
          <rPr>
            <sz val="11"/>
            <color theme="1"/>
            <rFont val="Calibri"/>
            <family val="2"/>
            <scheme val="minor"/>
          </rPr>
          <t>Introduzca un texto con la finalidad de la contratación</t>
        </r>
      </text>
    </comment>
    <comment ref="C519" authorId="1" shapeId="0" xr:uid="{2D1A9EA5-8B6C-4CF9-8228-82D5250F13F9}">
      <text>
        <r>
          <rPr>
            <sz val="11"/>
            <color theme="1"/>
            <rFont val="Calibri"/>
            <family val="2"/>
            <scheme val="minor"/>
          </rPr>
          <t>Seleccionar un valor del listado</t>
        </r>
      </text>
    </comment>
    <comment ref="D519" authorId="1" shapeId="0" xr:uid="{F2E4E5E5-7633-4123-8C59-C907187D21F8}">
      <text>
        <r>
          <rPr>
            <sz val="11"/>
            <color theme="1"/>
            <rFont val="Calibri"/>
            <family val="2"/>
            <scheme val="minor"/>
          </rPr>
          <t>Seleccione el tipo de procedimiento</t>
        </r>
      </text>
    </comment>
    <comment ref="E519" authorId="1" shapeId="0" xr:uid="{9A5B6A60-A9D9-49E1-95DA-320DBB8E3DBB}">
      <text>
        <r>
          <rPr>
            <sz val="11"/>
            <color theme="1"/>
            <rFont val="Calibri"/>
            <family val="2"/>
            <scheme val="minor"/>
          </rPr>
          <t>Seleccione un valor de la lista</t>
        </r>
      </text>
    </comment>
    <comment ref="F519" authorId="1" shapeId="0" xr:uid="{CED72056-9A6A-405C-9FF3-072EA5DCCA46}">
      <text>
        <r>
          <rPr>
            <sz val="11"/>
            <color theme="1"/>
            <rFont val="Calibri"/>
            <family val="2"/>
            <scheme val="minor"/>
          </rPr>
          <t>Introduzca el código SNIP</t>
        </r>
      </text>
    </comment>
    <comment ref="C520" authorId="1" shapeId="0" xr:uid="{4A906D1B-128B-4262-938F-0489E75B6FDD}">
      <text>
        <r>
          <rPr>
            <sz val="11"/>
            <color theme="1"/>
            <rFont val="Calibri"/>
            <family val="2"/>
            <scheme val="minor"/>
          </rPr>
          <t>Introduzca la fecha de inicio del proceso, en formato dd-mm-aaaa</t>
        </r>
      </text>
    </comment>
    <comment ref="F520" authorId="1" shapeId="0" xr:uid="{640EE1B5-ED74-46A6-BB62-0517F8EC49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1" authorId="1" shapeId="0" xr:uid="{B2BFD623-0CE8-43F8-8A7C-5478B2720AF6}">
      <text/>
    </comment>
    <comment ref="C522" authorId="1" shapeId="0" xr:uid="{47F35335-6114-472F-A7CD-69237422C1BF}">
      <text>
        <r>
          <rPr>
            <sz val="11"/>
            <color theme="1"/>
            <rFont val="Calibri"/>
            <family val="2"/>
            <scheme val="minor"/>
          </rPr>
          <t>Introduzca la fecha prevista de adjudicación, en formato dd-mm-aaaa</t>
        </r>
      </text>
    </comment>
    <comment ref="F522" authorId="1" shapeId="0" xr:uid="{E7039255-58CF-417D-BBEF-B6E7F21C0106}">
      <text/>
    </comment>
    <comment ref="F523" authorId="1" shapeId="0" xr:uid="{BA8A65E5-99C7-4021-B1BE-DB12D3D0FE46}">
      <text/>
    </comment>
    <comment ref="A525" authorId="1" shapeId="0" xr:uid="{E2A33139-D6BB-4694-9A91-94AEFA699A0D}">
      <text>
        <r>
          <rPr>
            <sz val="11"/>
            <color theme="1"/>
            <rFont val="Calibri"/>
            <family val="2"/>
            <scheme val="minor"/>
          </rPr>
          <t>Introduzca un codigo UNSPSC</t>
        </r>
      </text>
    </comment>
    <comment ref="B525" authorId="1" shapeId="0" xr:uid="{5B0CDAAC-65BC-4096-AF5E-CA8FE5E61288}">
      <text>
        <r>
          <rPr>
            <sz val="11"/>
            <color theme="1"/>
            <rFont val="Calibri"/>
            <family val="2"/>
            <scheme val="minor"/>
          </rPr>
          <t>Descripción calculada automáticamente a partir de código del artículo</t>
        </r>
      </text>
    </comment>
    <comment ref="C525" authorId="1" shapeId="0" xr:uid="{BDCCFBA7-9307-4133-A08C-298AEEF39615}">
      <text>
        <r>
          <rPr>
            <sz val="11"/>
            <color theme="1"/>
            <rFont val="Calibri"/>
            <family val="2"/>
            <scheme val="minor"/>
          </rPr>
          <t>Seleccione un valor de la lista</t>
        </r>
      </text>
    </comment>
    <comment ref="D525" authorId="1" shapeId="0" xr:uid="{A9B206BF-58B3-44A2-913E-62543D9699D3}">
      <text>
        <r>
          <rPr>
            <sz val="11"/>
            <color theme="1"/>
            <rFont val="Calibri"/>
            <family val="2"/>
            <scheme val="minor"/>
          </rPr>
          <t>Introduzca un número con dos decimales como máximo. Debe ser igual o mayor a la "Cantidad Real Consumida"</t>
        </r>
      </text>
    </comment>
    <comment ref="E525" authorId="1" shapeId="0" xr:uid="{D0D6994E-9516-4B13-995A-59E7C560F20E}">
      <text>
        <r>
          <rPr>
            <sz val="11"/>
            <color theme="1"/>
            <rFont val="Calibri"/>
            <family val="2"/>
            <scheme val="minor"/>
          </rPr>
          <t>Introduzca un número con dos decimales como máximo</t>
        </r>
      </text>
    </comment>
    <comment ref="F525" authorId="1" shapeId="0" xr:uid="{C054528D-C982-4EEF-9CA2-B93D5C592FF6}">
      <text>
        <r>
          <rPr>
            <sz val="11"/>
            <color theme="1"/>
            <rFont val="Calibri"/>
            <family val="2"/>
            <scheme val="minor"/>
          </rPr>
          <t>Monto calculado automáticamente por el sistema</t>
        </r>
      </text>
    </comment>
    <comment ref="A533" authorId="1" shapeId="0" xr:uid="{0FC9933E-AF77-49CE-A4F8-7874AE06CDE4}">
      <text>
        <r>
          <rPr>
            <sz val="11"/>
            <color theme="1"/>
            <rFont val="Calibri"/>
            <family val="2"/>
            <scheme val="minor"/>
          </rPr>
          <t>Introducir un texto con el nombre o referencia de la contratación</t>
        </r>
      </text>
    </comment>
    <comment ref="B533" authorId="1" shapeId="0" xr:uid="{C7CD6333-98DA-4CC6-B882-32D640A8DB33}">
      <text>
        <r>
          <rPr>
            <sz val="11"/>
            <color theme="1"/>
            <rFont val="Calibri"/>
            <family val="2"/>
            <scheme val="minor"/>
          </rPr>
          <t>Introduzca un texto con la finalidad de la contratación</t>
        </r>
      </text>
    </comment>
    <comment ref="C533" authorId="1" shapeId="0" xr:uid="{69393D3B-4403-4706-A04E-B616EF22417F}">
      <text>
        <r>
          <rPr>
            <sz val="11"/>
            <color theme="1"/>
            <rFont val="Calibri"/>
            <family val="2"/>
            <scheme val="minor"/>
          </rPr>
          <t>Seleccionar un valor del listado</t>
        </r>
      </text>
    </comment>
    <comment ref="D533" authorId="1" shapeId="0" xr:uid="{3DDBCD02-BABC-404C-9B3D-643A6ADAF348}">
      <text>
        <r>
          <rPr>
            <sz val="11"/>
            <color theme="1"/>
            <rFont val="Calibri"/>
            <family val="2"/>
            <scheme val="minor"/>
          </rPr>
          <t>Seleccione el tipo de procedimiento</t>
        </r>
      </text>
    </comment>
    <comment ref="E533" authorId="1" shapeId="0" xr:uid="{984BC103-4E84-42AD-9C22-64434F0EAAD1}">
      <text>
        <r>
          <rPr>
            <sz val="11"/>
            <color theme="1"/>
            <rFont val="Calibri"/>
            <family val="2"/>
            <scheme val="minor"/>
          </rPr>
          <t>Seleccione un valor de la lista</t>
        </r>
      </text>
    </comment>
    <comment ref="F533" authorId="1" shapeId="0" xr:uid="{2E71DC44-8CD1-4431-8D17-21BA71B7BC98}">
      <text>
        <r>
          <rPr>
            <sz val="11"/>
            <color theme="1"/>
            <rFont val="Calibri"/>
            <family val="2"/>
            <scheme val="minor"/>
          </rPr>
          <t>Introduzca el código SNIP</t>
        </r>
      </text>
    </comment>
    <comment ref="C534" authorId="1" shapeId="0" xr:uid="{17FFD058-33FB-4EF7-84CC-C6EF363D7509}">
      <text>
        <r>
          <rPr>
            <sz val="11"/>
            <color theme="1"/>
            <rFont val="Calibri"/>
            <family val="2"/>
            <scheme val="minor"/>
          </rPr>
          <t>Introduzca la fecha de inicio del proceso, en formato dd-mm-aaaa</t>
        </r>
      </text>
    </comment>
    <comment ref="F534" authorId="1" shapeId="0" xr:uid="{47DE08BB-0C7B-4BFB-858C-2A126140B5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shapeId="0" xr:uid="{638FF6A0-E1E1-4945-B845-58B1868D8CC9}">
      <text/>
    </comment>
    <comment ref="C536" authorId="1" shapeId="0" xr:uid="{D216657F-9C4A-4039-AF2A-A632507E4A6D}">
      <text>
        <r>
          <rPr>
            <sz val="11"/>
            <color theme="1"/>
            <rFont val="Calibri"/>
            <family val="2"/>
            <scheme val="minor"/>
          </rPr>
          <t>Introduzca la fecha prevista de adjudicación, en formato dd-mm-aaaa</t>
        </r>
      </text>
    </comment>
    <comment ref="F536" authorId="1" shapeId="0" xr:uid="{66CE8977-E6B2-4D31-BA87-DC5F84A96693}">
      <text/>
    </comment>
    <comment ref="F537" authorId="1" shapeId="0" xr:uid="{2845A71F-E845-46BF-9419-6440891D4C84}">
      <text/>
    </comment>
    <comment ref="A539" authorId="1" shapeId="0" xr:uid="{90A5A6C6-0FBA-4543-BE07-708EDD5A7847}">
      <text>
        <r>
          <rPr>
            <sz val="11"/>
            <color theme="1"/>
            <rFont val="Calibri"/>
            <family val="2"/>
            <scheme val="minor"/>
          </rPr>
          <t>Introduzca un codigo UNSPSC</t>
        </r>
      </text>
    </comment>
    <comment ref="B539" authorId="1" shapeId="0" xr:uid="{AAAD0930-5380-42E5-8E3B-D160D23103A9}">
      <text>
        <r>
          <rPr>
            <sz val="11"/>
            <color theme="1"/>
            <rFont val="Calibri"/>
            <family val="2"/>
            <scheme val="minor"/>
          </rPr>
          <t>Descripción calculada automáticamente a partir de código del artículo</t>
        </r>
      </text>
    </comment>
    <comment ref="C539" authorId="1" shapeId="0" xr:uid="{034F7964-938F-4A17-A077-687CA41E6926}">
      <text>
        <r>
          <rPr>
            <sz val="11"/>
            <color theme="1"/>
            <rFont val="Calibri"/>
            <family val="2"/>
            <scheme val="minor"/>
          </rPr>
          <t>Seleccione un valor de la lista</t>
        </r>
      </text>
    </comment>
    <comment ref="D539" authorId="1" shapeId="0" xr:uid="{A8E71CA9-AB26-46AC-97A1-FD5DF425BC5F}">
      <text>
        <r>
          <rPr>
            <sz val="11"/>
            <color theme="1"/>
            <rFont val="Calibri"/>
            <family val="2"/>
            <scheme val="minor"/>
          </rPr>
          <t>Introduzca un número con dos decimales como máximo. Debe ser igual o mayor a la "Cantidad Real Consumida"</t>
        </r>
      </text>
    </comment>
    <comment ref="E539" authorId="1" shapeId="0" xr:uid="{4305D2AB-0434-4B29-821E-30E1A4786EAB}">
      <text>
        <r>
          <rPr>
            <sz val="11"/>
            <color theme="1"/>
            <rFont val="Calibri"/>
            <family val="2"/>
            <scheme val="minor"/>
          </rPr>
          <t>Introduzca un número con dos decimales como máximo</t>
        </r>
      </text>
    </comment>
    <comment ref="F539" authorId="1" shapeId="0" xr:uid="{C1F488D3-B92F-46EC-A5F9-371ACE770E33}">
      <text>
        <r>
          <rPr>
            <sz val="11"/>
            <color theme="1"/>
            <rFont val="Calibri"/>
            <family val="2"/>
            <scheme val="minor"/>
          </rPr>
          <t>Monto calculado automáticamente por el sistema</t>
        </r>
      </text>
    </comment>
    <comment ref="A546" authorId="1" shapeId="0" xr:uid="{DCFF2A3E-3888-40D2-B303-713A3C556F61}">
      <text>
        <r>
          <rPr>
            <sz val="11"/>
            <color theme="1"/>
            <rFont val="Calibri"/>
            <family val="2"/>
            <scheme val="minor"/>
          </rPr>
          <t>Introducir un texto con el nombre o referencia de la contratación</t>
        </r>
      </text>
    </comment>
    <comment ref="B546" authorId="1" shapeId="0" xr:uid="{AEE55AC4-8A04-45D0-A9BA-DE1FCF5248FE}">
      <text>
        <r>
          <rPr>
            <sz val="11"/>
            <color theme="1"/>
            <rFont val="Calibri"/>
            <family val="2"/>
            <scheme val="minor"/>
          </rPr>
          <t>Introduzca un texto con la finalidad de la contratación</t>
        </r>
      </text>
    </comment>
    <comment ref="C546" authorId="1" shapeId="0" xr:uid="{3F2B8C41-D12A-4C00-8F93-8A0257371F92}">
      <text>
        <r>
          <rPr>
            <sz val="11"/>
            <color theme="1"/>
            <rFont val="Calibri"/>
            <family val="2"/>
            <scheme val="minor"/>
          </rPr>
          <t>Seleccionar un valor del listado</t>
        </r>
      </text>
    </comment>
    <comment ref="D546" authorId="1" shapeId="0" xr:uid="{71500AC9-4BE9-41DF-ACF4-6CF88B9851F0}">
      <text>
        <r>
          <rPr>
            <sz val="11"/>
            <color theme="1"/>
            <rFont val="Calibri"/>
            <family val="2"/>
            <scheme val="minor"/>
          </rPr>
          <t>Seleccione el tipo de procedimiento</t>
        </r>
      </text>
    </comment>
    <comment ref="E546" authorId="1" shapeId="0" xr:uid="{641B97CC-196B-4183-A093-FD062C9C031F}">
      <text>
        <r>
          <rPr>
            <sz val="11"/>
            <color theme="1"/>
            <rFont val="Calibri"/>
            <family val="2"/>
            <scheme val="minor"/>
          </rPr>
          <t>Seleccione un valor de la lista</t>
        </r>
      </text>
    </comment>
    <comment ref="F546" authorId="1" shapeId="0" xr:uid="{6F1EA92D-612B-4AC7-AC09-E98C69A00D2D}">
      <text>
        <r>
          <rPr>
            <sz val="11"/>
            <color theme="1"/>
            <rFont val="Calibri"/>
            <family val="2"/>
            <scheme val="minor"/>
          </rPr>
          <t>Introduzca el código SNIP</t>
        </r>
      </text>
    </comment>
    <comment ref="C547" authorId="1" shapeId="0" xr:uid="{81DD6EB6-AEE3-47B6-92E3-0DBD8A33540E}">
      <text>
        <r>
          <rPr>
            <sz val="11"/>
            <color theme="1"/>
            <rFont val="Calibri"/>
            <family val="2"/>
            <scheme val="minor"/>
          </rPr>
          <t>Introduzca la fecha de inicio del proceso, en formato dd-mm-aaaa</t>
        </r>
      </text>
    </comment>
    <comment ref="F547" authorId="1" shapeId="0" xr:uid="{C6D8FC73-58AF-4D2D-B802-4EA16CDD1B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xr:uid="{E185D151-4FED-4A67-B7C2-0DBDD3A3FCC7}">
      <text/>
    </comment>
    <comment ref="C549" authorId="1" shapeId="0" xr:uid="{BB31438F-EA1C-4E80-BF20-560F7E97330E}">
      <text>
        <r>
          <rPr>
            <sz val="11"/>
            <color theme="1"/>
            <rFont val="Calibri"/>
            <family val="2"/>
            <scheme val="minor"/>
          </rPr>
          <t>Introduzca la fecha prevista de adjudicación, en formato dd-mm-aaaa</t>
        </r>
      </text>
    </comment>
    <comment ref="F549" authorId="1" shapeId="0" xr:uid="{1AE7BEC3-7444-4253-91DA-089F8D0338C1}">
      <text/>
    </comment>
    <comment ref="F550" authorId="1" shapeId="0" xr:uid="{56542F8E-136A-4576-94B1-15D217A387BE}">
      <text/>
    </comment>
    <comment ref="A552" authorId="1" shapeId="0" xr:uid="{E0F02CEB-F89C-4AFC-8337-7420BE504D3E}">
      <text>
        <r>
          <rPr>
            <sz val="11"/>
            <color theme="1"/>
            <rFont val="Calibri"/>
            <family val="2"/>
            <scheme val="minor"/>
          </rPr>
          <t>Introduzca un codigo UNSPSC</t>
        </r>
      </text>
    </comment>
    <comment ref="B552" authorId="1" shapeId="0" xr:uid="{2E1B43B1-4E0F-4326-A7E2-353EAD1AF22B}">
      <text>
        <r>
          <rPr>
            <sz val="11"/>
            <color theme="1"/>
            <rFont val="Calibri"/>
            <family val="2"/>
            <scheme val="minor"/>
          </rPr>
          <t>Descripción calculada automáticamente a partir de código del artículo</t>
        </r>
      </text>
    </comment>
    <comment ref="C552" authorId="1" shapeId="0" xr:uid="{CE1E0FB0-C8B0-457B-AB9C-CE5E04887612}">
      <text>
        <r>
          <rPr>
            <sz val="11"/>
            <color theme="1"/>
            <rFont val="Calibri"/>
            <family val="2"/>
            <scheme val="minor"/>
          </rPr>
          <t>Seleccione un valor de la lista</t>
        </r>
      </text>
    </comment>
    <comment ref="D552" authorId="1" shapeId="0" xr:uid="{85CE26F5-4C3A-474D-B98B-A6F6FC974D93}">
      <text>
        <r>
          <rPr>
            <sz val="11"/>
            <color theme="1"/>
            <rFont val="Calibri"/>
            <family val="2"/>
            <scheme val="minor"/>
          </rPr>
          <t>Introduzca un número con dos decimales como máximo. Debe ser igual o mayor a la "Cantidad Real Consumida"</t>
        </r>
      </text>
    </comment>
    <comment ref="E552" authorId="1" shapeId="0" xr:uid="{C26114CA-B5BA-48E6-8BA0-AC28ABFA1E43}">
      <text>
        <r>
          <rPr>
            <sz val="11"/>
            <color theme="1"/>
            <rFont val="Calibri"/>
            <family val="2"/>
            <scheme val="minor"/>
          </rPr>
          <t>Introduzca un número con dos decimales como máximo</t>
        </r>
      </text>
    </comment>
    <comment ref="F552" authorId="1" shapeId="0" xr:uid="{A9B7109E-9BC7-4C6E-AF8C-727D4DAD432B}">
      <text>
        <r>
          <rPr>
            <sz val="11"/>
            <color theme="1"/>
            <rFont val="Calibri"/>
            <family val="2"/>
            <scheme val="minor"/>
          </rPr>
          <t>Monto calculado automáticamente por el sistema</t>
        </r>
      </text>
    </comment>
    <comment ref="A565" authorId="1" shapeId="0" xr:uid="{6387AEAA-E233-4E3F-B181-3DF6CD394B58}">
      <text>
        <r>
          <rPr>
            <sz val="11"/>
            <color theme="1"/>
            <rFont val="Calibri"/>
            <family val="2"/>
            <scheme val="minor"/>
          </rPr>
          <t>Introducir un texto con el nombre o referencia de la contratación</t>
        </r>
      </text>
    </comment>
    <comment ref="B565" authorId="1" shapeId="0" xr:uid="{F16F4AD2-33FC-49A8-BD27-D1F386F4E8F3}">
      <text>
        <r>
          <rPr>
            <sz val="11"/>
            <color theme="1"/>
            <rFont val="Calibri"/>
            <family val="2"/>
            <scheme val="minor"/>
          </rPr>
          <t>Introduzca un texto con la finalidad de la contratación</t>
        </r>
      </text>
    </comment>
    <comment ref="C565" authorId="1" shapeId="0" xr:uid="{750191D1-4CAC-4C7D-8C8C-8FE2149206C6}">
      <text>
        <r>
          <rPr>
            <sz val="11"/>
            <color theme="1"/>
            <rFont val="Calibri"/>
            <family val="2"/>
            <scheme val="minor"/>
          </rPr>
          <t>Seleccionar un valor del listado</t>
        </r>
      </text>
    </comment>
    <comment ref="D565" authorId="1" shapeId="0" xr:uid="{79AFE1D7-FDF3-4EBA-8541-E9ADAEA66B7C}">
      <text>
        <r>
          <rPr>
            <sz val="11"/>
            <color theme="1"/>
            <rFont val="Calibri"/>
            <family val="2"/>
            <scheme val="minor"/>
          </rPr>
          <t>Seleccione el tipo de procedimiento</t>
        </r>
      </text>
    </comment>
    <comment ref="E565" authorId="1" shapeId="0" xr:uid="{5B3F3B21-69C8-48D8-8F86-BCF0FDF1EB45}">
      <text>
        <r>
          <rPr>
            <sz val="11"/>
            <color theme="1"/>
            <rFont val="Calibri"/>
            <family val="2"/>
            <scheme val="minor"/>
          </rPr>
          <t>Seleccione un valor de la lista</t>
        </r>
      </text>
    </comment>
    <comment ref="F565" authorId="1" shapeId="0" xr:uid="{9ABFE9A5-AA6D-4A8E-8767-68322D575572}">
      <text>
        <r>
          <rPr>
            <sz val="11"/>
            <color theme="1"/>
            <rFont val="Calibri"/>
            <family val="2"/>
            <scheme val="minor"/>
          </rPr>
          <t>Introduzca el código SNIP</t>
        </r>
      </text>
    </comment>
    <comment ref="C566" authorId="1" shapeId="0" xr:uid="{DB5D8706-ABE8-45D6-A0A8-D71B4462AC9A}">
      <text>
        <r>
          <rPr>
            <sz val="11"/>
            <color theme="1"/>
            <rFont val="Calibri"/>
            <family val="2"/>
            <scheme val="minor"/>
          </rPr>
          <t>Introduzca la fecha de inicio del proceso, en formato dd-mm-aaaa</t>
        </r>
      </text>
    </comment>
    <comment ref="F566" authorId="1" shapeId="0" xr:uid="{D65422FF-DA3A-45E5-9FBF-8DB6931B02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7" authorId="1" shapeId="0" xr:uid="{A98A6B51-A365-4263-8193-9DC28C571EB3}">
      <text/>
    </comment>
    <comment ref="C568" authorId="1" shapeId="0" xr:uid="{1F6A1833-21C1-4BA8-8F86-999DE03103FD}">
      <text>
        <r>
          <rPr>
            <sz val="11"/>
            <color theme="1"/>
            <rFont val="Calibri"/>
            <family val="2"/>
            <scheme val="minor"/>
          </rPr>
          <t>Introduzca la fecha prevista de adjudicación, en formato dd-mm-aaaa</t>
        </r>
      </text>
    </comment>
    <comment ref="F568" authorId="1" shapeId="0" xr:uid="{B4069F3B-5319-49BF-961B-4770B73246DD}">
      <text/>
    </comment>
    <comment ref="F569" authorId="1" shapeId="0" xr:uid="{F48B659B-E44F-44CF-B2A0-7E143AE86EF2}">
      <text/>
    </comment>
    <comment ref="A571" authorId="1" shapeId="0" xr:uid="{243561FD-F677-43C7-8668-7EA4C496964A}">
      <text>
        <r>
          <rPr>
            <sz val="11"/>
            <color theme="1"/>
            <rFont val="Calibri"/>
            <family val="2"/>
            <scheme val="minor"/>
          </rPr>
          <t>Introduzca un codigo UNSPSC</t>
        </r>
      </text>
    </comment>
    <comment ref="B571" authorId="1" shapeId="0" xr:uid="{C7809DD6-2DDA-4F3B-B914-FEE880EC4A27}">
      <text>
        <r>
          <rPr>
            <sz val="11"/>
            <color theme="1"/>
            <rFont val="Calibri"/>
            <family val="2"/>
            <scheme val="minor"/>
          </rPr>
          <t>Descripción calculada automáticamente a partir de código del artículo</t>
        </r>
      </text>
    </comment>
    <comment ref="C571" authorId="1" shapeId="0" xr:uid="{95B0475C-155E-41E9-9094-09B4701A1B61}">
      <text>
        <r>
          <rPr>
            <sz val="11"/>
            <color theme="1"/>
            <rFont val="Calibri"/>
            <family val="2"/>
            <scheme val="minor"/>
          </rPr>
          <t>Seleccione un valor de la lista</t>
        </r>
      </text>
    </comment>
    <comment ref="D571" authorId="1" shapeId="0" xr:uid="{DCAB45D1-2F8F-495E-BD9E-96AA7E663360}">
      <text>
        <r>
          <rPr>
            <sz val="11"/>
            <color theme="1"/>
            <rFont val="Calibri"/>
            <family val="2"/>
            <scheme val="minor"/>
          </rPr>
          <t>Introduzca un número con dos decimales como máximo. Debe ser igual o mayor a la "Cantidad Real Consumida"</t>
        </r>
      </text>
    </comment>
    <comment ref="E571" authorId="1" shapeId="0" xr:uid="{3DD9726F-7BFC-4C12-989E-E3ABD352217D}">
      <text>
        <r>
          <rPr>
            <sz val="11"/>
            <color theme="1"/>
            <rFont val="Calibri"/>
            <family val="2"/>
            <scheme val="minor"/>
          </rPr>
          <t>Introduzca un número con dos decimales como máximo</t>
        </r>
      </text>
    </comment>
    <comment ref="F571" authorId="1" shapeId="0" xr:uid="{309E1055-5EF9-484C-AE13-CC3AF019318A}">
      <text>
        <r>
          <rPr>
            <sz val="11"/>
            <color theme="1"/>
            <rFont val="Calibri"/>
            <family val="2"/>
            <scheme val="minor"/>
          </rPr>
          <t>Monto calculado automáticamente por el sistema</t>
        </r>
      </text>
    </comment>
    <comment ref="A577" authorId="1" shapeId="0" xr:uid="{CD608DE3-1B7C-4FAD-9401-5CC18C77622E}">
      <text>
        <r>
          <rPr>
            <sz val="11"/>
            <color theme="1"/>
            <rFont val="Calibri"/>
            <family val="2"/>
            <scheme val="minor"/>
          </rPr>
          <t>Introducir un texto con el nombre o referencia de la contratación</t>
        </r>
      </text>
    </comment>
    <comment ref="B577" authorId="1" shapeId="0" xr:uid="{60E4CBE8-3470-48BE-BB82-8B80F2A1EDBA}">
      <text>
        <r>
          <rPr>
            <sz val="11"/>
            <color theme="1"/>
            <rFont val="Calibri"/>
            <family val="2"/>
            <scheme val="minor"/>
          </rPr>
          <t>Introduzca un texto con la finalidad de la contratación</t>
        </r>
      </text>
    </comment>
    <comment ref="C577" authorId="1" shapeId="0" xr:uid="{A94597D3-7F67-4EF9-80F4-8421E1658A77}">
      <text>
        <r>
          <rPr>
            <sz val="11"/>
            <color theme="1"/>
            <rFont val="Calibri"/>
            <family val="2"/>
            <scheme val="minor"/>
          </rPr>
          <t>Seleccionar un valor del listado</t>
        </r>
      </text>
    </comment>
    <comment ref="D577" authorId="1" shapeId="0" xr:uid="{7A1D6DBE-1CBC-4B7E-B2DB-B95E01CEC311}">
      <text>
        <r>
          <rPr>
            <sz val="11"/>
            <color theme="1"/>
            <rFont val="Calibri"/>
            <family val="2"/>
            <scheme val="minor"/>
          </rPr>
          <t>Seleccione el tipo de procedimiento</t>
        </r>
      </text>
    </comment>
    <comment ref="E577" authorId="1" shapeId="0" xr:uid="{753DF828-460D-43E3-8BDA-DF1178D25D1D}">
      <text>
        <r>
          <rPr>
            <sz val="11"/>
            <color theme="1"/>
            <rFont val="Calibri"/>
            <family val="2"/>
            <scheme val="minor"/>
          </rPr>
          <t>Seleccione un valor de la lista</t>
        </r>
      </text>
    </comment>
    <comment ref="F577" authorId="1" shapeId="0" xr:uid="{B80642A1-CAC9-45B3-8190-2E15ED690BAE}">
      <text>
        <r>
          <rPr>
            <sz val="11"/>
            <color theme="1"/>
            <rFont val="Calibri"/>
            <family val="2"/>
            <scheme val="minor"/>
          </rPr>
          <t>Introduzca el código SNIP</t>
        </r>
      </text>
    </comment>
    <comment ref="C578" authorId="1" shapeId="0" xr:uid="{4C44E76C-0393-4130-BF61-376116205F56}">
      <text>
        <r>
          <rPr>
            <sz val="11"/>
            <color theme="1"/>
            <rFont val="Calibri"/>
            <family val="2"/>
            <scheme val="minor"/>
          </rPr>
          <t>Introduzca la fecha de inicio del proceso, en formato dd-mm-aaaa</t>
        </r>
      </text>
    </comment>
    <comment ref="F578" authorId="1" shapeId="0" xr:uid="{15A70FF6-5C11-48F5-B66A-4AA051B0ED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1" shapeId="0" xr:uid="{25EED626-0F97-4B70-9CF3-B579BB73717A}">
      <text/>
    </comment>
    <comment ref="C580" authorId="1" shapeId="0" xr:uid="{5780070D-A0A5-4808-883C-7C8EF148810C}">
      <text>
        <r>
          <rPr>
            <sz val="11"/>
            <color theme="1"/>
            <rFont val="Calibri"/>
            <family val="2"/>
            <scheme val="minor"/>
          </rPr>
          <t>Introduzca la fecha prevista de adjudicación, en formato dd-mm-aaaa</t>
        </r>
      </text>
    </comment>
    <comment ref="F580" authorId="1" shapeId="0" xr:uid="{A6E6588E-1B3E-4D32-B794-DF1ED584CC14}">
      <text/>
    </comment>
    <comment ref="F581" authorId="1" shapeId="0" xr:uid="{F908C6FD-96A9-47A5-AD92-F6AE4B6A6A6E}">
      <text/>
    </comment>
    <comment ref="A583" authorId="1" shapeId="0" xr:uid="{6D406D35-0136-4E56-8F00-4DBD6B461A74}">
      <text>
        <r>
          <rPr>
            <sz val="11"/>
            <color theme="1"/>
            <rFont val="Calibri"/>
            <family val="2"/>
            <scheme val="minor"/>
          </rPr>
          <t>Introduzca un codigo UNSPSC</t>
        </r>
      </text>
    </comment>
    <comment ref="B583" authorId="1" shapeId="0" xr:uid="{3B63DE9A-8FB6-4F0E-8C5D-FC3190AB3002}">
      <text>
        <r>
          <rPr>
            <sz val="11"/>
            <color theme="1"/>
            <rFont val="Calibri"/>
            <family val="2"/>
            <scheme val="minor"/>
          </rPr>
          <t>Descripción calculada automáticamente a partir de código del artículo</t>
        </r>
      </text>
    </comment>
    <comment ref="C583" authorId="1" shapeId="0" xr:uid="{62580120-29EE-43BB-9463-65AC19E2E5F4}">
      <text>
        <r>
          <rPr>
            <sz val="11"/>
            <color theme="1"/>
            <rFont val="Calibri"/>
            <family val="2"/>
            <scheme val="minor"/>
          </rPr>
          <t>Seleccione un valor de la lista</t>
        </r>
      </text>
    </comment>
    <comment ref="D583" authorId="1" shapeId="0" xr:uid="{BECC9CD3-6146-4B45-BDDC-F09F01743054}">
      <text>
        <r>
          <rPr>
            <sz val="11"/>
            <color theme="1"/>
            <rFont val="Calibri"/>
            <family val="2"/>
            <scheme val="minor"/>
          </rPr>
          <t>Introduzca un número con dos decimales como máximo. Debe ser igual o mayor a la "Cantidad Real Consumida"</t>
        </r>
      </text>
    </comment>
    <comment ref="E583" authorId="1" shapeId="0" xr:uid="{95A3E77B-E5C3-4B41-BE1E-B2C9B9F393CE}">
      <text>
        <r>
          <rPr>
            <sz val="11"/>
            <color theme="1"/>
            <rFont val="Calibri"/>
            <family val="2"/>
            <scheme val="minor"/>
          </rPr>
          <t>Introduzca un número con dos decimales como máximo</t>
        </r>
      </text>
    </comment>
    <comment ref="F583" authorId="1" shapeId="0" xr:uid="{0317C6F5-9FDA-4C9C-AB81-B8CA6C03ABF3}">
      <text>
        <r>
          <rPr>
            <sz val="11"/>
            <color theme="1"/>
            <rFont val="Calibri"/>
            <family val="2"/>
            <scheme val="minor"/>
          </rPr>
          <t>Monto calculado automáticamente por el sistema</t>
        </r>
      </text>
    </comment>
    <comment ref="A590" authorId="1" shapeId="0" xr:uid="{42B71594-7F77-487F-A92F-593AEF5F607E}">
      <text>
        <r>
          <rPr>
            <sz val="11"/>
            <color theme="1"/>
            <rFont val="Calibri"/>
            <family val="2"/>
            <scheme val="minor"/>
          </rPr>
          <t>Introducir un texto con el nombre o referencia de la contratación</t>
        </r>
      </text>
    </comment>
    <comment ref="B590" authorId="1" shapeId="0" xr:uid="{3CF640C3-6438-4979-8676-CC39C975C2F9}">
      <text>
        <r>
          <rPr>
            <sz val="11"/>
            <color theme="1"/>
            <rFont val="Calibri"/>
            <family val="2"/>
            <scheme val="minor"/>
          </rPr>
          <t>Introduzca un texto con la finalidad de la contratación</t>
        </r>
      </text>
    </comment>
    <comment ref="C590" authorId="1" shapeId="0" xr:uid="{2063932C-4B1B-44F7-9329-3CADC928057B}">
      <text>
        <r>
          <rPr>
            <sz val="11"/>
            <color theme="1"/>
            <rFont val="Calibri"/>
            <family val="2"/>
            <scheme val="minor"/>
          </rPr>
          <t>Seleccionar un valor del listado</t>
        </r>
      </text>
    </comment>
    <comment ref="D590" authorId="1" shapeId="0" xr:uid="{78AA7B6C-4580-4480-8A3D-96D91795C621}">
      <text>
        <r>
          <rPr>
            <sz val="11"/>
            <color theme="1"/>
            <rFont val="Calibri"/>
            <family val="2"/>
            <scheme val="minor"/>
          </rPr>
          <t>Seleccione el tipo de procedimiento</t>
        </r>
      </text>
    </comment>
    <comment ref="E590" authorId="1" shapeId="0" xr:uid="{52D388CD-696D-493E-A442-52C7234B3034}">
      <text>
        <r>
          <rPr>
            <sz val="11"/>
            <color theme="1"/>
            <rFont val="Calibri"/>
            <family val="2"/>
            <scheme val="minor"/>
          </rPr>
          <t>Seleccione un valor de la lista</t>
        </r>
      </text>
    </comment>
    <comment ref="F590" authorId="1" shapeId="0" xr:uid="{FF23A6A4-A646-4290-95D0-7CFBA1E9EDF7}">
      <text>
        <r>
          <rPr>
            <sz val="11"/>
            <color theme="1"/>
            <rFont val="Calibri"/>
            <family val="2"/>
            <scheme val="minor"/>
          </rPr>
          <t>Introduzca el código SNIP</t>
        </r>
      </text>
    </comment>
    <comment ref="C591" authorId="1" shapeId="0" xr:uid="{BD5A6568-3A1B-4BB2-8C4B-7CEBC2CB799B}">
      <text>
        <r>
          <rPr>
            <sz val="11"/>
            <color theme="1"/>
            <rFont val="Calibri"/>
            <family val="2"/>
            <scheme val="minor"/>
          </rPr>
          <t>Introduzca la fecha de inicio del proceso, en formato dd-mm-aaaa</t>
        </r>
      </text>
    </comment>
    <comment ref="F591" authorId="1" shapeId="0" xr:uid="{EA7541C0-0997-4A31-B514-AF5E4E303A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xr:uid="{A289F520-9419-4C6B-84C0-9951B4552039}">
      <text/>
    </comment>
    <comment ref="C593" authorId="1" shapeId="0" xr:uid="{6281C37E-0B78-4704-A012-86E51FE11D6E}">
      <text>
        <r>
          <rPr>
            <sz val="11"/>
            <color theme="1"/>
            <rFont val="Calibri"/>
            <family val="2"/>
            <scheme val="minor"/>
          </rPr>
          <t>Introduzca la fecha prevista de adjudicación, en formato dd-mm-aaaa</t>
        </r>
      </text>
    </comment>
    <comment ref="F593" authorId="1" shapeId="0" xr:uid="{EB3B3F0B-744D-4712-AC49-022408577AF7}">
      <text/>
    </comment>
    <comment ref="F594" authorId="1" shapeId="0" xr:uid="{60A3DDC4-2944-4DE8-A2E0-8B09C31402CC}">
      <text/>
    </comment>
    <comment ref="A596" authorId="1" shapeId="0" xr:uid="{32456782-DDF9-4D8E-A606-23791F9D70F6}">
      <text>
        <r>
          <rPr>
            <sz val="11"/>
            <color theme="1"/>
            <rFont val="Calibri"/>
            <family val="2"/>
            <scheme val="minor"/>
          </rPr>
          <t>Introduzca un codigo UNSPSC</t>
        </r>
      </text>
    </comment>
    <comment ref="B596" authorId="1" shapeId="0" xr:uid="{4CA61660-F283-40FC-8EB8-4531998648F2}">
      <text>
        <r>
          <rPr>
            <sz val="11"/>
            <color theme="1"/>
            <rFont val="Calibri"/>
            <family val="2"/>
            <scheme val="minor"/>
          </rPr>
          <t>Descripción calculada automáticamente a partir de código del artículo</t>
        </r>
      </text>
    </comment>
    <comment ref="C596" authorId="1" shapeId="0" xr:uid="{5E22C7DE-208B-4E8F-9D7B-8CDA2C978D84}">
      <text>
        <r>
          <rPr>
            <sz val="11"/>
            <color theme="1"/>
            <rFont val="Calibri"/>
            <family val="2"/>
            <scheme val="minor"/>
          </rPr>
          <t>Seleccione un valor de la lista</t>
        </r>
      </text>
    </comment>
    <comment ref="D596" authorId="1" shapeId="0" xr:uid="{15EB646F-DD1A-4B21-A81D-58C8644B8C3C}">
      <text>
        <r>
          <rPr>
            <sz val="11"/>
            <color theme="1"/>
            <rFont val="Calibri"/>
            <family val="2"/>
            <scheme val="minor"/>
          </rPr>
          <t>Introduzca un número con dos decimales como máximo. Debe ser igual o mayor a la "Cantidad Real Consumida"</t>
        </r>
      </text>
    </comment>
    <comment ref="E596" authorId="1" shapeId="0" xr:uid="{AFE16544-9F74-4D9B-8312-3518D6C9C2E9}">
      <text>
        <r>
          <rPr>
            <sz val="11"/>
            <color theme="1"/>
            <rFont val="Calibri"/>
            <family val="2"/>
            <scheme val="minor"/>
          </rPr>
          <t>Introduzca un número con dos decimales como máximo</t>
        </r>
      </text>
    </comment>
    <comment ref="F596" authorId="1" shapeId="0" xr:uid="{BD2D787C-1D8A-4971-B32E-07D9DADF72E3}">
      <text>
        <r>
          <rPr>
            <sz val="11"/>
            <color theme="1"/>
            <rFont val="Calibri"/>
            <family val="2"/>
            <scheme val="minor"/>
          </rPr>
          <t>Monto calculado automáticamente por el sistema</t>
        </r>
      </text>
    </comment>
    <comment ref="A602" authorId="1" shapeId="0" xr:uid="{2BBAC717-08A9-45D3-B84E-D8D5A420D25F}">
      <text>
        <r>
          <rPr>
            <sz val="11"/>
            <color theme="1"/>
            <rFont val="Calibri"/>
            <family val="2"/>
            <scheme val="minor"/>
          </rPr>
          <t>Introducir un texto con el nombre o referencia de la contratación</t>
        </r>
      </text>
    </comment>
    <comment ref="B602" authorId="1" shapeId="0" xr:uid="{44B29DC9-1D85-4F64-9CD6-8226D1F2FE72}">
      <text>
        <r>
          <rPr>
            <sz val="11"/>
            <color theme="1"/>
            <rFont val="Calibri"/>
            <family val="2"/>
            <scheme val="minor"/>
          </rPr>
          <t>Introduzca un texto con la finalidad de la contratación</t>
        </r>
      </text>
    </comment>
    <comment ref="C602" authorId="1" shapeId="0" xr:uid="{FB8A8D05-2E63-4099-8929-883A7F594D25}">
      <text>
        <r>
          <rPr>
            <sz val="11"/>
            <color theme="1"/>
            <rFont val="Calibri"/>
            <family val="2"/>
            <scheme val="minor"/>
          </rPr>
          <t>Seleccionar un valor del listado</t>
        </r>
      </text>
    </comment>
    <comment ref="D602" authorId="1" shapeId="0" xr:uid="{0AF2CF47-77C0-43D5-B5C8-9EA2B67170F6}">
      <text>
        <r>
          <rPr>
            <sz val="11"/>
            <color theme="1"/>
            <rFont val="Calibri"/>
            <family val="2"/>
            <scheme val="minor"/>
          </rPr>
          <t>Seleccione el tipo de procedimiento</t>
        </r>
      </text>
    </comment>
    <comment ref="E602" authorId="1" shapeId="0" xr:uid="{F6FF3700-FC96-4184-A5AF-E40D77D5B6FE}">
      <text>
        <r>
          <rPr>
            <sz val="11"/>
            <color theme="1"/>
            <rFont val="Calibri"/>
            <family val="2"/>
            <scheme val="minor"/>
          </rPr>
          <t>Seleccione un valor de la lista</t>
        </r>
      </text>
    </comment>
    <comment ref="F602" authorId="1" shapeId="0" xr:uid="{8C984EA4-7B43-457C-8713-6DF4340D9EB8}">
      <text>
        <r>
          <rPr>
            <sz val="11"/>
            <color theme="1"/>
            <rFont val="Calibri"/>
            <family val="2"/>
            <scheme val="minor"/>
          </rPr>
          <t>Introduzca el código SNIP</t>
        </r>
      </text>
    </comment>
    <comment ref="C603" authorId="1" shapeId="0" xr:uid="{DE9FCC11-CE9B-41DB-8195-34EDA16BE945}">
      <text>
        <r>
          <rPr>
            <sz val="11"/>
            <color theme="1"/>
            <rFont val="Calibri"/>
            <family val="2"/>
            <scheme val="minor"/>
          </rPr>
          <t>Introduzca la fecha de inicio del proceso, en formato dd-mm-aaaa</t>
        </r>
      </text>
    </comment>
    <comment ref="F603" authorId="1" shapeId="0" xr:uid="{DC774EA5-3A05-417F-A939-20FB5CC642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1" shapeId="0" xr:uid="{59ABDAFA-51E2-4D5A-B184-0A89ABE9440D}">
      <text/>
    </comment>
    <comment ref="C605" authorId="1" shapeId="0" xr:uid="{D2B46B7F-B083-45AA-9134-594F3E959937}">
      <text>
        <r>
          <rPr>
            <sz val="11"/>
            <color theme="1"/>
            <rFont val="Calibri"/>
            <family val="2"/>
            <scheme val="minor"/>
          </rPr>
          <t>Introduzca la fecha prevista de adjudicación, en formato dd-mm-aaaa</t>
        </r>
      </text>
    </comment>
    <comment ref="F605" authorId="1" shapeId="0" xr:uid="{C27BE8C3-B1C6-45E6-8372-28148D81A654}">
      <text/>
    </comment>
    <comment ref="F606" authorId="1" shapeId="0" xr:uid="{2FEEB28F-D44B-49F9-8021-DE81C5971CAD}">
      <text/>
    </comment>
    <comment ref="A608" authorId="1" shapeId="0" xr:uid="{8F75F0AC-A1DB-416F-AAC8-E161DE2B182E}">
      <text>
        <r>
          <rPr>
            <sz val="11"/>
            <color theme="1"/>
            <rFont val="Calibri"/>
            <family val="2"/>
            <scheme val="minor"/>
          </rPr>
          <t>Introduzca un codigo UNSPSC</t>
        </r>
      </text>
    </comment>
    <comment ref="B608" authorId="1" shapeId="0" xr:uid="{AC59A013-82E3-4819-8C3A-FDD5DA2559DE}">
      <text>
        <r>
          <rPr>
            <sz val="11"/>
            <color theme="1"/>
            <rFont val="Calibri"/>
            <family val="2"/>
            <scheme val="minor"/>
          </rPr>
          <t>Descripción calculada automáticamente a partir de código del artículo</t>
        </r>
      </text>
    </comment>
    <comment ref="C608" authorId="1" shapeId="0" xr:uid="{47ED5A5D-0F57-4D1E-B334-806F65A7FEAE}">
      <text>
        <r>
          <rPr>
            <sz val="11"/>
            <color theme="1"/>
            <rFont val="Calibri"/>
            <family val="2"/>
            <scheme val="minor"/>
          </rPr>
          <t>Seleccione un valor de la lista</t>
        </r>
      </text>
    </comment>
    <comment ref="D608" authorId="1" shapeId="0" xr:uid="{1FEFA4D4-7053-4DB7-B228-6CBC62AF20F0}">
      <text>
        <r>
          <rPr>
            <sz val="11"/>
            <color theme="1"/>
            <rFont val="Calibri"/>
            <family val="2"/>
            <scheme val="minor"/>
          </rPr>
          <t>Introduzca un número con dos decimales como máximo. Debe ser igual o mayor a la "Cantidad Real Consumida"</t>
        </r>
      </text>
    </comment>
    <comment ref="E608" authorId="1" shapeId="0" xr:uid="{8C9DC7A7-E2A7-441E-951D-97052C01F868}">
      <text>
        <r>
          <rPr>
            <sz val="11"/>
            <color theme="1"/>
            <rFont val="Calibri"/>
            <family val="2"/>
            <scheme val="minor"/>
          </rPr>
          <t>Introduzca un número con dos decimales como máximo</t>
        </r>
      </text>
    </comment>
    <comment ref="F608" authorId="1" shapeId="0" xr:uid="{9D3C3D63-F96B-4F73-863F-3ECF9F7BCD45}">
      <text>
        <r>
          <rPr>
            <sz val="11"/>
            <color theme="1"/>
            <rFont val="Calibri"/>
            <family val="2"/>
            <scheme val="minor"/>
          </rPr>
          <t>Monto calculado automáticamente por el sistema</t>
        </r>
      </text>
    </comment>
    <comment ref="A613" authorId="1" shapeId="0" xr:uid="{CD3418F0-34B0-4C3A-B3E3-8CD55C431BB7}">
      <text>
        <r>
          <rPr>
            <sz val="11"/>
            <color theme="1"/>
            <rFont val="Calibri"/>
            <family val="2"/>
            <scheme val="minor"/>
          </rPr>
          <t>Introducir un texto con el nombre o referencia de la contratación</t>
        </r>
      </text>
    </comment>
    <comment ref="B613" authorId="1" shapeId="0" xr:uid="{3ADD0642-6586-4124-B148-2D16E7E7EBE2}">
      <text>
        <r>
          <rPr>
            <sz val="11"/>
            <color theme="1"/>
            <rFont val="Calibri"/>
            <family val="2"/>
            <scheme val="minor"/>
          </rPr>
          <t>Introduzca un texto con la finalidad de la contratación</t>
        </r>
      </text>
    </comment>
    <comment ref="C613" authorId="1" shapeId="0" xr:uid="{B1569CF3-C4DF-4BFF-A937-5AD5073A253D}">
      <text>
        <r>
          <rPr>
            <sz val="11"/>
            <color theme="1"/>
            <rFont val="Calibri"/>
            <family val="2"/>
            <scheme val="minor"/>
          </rPr>
          <t>Seleccionar un valor del listado</t>
        </r>
      </text>
    </comment>
    <comment ref="D613" authorId="1" shapeId="0" xr:uid="{69E748D6-7FAF-4C47-B19C-910EFC1DF72F}">
      <text>
        <r>
          <rPr>
            <sz val="11"/>
            <color theme="1"/>
            <rFont val="Calibri"/>
            <family val="2"/>
            <scheme val="minor"/>
          </rPr>
          <t>Seleccione el tipo de procedimiento</t>
        </r>
      </text>
    </comment>
    <comment ref="E613" authorId="1" shapeId="0" xr:uid="{ED25E932-918E-4CFF-AC99-16E288AC4C21}">
      <text>
        <r>
          <rPr>
            <sz val="11"/>
            <color theme="1"/>
            <rFont val="Calibri"/>
            <family val="2"/>
            <scheme val="minor"/>
          </rPr>
          <t>Seleccione un valor de la lista</t>
        </r>
      </text>
    </comment>
    <comment ref="F613" authorId="1" shapeId="0" xr:uid="{B0ECBA10-DE47-4EE8-BD17-F7258E5A3DD1}">
      <text>
        <r>
          <rPr>
            <sz val="11"/>
            <color theme="1"/>
            <rFont val="Calibri"/>
            <family val="2"/>
            <scheme val="minor"/>
          </rPr>
          <t>Introduzca el código SNIP</t>
        </r>
      </text>
    </comment>
    <comment ref="C614" authorId="1" shapeId="0" xr:uid="{18EB5021-AF74-4368-B99B-35802F28F497}">
      <text>
        <r>
          <rPr>
            <sz val="11"/>
            <color theme="1"/>
            <rFont val="Calibri"/>
            <family val="2"/>
            <scheme val="minor"/>
          </rPr>
          <t>Introduzca la fecha de inicio del proceso, en formato dd-mm-aaaa</t>
        </r>
      </text>
    </comment>
    <comment ref="F614" authorId="1" shapeId="0" xr:uid="{794F42D5-669D-4024-A823-B2401ECE87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1" shapeId="0" xr:uid="{C6BAA4A4-5959-4D77-8E13-026923034B72}">
      <text/>
    </comment>
    <comment ref="C616" authorId="1" shapeId="0" xr:uid="{D0C8480B-4386-457F-921D-5820776892D0}">
      <text>
        <r>
          <rPr>
            <sz val="11"/>
            <color theme="1"/>
            <rFont val="Calibri"/>
            <family val="2"/>
            <scheme val="minor"/>
          </rPr>
          <t>Introduzca la fecha prevista de adjudicación, en formato dd-mm-aaaa</t>
        </r>
      </text>
    </comment>
    <comment ref="F616" authorId="1" shapeId="0" xr:uid="{1353E136-C871-40D7-93DC-FE0192BDDDF4}">
      <text/>
    </comment>
    <comment ref="F617" authorId="1" shapeId="0" xr:uid="{F63E22C8-CE09-4980-9601-22EF7535F173}">
      <text/>
    </comment>
    <comment ref="A619" authorId="1" shapeId="0" xr:uid="{6396E274-3AFA-4274-A453-7DD42A481631}">
      <text>
        <r>
          <rPr>
            <sz val="11"/>
            <color theme="1"/>
            <rFont val="Calibri"/>
            <family val="2"/>
            <scheme val="minor"/>
          </rPr>
          <t>Introduzca un codigo UNSPSC</t>
        </r>
      </text>
    </comment>
    <comment ref="B619" authorId="1" shapeId="0" xr:uid="{AB7E2EDE-B3A1-4583-8251-002FF4CA2077}">
      <text>
        <r>
          <rPr>
            <sz val="11"/>
            <color theme="1"/>
            <rFont val="Calibri"/>
            <family val="2"/>
            <scheme val="minor"/>
          </rPr>
          <t>Descripción calculada automáticamente a partir de código del artículo</t>
        </r>
      </text>
    </comment>
    <comment ref="C619" authorId="1" shapeId="0" xr:uid="{EFDB0D1D-049D-4E16-85F1-CB40BC96F64F}">
      <text>
        <r>
          <rPr>
            <sz val="11"/>
            <color theme="1"/>
            <rFont val="Calibri"/>
            <family val="2"/>
            <scheme val="minor"/>
          </rPr>
          <t>Seleccione un valor de la lista</t>
        </r>
      </text>
    </comment>
    <comment ref="D619" authorId="1" shapeId="0" xr:uid="{1FCC47E9-6E3D-48F0-A876-F854CB19BC82}">
      <text>
        <r>
          <rPr>
            <sz val="11"/>
            <color theme="1"/>
            <rFont val="Calibri"/>
            <family val="2"/>
            <scheme val="minor"/>
          </rPr>
          <t>Introduzca un número con dos decimales como máximo. Debe ser igual o mayor a la "Cantidad Real Consumida"</t>
        </r>
      </text>
    </comment>
    <comment ref="E619" authorId="1" shapeId="0" xr:uid="{18689389-A78A-4E77-8097-A8C82384FA22}">
      <text>
        <r>
          <rPr>
            <sz val="11"/>
            <color theme="1"/>
            <rFont val="Calibri"/>
            <family val="2"/>
            <scheme val="minor"/>
          </rPr>
          <t>Introduzca un número con dos decimales como máximo</t>
        </r>
      </text>
    </comment>
    <comment ref="F619" authorId="1" shapeId="0" xr:uid="{1E01B3D5-D0B6-4F85-95F1-EB485C6305FD}">
      <text>
        <r>
          <rPr>
            <sz val="11"/>
            <color theme="1"/>
            <rFont val="Calibri"/>
            <family val="2"/>
            <scheme val="minor"/>
          </rPr>
          <t>Monto calculado automáticamente por el sistema</t>
        </r>
      </text>
    </comment>
    <comment ref="A624" authorId="1" shapeId="0" xr:uid="{D87189FC-21AC-438C-B2EA-6167836B3E5F}">
      <text>
        <r>
          <rPr>
            <sz val="11"/>
            <color theme="1"/>
            <rFont val="Calibri"/>
            <family val="2"/>
            <scheme val="minor"/>
          </rPr>
          <t>Introducir un texto con el nombre o referencia de la contratación</t>
        </r>
      </text>
    </comment>
    <comment ref="B624" authorId="1" shapeId="0" xr:uid="{A0C8CA87-6D9D-4623-B9FA-EBBC64B70B1C}">
      <text>
        <r>
          <rPr>
            <sz val="11"/>
            <color theme="1"/>
            <rFont val="Calibri"/>
            <family val="2"/>
            <scheme val="minor"/>
          </rPr>
          <t>Introduzca un texto con la finalidad de la contratación</t>
        </r>
      </text>
    </comment>
    <comment ref="C624" authorId="1" shapeId="0" xr:uid="{4C57107D-DE6D-431B-8625-03E5037EC31D}">
      <text>
        <r>
          <rPr>
            <sz val="11"/>
            <color theme="1"/>
            <rFont val="Calibri"/>
            <family val="2"/>
            <scheme val="minor"/>
          </rPr>
          <t>Seleccionar un valor del listado</t>
        </r>
      </text>
    </comment>
    <comment ref="D624" authorId="1" shapeId="0" xr:uid="{976BF4DE-0AE2-465E-B6CE-1EBE59533C3F}">
      <text>
        <r>
          <rPr>
            <sz val="11"/>
            <color theme="1"/>
            <rFont val="Calibri"/>
            <family val="2"/>
            <scheme val="minor"/>
          </rPr>
          <t>Seleccione el tipo de procedimiento</t>
        </r>
      </text>
    </comment>
    <comment ref="E624" authorId="1" shapeId="0" xr:uid="{EC350841-68EF-463F-8409-D0E84E93D92E}">
      <text>
        <r>
          <rPr>
            <sz val="11"/>
            <color theme="1"/>
            <rFont val="Calibri"/>
            <family val="2"/>
            <scheme val="minor"/>
          </rPr>
          <t>Seleccione un valor de la lista</t>
        </r>
      </text>
    </comment>
    <comment ref="F624" authorId="1" shapeId="0" xr:uid="{74CA7E5E-582E-42CB-9961-D7BCB46433B8}">
      <text>
        <r>
          <rPr>
            <sz val="11"/>
            <color theme="1"/>
            <rFont val="Calibri"/>
            <family val="2"/>
            <scheme val="minor"/>
          </rPr>
          <t>Introduzca el código SNIP</t>
        </r>
      </text>
    </comment>
    <comment ref="C625" authorId="1" shapeId="0" xr:uid="{62F46095-7C7B-46B7-8E8C-569605D8F7FC}">
      <text>
        <r>
          <rPr>
            <sz val="11"/>
            <color theme="1"/>
            <rFont val="Calibri"/>
            <family val="2"/>
            <scheme val="minor"/>
          </rPr>
          <t>Introduzca la fecha de inicio del proceso, en formato dd-mm-aaaa</t>
        </r>
      </text>
    </comment>
    <comment ref="F625" authorId="1" shapeId="0" xr:uid="{6141E357-323A-42F7-9879-3A30B13794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1" shapeId="0" xr:uid="{F62273D4-5237-4B88-9A8A-EA7AEE81CCFF}">
      <text/>
    </comment>
    <comment ref="C627" authorId="1" shapeId="0" xr:uid="{1B5478C5-0ACC-4F96-BEC4-3DBCD98B5377}">
      <text>
        <r>
          <rPr>
            <sz val="11"/>
            <color theme="1"/>
            <rFont val="Calibri"/>
            <family val="2"/>
            <scheme val="minor"/>
          </rPr>
          <t>Introduzca la fecha prevista de adjudicación, en formato dd-mm-aaaa</t>
        </r>
      </text>
    </comment>
    <comment ref="F627" authorId="1" shapeId="0" xr:uid="{9B1562DB-C934-433A-A3C2-AFDA6525412C}">
      <text/>
    </comment>
    <comment ref="F628" authorId="1" shapeId="0" xr:uid="{298F91B2-09A2-47A7-96E4-28C016AAECF2}">
      <text/>
    </comment>
    <comment ref="A630" authorId="1" shapeId="0" xr:uid="{13EFE74B-7716-4968-8832-F8A5D283969C}">
      <text>
        <r>
          <rPr>
            <sz val="11"/>
            <color theme="1"/>
            <rFont val="Calibri"/>
            <family val="2"/>
            <scheme val="minor"/>
          </rPr>
          <t>Introduzca un codigo UNSPSC</t>
        </r>
      </text>
    </comment>
    <comment ref="B630" authorId="1" shapeId="0" xr:uid="{01CF8AEC-1447-460F-B6D9-8C216DA8742B}">
      <text>
        <r>
          <rPr>
            <sz val="11"/>
            <color theme="1"/>
            <rFont val="Calibri"/>
            <family val="2"/>
            <scheme val="minor"/>
          </rPr>
          <t>Descripción calculada automáticamente a partir de código del artículo</t>
        </r>
      </text>
    </comment>
    <comment ref="C630" authorId="1" shapeId="0" xr:uid="{E09CCF8A-B248-4396-9C7D-05DFBB5610BB}">
      <text>
        <r>
          <rPr>
            <sz val="11"/>
            <color theme="1"/>
            <rFont val="Calibri"/>
            <family val="2"/>
            <scheme val="minor"/>
          </rPr>
          <t>Seleccione un valor de la lista</t>
        </r>
      </text>
    </comment>
    <comment ref="D630" authorId="1" shapeId="0" xr:uid="{8C9204EF-98B4-47C4-85A5-182F8CCB9DA0}">
      <text>
        <r>
          <rPr>
            <sz val="11"/>
            <color theme="1"/>
            <rFont val="Calibri"/>
            <family val="2"/>
            <scheme val="minor"/>
          </rPr>
          <t>Introduzca un número con dos decimales como máximo. Debe ser igual o mayor a la "Cantidad Real Consumida"</t>
        </r>
      </text>
    </comment>
    <comment ref="E630" authorId="1" shapeId="0" xr:uid="{7DA3C0A3-B09D-4D7E-8228-C58E9CB41336}">
      <text>
        <r>
          <rPr>
            <sz val="11"/>
            <color theme="1"/>
            <rFont val="Calibri"/>
            <family val="2"/>
            <scheme val="minor"/>
          </rPr>
          <t>Introduzca un número con dos decimales como máximo</t>
        </r>
      </text>
    </comment>
    <comment ref="F630" authorId="1" shapeId="0" xr:uid="{172CF7D3-A5EC-4C5F-9FD3-7BE9ED392F42}">
      <text>
        <r>
          <rPr>
            <sz val="11"/>
            <color theme="1"/>
            <rFont val="Calibri"/>
            <family val="2"/>
            <scheme val="minor"/>
          </rPr>
          <t>Monto calculado automáticamente por el sistema</t>
        </r>
      </text>
    </comment>
    <comment ref="A635" authorId="1" shapeId="0" xr:uid="{DA1E2B4E-1464-426D-876C-0A3F92C12030}">
      <text>
        <r>
          <rPr>
            <sz val="11"/>
            <color theme="1"/>
            <rFont val="Calibri"/>
            <family val="2"/>
            <scheme val="minor"/>
          </rPr>
          <t>Introducir un texto con el nombre o referencia de la contratación</t>
        </r>
      </text>
    </comment>
    <comment ref="B635" authorId="1" shapeId="0" xr:uid="{EBB81307-9BF1-4FE1-8A95-38738D24D162}">
      <text>
        <r>
          <rPr>
            <sz val="11"/>
            <color theme="1"/>
            <rFont val="Calibri"/>
            <family val="2"/>
            <scheme val="minor"/>
          </rPr>
          <t>Introduzca un texto con la finalidad de la contratación</t>
        </r>
      </text>
    </comment>
    <comment ref="C635" authorId="1" shapeId="0" xr:uid="{8E1E59B9-D515-4775-831F-FAD3BEBCB41E}">
      <text>
        <r>
          <rPr>
            <sz val="11"/>
            <color theme="1"/>
            <rFont val="Calibri"/>
            <family val="2"/>
            <scheme val="minor"/>
          </rPr>
          <t>Seleccionar un valor del listado</t>
        </r>
      </text>
    </comment>
    <comment ref="D635" authorId="1" shapeId="0" xr:uid="{1F0913F9-6A24-4A3E-AD3F-AA12A684E5D5}">
      <text>
        <r>
          <rPr>
            <sz val="11"/>
            <color theme="1"/>
            <rFont val="Calibri"/>
            <family val="2"/>
            <scheme val="minor"/>
          </rPr>
          <t>Seleccione el tipo de procedimiento</t>
        </r>
      </text>
    </comment>
    <comment ref="E635" authorId="1" shapeId="0" xr:uid="{8E9836DB-C4D8-47A7-9774-319D03BBF819}">
      <text>
        <r>
          <rPr>
            <sz val="11"/>
            <color theme="1"/>
            <rFont val="Calibri"/>
            <family val="2"/>
            <scheme val="minor"/>
          </rPr>
          <t>Seleccione un valor de la lista</t>
        </r>
      </text>
    </comment>
    <comment ref="F635" authorId="1" shapeId="0" xr:uid="{5EAC89C1-365D-48AA-883F-04583D862AD8}">
      <text>
        <r>
          <rPr>
            <sz val="11"/>
            <color theme="1"/>
            <rFont val="Calibri"/>
            <family val="2"/>
            <scheme val="minor"/>
          </rPr>
          <t>Introduzca el código SNIP</t>
        </r>
      </text>
    </comment>
    <comment ref="C636" authorId="1" shapeId="0" xr:uid="{D436CB75-2602-4623-B5A4-8DFB6ACB8486}">
      <text>
        <r>
          <rPr>
            <sz val="11"/>
            <color theme="1"/>
            <rFont val="Calibri"/>
            <family val="2"/>
            <scheme val="minor"/>
          </rPr>
          <t>Introduzca la fecha de inicio del proceso, en formato dd-mm-aaaa</t>
        </r>
      </text>
    </comment>
    <comment ref="F636" authorId="1" shapeId="0" xr:uid="{87E64DA5-B2F8-400A-B40A-D7620F9315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1" shapeId="0" xr:uid="{FF24F43F-1172-474D-95A8-055109F8B402}">
      <text/>
    </comment>
    <comment ref="C638" authorId="1" shapeId="0" xr:uid="{A5FC2653-CA3C-4DE1-8DF6-858936FE688F}">
      <text>
        <r>
          <rPr>
            <sz val="11"/>
            <color theme="1"/>
            <rFont val="Calibri"/>
            <family val="2"/>
            <scheme val="minor"/>
          </rPr>
          <t>Introduzca la fecha prevista de adjudicación, en formato dd-mm-aaaa</t>
        </r>
      </text>
    </comment>
    <comment ref="F638" authorId="1" shapeId="0" xr:uid="{10256D0E-109F-4167-BCB8-CD849EF07C37}">
      <text/>
    </comment>
    <comment ref="F639" authorId="1" shapeId="0" xr:uid="{A488718A-D491-40DC-B083-11A89BF54249}">
      <text/>
    </comment>
    <comment ref="A641" authorId="1" shapeId="0" xr:uid="{07142BD0-429F-4B25-B770-4BFA59A6E33C}">
      <text>
        <r>
          <rPr>
            <sz val="11"/>
            <color theme="1"/>
            <rFont val="Calibri"/>
            <family val="2"/>
            <scheme val="minor"/>
          </rPr>
          <t>Introduzca un codigo UNSPSC</t>
        </r>
      </text>
    </comment>
    <comment ref="B641" authorId="1" shapeId="0" xr:uid="{F75EC031-2D07-4032-827B-E801A4CB48C6}">
      <text>
        <r>
          <rPr>
            <sz val="11"/>
            <color theme="1"/>
            <rFont val="Calibri"/>
            <family val="2"/>
            <scheme val="minor"/>
          </rPr>
          <t>Descripción calculada automáticamente a partir de código del artículo</t>
        </r>
      </text>
    </comment>
    <comment ref="C641" authorId="1" shapeId="0" xr:uid="{2494B835-30D7-40D9-81A7-C730318D572D}">
      <text>
        <r>
          <rPr>
            <sz val="11"/>
            <color theme="1"/>
            <rFont val="Calibri"/>
            <family val="2"/>
            <scheme val="minor"/>
          </rPr>
          <t>Seleccione un valor de la lista</t>
        </r>
      </text>
    </comment>
    <comment ref="D641" authorId="1" shapeId="0" xr:uid="{8DB063D2-92A8-4E43-8F93-03BE199C4061}">
      <text>
        <r>
          <rPr>
            <sz val="11"/>
            <color theme="1"/>
            <rFont val="Calibri"/>
            <family val="2"/>
            <scheme val="minor"/>
          </rPr>
          <t>Introduzca un número con dos decimales como máximo. Debe ser igual o mayor a la "Cantidad Real Consumida"</t>
        </r>
      </text>
    </comment>
    <comment ref="E641" authorId="1" shapeId="0" xr:uid="{D969C761-D6F9-4E01-BA69-C8B776792CC4}">
      <text>
        <r>
          <rPr>
            <sz val="11"/>
            <color theme="1"/>
            <rFont val="Calibri"/>
            <family val="2"/>
            <scheme val="minor"/>
          </rPr>
          <t>Introduzca un número con dos decimales como máximo</t>
        </r>
      </text>
    </comment>
    <comment ref="F641" authorId="1" shapeId="0" xr:uid="{552209DC-7B06-4B51-8C28-AABCAF720854}">
      <text>
        <r>
          <rPr>
            <sz val="11"/>
            <color theme="1"/>
            <rFont val="Calibri"/>
            <family val="2"/>
            <scheme val="minor"/>
          </rPr>
          <t>Monto calculado automáticamente por el sistema</t>
        </r>
      </text>
    </comment>
    <comment ref="A647" authorId="1" shapeId="0" xr:uid="{0366799D-EA7C-4C9F-8E56-F284B3F6F798}">
      <text>
        <r>
          <rPr>
            <sz val="11"/>
            <color theme="1"/>
            <rFont val="Calibri"/>
            <family val="2"/>
            <scheme val="minor"/>
          </rPr>
          <t>Introducir un texto con el nombre o referencia de la contratación</t>
        </r>
      </text>
    </comment>
    <comment ref="B647" authorId="1" shapeId="0" xr:uid="{C06163A0-D7B0-4895-AB84-4A03A8FAFB0A}">
      <text>
        <r>
          <rPr>
            <sz val="11"/>
            <color theme="1"/>
            <rFont val="Calibri"/>
            <family val="2"/>
            <scheme val="minor"/>
          </rPr>
          <t>Introduzca un texto con la finalidad de la contratación</t>
        </r>
      </text>
    </comment>
    <comment ref="C647" authorId="1" shapeId="0" xr:uid="{2BEC3EC2-36C3-49B1-A0B2-76920461F81F}">
      <text>
        <r>
          <rPr>
            <sz val="11"/>
            <color theme="1"/>
            <rFont val="Calibri"/>
            <family val="2"/>
            <scheme val="minor"/>
          </rPr>
          <t>Seleccionar un valor del listado</t>
        </r>
      </text>
    </comment>
    <comment ref="D647" authorId="1" shapeId="0" xr:uid="{E3A49976-2510-4028-93E7-A63F128412B5}">
      <text>
        <r>
          <rPr>
            <sz val="11"/>
            <color theme="1"/>
            <rFont val="Calibri"/>
            <family val="2"/>
            <scheme val="minor"/>
          </rPr>
          <t>Seleccione el tipo de procedimiento</t>
        </r>
      </text>
    </comment>
    <comment ref="E647" authorId="1" shapeId="0" xr:uid="{C1779D4D-D32C-4BB7-8A09-4E8853357F78}">
      <text>
        <r>
          <rPr>
            <sz val="11"/>
            <color theme="1"/>
            <rFont val="Calibri"/>
            <family val="2"/>
            <scheme val="minor"/>
          </rPr>
          <t>Seleccione un valor de la lista</t>
        </r>
      </text>
    </comment>
    <comment ref="F647" authorId="1" shapeId="0" xr:uid="{4278D85D-0B1F-42B6-9C04-901611026F5A}">
      <text>
        <r>
          <rPr>
            <sz val="11"/>
            <color theme="1"/>
            <rFont val="Calibri"/>
            <family val="2"/>
            <scheme val="minor"/>
          </rPr>
          <t>Introduzca el código SNIP</t>
        </r>
      </text>
    </comment>
    <comment ref="C648" authorId="1" shapeId="0" xr:uid="{D6A6EEDE-2655-4199-A919-3C29CBCB0375}">
      <text>
        <r>
          <rPr>
            <sz val="11"/>
            <color theme="1"/>
            <rFont val="Calibri"/>
            <family val="2"/>
            <scheme val="minor"/>
          </rPr>
          <t>Introduzca la fecha de inicio del proceso, en formato dd-mm-aaaa</t>
        </r>
      </text>
    </comment>
    <comment ref="F648" authorId="1" shapeId="0" xr:uid="{516CED90-02E2-448B-8EA6-C04EC51182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D79FA9AB-A47C-4176-AAAF-E55FCFBE0492}">
      <text/>
    </comment>
    <comment ref="C650" authorId="1" shapeId="0" xr:uid="{3B3494C3-82E0-4BC0-AE2C-A43D3EA68D65}">
      <text>
        <r>
          <rPr>
            <sz val="11"/>
            <color theme="1"/>
            <rFont val="Calibri"/>
            <family val="2"/>
            <scheme val="minor"/>
          </rPr>
          <t>Introduzca la fecha prevista de adjudicación, en formato dd-mm-aaaa</t>
        </r>
      </text>
    </comment>
    <comment ref="F650" authorId="1" shapeId="0" xr:uid="{1B663F17-713F-4477-93E0-BE41EF839408}">
      <text/>
    </comment>
    <comment ref="F651" authorId="1" shapeId="0" xr:uid="{31ACD828-84D8-401A-A6C0-0F962CE51255}">
      <text/>
    </comment>
    <comment ref="A653" authorId="1" shapeId="0" xr:uid="{DF0AD3EB-87B4-44C1-BEA0-C50899B7E253}">
      <text>
        <r>
          <rPr>
            <sz val="11"/>
            <color theme="1"/>
            <rFont val="Calibri"/>
            <family val="2"/>
            <scheme val="minor"/>
          </rPr>
          <t>Introduzca un codigo UNSPSC</t>
        </r>
      </text>
    </comment>
    <comment ref="B653" authorId="1" shapeId="0" xr:uid="{787AAACF-272C-46E9-9E10-2F4127B77880}">
      <text>
        <r>
          <rPr>
            <sz val="11"/>
            <color theme="1"/>
            <rFont val="Calibri"/>
            <family val="2"/>
            <scheme val="minor"/>
          </rPr>
          <t>Descripción calculada automáticamente a partir de código del artículo</t>
        </r>
      </text>
    </comment>
    <comment ref="C653" authorId="1" shapeId="0" xr:uid="{7C4DC65F-8A60-4054-9B20-E2F7AA484404}">
      <text>
        <r>
          <rPr>
            <sz val="11"/>
            <color theme="1"/>
            <rFont val="Calibri"/>
            <family val="2"/>
            <scheme val="minor"/>
          </rPr>
          <t>Seleccione un valor de la lista</t>
        </r>
      </text>
    </comment>
    <comment ref="D653" authorId="1" shapeId="0" xr:uid="{7617EA1F-2C15-4631-972B-12FF58146560}">
      <text>
        <r>
          <rPr>
            <sz val="11"/>
            <color theme="1"/>
            <rFont val="Calibri"/>
            <family val="2"/>
            <scheme val="minor"/>
          </rPr>
          <t>Introduzca un número con dos decimales como máximo. Debe ser igual o mayor a la "Cantidad Real Consumida"</t>
        </r>
      </text>
    </comment>
    <comment ref="E653" authorId="1" shapeId="0" xr:uid="{47C6DABA-F0F2-4E28-B344-58AE8F0C6454}">
      <text>
        <r>
          <rPr>
            <sz val="11"/>
            <color theme="1"/>
            <rFont val="Calibri"/>
            <family val="2"/>
            <scheme val="minor"/>
          </rPr>
          <t>Introduzca un número con dos decimales como máximo</t>
        </r>
      </text>
    </comment>
    <comment ref="F653" authorId="1" shapeId="0" xr:uid="{C5CA2BB3-0221-494E-831A-D54D5F776E5E}">
      <text>
        <r>
          <rPr>
            <sz val="11"/>
            <color theme="1"/>
            <rFont val="Calibri"/>
            <family val="2"/>
            <scheme val="minor"/>
          </rPr>
          <t>Monto calculado automáticamente por el sistema</t>
        </r>
      </text>
    </comment>
    <comment ref="A659" authorId="1" shapeId="0" xr:uid="{3D9DC518-B1B1-46A1-8474-1D4A16B3C7FD}">
      <text>
        <r>
          <rPr>
            <sz val="11"/>
            <color theme="1"/>
            <rFont val="Calibri"/>
            <family val="2"/>
            <scheme val="minor"/>
          </rPr>
          <t>Introducir un texto con el nombre o referencia de la contratación</t>
        </r>
      </text>
    </comment>
    <comment ref="B659" authorId="1" shapeId="0" xr:uid="{C84D695D-00EF-47AB-832D-CB6699B96CB0}">
      <text>
        <r>
          <rPr>
            <sz val="11"/>
            <color theme="1"/>
            <rFont val="Calibri"/>
            <family val="2"/>
            <scheme val="minor"/>
          </rPr>
          <t>Introduzca un texto con la finalidad de la contratación</t>
        </r>
      </text>
    </comment>
    <comment ref="C659" authorId="1" shapeId="0" xr:uid="{76643F6F-74D7-4BEA-907A-4B15929B21C7}">
      <text>
        <r>
          <rPr>
            <sz val="11"/>
            <color theme="1"/>
            <rFont val="Calibri"/>
            <family val="2"/>
            <scheme val="minor"/>
          </rPr>
          <t>Seleccionar un valor del listado</t>
        </r>
      </text>
    </comment>
    <comment ref="D659" authorId="1" shapeId="0" xr:uid="{914B5B0B-4058-4A3C-9407-0A2338559DD2}">
      <text>
        <r>
          <rPr>
            <sz val="11"/>
            <color theme="1"/>
            <rFont val="Calibri"/>
            <family val="2"/>
            <scheme val="minor"/>
          </rPr>
          <t>Seleccione el tipo de procedimiento</t>
        </r>
      </text>
    </comment>
    <comment ref="E659" authorId="1" shapeId="0" xr:uid="{AFCFD095-6D37-40A2-B6CF-23AE93C9E60E}">
      <text>
        <r>
          <rPr>
            <sz val="11"/>
            <color theme="1"/>
            <rFont val="Calibri"/>
            <family val="2"/>
            <scheme val="minor"/>
          </rPr>
          <t>Seleccione un valor de la lista</t>
        </r>
      </text>
    </comment>
    <comment ref="F659" authorId="1" shapeId="0" xr:uid="{79393C91-ACD5-47DD-B2FF-C48AC3A693BE}">
      <text>
        <r>
          <rPr>
            <sz val="11"/>
            <color theme="1"/>
            <rFont val="Calibri"/>
            <family val="2"/>
            <scheme val="minor"/>
          </rPr>
          <t>Introduzca el código SNIP</t>
        </r>
      </text>
    </comment>
    <comment ref="C660" authorId="1" shapeId="0" xr:uid="{7F73F38B-ED62-4E2A-A56B-7B522E5E2E30}">
      <text>
        <r>
          <rPr>
            <sz val="11"/>
            <color theme="1"/>
            <rFont val="Calibri"/>
            <family val="2"/>
            <scheme val="minor"/>
          </rPr>
          <t>Introduzca la fecha de inicio del proceso, en formato dd-mm-aaaa</t>
        </r>
      </text>
    </comment>
    <comment ref="F660" authorId="1" shapeId="0" xr:uid="{679C4395-741F-446A-9D4B-680A2E81CD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1" shapeId="0" xr:uid="{C9D4A74E-B5EA-496A-9C72-1A7368CAEE0F}">
      <text/>
    </comment>
    <comment ref="C662" authorId="1" shapeId="0" xr:uid="{4123571F-18AA-4D32-8B56-044C179AD147}">
      <text>
        <r>
          <rPr>
            <sz val="11"/>
            <color theme="1"/>
            <rFont val="Calibri"/>
            <family val="2"/>
            <scheme val="minor"/>
          </rPr>
          <t>Introduzca la fecha prevista de adjudicación, en formato dd-mm-aaaa</t>
        </r>
      </text>
    </comment>
    <comment ref="F662" authorId="1" shapeId="0" xr:uid="{254ED08F-AC5F-4B96-8BE4-9E3C011AD0C0}">
      <text/>
    </comment>
    <comment ref="F663" authorId="1" shapeId="0" xr:uid="{BE3D2CF2-F4CB-43E2-ADFE-71EFAC954D10}">
      <text/>
    </comment>
    <comment ref="A665" authorId="1" shapeId="0" xr:uid="{EC81CDAE-ECBC-49EF-971D-BCEA37FD8376}">
      <text>
        <r>
          <rPr>
            <sz val="11"/>
            <color theme="1"/>
            <rFont val="Calibri"/>
            <family val="2"/>
            <scheme val="minor"/>
          </rPr>
          <t>Introduzca un codigo UNSPSC</t>
        </r>
      </text>
    </comment>
    <comment ref="B665" authorId="1" shapeId="0" xr:uid="{FA9FF5E7-12E0-4956-B00C-05C012DA9D43}">
      <text>
        <r>
          <rPr>
            <sz val="11"/>
            <color theme="1"/>
            <rFont val="Calibri"/>
            <family val="2"/>
            <scheme val="minor"/>
          </rPr>
          <t>Descripción calculada automáticamente a partir de código del artículo</t>
        </r>
      </text>
    </comment>
    <comment ref="C665" authorId="1" shapeId="0" xr:uid="{40FF57C7-7E02-4EC0-AB43-B4120956C094}">
      <text>
        <r>
          <rPr>
            <sz val="11"/>
            <color theme="1"/>
            <rFont val="Calibri"/>
            <family val="2"/>
            <scheme val="minor"/>
          </rPr>
          <t>Seleccione un valor de la lista</t>
        </r>
      </text>
    </comment>
    <comment ref="D665" authorId="1" shapeId="0" xr:uid="{38209A51-94DF-4BC0-B524-5B4461E816DD}">
      <text>
        <r>
          <rPr>
            <sz val="11"/>
            <color theme="1"/>
            <rFont val="Calibri"/>
            <family val="2"/>
            <scheme val="minor"/>
          </rPr>
          <t>Introduzca un número con dos decimales como máximo. Debe ser igual o mayor a la "Cantidad Real Consumida"</t>
        </r>
      </text>
    </comment>
    <comment ref="E665" authorId="1" shapeId="0" xr:uid="{F04781C5-2C14-40AB-AB76-3FB32F1B95ED}">
      <text>
        <r>
          <rPr>
            <sz val="11"/>
            <color theme="1"/>
            <rFont val="Calibri"/>
            <family val="2"/>
            <scheme val="minor"/>
          </rPr>
          <t>Introduzca un número con dos decimales como máximo</t>
        </r>
      </text>
    </comment>
    <comment ref="F665" authorId="1" shapeId="0" xr:uid="{53B6EB67-DA8E-4A67-96F9-E7395D29C5AD}">
      <text>
        <r>
          <rPr>
            <sz val="11"/>
            <color theme="1"/>
            <rFont val="Calibri"/>
            <family val="2"/>
            <scheme val="minor"/>
          </rPr>
          <t>Monto calculado automáticamente por el sistema</t>
        </r>
      </text>
    </comment>
    <comment ref="A673" authorId="1" shapeId="0" xr:uid="{65A45B6A-AD98-4B5C-8650-89E85C1160EC}">
      <text>
        <r>
          <rPr>
            <sz val="11"/>
            <color theme="1"/>
            <rFont val="Calibri"/>
            <family val="2"/>
            <scheme val="minor"/>
          </rPr>
          <t>Introducir un texto con el nombre o referencia de la contratación</t>
        </r>
      </text>
    </comment>
    <comment ref="B673" authorId="1" shapeId="0" xr:uid="{A24DDE87-1D50-4C05-916A-185E277F5C82}">
      <text>
        <r>
          <rPr>
            <sz val="11"/>
            <color theme="1"/>
            <rFont val="Calibri"/>
            <family val="2"/>
            <scheme val="minor"/>
          </rPr>
          <t>Introduzca un texto con la finalidad de la contratación</t>
        </r>
      </text>
    </comment>
    <comment ref="C673" authorId="1" shapeId="0" xr:uid="{C4311629-B8D8-4B8D-BDE5-D9AC9F51F8EE}">
      <text>
        <r>
          <rPr>
            <sz val="11"/>
            <color theme="1"/>
            <rFont val="Calibri"/>
            <family val="2"/>
            <scheme val="minor"/>
          </rPr>
          <t>Seleccionar un valor del listado</t>
        </r>
      </text>
    </comment>
    <comment ref="D673" authorId="1" shapeId="0" xr:uid="{D0EBA1DC-0AB0-45E4-BABD-2F9289D91F95}">
      <text>
        <r>
          <rPr>
            <sz val="11"/>
            <color theme="1"/>
            <rFont val="Calibri"/>
            <family val="2"/>
            <scheme val="minor"/>
          </rPr>
          <t>Seleccione el tipo de procedimiento</t>
        </r>
      </text>
    </comment>
    <comment ref="E673" authorId="1" shapeId="0" xr:uid="{D933D1C0-219F-4729-B4EC-E72D5847C23D}">
      <text>
        <r>
          <rPr>
            <sz val="11"/>
            <color theme="1"/>
            <rFont val="Calibri"/>
            <family val="2"/>
            <scheme val="minor"/>
          </rPr>
          <t>Seleccione un valor de la lista</t>
        </r>
      </text>
    </comment>
    <comment ref="F673" authorId="1" shapeId="0" xr:uid="{C95FC02F-66CC-4309-B6A4-9723E19C0A4D}">
      <text>
        <r>
          <rPr>
            <sz val="11"/>
            <color theme="1"/>
            <rFont val="Calibri"/>
            <family val="2"/>
            <scheme val="minor"/>
          </rPr>
          <t>Introduzca el código SNIP</t>
        </r>
      </text>
    </comment>
    <comment ref="C674" authorId="1" shapeId="0" xr:uid="{E63026B2-A5E9-4257-9B5F-16DEC3C8DB8D}">
      <text>
        <r>
          <rPr>
            <sz val="11"/>
            <color theme="1"/>
            <rFont val="Calibri"/>
            <family val="2"/>
            <scheme val="minor"/>
          </rPr>
          <t>Introduzca la fecha de inicio del proceso, en formato dd-mm-aaaa</t>
        </r>
      </text>
    </comment>
    <comment ref="F674" authorId="1" shapeId="0" xr:uid="{A7788BA9-5260-4463-9F20-A51BECD780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1" shapeId="0" xr:uid="{A1749DAB-F79E-4A25-B5A4-16BA27BE90FC}">
      <text/>
    </comment>
    <comment ref="C676" authorId="1" shapeId="0" xr:uid="{AE33E301-6708-4F85-AFEA-7512F391C7ED}">
      <text>
        <r>
          <rPr>
            <sz val="11"/>
            <color theme="1"/>
            <rFont val="Calibri"/>
            <family val="2"/>
            <scheme val="minor"/>
          </rPr>
          <t>Introduzca la fecha prevista de adjudicación, en formato dd-mm-aaaa</t>
        </r>
      </text>
    </comment>
    <comment ref="F676" authorId="1" shapeId="0" xr:uid="{0C09BF70-E10D-4370-9394-71824930377F}">
      <text/>
    </comment>
    <comment ref="F677" authorId="1" shapeId="0" xr:uid="{0E1769C0-49C2-48FA-A7CC-349F60A3B502}">
      <text/>
    </comment>
    <comment ref="A679" authorId="1" shapeId="0" xr:uid="{E3D9C3D5-7AA2-49A1-B850-03EAC882BB9F}">
      <text>
        <r>
          <rPr>
            <sz val="11"/>
            <color theme="1"/>
            <rFont val="Calibri"/>
            <family val="2"/>
            <scheme val="minor"/>
          </rPr>
          <t>Introduzca un codigo UNSPSC</t>
        </r>
      </text>
    </comment>
    <comment ref="B679" authorId="1" shapeId="0" xr:uid="{97C8BF5E-230F-4CD3-8567-7F57C7EDA140}">
      <text>
        <r>
          <rPr>
            <sz val="11"/>
            <color theme="1"/>
            <rFont val="Calibri"/>
            <family val="2"/>
            <scheme val="minor"/>
          </rPr>
          <t>Descripción calculada automáticamente a partir de código del artículo</t>
        </r>
      </text>
    </comment>
    <comment ref="C679" authorId="1" shapeId="0" xr:uid="{D0E8F186-C131-4245-AEDD-082439DBCC0A}">
      <text>
        <r>
          <rPr>
            <sz val="11"/>
            <color theme="1"/>
            <rFont val="Calibri"/>
            <family val="2"/>
            <scheme val="minor"/>
          </rPr>
          <t>Seleccione un valor de la lista</t>
        </r>
      </text>
    </comment>
    <comment ref="D679" authorId="1" shapeId="0" xr:uid="{29DDD38F-CAA3-45D4-AFE5-D0D5C43693C0}">
      <text>
        <r>
          <rPr>
            <sz val="11"/>
            <color theme="1"/>
            <rFont val="Calibri"/>
            <family val="2"/>
            <scheme val="minor"/>
          </rPr>
          <t>Introduzca un número con dos decimales como máximo. Debe ser igual o mayor a la "Cantidad Real Consumida"</t>
        </r>
      </text>
    </comment>
    <comment ref="E679" authorId="1" shapeId="0" xr:uid="{50A204DE-7F78-4B1D-A03F-E82023D43551}">
      <text>
        <r>
          <rPr>
            <sz val="11"/>
            <color theme="1"/>
            <rFont val="Calibri"/>
            <family val="2"/>
            <scheme val="minor"/>
          </rPr>
          <t>Introduzca un número con dos decimales como máximo</t>
        </r>
      </text>
    </comment>
    <comment ref="F679" authorId="1" shapeId="0" xr:uid="{F487CA3C-0C46-4C12-9577-1B24D25EC7B0}">
      <text>
        <r>
          <rPr>
            <sz val="11"/>
            <color theme="1"/>
            <rFont val="Calibri"/>
            <family val="2"/>
            <scheme val="minor"/>
          </rPr>
          <t>Monto calculado automáticamente por el sistema</t>
        </r>
      </text>
    </comment>
    <comment ref="A687" authorId="1" shapeId="0" xr:uid="{64B317C5-ACB2-498D-88FA-1D8F171A7476}">
      <text>
        <r>
          <rPr>
            <sz val="11"/>
            <color theme="1"/>
            <rFont val="Calibri"/>
            <family val="2"/>
            <scheme val="minor"/>
          </rPr>
          <t>Introducir un texto con el nombre o referencia de la contratación</t>
        </r>
      </text>
    </comment>
    <comment ref="B687" authorId="1" shapeId="0" xr:uid="{86F3013C-856E-446C-ABB5-C032E56D10F4}">
      <text>
        <r>
          <rPr>
            <sz val="11"/>
            <color theme="1"/>
            <rFont val="Calibri"/>
            <family val="2"/>
            <scheme val="minor"/>
          </rPr>
          <t>Introduzca un texto con la finalidad de la contratación</t>
        </r>
      </text>
    </comment>
    <comment ref="C687" authorId="1" shapeId="0" xr:uid="{BD513751-6B45-4CB9-B399-B9FE49A04D3C}">
      <text>
        <r>
          <rPr>
            <sz val="11"/>
            <color theme="1"/>
            <rFont val="Calibri"/>
            <family val="2"/>
            <scheme val="minor"/>
          </rPr>
          <t>Seleccionar un valor del listado</t>
        </r>
      </text>
    </comment>
    <comment ref="D687" authorId="1" shapeId="0" xr:uid="{205AB597-FA9F-480A-8709-AD6D4EA40C67}">
      <text>
        <r>
          <rPr>
            <sz val="11"/>
            <color theme="1"/>
            <rFont val="Calibri"/>
            <family val="2"/>
            <scheme val="minor"/>
          </rPr>
          <t>Seleccione el tipo de procedimiento</t>
        </r>
      </text>
    </comment>
    <comment ref="E687" authorId="1" shapeId="0" xr:uid="{8D331F9D-4A77-413D-AE3A-8B5F361440AC}">
      <text>
        <r>
          <rPr>
            <sz val="11"/>
            <color theme="1"/>
            <rFont val="Calibri"/>
            <family val="2"/>
            <scheme val="minor"/>
          </rPr>
          <t>Seleccione un valor de la lista</t>
        </r>
      </text>
    </comment>
    <comment ref="F687" authorId="1" shapeId="0" xr:uid="{7AC87615-BA78-49C4-A49C-DFE064B17CE4}">
      <text>
        <r>
          <rPr>
            <sz val="11"/>
            <color theme="1"/>
            <rFont val="Calibri"/>
            <family val="2"/>
            <scheme val="minor"/>
          </rPr>
          <t>Introduzca el código SNIP</t>
        </r>
      </text>
    </comment>
    <comment ref="C688" authorId="1" shapeId="0" xr:uid="{5918DAE8-8146-492F-900C-0E5779BFCC4E}">
      <text>
        <r>
          <rPr>
            <sz val="11"/>
            <color theme="1"/>
            <rFont val="Calibri"/>
            <family val="2"/>
            <scheme val="minor"/>
          </rPr>
          <t>Introduzca la fecha de inicio del proceso, en formato dd-mm-aaaa</t>
        </r>
      </text>
    </comment>
    <comment ref="F688" authorId="1" shapeId="0" xr:uid="{3DB7EFF4-3C3D-4A3A-AA8C-EC06866F2B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1" shapeId="0" xr:uid="{858299BC-D2DA-4D0C-A79F-713BA3CD0278}">
      <text/>
    </comment>
    <comment ref="C690" authorId="1" shapeId="0" xr:uid="{832F1A54-3082-437B-800F-2E547187C454}">
      <text>
        <r>
          <rPr>
            <sz val="11"/>
            <color theme="1"/>
            <rFont val="Calibri"/>
            <family val="2"/>
            <scheme val="minor"/>
          </rPr>
          <t>Introduzca la fecha prevista de adjudicación, en formato dd-mm-aaaa</t>
        </r>
      </text>
    </comment>
    <comment ref="F690" authorId="1" shapeId="0" xr:uid="{47408C43-FC4C-484A-A785-849213AC8238}">
      <text/>
    </comment>
    <comment ref="F691" authorId="1" shapeId="0" xr:uid="{C1705E5B-1866-4EEB-A277-96078CBEFB95}">
      <text/>
    </comment>
    <comment ref="A693" authorId="1" shapeId="0" xr:uid="{28A42A0E-46AA-4EE2-9275-75197888EDEB}">
      <text>
        <r>
          <rPr>
            <sz val="11"/>
            <color theme="1"/>
            <rFont val="Calibri"/>
            <family val="2"/>
            <scheme val="minor"/>
          </rPr>
          <t>Introduzca un codigo UNSPSC</t>
        </r>
      </text>
    </comment>
    <comment ref="B693" authorId="1" shapeId="0" xr:uid="{AEA841B4-CDF4-4527-A2E2-E29EF32C1199}">
      <text>
        <r>
          <rPr>
            <sz val="11"/>
            <color theme="1"/>
            <rFont val="Calibri"/>
            <family val="2"/>
            <scheme val="minor"/>
          </rPr>
          <t>Descripción calculada automáticamente a partir de código del artículo</t>
        </r>
      </text>
    </comment>
    <comment ref="C693" authorId="1" shapeId="0" xr:uid="{566A1A3A-0823-41CB-BD92-747D5EFB7FB7}">
      <text>
        <r>
          <rPr>
            <sz val="11"/>
            <color theme="1"/>
            <rFont val="Calibri"/>
            <family val="2"/>
            <scheme val="minor"/>
          </rPr>
          <t>Seleccione un valor de la lista</t>
        </r>
      </text>
    </comment>
    <comment ref="D693" authorId="1" shapeId="0" xr:uid="{A33E4D8B-5ED7-4C54-85DE-0A2CE778DE9A}">
      <text>
        <r>
          <rPr>
            <sz val="11"/>
            <color theme="1"/>
            <rFont val="Calibri"/>
            <family val="2"/>
            <scheme val="minor"/>
          </rPr>
          <t>Introduzca un número con dos decimales como máximo. Debe ser igual o mayor a la "Cantidad Real Consumida"</t>
        </r>
      </text>
    </comment>
    <comment ref="E693" authorId="1" shapeId="0" xr:uid="{D962BF07-A4A6-48FC-8630-B03190E9F02E}">
      <text>
        <r>
          <rPr>
            <sz val="11"/>
            <color theme="1"/>
            <rFont val="Calibri"/>
            <family val="2"/>
            <scheme val="minor"/>
          </rPr>
          <t>Introduzca un número con dos decimales como máximo</t>
        </r>
      </text>
    </comment>
    <comment ref="F693" authorId="1" shapeId="0" xr:uid="{EB9BDDED-A7D9-4EFD-B40B-2FC3865706A0}">
      <text>
        <r>
          <rPr>
            <sz val="11"/>
            <color theme="1"/>
            <rFont val="Calibri"/>
            <family val="2"/>
            <scheme val="minor"/>
          </rPr>
          <t>Monto calculado automáticamente por el sistema</t>
        </r>
      </text>
    </comment>
    <comment ref="A701" authorId="1" shapeId="0" xr:uid="{1A34DDEF-7A22-402C-B06C-5FA840B2A592}">
      <text>
        <r>
          <rPr>
            <sz val="11"/>
            <color theme="1"/>
            <rFont val="Calibri"/>
            <family val="2"/>
            <scheme val="minor"/>
          </rPr>
          <t>Introducir un texto con el nombre o referencia de la contratación</t>
        </r>
      </text>
    </comment>
    <comment ref="B701" authorId="1" shapeId="0" xr:uid="{C042C6BF-5B7E-4E65-A25A-21864EAB723F}">
      <text>
        <r>
          <rPr>
            <sz val="11"/>
            <color theme="1"/>
            <rFont val="Calibri"/>
            <family val="2"/>
            <scheme val="minor"/>
          </rPr>
          <t>Introduzca un texto con la finalidad de la contratación</t>
        </r>
      </text>
    </comment>
    <comment ref="C701" authorId="1" shapeId="0" xr:uid="{C13C02F8-5050-4C1D-9627-FBDD66A7A611}">
      <text>
        <r>
          <rPr>
            <sz val="11"/>
            <color theme="1"/>
            <rFont val="Calibri"/>
            <family val="2"/>
            <scheme val="minor"/>
          </rPr>
          <t>Seleccionar un valor del listado</t>
        </r>
      </text>
    </comment>
    <comment ref="D701" authorId="1" shapeId="0" xr:uid="{AD1EBA57-CB1D-4681-81F6-51D1ECCC9422}">
      <text>
        <r>
          <rPr>
            <sz val="11"/>
            <color theme="1"/>
            <rFont val="Calibri"/>
            <family val="2"/>
            <scheme val="minor"/>
          </rPr>
          <t>Seleccione el tipo de procedimiento</t>
        </r>
      </text>
    </comment>
    <comment ref="E701" authorId="1" shapeId="0" xr:uid="{1C0D6D55-B18A-4751-B8D2-7230A72C2E4C}">
      <text>
        <r>
          <rPr>
            <sz val="11"/>
            <color theme="1"/>
            <rFont val="Calibri"/>
            <family val="2"/>
            <scheme val="minor"/>
          </rPr>
          <t>Seleccione un valor de la lista</t>
        </r>
      </text>
    </comment>
    <comment ref="F701" authorId="1" shapeId="0" xr:uid="{0307B4E5-A274-414A-8A3C-CAD78A730F0B}">
      <text>
        <r>
          <rPr>
            <sz val="11"/>
            <color theme="1"/>
            <rFont val="Calibri"/>
            <family val="2"/>
            <scheme val="minor"/>
          </rPr>
          <t>Introduzca el código SNIP</t>
        </r>
      </text>
    </comment>
    <comment ref="C702" authorId="1" shapeId="0" xr:uid="{00341B7C-D6A6-48AB-AB34-95EBB8D2631D}">
      <text>
        <r>
          <rPr>
            <sz val="11"/>
            <color theme="1"/>
            <rFont val="Calibri"/>
            <family val="2"/>
            <scheme val="minor"/>
          </rPr>
          <t>Introduzca la fecha de inicio del proceso, en formato dd-mm-aaaa</t>
        </r>
      </text>
    </comment>
    <comment ref="F702" authorId="1" shapeId="0" xr:uid="{C0559507-7FC8-49B8-B1F6-0F7980352D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 authorId="1" shapeId="0" xr:uid="{FD06442D-DBF7-4DC7-84A5-6B937B3B4DCE}">
      <text/>
    </comment>
    <comment ref="C704" authorId="1" shapeId="0" xr:uid="{7AFED430-E688-4707-BE51-AA52365C713E}">
      <text>
        <r>
          <rPr>
            <sz val="11"/>
            <color theme="1"/>
            <rFont val="Calibri"/>
            <family val="2"/>
            <scheme val="minor"/>
          </rPr>
          <t>Introduzca la fecha prevista de adjudicación, en formato dd-mm-aaaa</t>
        </r>
      </text>
    </comment>
    <comment ref="F704" authorId="1" shapeId="0" xr:uid="{96032774-8C43-45CC-AC6A-80C671FC36A8}">
      <text/>
    </comment>
    <comment ref="F705" authorId="1" shapeId="0" xr:uid="{84758AA7-D392-42F0-88F4-935C98417502}">
      <text/>
    </comment>
    <comment ref="A707" authorId="1" shapeId="0" xr:uid="{5BD1AE25-DAEB-479D-9826-FB0703012CB3}">
      <text>
        <r>
          <rPr>
            <sz val="11"/>
            <color theme="1"/>
            <rFont val="Calibri"/>
            <family val="2"/>
            <scheme val="minor"/>
          </rPr>
          <t>Introduzca un codigo UNSPSC</t>
        </r>
      </text>
    </comment>
    <comment ref="B707" authorId="1" shapeId="0" xr:uid="{98C8F937-EE13-44D5-BE7D-238EC4AA53E7}">
      <text>
        <r>
          <rPr>
            <sz val="11"/>
            <color theme="1"/>
            <rFont val="Calibri"/>
            <family val="2"/>
            <scheme val="minor"/>
          </rPr>
          <t>Descripción calculada automáticamente a partir de código del artículo</t>
        </r>
      </text>
    </comment>
    <comment ref="C707" authorId="1" shapeId="0" xr:uid="{AA24F531-1FBC-43ED-8BF2-2A1427F58F6E}">
      <text>
        <r>
          <rPr>
            <sz val="11"/>
            <color theme="1"/>
            <rFont val="Calibri"/>
            <family val="2"/>
            <scheme val="minor"/>
          </rPr>
          <t>Seleccione un valor de la lista</t>
        </r>
      </text>
    </comment>
    <comment ref="D707" authorId="1" shapeId="0" xr:uid="{98C1E470-535C-4FB7-96E8-93B2BC3C05B9}">
      <text>
        <r>
          <rPr>
            <sz val="11"/>
            <color theme="1"/>
            <rFont val="Calibri"/>
            <family val="2"/>
            <scheme val="minor"/>
          </rPr>
          <t>Introduzca un número con dos decimales como máximo. Debe ser igual o mayor a la "Cantidad Real Consumida"</t>
        </r>
      </text>
    </comment>
    <comment ref="E707" authorId="1" shapeId="0" xr:uid="{C77AC143-E55F-43C3-BB25-B2D29598271C}">
      <text>
        <r>
          <rPr>
            <sz val="11"/>
            <color theme="1"/>
            <rFont val="Calibri"/>
            <family val="2"/>
            <scheme val="minor"/>
          </rPr>
          <t>Introduzca un número con dos decimales como máximo</t>
        </r>
      </text>
    </comment>
    <comment ref="F707" authorId="1" shapeId="0" xr:uid="{828CF249-7138-4246-89E5-E8F1F231D02C}">
      <text>
        <r>
          <rPr>
            <sz val="11"/>
            <color theme="1"/>
            <rFont val="Calibri"/>
            <family val="2"/>
            <scheme val="minor"/>
          </rPr>
          <t>Monto calculado automáticamente por el sistema</t>
        </r>
      </text>
    </comment>
    <comment ref="A715" authorId="1" shapeId="0" xr:uid="{43002CF8-5ED0-418B-AB98-05977B78A34F}">
      <text>
        <r>
          <rPr>
            <sz val="11"/>
            <color theme="1"/>
            <rFont val="Calibri"/>
            <family val="2"/>
            <scheme val="minor"/>
          </rPr>
          <t>Introducir un texto con el nombre o referencia de la contratación</t>
        </r>
      </text>
    </comment>
    <comment ref="B715" authorId="1" shapeId="0" xr:uid="{EBE64701-9F7B-4135-A6DC-BB348FE31A43}">
      <text>
        <r>
          <rPr>
            <sz val="11"/>
            <color theme="1"/>
            <rFont val="Calibri"/>
            <family val="2"/>
            <scheme val="minor"/>
          </rPr>
          <t>Introduzca un texto con la finalidad de la contratación</t>
        </r>
      </text>
    </comment>
    <comment ref="C715" authorId="1" shapeId="0" xr:uid="{BBEE50DC-CBB1-4CC7-911B-5029A441A12A}">
      <text>
        <r>
          <rPr>
            <sz val="11"/>
            <color theme="1"/>
            <rFont val="Calibri"/>
            <family val="2"/>
            <scheme val="minor"/>
          </rPr>
          <t>Seleccionar un valor del listado</t>
        </r>
      </text>
    </comment>
    <comment ref="D715" authorId="1" shapeId="0" xr:uid="{4096B170-90D2-432B-8C0C-2876081C2E6F}">
      <text>
        <r>
          <rPr>
            <sz val="11"/>
            <color theme="1"/>
            <rFont val="Calibri"/>
            <family val="2"/>
            <scheme val="minor"/>
          </rPr>
          <t>Seleccione el tipo de procedimiento</t>
        </r>
      </text>
    </comment>
    <comment ref="E715" authorId="1" shapeId="0" xr:uid="{776ADB0C-6808-45A1-8EE6-8AAE6731A59F}">
      <text>
        <r>
          <rPr>
            <sz val="11"/>
            <color theme="1"/>
            <rFont val="Calibri"/>
            <family val="2"/>
            <scheme val="minor"/>
          </rPr>
          <t>Seleccione un valor de la lista</t>
        </r>
      </text>
    </comment>
    <comment ref="F715" authorId="1" shapeId="0" xr:uid="{5F28327C-C3D9-4BD4-AF11-8628024F0222}">
      <text>
        <r>
          <rPr>
            <sz val="11"/>
            <color theme="1"/>
            <rFont val="Calibri"/>
            <family val="2"/>
            <scheme val="minor"/>
          </rPr>
          <t>Introduzca el código SNIP</t>
        </r>
      </text>
    </comment>
    <comment ref="C716" authorId="1" shapeId="0" xr:uid="{48661E82-97F6-4E56-864E-4A5919CDF57A}">
      <text>
        <r>
          <rPr>
            <sz val="11"/>
            <color theme="1"/>
            <rFont val="Calibri"/>
            <family val="2"/>
            <scheme val="minor"/>
          </rPr>
          <t>Introduzca la fecha de inicio del proceso, en formato dd-mm-aaaa</t>
        </r>
      </text>
    </comment>
    <comment ref="F716" authorId="1" shapeId="0" xr:uid="{27E9FF24-7810-4245-8412-8606E22FC3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5983FCE7-3963-4E14-9AEC-C8B729C949D3}">
      <text/>
    </comment>
    <comment ref="C718" authorId="1" shapeId="0" xr:uid="{D3D0100C-EE7D-4948-ACFF-700B36D9EA3E}">
      <text>
        <r>
          <rPr>
            <sz val="11"/>
            <color theme="1"/>
            <rFont val="Calibri"/>
            <family val="2"/>
            <scheme val="minor"/>
          </rPr>
          <t>Introduzca la fecha prevista de adjudicación, en formato dd-mm-aaaa</t>
        </r>
      </text>
    </comment>
    <comment ref="F718" authorId="1" shapeId="0" xr:uid="{07745CDF-B8B6-4EAC-9C46-26A44519CEB2}">
      <text/>
    </comment>
    <comment ref="F719" authorId="1" shapeId="0" xr:uid="{C655792F-E165-483F-8A69-28A7962C77BE}">
      <text/>
    </comment>
    <comment ref="A721" authorId="1" shapeId="0" xr:uid="{280F27F8-2628-4DF9-ADA1-4F49B5600D08}">
      <text>
        <r>
          <rPr>
            <sz val="11"/>
            <color theme="1"/>
            <rFont val="Calibri"/>
            <family val="2"/>
            <scheme val="minor"/>
          </rPr>
          <t>Introduzca un codigo UNSPSC</t>
        </r>
      </text>
    </comment>
    <comment ref="B721" authorId="1" shapeId="0" xr:uid="{2393D017-C903-4299-BC31-57AFC55C4D9E}">
      <text>
        <r>
          <rPr>
            <sz val="11"/>
            <color theme="1"/>
            <rFont val="Calibri"/>
            <family val="2"/>
            <scheme val="minor"/>
          </rPr>
          <t>Descripción calculada automáticamente a partir de código del artículo</t>
        </r>
      </text>
    </comment>
    <comment ref="C721" authorId="1" shapeId="0" xr:uid="{95E81A26-BDA8-460F-9292-42ED06790BD1}">
      <text>
        <r>
          <rPr>
            <sz val="11"/>
            <color theme="1"/>
            <rFont val="Calibri"/>
            <family val="2"/>
            <scheme val="minor"/>
          </rPr>
          <t>Seleccione un valor de la lista</t>
        </r>
      </text>
    </comment>
    <comment ref="D721" authorId="1" shapeId="0" xr:uid="{50045A1C-79ED-4468-A87B-CE0AC8B1A179}">
      <text>
        <r>
          <rPr>
            <sz val="11"/>
            <color theme="1"/>
            <rFont val="Calibri"/>
            <family val="2"/>
            <scheme val="minor"/>
          </rPr>
          <t>Introduzca un número con dos decimales como máximo. Debe ser igual o mayor a la "Cantidad Real Consumida"</t>
        </r>
      </text>
    </comment>
    <comment ref="E721" authorId="1" shapeId="0" xr:uid="{D20A6292-D263-4C31-A69B-B4493F8D2313}">
      <text>
        <r>
          <rPr>
            <sz val="11"/>
            <color theme="1"/>
            <rFont val="Calibri"/>
            <family val="2"/>
            <scheme val="minor"/>
          </rPr>
          <t>Introduzca un número con dos decimales como máximo</t>
        </r>
      </text>
    </comment>
    <comment ref="F721" authorId="1" shapeId="0" xr:uid="{DD24B37D-C83C-42FC-8AE4-5940D27E87F1}">
      <text>
        <r>
          <rPr>
            <sz val="11"/>
            <color theme="1"/>
            <rFont val="Calibri"/>
            <family val="2"/>
            <scheme val="minor"/>
          </rPr>
          <t>Monto calculado automáticamente por el sistema</t>
        </r>
      </text>
    </comment>
    <comment ref="A726" authorId="1" shapeId="0" xr:uid="{71E85940-8AC3-46BA-AC0C-45E5A371754B}">
      <text>
        <r>
          <rPr>
            <sz val="11"/>
            <color theme="1"/>
            <rFont val="Calibri"/>
            <family val="2"/>
            <scheme val="minor"/>
          </rPr>
          <t>Introducir un texto con el nombre o referencia de la contratación</t>
        </r>
      </text>
    </comment>
    <comment ref="B726" authorId="1" shapeId="0" xr:uid="{7E6EBBAF-4C87-4E78-A425-A3EFA2203BDE}">
      <text>
        <r>
          <rPr>
            <sz val="11"/>
            <color theme="1"/>
            <rFont val="Calibri"/>
            <family val="2"/>
            <scheme val="minor"/>
          </rPr>
          <t>Introduzca un texto con la finalidad de la contratación</t>
        </r>
      </text>
    </comment>
    <comment ref="C726" authorId="1" shapeId="0" xr:uid="{28F6542A-09D6-411B-A42E-326B6220344A}">
      <text>
        <r>
          <rPr>
            <sz val="11"/>
            <color theme="1"/>
            <rFont val="Calibri"/>
            <family val="2"/>
            <scheme val="minor"/>
          </rPr>
          <t>Seleccionar un valor del listado</t>
        </r>
      </text>
    </comment>
    <comment ref="D726" authorId="1" shapeId="0" xr:uid="{6030B481-8B75-46ED-85C6-9436DC05B20D}">
      <text>
        <r>
          <rPr>
            <sz val="11"/>
            <color theme="1"/>
            <rFont val="Calibri"/>
            <family val="2"/>
            <scheme val="minor"/>
          </rPr>
          <t>Seleccione el tipo de procedimiento</t>
        </r>
      </text>
    </comment>
    <comment ref="E726" authorId="1" shapeId="0" xr:uid="{8BEEF400-4237-4063-B8F6-69E872FFC751}">
      <text>
        <r>
          <rPr>
            <sz val="11"/>
            <color theme="1"/>
            <rFont val="Calibri"/>
            <family val="2"/>
            <scheme val="minor"/>
          </rPr>
          <t>Seleccione un valor de la lista</t>
        </r>
      </text>
    </comment>
    <comment ref="F726" authorId="1" shapeId="0" xr:uid="{5ADC7D64-996B-4646-B6A8-862933D6B26F}">
      <text>
        <r>
          <rPr>
            <sz val="11"/>
            <color theme="1"/>
            <rFont val="Calibri"/>
            <family val="2"/>
            <scheme val="minor"/>
          </rPr>
          <t>Introduzca el código SNIP</t>
        </r>
      </text>
    </comment>
    <comment ref="C727" authorId="1" shapeId="0" xr:uid="{88D4042D-5F1F-418C-9B8E-903E1CD7E3A9}">
      <text>
        <r>
          <rPr>
            <sz val="11"/>
            <color theme="1"/>
            <rFont val="Calibri"/>
            <family val="2"/>
            <scheme val="minor"/>
          </rPr>
          <t>Introduzca la fecha de inicio del proceso, en formato dd-mm-aaaa</t>
        </r>
      </text>
    </comment>
    <comment ref="F727" authorId="1" shapeId="0" xr:uid="{41EF6BDC-4D68-4BF2-8E3B-A13A2DC79A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4679C5AC-D649-4369-9046-BA2E7ECBD3C2}">
      <text/>
    </comment>
    <comment ref="C729" authorId="1" shapeId="0" xr:uid="{BD1CCBE9-40FC-47A0-B063-0C369F99676D}">
      <text>
        <r>
          <rPr>
            <sz val="11"/>
            <color theme="1"/>
            <rFont val="Calibri"/>
            <family val="2"/>
            <scheme val="minor"/>
          </rPr>
          <t>Introduzca la fecha prevista de adjudicación, en formato dd-mm-aaaa</t>
        </r>
      </text>
    </comment>
    <comment ref="F729" authorId="1" shapeId="0" xr:uid="{30ED5B4E-BB23-4D65-B655-209E2769BA52}">
      <text/>
    </comment>
    <comment ref="F730" authorId="1" shapeId="0" xr:uid="{C0A68401-355C-4C2E-8B09-62676CE5EE30}">
      <text/>
    </comment>
    <comment ref="A732" authorId="1" shapeId="0" xr:uid="{457A46A6-8E9A-4A58-A7E7-9FE0A5002EDE}">
      <text>
        <r>
          <rPr>
            <sz val="11"/>
            <color theme="1"/>
            <rFont val="Calibri"/>
            <family val="2"/>
            <scheme val="minor"/>
          </rPr>
          <t>Introduzca un codigo UNSPSC</t>
        </r>
      </text>
    </comment>
    <comment ref="B732" authorId="1" shapeId="0" xr:uid="{F70EBC1C-E2EE-48B6-B01F-CF84235003BB}">
      <text>
        <r>
          <rPr>
            <sz val="11"/>
            <color theme="1"/>
            <rFont val="Calibri"/>
            <family val="2"/>
            <scheme val="minor"/>
          </rPr>
          <t>Descripción calculada automáticamente a partir de código del artículo</t>
        </r>
      </text>
    </comment>
    <comment ref="C732" authorId="1" shapeId="0" xr:uid="{600B95FA-0722-40F6-8817-D938966574B0}">
      <text>
        <r>
          <rPr>
            <sz val="11"/>
            <color theme="1"/>
            <rFont val="Calibri"/>
            <family val="2"/>
            <scheme val="minor"/>
          </rPr>
          <t>Seleccione un valor de la lista</t>
        </r>
      </text>
    </comment>
    <comment ref="D732" authorId="1" shapeId="0" xr:uid="{B532A89A-1BCD-4635-8F79-30B99FC1839C}">
      <text>
        <r>
          <rPr>
            <sz val="11"/>
            <color theme="1"/>
            <rFont val="Calibri"/>
            <family val="2"/>
            <scheme val="minor"/>
          </rPr>
          <t>Introduzca un número con dos decimales como máximo. Debe ser igual o mayor a la "Cantidad Real Consumida"</t>
        </r>
      </text>
    </comment>
    <comment ref="E732" authorId="1" shapeId="0" xr:uid="{6B8BB10F-AA16-49ED-8951-A654A9BB4BA9}">
      <text>
        <r>
          <rPr>
            <sz val="11"/>
            <color theme="1"/>
            <rFont val="Calibri"/>
            <family val="2"/>
            <scheme val="minor"/>
          </rPr>
          <t>Introduzca un número con dos decimales como máximo</t>
        </r>
      </text>
    </comment>
    <comment ref="F732" authorId="1" shapeId="0" xr:uid="{9D000237-6389-427F-8F6F-9229B1766172}">
      <text>
        <r>
          <rPr>
            <sz val="11"/>
            <color theme="1"/>
            <rFont val="Calibri"/>
            <family val="2"/>
            <scheme val="minor"/>
          </rPr>
          <t>Monto calculado automáticamente por el sistema</t>
        </r>
      </text>
    </comment>
    <comment ref="A737" authorId="1" shapeId="0" xr:uid="{F113ACBE-CEDC-426E-AFD3-6D1C2ABE295E}">
      <text>
        <r>
          <rPr>
            <sz val="11"/>
            <color theme="1"/>
            <rFont val="Calibri"/>
            <family val="2"/>
            <scheme val="minor"/>
          </rPr>
          <t>Introducir un texto con el nombre o referencia de la contratación</t>
        </r>
      </text>
    </comment>
    <comment ref="B737" authorId="1" shapeId="0" xr:uid="{8D32C575-0FF5-42EE-BD1F-8204FF2BE582}">
      <text>
        <r>
          <rPr>
            <sz val="11"/>
            <color theme="1"/>
            <rFont val="Calibri"/>
            <family val="2"/>
            <scheme val="minor"/>
          </rPr>
          <t>Introduzca un texto con la finalidad de la contratación</t>
        </r>
      </text>
    </comment>
    <comment ref="C737" authorId="1" shapeId="0" xr:uid="{F76267CF-B8AD-4F30-9C97-E0E9CCB12C41}">
      <text>
        <r>
          <rPr>
            <sz val="11"/>
            <color theme="1"/>
            <rFont val="Calibri"/>
            <family val="2"/>
            <scheme val="minor"/>
          </rPr>
          <t>Seleccionar un valor del listado</t>
        </r>
      </text>
    </comment>
    <comment ref="D737" authorId="1" shapeId="0" xr:uid="{3BFE1149-E400-45BE-967D-8DE2FCD4A3AE}">
      <text>
        <r>
          <rPr>
            <sz val="11"/>
            <color theme="1"/>
            <rFont val="Calibri"/>
            <family val="2"/>
            <scheme val="minor"/>
          </rPr>
          <t>Seleccione el tipo de procedimiento</t>
        </r>
      </text>
    </comment>
    <comment ref="E737" authorId="1" shapeId="0" xr:uid="{574BE8F2-63CF-4837-9BE7-F75EDCEAC276}">
      <text>
        <r>
          <rPr>
            <sz val="11"/>
            <color theme="1"/>
            <rFont val="Calibri"/>
            <family val="2"/>
            <scheme val="minor"/>
          </rPr>
          <t>Seleccione un valor de la lista</t>
        </r>
      </text>
    </comment>
    <comment ref="F737" authorId="1" shapeId="0" xr:uid="{F0C0926C-5994-40DD-ACA3-C57F4365B719}">
      <text>
        <r>
          <rPr>
            <sz val="11"/>
            <color theme="1"/>
            <rFont val="Calibri"/>
            <family val="2"/>
            <scheme val="minor"/>
          </rPr>
          <t>Introduzca el código SNIP</t>
        </r>
      </text>
    </comment>
    <comment ref="C738" authorId="1" shapeId="0" xr:uid="{DCA611BD-24EC-4C66-9483-FE028C0E8DB8}">
      <text>
        <r>
          <rPr>
            <sz val="11"/>
            <color theme="1"/>
            <rFont val="Calibri"/>
            <family val="2"/>
            <scheme val="minor"/>
          </rPr>
          <t>Introduzca la fecha de inicio del proceso, en formato dd-mm-aaaa</t>
        </r>
      </text>
    </comment>
    <comment ref="F738" authorId="1" shapeId="0" xr:uid="{71A147D6-2287-4ED9-BAA2-753A324247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E495EE92-370F-48AA-8ED7-5C77F22B9BD0}">
      <text/>
    </comment>
    <comment ref="C740" authorId="1" shapeId="0" xr:uid="{AF1674AD-B871-4A6A-AF60-28889C0740D9}">
      <text>
        <r>
          <rPr>
            <sz val="11"/>
            <color theme="1"/>
            <rFont val="Calibri"/>
            <family val="2"/>
            <scheme val="minor"/>
          </rPr>
          <t>Introduzca la fecha prevista de adjudicación, en formato dd-mm-aaaa</t>
        </r>
      </text>
    </comment>
    <comment ref="F740" authorId="1" shapeId="0" xr:uid="{CA4F0338-EF01-4F23-8A43-2C55BCCBC25E}">
      <text/>
    </comment>
    <comment ref="F741" authorId="1" shapeId="0" xr:uid="{9680E59B-09EE-48FE-8EC1-9225B1FEE596}">
      <text/>
    </comment>
    <comment ref="A743" authorId="1" shapeId="0" xr:uid="{7B855BCE-D03C-4EDA-A0AD-F7E9C135D26A}">
      <text>
        <r>
          <rPr>
            <sz val="11"/>
            <color theme="1"/>
            <rFont val="Calibri"/>
            <family val="2"/>
            <scheme val="minor"/>
          </rPr>
          <t>Introduzca un codigo UNSPSC</t>
        </r>
      </text>
    </comment>
    <comment ref="B743" authorId="1" shapeId="0" xr:uid="{A6B2528B-9025-4C7B-9D3E-090376676E82}">
      <text>
        <r>
          <rPr>
            <sz val="11"/>
            <color theme="1"/>
            <rFont val="Calibri"/>
            <family val="2"/>
            <scheme val="minor"/>
          </rPr>
          <t>Descripción calculada automáticamente a partir de código del artículo</t>
        </r>
      </text>
    </comment>
    <comment ref="C743" authorId="1" shapeId="0" xr:uid="{F5300CD4-7E93-4B02-BFF7-69D1FD1D6DDC}">
      <text>
        <r>
          <rPr>
            <sz val="11"/>
            <color theme="1"/>
            <rFont val="Calibri"/>
            <family val="2"/>
            <scheme val="minor"/>
          </rPr>
          <t>Seleccione un valor de la lista</t>
        </r>
      </text>
    </comment>
    <comment ref="D743" authorId="1" shapeId="0" xr:uid="{C93E3C95-26B0-4A14-B005-29DF410375B0}">
      <text>
        <r>
          <rPr>
            <sz val="11"/>
            <color theme="1"/>
            <rFont val="Calibri"/>
            <family val="2"/>
            <scheme val="minor"/>
          </rPr>
          <t>Introduzca un número con dos decimales como máximo. Debe ser igual o mayor a la "Cantidad Real Consumida"</t>
        </r>
      </text>
    </comment>
    <comment ref="E743" authorId="1" shapeId="0" xr:uid="{FCF7AD91-99BB-4C73-9BD0-C37E889A8DF4}">
      <text>
        <r>
          <rPr>
            <sz val="11"/>
            <color theme="1"/>
            <rFont val="Calibri"/>
            <family val="2"/>
            <scheme val="minor"/>
          </rPr>
          <t>Introduzca un número con dos decimales como máximo</t>
        </r>
      </text>
    </comment>
    <comment ref="F743" authorId="1" shapeId="0" xr:uid="{85FB1211-F64D-42FE-A410-C7C94757AF87}">
      <text>
        <r>
          <rPr>
            <sz val="11"/>
            <color theme="1"/>
            <rFont val="Calibri"/>
            <family val="2"/>
            <scheme val="minor"/>
          </rPr>
          <t>Monto calculado automáticamente por el sistema</t>
        </r>
      </text>
    </comment>
    <comment ref="A748" authorId="1" shapeId="0" xr:uid="{1C305B2C-B99F-4E0B-89FC-62FA40137D8F}">
      <text>
        <r>
          <rPr>
            <sz val="11"/>
            <color theme="1"/>
            <rFont val="Calibri"/>
            <family val="2"/>
            <scheme val="minor"/>
          </rPr>
          <t>Introducir un texto con el nombre o referencia de la contratación</t>
        </r>
      </text>
    </comment>
    <comment ref="B748" authorId="1" shapeId="0" xr:uid="{CB19F266-AD62-4EEE-893A-535F11039686}">
      <text>
        <r>
          <rPr>
            <sz val="11"/>
            <color theme="1"/>
            <rFont val="Calibri"/>
            <family val="2"/>
            <scheme val="minor"/>
          </rPr>
          <t>Introduzca un texto con la finalidad de la contratación</t>
        </r>
      </text>
    </comment>
    <comment ref="C748" authorId="1" shapeId="0" xr:uid="{8B7B8395-A1B7-49F4-9A88-9C6FB80D6274}">
      <text>
        <r>
          <rPr>
            <sz val="11"/>
            <color theme="1"/>
            <rFont val="Calibri"/>
            <family val="2"/>
            <scheme val="minor"/>
          </rPr>
          <t>Seleccionar un valor del listado</t>
        </r>
      </text>
    </comment>
    <comment ref="D748" authorId="1" shapeId="0" xr:uid="{C1DFF81F-80EA-45AD-B9E5-8B4943A1077B}">
      <text>
        <r>
          <rPr>
            <sz val="11"/>
            <color theme="1"/>
            <rFont val="Calibri"/>
            <family val="2"/>
            <scheme val="minor"/>
          </rPr>
          <t>Seleccione el tipo de procedimiento</t>
        </r>
      </text>
    </comment>
    <comment ref="E748" authorId="1" shapeId="0" xr:uid="{1847ACCB-449D-4610-B763-32599E0D49FE}">
      <text>
        <r>
          <rPr>
            <sz val="11"/>
            <color theme="1"/>
            <rFont val="Calibri"/>
            <family val="2"/>
            <scheme val="minor"/>
          </rPr>
          <t>Seleccione un valor de la lista</t>
        </r>
      </text>
    </comment>
    <comment ref="F748" authorId="1" shapeId="0" xr:uid="{B3D63550-248E-4385-ABA1-5000FDBF8316}">
      <text>
        <r>
          <rPr>
            <sz val="11"/>
            <color theme="1"/>
            <rFont val="Calibri"/>
            <family val="2"/>
            <scheme val="minor"/>
          </rPr>
          <t>Introduzca el código SNIP</t>
        </r>
      </text>
    </comment>
    <comment ref="C749" authorId="1" shapeId="0" xr:uid="{0FBC9714-DCD2-4CA4-A7BB-8FA7E38DF1B3}">
      <text>
        <r>
          <rPr>
            <sz val="11"/>
            <color theme="1"/>
            <rFont val="Calibri"/>
            <family val="2"/>
            <scheme val="minor"/>
          </rPr>
          <t>Introduzca la fecha de inicio del proceso, en formato dd-mm-aaaa</t>
        </r>
      </text>
    </comment>
    <comment ref="F749" authorId="1" shapeId="0" xr:uid="{AF0AF67F-9A29-4084-9F6D-5E502ADF98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xr:uid="{CB9536FF-90BB-4B8D-A06F-13657DC126AD}">
      <text/>
    </comment>
    <comment ref="C751" authorId="1" shapeId="0" xr:uid="{3DB9EE9A-9C95-4791-919A-24EC867661E1}">
      <text>
        <r>
          <rPr>
            <sz val="11"/>
            <color theme="1"/>
            <rFont val="Calibri"/>
            <family val="2"/>
            <scheme val="minor"/>
          </rPr>
          <t>Introduzca la fecha prevista de adjudicación, en formato dd-mm-aaaa</t>
        </r>
      </text>
    </comment>
    <comment ref="F751" authorId="1" shapeId="0" xr:uid="{D1318F76-0C06-4239-B0BE-41DAB1C013ED}">
      <text/>
    </comment>
    <comment ref="F752" authorId="1" shapeId="0" xr:uid="{767625A2-30CF-4E74-B721-6CD63FDB9DBE}">
      <text/>
    </comment>
    <comment ref="A754" authorId="1" shapeId="0" xr:uid="{10D81266-A264-444B-8CD4-87B33B8A068C}">
      <text>
        <r>
          <rPr>
            <sz val="11"/>
            <color theme="1"/>
            <rFont val="Calibri"/>
            <family val="2"/>
            <scheme val="minor"/>
          </rPr>
          <t>Introduzca un codigo UNSPSC</t>
        </r>
      </text>
    </comment>
    <comment ref="B754" authorId="1" shapeId="0" xr:uid="{DD0B90B0-A88A-4FF5-9498-679855AB1451}">
      <text>
        <r>
          <rPr>
            <sz val="11"/>
            <color theme="1"/>
            <rFont val="Calibri"/>
            <family val="2"/>
            <scheme val="minor"/>
          </rPr>
          <t>Descripción calculada automáticamente a partir de código del artículo</t>
        </r>
      </text>
    </comment>
    <comment ref="C754" authorId="1" shapeId="0" xr:uid="{C5BBF1FD-27B7-4437-B09E-B3086DC475B9}">
      <text>
        <r>
          <rPr>
            <sz val="11"/>
            <color theme="1"/>
            <rFont val="Calibri"/>
            <family val="2"/>
            <scheme val="minor"/>
          </rPr>
          <t>Seleccione un valor de la lista</t>
        </r>
      </text>
    </comment>
    <comment ref="D754" authorId="1" shapeId="0" xr:uid="{B3E03CF4-9B56-43C2-94BF-193F6B23824E}">
      <text>
        <r>
          <rPr>
            <sz val="11"/>
            <color theme="1"/>
            <rFont val="Calibri"/>
            <family val="2"/>
            <scheme val="minor"/>
          </rPr>
          <t>Introduzca un número con dos decimales como máximo. Debe ser igual o mayor a la "Cantidad Real Consumida"</t>
        </r>
      </text>
    </comment>
    <comment ref="E754" authorId="1" shapeId="0" xr:uid="{E2BE0464-7463-440B-8E02-97790C4E81BA}">
      <text>
        <r>
          <rPr>
            <sz val="11"/>
            <color theme="1"/>
            <rFont val="Calibri"/>
            <family val="2"/>
            <scheme val="minor"/>
          </rPr>
          <t>Introduzca un número con dos decimales como máximo</t>
        </r>
      </text>
    </comment>
    <comment ref="F754" authorId="1" shapeId="0" xr:uid="{8782C585-E705-48C7-8276-F8DA45CE74A1}">
      <text>
        <r>
          <rPr>
            <sz val="11"/>
            <color theme="1"/>
            <rFont val="Calibri"/>
            <family val="2"/>
            <scheme val="minor"/>
          </rPr>
          <t>Monto calculado automáticamente por el sistema</t>
        </r>
      </text>
    </comment>
    <comment ref="A760" authorId="1" shapeId="0" xr:uid="{FE8AFE09-CE9B-48EA-8717-B545F3DD0CFE}">
      <text>
        <r>
          <rPr>
            <sz val="11"/>
            <color theme="1"/>
            <rFont val="Calibri"/>
            <family val="2"/>
            <scheme val="minor"/>
          </rPr>
          <t>Introducir un texto con el nombre o referencia de la contratación</t>
        </r>
      </text>
    </comment>
    <comment ref="B760" authorId="1" shapeId="0" xr:uid="{D65246B3-F92D-413A-BA41-77E71628D6EE}">
      <text>
        <r>
          <rPr>
            <sz val="11"/>
            <color theme="1"/>
            <rFont val="Calibri"/>
            <family val="2"/>
            <scheme val="minor"/>
          </rPr>
          <t>Introduzca un texto con la finalidad de la contratación</t>
        </r>
      </text>
    </comment>
    <comment ref="C760" authorId="1" shapeId="0" xr:uid="{19E72267-15FE-4444-9FE0-C394188D5A8C}">
      <text>
        <r>
          <rPr>
            <sz val="11"/>
            <color theme="1"/>
            <rFont val="Calibri"/>
            <family val="2"/>
            <scheme val="minor"/>
          </rPr>
          <t>Seleccionar un valor del listado</t>
        </r>
      </text>
    </comment>
    <comment ref="D760" authorId="1" shapeId="0" xr:uid="{B59C2FD1-F86B-42FB-BF97-634F76EF2ADA}">
      <text>
        <r>
          <rPr>
            <sz val="11"/>
            <color theme="1"/>
            <rFont val="Calibri"/>
            <family val="2"/>
            <scheme val="minor"/>
          </rPr>
          <t>Seleccione el tipo de procedimiento</t>
        </r>
      </text>
    </comment>
    <comment ref="E760" authorId="1" shapeId="0" xr:uid="{2C768561-4131-4AAA-AF30-44AEC6EB3542}">
      <text>
        <r>
          <rPr>
            <sz val="11"/>
            <color theme="1"/>
            <rFont val="Calibri"/>
            <family val="2"/>
            <scheme val="minor"/>
          </rPr>
          <t>Seleccione un valor de la lista</t>
        </r>
      </text>
    </comment>
    <comment ref="F760" authorId="1" shapeId="0" xr:uid="{A7281FD2-5631-44F9-850E-0DA5967A587D}">
      <text>
        <r>
          <rPr>
            <sz val="11"/>
            <color theme="1"/>
            <rFont val="Calibri"/>
            <family val="2"/>
            <scheme val="minor"/>
          </rPr>
          <t>Introduzca el código SNIP</t>
        </r>
      </text>
    </comment>
    <comment ref="C761" authorId="1" shapeId="0" xr:uid="{58BA67FB-59D9-4ED9-9EF0-E0FAB662E5D4}">
      <text>
        <r>
          <rPr>
            <sz val="11"/>
            <color theme="1"/>
            <rFont val="Calibri"/>
            <family val="2"/>
            <scheme val="minor"/>
          </rPr>
          <t>Introduzca la fecha de inicio del proceso, en formato dd-mm-aaaa</t>
        </r>
      </text>
    </comment>
    <comment ref="F761" authorId="1" shapeId="0" xr:uid="{70E111DF-0ECC-4207-A43F-6A04B26E36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1" shapeId="0" xr:uid="{F936CCEE-3124-4714-9825-FEB523EB5155}">
      <text/>
    </comment>
    <comment ref="C763" authorId="1" shapeId="0" xr:uid="{87004AA1-0DC3-4099-BDE4-AEA5B65E87A5}">
      <text>
        <r>
          <rPr>
            <sz val="11"/>
            <color theme="1"/>
            <rFont val="Calibri"/>
            <family val="2"/>
            <scheme val="minor"/>
          </rPr>
          <t>Introduzca la fecha prevista de adjudicación, en formato dd-mm-aaaa</t>
        </r>
      </text>
    </comment>
    <comment ref="F763" authorId="1" shapeId="0" xr:uid="{810B279D-F710-4505-8A58-AFE2C0BC94E3}">
      <text/>
    </comment>
    <comment ref="F764" authorId="1" shapeId="0" xr:uid="{9C289265-5543-4C8C-A479-448150E84342}">
      <text/>
    </comment>
    <comment ref="A766" authorId="1" shapeId="0" xr:uid="{8632D4F0-8599-4B3B-A408-66032AB7862B}">
      <text>
        <r>
          <rPr>
            <sz val="11"/>
            <color theme="1"/>
            <rFont val="Calibri"/>
            <family val="2"/>
            <scheme val="minor"/>
          </rPr>
          <t>Introduzca un codigo UNSPSC</t>
        </r>
      </text>
    </comment>
    <comment ref="B766" authorId="1" shapeId="0" xr:uid="{57BC1834-4495-4379-952E-571356D7F9DE}">
      <text>
        <r>
          <rPr>
            <sz val="11"/>
            <color theme="1"/>
            <rFont val="Calibri"/>
            <family val="2"/>
            <scheme val="minor"/>
          </rPr>
          <t>Descripción calculada automáticamente a partir de código del artículo</t>
        </r>
      </text>
    </comment>
    <comment ref="C766" authorId="1" shapeId="0" xr:uid="{4CADFD38-46FC-41B9-89CA-D2E77FBC8CE5}">
      <text>
        <r>
          <rPr>
            <sz val="11"/>
            <color theme="1"/>
            <rFont val="Calibri"/>
            <family val="2"/>
            <scheme val="minor"/>
          </rPr>
          <t>Seleccione un valor de la lista</t>
        </r>
      </text>
    </comment>
    <comment ref="D766" authorId="1" shapeId="0" xr:uid="{3882B30E-6DC9-40A1-B031-2CC1E94C81BF}">
      <text>
        <r>
          <rPr>
            <sz val="11"/>
            <color theme="1"/>
            <rFont val="Calibri"/>
            <family val="2"/>
            <scheme val="minor"/>
          </rPr>
          <t>Introduzca un número con dos decimales como máximo. Debe ser igual o mayor a la "Cantidad Real Consumida"</t>
        </r>
      </text>
    </comment>
    <comment ref="E766" authorId="1" shapeId="0" xr:uid="{7EA459DE-D0AB-40A4-A9A5-05555872DA9F}">
      <text>
        <r>
          <rPr>
            <sz val="11"/>
            <color theme="1"/>
            <rFont val="Calibri"/>
            <family val="2"/>
            <scheme val="minor"/>
          </rPr>
          <t>Introduzca un número con dos decimales como máximo</t>
        </r>
      </text>
    </comment>
    <comment ref="F766" authorId="1" shapeId="0" xr:uid="{F7A3E9F9-65A6-4C0A-B0A7-CEDC54818488}">
      <text>
        <r>
          <rPr>
            <sz val="11"/>
            <color theme="1"/>
            <rFont val="Calibri"/>
            <family val="2"/>
            <scheme val="minor"/>
          </rPr>
          <t>Monto calculado automáticamente por el sistema</t>
        </r>
      </text>
    </comment>
    <comment ref="A771" authorId="1" shapeId="0" xr:uid="{BC81A7CB-E84B-4692-BBE7-2576A2A2F3CF}">
      <text>
        <r>
          <rPr>
            <sz val="11"/>
            <color theme="1"/>
            <rFont val="Calibri"/>
            <family val="2"/>
            <scheme val="minor"/>
          </rPr>
          <t>Introducir un texto con el nombre o referencia de la contratación</t>
        </r>
      </text>
    </comment>
    <comment ref="B771" authorId="1" shapeId="0" xr:uid="{F1D70A26-4F02-4BCE-8975-1BEA95E25777}">
      <text>
        <r>
          <rPr>
            <sz val="11"/>
            <color theme="1"/>
            <rFont val="Calibri"/>
            <family val="2"/>
            <scheme val="minor"/>
          </rPr>
          <t>Introduzca un texto con la finalidad de la contratación</t>
        </r>
      </text>
    </comment>
    <comment ref="C771" authorId="1" shapeId="0" xr:uid="{7198AA99-5200-4498-B419-3C4BF49A79EB}">
      <text>
        <r>
          <rPr>
            <sz val="11"/>
            <color theme="1"/>
            <rFont val="Calibri"/>
            <family val="2"/>
            <scheme val="minor"/>
          </rPr>
          <t>Seleccionar un valor del listado</t>
        </r>
      </text>
    </comment>
    <comment ref="D771" authorId="1" shapeId="0" xr:uid="{6ACB44E7-C203-413A-B32C-C1E22F0A95F6}">
      <text>
        <r>
          <rPr>
            <sz val="11"/>
            <color theme="1"/>
            <rFont val="Calibri"/>
            <family val="2"/>
            <scheme val="minor"/>
          </rPr>
          <t>Seleccione el tipo de procedimiento</t>
        </r>
      </text>
    </comment>
    <comment ref="E771" authorId="1" shapeId="0" xr:uid="{0509CCCB-763E-492E-8A80-81BA305BDB0B}">
      <text>
        <r>
          <rPr>
            <sz val="11"/>
            <color theme="1"/>
            <rFont val="Calibri"/>
            <family val="2"/>
            <scheme val="minor"/>
          </rPr>
          <t>Seleccione un valor de la lista</t>
        </r>
      </text>
    </comment>
    <comment ref="F771" authorId="1" shapeId="0" xr:uid="{AE81C6BC-6442-4797-BEAA-F9FC97F9035C}">
      <text>
        <r>
          <rPr>
            <sz val="11"/>
            <color theme="1"/>
            <rFont val="Calibri"/>
            <family val="2"/>
            <scheme val="minor"/>
          </rPr>
          <t>Introduzca el código SNIP</t>
        </r>
      </text>
    </comment>
    <comment ref="C772" authorId="1" shapeId="0" xr:uid="{ABA366D8-CD79-42FF-A880-0F5E19385C07}">
      <text>
        <r>
          <rPr>
            <sz val="11"/>
            <color theme="1"/>
            <rFont val="Calibri"/>
            <family val="2"/>
            <scheme val="minor"/>
          </rPr>
          <t>Introduzca la fecha de inicio del proceso, en formato dd-mm-aaaa</t>
        </r>
      </text>
    </comment>
    <comment ref="F772" authorId="1" shapeId="0" xr:uid="{1E6B4C24-2E8D-4064-8CFF-4D9202C702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xr:uid="{361CB15A-929F-425D-8C20-1CE5373DD7B8}">
      <text/>
    </comment>
    <comment ref="C774" authorId="1" shapeId="0" xr:uid="{F9E370F9-BAC9-4927-AC94-099EDCB5E99B}">
      <text>
        <r>
          <rPr>
            <sz val="11"/>
            <color theme="1"/>
            <rFont val="Calibri"/>
            <family val="2"/>
            <scheme val="minor"/>
          </rPr>
          <t>Introduzca la fecha prevista de adjudicación, en formato dd-mm-aaaa</t>
        </r>
      </text>
    </comment>
    <comment ref="F774" authorId="1" shapeId="0" xr:uid="{89E3FB6D-E151-46C4-9081-0BA804F6C6FE}">
      <text/>
    </comment>
    <comment ref="F775" authorId="1" shapeId="0" xr:uid="{F0264AD0-5256-459E-95CC-05E4CD12F51F}">
      <text/>
    </comment>
    <comment ref="A777" authorId="1" shapeId="0" xr:uid="{9B5CC45A-3E9C-4B69-805C-2B70DDAEBC4B}">
      <text>
        <r>
          <rPr>
            <sz val="11"/>
            <color theme="1"/>
            <rFont val="Calibri"/>
            <family val="2"/>
            <scheme val="minor"/>
          </rPr>
          <t>Introduzca un codigo UNSPSC</t>
        </r>
      </text>
    </comment>
    <comment ref="B777" authorId="1" shapeId="0" xr:uid="{68591104-27B5-4A2A-A28F-3CF6E3014CB3}">
      <text>
        <r>
          <rPr>
            <sz val="11"/>
            <color theme="1"/>
            <rFont val="Calibri"/>
            <family val="2"/>
            <scheme val="minor"/>
          </rPr>
          <t>Descripción calculada automáticamente a partir de código del artículo</t>
        </r>
      </text>
    </comment>
    <comment ref="C777" authorId="1" shapeId="0" xr:uid="{B3D4CF89-2880-4AB4-94C1-0EB5F3F9077E}">
      <text>
        <r>
          <rPr>
            <sz val="11"/>
            <color theme="1"/>
            <rFont val="Calibri"/>
            <family val="2"/>
            <scheme val="minor"/>
          </rPr>
          <t>Seleccione un valor de la lista</t>
        </r>
      </text>
    </comment>
    <comment ref="D777" authorId="1" shapeId="0" xr:uid="{021016FC-0D60-4B49-BC8F-E433D1A9F77D}">
      <text>
        <r>
          <rPr>
            <sz val="11"/>
            <color theme="1"/>
            <rFont val="Calibri"/>
            <family val="2"/>
            <scheme val="minor"/>
          </rPr>
          <t>Introduzca un número con dos decimales como máximo. Debe ser igual o mayor a la "Cantidad Real Consumida"</t>
        </r>
      </text>
    </comment>
    <comment ref="E777" authorId="1" shapeId="0" xr:uid="{E8400202-7CA7-4846-9808-94B0C87F1B0C}">
      <text>
        <r>
          <rPr>
            <sz val="11"/>
            <color theme="1"/>
            <rFont val="Calibri"/>
            <family val="2"/>
            <scheme val="minor"/>
          </rPr>
          <t>Introduzca un número con dos decimales como máximo</t>
        </r>
      </text>
    </comment>
    <comment ref="F777" authorId="1" shapeId="0" xr:uid="{5C9D1C53-8704-4E1C-8323-C7C211A9057A}">
      <text>
        <r>
          <rPr>
            <sz val="11"/>
            <color theme="1"/>
            <rFont val="Calibri"/>
            <family val="2"/>
            <scheme val="minor"/>
          </rPr>
          <t>Monto calculado automáticamente por el sistema</t>
        </r>
      </text>
    </comment>
    <comment ref="A782" authorId="1" shapeId="0" xr:uid="{D84170D3-C991-41F3-B5DD-07389A2A51E5}">
      <text>
        <r>
          <rPr>
            <sz val="11"/>
            <color theme="1"/>
            <rFont val="Calibri"/>
            <family val="2"/>
            <scheme val="minor"/>
          </rPr>
          <t>Introducir un texto con el nombre o referencia de la contratación</t>
        </r>
      </text>
    </comment>
    <comment ref="B782" authorId="1" shapeId="0" xr:uid="{0BA9B535-93AD-43DC-8F18-D08513257D1F}">
      <text>
        <r>
          <rPr>
            <sz val="11"/>
            <color theme="1"/>
            <rFont val="Calibri"/>
            <family val="2"/>
            <scheme val="minor"/>
          </rPr>
          <t>Introduzca un texto con la finalidad de la contratación</t>
        </r>
      </text>
    </comment>
    <comment ref="C782" authorId="1" shapeId="0" xr:uid="{738C25AB-BCCB-47D3-8EA6-269C8DE8F822}">
      <text>
        <r>
          <rPr>
            <sz val="11"/>
            <color theme="1"/>
            <rFont val="Calibri"/>
            <family val="2"/>
            <scheme val="minor"/>
          </rPr>
          <t>Seleccionar un valor del listado</t>
        </r>
      </text>
    </comment>
    <comment ref="D782" authorId="1" shapeId="0" xr:uid="{9D1EE2F4-7D6C-4792-8B0A-216E01824BF4}">
      <text>
        <r>
          <rPr>
            <sz val="11"/>
            <color theme="1"/>
            <rFont val="Calibri"/>
            <family val="2"/>
            <scheme val="minor"/>
          </rPr>
          <t>Seleccione el tipo de procedimiento</t>
        </r>
      </text>
    </comment>
    <comment ref="E782" authorId="1" shapeId="0" xr:uid="{B292C926-D059-4A8A-8DD7-C4D62C6197D5}">
      <text>
        <r>
          <rPr>
            <sz val="11"/>
            <color theme="1"/>
            <rFont val="Calibri"/>
            <family val="2"/>
            <scheme val="minor"/>
          </rPr>
          <t>Seleccione un valor de la lista</t>
        </r>
      </text>
    </comment>
    <comment ref="F782" authorId="1" shapeId="0" xr:uid="{DA3A71AE-771E-465B-B38E-B106ED4FDB13}">
      <text>
        <r>
          <rPr>
            <sz val="11"/>
            <color theme="1"/>
            <rFont val="Calibri"/>
            <family val="2"/>
            <scheme val="minor"/>
          </rPr>
          <t>Introduzca el código SNIP</t>
        </r>
      </text>
    </comment>
    <comment ref="C783" authorId="1" shapeId="0" xr:uid="{93BDAA22-A817-479F-9EC4-FA18F0BABB75}">
      <text>
        <r>
          <rPr>
            <sz val="11"/>
            <color theme="1"/>
            <rFont val="Calibri"/>
            <family val="2"/>
            <scheme val="minor"/>
          </rPr>
          <t>Introduzca la fecha de inicio del proceso, en formato dd-mm-aaaa</t>
        </r>
      </text>
    </comment>
    <comment ref="F783" authorId="1" shapeId="0" xr:uid="{BDC3D5E7-0246-4B60-81DF-3A88896B58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1" shapeId="0" xr:uid="{44DEE6EC-20C8-486C-81F6-2432FA98C36D}">
      <text/>
    </comment>
    <comment ref="C785" authorId="1" shapeId="0" xr:uid="{C9C5C8E1-CAB6-4924-9B79-C87D9D8CAD96}">
      <text>
        <r>
          <rPr>
            <sz val="11"/>
            <color theme="1"/>
            <rFont val="Calibri"/>
            <family val="2"/>
            <scheme val="minor"/>
          </rPr>
          <t>Introduzca la fecha prevista de adjudicación, en formato dd-mm-aaaa</t>
        </r>
      </text>
    </comment>
    <comment ref="F785" authorId="1" shapeId="0" xr:uid="{313E5E49-25F9-40DA-86EC-E435B344B45A}">
      <text/>
    </comment>
    <comment ref="F786" authorId="1" shapeId="0" xr:uid="{6496874A-B021-42A1-8C24-259AAED3B871}">
      <text/>
    </comment>
    <comment ref="A788" authorId="1" shapeId="0" xr:uid="{9D4C4FE1-5AB7-4D1C-B770-4E4EA2AF3BB3}">
      <text>
        <r>
          <rPr>
            <sz val="11"/>
            <color theme="1"/>
            <rFont val="Calibri"/>
            <family val="2"/>
            <scheme val="minor"/>
          </rPr>
          <t>Introduzca un codigo UNSPSC</t>
        </r>
      </text>
    </comment>
    <comment ref="B788" authorId="1" shapeId="0" xr:uid="{D6CBDCBE-4E9E-49AB-A1B7-989D74251CDB}">
      <text>
        <r>
          <rPr>
            <sz val="11"/>
            <color theme="1"/>
            <rFont val="Calibri"/>
            <family val="2"/>
            <scheme val="minor"/>
          </rPr>
          <t>Descripción calculada automáticamente a partir de código del artículo</t>
        </r>
      </text>
    </comment>
    <comment ref="C788" authorId="1" shapeId="0" xr:uid="{8D68E218-47A5-4450-B07B-4924FEA34C9A}">
      <text>
        <r>
          <rPr>
            <sz val="11"/>
            <color theme="1"/>
            <rFont val="Calibri"/>
            <family val="2"/>
            <scheme val="minor"/>
          </rPr>
          <t>Seleccione un valor de la lista</t>
        </r>
      </text>
    </comment>
    <comment ref="D788" authorId="1" shapeId="0" xr:uid="{8D5C5F68-DEFE-4AE5-9C9B-2CA1632D5943}">
      <text>
        <r>
          <rPr>
            <sz val="11"/>
            <color theme="1"/>
            <rFont val="Calibri"/>
            <family val="2"/>
            <scheme val="minor"/>
          </rPr>
          <t>Introduzca un número con dos decimales como máximo. Debe ser igual o mayor a la "Cantidad Real Consumida"</t>
        </r>
      </text>
    </comment>
    <comment ref="E788" authorId="1" shapeId="0" xr:uid="{3D643C17-25B5-4AF8-B6A1-CED89C4F724F}">
      <text>
        <r>
          <rPr>
            <sz val="11"/>
            <color theme="1"/>
            <rFont val="Calibri"/>
            <family val="2"/>
            <scheme val="minor"/>
          </rPr>
          <t>Introduzca un número con dos decimales como máximo</t>
        </r>
      </text>
    </comment>
    <comment ref="F788" authorId="1" shapeId="0" xr:uid="{179B17B7-F3D5-461E-A42C-C83B0AE9B91D}">
      <text>
        <r>
          <rPr>
            <sz val="11"/>
            <color theme="1"/>
            <rFont val="Calibri"/>
            <family val="2"/>
            <scheme val="minor"/>
          </rPr>
          <t>Monto calculado automáticamente por el sistema</t>
        </r>
      </text>
    </comment>
    <comment ref="A793" authorId="1" shapeId="0" xr:uid="{BF584387-B360-4E5A-BAAC-D9EE81156A3B}">
      <text>
        <r>
          <rPr>
            <sz val="11"/>
            <color theme="1"/>
            <rFont val="Calibri"/>
            <family val="2"/>
            <scheme val="minor"/>
          </rPr>
          <t>Introducir un texto con el nombre o referencia de la contratación</t>
        </r>
      </text>
    </comment>
    <comment ref="B793" authorId="1" shapeId="0" xr:uid="{F910E7A6-3924-458D-B401-4384421AEED2}">
      <text>
        <r>
          <rPr>
            <sz val="11"/>
            <color theme="1"/>
            <rFont val="Calibri"/>
            <family val="2"/>
            <scheme val="minor"/>
          </rPr>
          <t>Introduzca un texto con la finalidad de la contratación</t>
        </r>
      </text>
    </comment>
    <comment ref="C793" authorId="1" shapeId="0" xr:uid="{A129B255-785C-44AE-9EC7-8827832DF361}">
      <text>
        <r>
          <rPr>
            <sz val="11"/>
            <color theme="1"/>
            <rFont val="Calibri"/>
            <family val="2"/>
            <scheme val="minor"/>
          </rPr>
          <t>Seleccionar un valor del listado</t>
        </r>
      </text>
    </comment>
    <comment ref="D793" authorId="1" shapeId="0" xr:uid="{739C3E34-D1DE-42A3-A185-4B5B8B4D0645}">
      <text>
        <r>
          <rPr>
            <sz val="11"/>
            <color theme="1"/>
            <rFont val="Calibri"/>
            <family val="2"/>
            <scheme val="minor"/>
          </rPr>
          <t>Seleccione el tipo de procedimiento</t>
        </r>
      </text>
    </comment>
    <comment ref="E793" authorId="1" shapeId="0" xr:uid="{5D886839-E0D6-4DCE-8408-D33C4A23CFFD}">
      <text>
        <r>
          <rPr>
            <sz val="11"/>
            <color theme="1"/>
            <rFont val="Calibri"/>
            <family val="2"/>
            <scheme val="minor"/>
          </rPr>
          <t>Seleccione un valor de la lista</t>
        </r>
      </text>
    </comment>
    <comment ref="F793" authorId="1" shapeId="0" xr:uid="{88C076B1-0B32-451B-90EF-BFB2D50E8849}">
      <text>
        <r>
          <rPr>
            <sz val="11"/>
            <color theme="1"/>
            <rFont val="Calibri"/>
            <family val="2"/>
            <scheme val="minor"/>
          </rPr>
          <t>Introduzca el código SNIP</t>
        </r>
      </text>
    </comment>
    <comment ref="C794" authorId="1" shapeId="0" xr:uid="{30E5244F-8FBC-4FEB-8BCF-8CAD76E682A1}">
      <text>
        <r>
          <rPr>
            <sz val="11"/>
            <color theme="1"/>
            <rFont val="Calibri"/>
            <family val="2"/>
            <scheme val="minor"/>
          </rPr>
          <t>Introduzca la fecha de inicio del proceso, en formato dd-mm-aaaa</t>
        </r>
      </text>
    </comment>
    <comment ref="F794" authorId="1" shapeId="0" xr:uid="{886F75B1-FE17-46E6-9993-C88EB49762D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1" shapeId="0" xr:uid="{D5F76F62-8026-446A-9428-4FC0F70CC1F1}">
      <text/>
    </comment>
    <comment ref="C796" authorId="1" shapeId="0" xr:uid="{8399FA66-23A0-4C3A-B17C-FC52C7C4B98A}">
      <text>
        <r>
          <rPr>
            <sz val="11"/>
            <color theme="1"/>
            <rFont val="Calibri"/>
            <family val="2"/>
            <scheme val="minor"/>
          </rPr>
          <t>Introduzca la fecha prevista de adjudicación, en formato dd-mm-aaaa</t>
        </r>
      </text>
    </comment>
    <comment ref="F796" authorId="1" shapeId="0" xr:uid="{FFA847F5-D5F2-4B30-BEA7-39C654CC526B}">
      <text/>
    </comment>
    <comment ref="F797" authorId="1" shapeId="0" xr:uid="{CFB16360-5E44-46A7-B313-92A023ED61DE}">
      <text/>
    </comment>
    <comment ref="A799" authorId="1" shapeId="0" xr:uid="{7DF2BEEA-1926-473E-BA2C-58686CD1C662}">
      <text>
        <r>
          <rPr>
            <sz val="11"/>
            <color theme="1"/>
            <rFont val="Calibri"/>
            <family val="2"/>
            <scheme val="minor"/>
          </rPr>
          <t>Introduzca un codigo UNSPSC</t>
        </r>
      </text>
    </comment>
    <comment ref="B799" authorId="1" shapeId="0" xr:uid="{E0515FFD-7DC4-4BC5-AF86-A61E66550ABC}">
      <text>
        <r>
          <rPr>
            <sz val="11"/>
            <color theme="1"/>
            <rFont val="Calibri"/>
            <family val="2"/>
            <scheme val="minor"/>
          </rPr>
          <t>Descripción calculada automáticamente a partir de código del artículo</t>
        </r>
      </text>
    </comment>
    <comment ref="C799" authorId="1" shapeId="0" xr:uid="{E5E22320-641C-4AD4-A393-E8E422649080}">
      <text>
        <r>
          <rPr>
            <sz val="11"/>
            <color theme="1"/>
            <rFont val="Calibri"/>
            <family val="2"/>
            <scheme val="minor"/>
          </rPr>
          <t>Seleccione un valor de la lista</t>
        </r>
      </text>
    </comment>
    <comment ref="D799" authorId="1" shapeId="0" xr:uid="{6CF764AE-9C74-430F-9396-35A1E9C1DFD4}">
      <text>
        <r>
          <rPr>
            <sz val="11"/>
            <color theme="1"/>
            <rFont val="Calibri"/>
            <family val="2"/>
            <scheme val="minor"/>
          </rPr>
          <t>Introduzca un número con dos decimales como máximo. Debe ser igual o mayor a la "Cantidad Real Consumida"</t>
        </r>
      </text>
    </comment>
    <comment ref="E799" authorId="1" shapeId="0" xr:uid="{34999CDF-073B-4CF1-B888-BB6080AE63DC}">
      <text>
        <r>
          <rPr>
            <sz val="11"/>
            <color theme="1"/>
            <rFont val="Calibri"/>
            <family val="2"/>
            <scheme val="minor"/>
          </rPr>
          <t>Introduzca un número con dos decimales como máximo</t>
        </r>
      </text>
    </comment>
    <comment ref="F799" authorId="1" shapeId="0" xr:uid="{5D24CF05-8975-490F-BB4A-E727E1F3A904}">
      <text>
        <r>
          <rPr>
            <sz val="11"/>
            <color theme="1"/>
            <rFont val="Calibri"/>
            <family val="2"/>
            <scheme val="minor"/>
          </rPr>
          <t>Monto calculado automáticamente por el sistema</t>
        </r>
      </text>
    </comment>
    <comment ref="A804" authorId="1" shapeId="0" xr:uid="{B782D307-4DCD-4EEF-A865-597BBA85847C}">
      <text>
        <r>
          <rPr>
            <sz val="11"/>
            <color theme="1"/>
            <rFont val="Calibri"/>
            <family val="2"/>
            <scheme val="minor"/>
          </rPr>
          <t>Introducir un texto con el nombre o referencia de la contratación</t>
        </r>
      </text>
    </comment>
    <comment ref="B804" authorId="1" shapeId="0" xr:uid="{D2C889E1-3522-411D-A17F-D3A85F0D9544}">
      <text>
        <r>
          <rPr>
            <sz val="11"/>
            <color theme="1"/>
            <rFont val="Calibri"/>
            <family val="2"/>
            <scheme val="minor"/>
          </rPr>
          <t>Introduzca un texto con la finalidad de la contratación</t>
        </r>
      </text>
    </comment>
    <comment ref="C804" authorId="1" shapeId="0" xr:uid="{26C2795A-68E4-414B-A29B-72405CB8342B}">
      <text>
        <r>
          <rPr>
            <sz val="11"/>
            <color theme="1"/>
            <rFont val="Calibri"/>
            <family val="2"/>
            <scheme val="minor"/>
          </rPr>
          <t>Seleccionar un valor del listado</t>
        </r>
      </text>
    </comment>
    <comment ref="D804" authorId="1" shapeId="0" xr:uid="{9F6D4AFB-3B45-4CA8-8FAD-C46339B1044D}">
      <text>
        <r>
          <rPr>
            <sz val="11"/>
            <color theme="1"/>
            <rFont val="Calibri"/>
            <family val="2"/>
            <scheme val="minor"/>
          </rPr>
          <t>Seleccione el tipo de procedimiento</t>
        </r>
      </text>
    </comment>
    <comment ref="E804" authorId="1" shapeId="0" xr:uid="{D5FB744E-C1B8-4D49-94D7-92A3AF5F1263}">
      <text>
        <r>
          <rPr>
            <sz val="11"/>
            <color theme="1"/>
            <rFont val="Calibri"/>
            <family val="2"/>
            <scheme val="minor"/>
          </rPr>
          <t>Seleccione un valor de la lista</t>
        </r>
      </text>
    </comment>
    <comment ref="F804" authorId="1" shapeId="0" xr:uid="{B4A494D3-3D5B-4BEE-A0A3-068A024E243B}">
      <text>
        <r>
          <rPr>
            <sz val="11"/>
            <color theme="1"/>
            <rFont val="Calibri"/>
            <family val="2"/>
            <scheme val="minor"/>
          </rPr>
          <t>Introduzca el código SNIP</t>
        </r>
      </text>
    </comment>
    <comment ref="C805" authorId="1" shapeId="0" xr:uid="{3062F645-6D39-4713-8FB9-19D5BEA55F23}">
      <text>
        <r>
          <rPr>
            <sz val="11"/>
            <color theme="1"/>
            <rFont val="Calibri"/>
            <family val="2"/>
            <scheme val="minor"/>
          </rPr>
          <t>Introduzca la fecha de inicio del proceso, en formato dd-mm-aaaa</t>
        </r>
      </text>
    </comment>
    <comment ref="F805" authorId="1" shapeId="0" xr:uid="{F2E8721D-FEFE-486B-8996-97E2594E3F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2CB3854F-5DD1-4006-A446-0147EC9023F9}">
      <text/>
    </comment>
    <comment ref="C807" authorId="1" shapeId="0" xr:uid="{17157D20-26CB-476D-8C24-4A77C1CC198A}">
      <text>
        <r>
          <rPr>
            <sz val="11"/>
            <color theme="1"/>
            <rFont val="Calibri"/>
            <family val="2"/>
            <scheme val="minor"/>
          </rPr>
          <t>Introduzca la fecha prevista de adjudicación, en formato dd-mm-aaaa</t>
        </r>
      </text>
    </comment>
    <comment ref="F807" authorId="1" shapeId="0" xr:uid="{43CD1C42-D87A-44D7-B9B1-5FCFC78FE5A8}">
      <text/>
    </comment>
    <comment ref="F808" authorId="1" shapeId="0" xr:uid="{D95D7646-65F6-4E8A-AFFE-5D239F4FC533}">
      <text/>
    </comment>
    <comment ref="A810" authorId="1" shapeId="0" xr:uid="{AF28D997-5E3C-45C5-AF24-D3956E5F9EFD}">
      <text>
        <r>
          <rPr>
            <sz val="11"/>
            <color theme="1"/>
            <rFont val="Calibri"/>
            <family val="2"/>
            <scheme val="minor"/>
          </rPr>
          <t>Introduzca un codigo UNSPSC</t>
        </r>
      </text>
    </comment>
    <comment ref="B810" authorId="1" shapeId="0" xr:uid="{3144A6B4-0EEC-4BCF-9798-823E9AF7A4BA}">
      <text>
        <r>
          <rPr>
            <sz val="11"/>
            <color theme="1"/>
            <rFont val="Calibri"/>
            <family val="2"/>
            <scheme val="minor"/>
          </rPr>
          <t>Descripción calculada automáticamente a partir de código del artículo</t>
        </r>
      </text>
    </comment>
    <comment ref="C810" authorId="1" shapeId="0" xr:uid="{D53D0422-4D99-4CBD-A360-C09233332355}">
      <text>
        <r>
          <rPr>
            <sz val="11"/>
            <color theme="1"/>
            <rFont val="Calibri"/>
            <family val="2"/>
            <scheme val="minor"/>
          </rPr>
          <t>Seleccione un valor de la lista</t>
        </r>
      </text>
    </comment>
    <comment ref="D810" authorId="1" shapeId="0" xr:uid="{DAD8CC3F-0EA8-423C-95A6-AD0D3F9EB414}">
      <text>
        <r>
          <rPr>
            <sz val="11"/>
            <color theme="1"/>
            <rFont val="Calibri"/>
            <family val="2"/>
            <scheme val="minor"/>
          </rPr>
          <t>Introduzca un número con dos decimales como máximo. Debe ser igual o mayor a la "Cantidad Real Consumida"</t>
        </r>
      </text>
    </comment>
    <comment ref="E810" authorId="1" shapeId="0" xr:uid="{0EF190DD-E0C0-4AF5-9833-42D096B5E51C}">
      <text>
        <r>
          <rPr>
            <sz val="11"/>
            <color theme="1"/>
            <rFont val="Calibri"/>
            <family val="2"/>
            <scheme val="minor"/>
          </rPr>
          <t>Introduzca un número con dos decimales como máximo</t>
        </r>
      </text>
    </comment>
    <comment ref="F810" authorId="1" shapeId="0" xr:uid="{EED9B3D1-8D35-453B-AEB1-A7F97E7A8BAA}">
      <text>
        <r>
          <rPr>
            <sz val="11"/>
            <color theme="1"/>
            <rFont val="Calibri"/>
            <family val="2"/>
            <scheme val="minor"/>
          </rPr>
          <t>Monto calculado automáticamente por el sistema</t>
        </r>
      </text>
    </comment>
    <comment ref="A815" authorId="1" shapeId="0" xr:uid="{E9B3003C-B80B-4EFB-B13F-24B229563338}">
      <text>
        <r>
          <rPr>
            <sz val="11"/>
            <color theme="1"/>
            <rFont val="Calibri"/>
            <family val="2"/>
            <scheme val="minor"/>
          </rPr>
          <t>Introducir un texto con el nombre o referencia de la contratación</t>
        </r>
      </text>
    </comment>
    <comment ref="B815" authorId="1" shapeId="0" xr:uid="{91594552-F945-4624-ADAF-33756C3FA503}">
      <text>
        <r>
          <rPr>
            <sz val="11"/>
            <color theme="1"/>
            <rFont val="Calibri"/>
            <family val="2"/>
            <scheme val="minor"/>
          </rPr>
          <t>Introduzca un texto con la finalidad de la contratación</t>
        </r>
      </text>
    </comment>
    <comment ref="C815" authorId="1" shapeId="0" xr:uid="{338ED830-AEAB-45C8-91E6-65E93F592D2C}">
      <text>
        <r>
          <rPr>
            <sz val="11"/>
            <color theme="1"/>
            <rFont val="Calibri"/>
            <family val="2"/>
            <scheme val="minor"/>
          </rPr>
          <t>Seleccionar un valor del listado</t>
        </r>
      </text>
    </comment>
    <comment ref="D815" authorId="1" shapeId="0" xr:uid="{64251DDF-E838-4C45-B169-48288C489EE9}">
      <text>
        <r>
          <rPr>
            <sz val="11"/>
            <color theme="1"/>
            <rFont val="Calibri"/>
            <family val="2"/>
            <scheme val="minor"/>
          </rPr>
          <t>Seleccione el tipo de procedimiento</t>
        </r>
      </text>
    </comment>
    <comment ref="E815" authorId="1" shapeId="0" xr:uid="{264F55A1-D9A8-4CE6-BD7D-4E2874782500}">
      <text>
        <r>
          <rPr>
            <sz val="11"/>
            <color theme="1"/>
            <rFont val="Calibri"/>
            <family val="2"/>
            <scheme val="minor"/>
          </rPr>
          <t>Seleccione un valor de la lista</t>
        </r>
      </text>
    </comment>
    <comment ref="F815" authorId="1" shapeId="0" xr:uid="{FE83C6E0-2387-4B83-85B5-504A9E321415}">
      <text>
        <r>
          <rPr>
            <sz val="11"/>
            <color theme="1"/>
            <rFont val="Calibri"/>
            <family val="2"/>
            <scheme val="minor"/>
          </rPr>
          <t>Introduzca el código SNIP</t>
        </r>
      </text>
    </comment>
    <comment ref="C816" authorId="1" shapeId="0" xr:uid="{CA834858-5E2E-4BD7-A0C5-5DD8668D4ADA}">
      <text>
        <r>
          <rPr>
            <sz val="11"/>
            <color theme="1"/>
            <rFont val="Calibri"/>
            <family val="2"/>
            <scheme val="minor"/>
          </rPr>
          <t>Introduzca la fecha de inicio del proceso, en formato dd-mm-aaaa</t>
        </r>
      </text>
    </comment>
    <comment ref="F816" authorId="1" shapeId="0" xr:uid="{14830F16-2C8B-4789-99B1-1A3B6BF939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1" shapeId="0" xr:uid="{06C7F73E-CBF7-4130-9F9C-C0B0B038606F}">
      <text/>
    </comment>
    <comment ref="C818" authorId="1" shapeId="0" xr:uid="{19287DE6-2053-4A33-8B5D-DBA46219D161}">
      <text>
        <r>
          <rPr>
            <sz val="11"/>
            <color theme="1"/>
            <rFont val="Calibri"/>
            <family val="2"/>
            <scheme val="minor"/>
          </rPr>
          <t>Introduzca la fecha prevista de adjudicación, en formato dd-mm-aaaa</t>
        </r>
      </text>
    </comment>
    <comment ref="F818" authorId="1" shapeId="0" xr:uid="{930A4A1E-36C8-4ADB-98FD-599A30C2B5D4}">
      <text/>
    </comment>
    <comment ref="F819" authorId="1" shapeId="0" xr:uid="{246CD344-FD26-49DD-998F-30199738FE0D}">
      <text/>
    </comment>
    <comment ref="A821" authorId="1" shapeId="0" xr:uid="{C5047430-27EC-47E5-8CB4-1545D56660D6}">
      <text>
        <r>
          <rPr>
            <sz val="11"/>
            <color theme="1"/>
            <rFont val="Calibri"/>
            <family val="2"/>
            <scheme val="minor"/>
          </rPr>
          <t>Introduzca un codigo UNSPSC</t>
        </r>
      </text>
    </comment>
    <comment ref="B821" authorId="1" shapeId="0" xr:uid="{E3BBF212-0581-4295-AE04-0F9576E7A6B3}">
      <text>
        <r>
          <rPr>
            <sz val="11"/>
            <color theme="1"/>
            <rFont val="Calibri"/>
            <family val="2"/>
            <scheme val="minor"/>
          </rPr>
          <t>Descripción calculada automáticamente a partir de código del artículo</t>
        </r>
      </text>
    </comment>
    <comment ref="C821" authorId="1" shapeId="0" xr:uid="{EF8D1748-F50C-4BE0-9D72-C4D820F2C98F}">
      <text>
        <r>
          <rPr>
            <sz val="11"/>
            <color theme="1"/>
            <rFont val="Calibri"/>
            <family val="2"/>
            <scheme val="minor"/>
          </rPr>
          <t>Seleccione un valor de la lista</t>
        </r>
      </text>
    </comment>
    <comment ref="D821" authorId="1" shapeId="0" xr:uid="{ED216E5E-3858-4E29-B269-CE3F11413A60}">
      <text>
        <r>
          <rPr>
            <sz val="11"/>
            <color theme="1"/>
            <rFont val="Calibri"/>
            <family val="2"/>
            <scheme val="minor"/>
          </rPr>
          <t>Introduzca un número con dos decimales como máximo. Debe ser igual o mayor a la "Cantidad Real Consumida"</t>
        </r>
      </text>
    </comment>
    <comment ref="E821" authorId="1" shapeId="0" xr:uid="{29BE6190-5646-44A2-960D-ADC371AFB615}">
      <text>
        <r>
          <rPr>
            <sz val="11"/>
            <color theme="1"/>
            <rFont val="Calibri"/>
            <family val="2"/>
            <scheme val="minor"/>
          </rPr>
          <t>Introduzca un número con dos decimales como máximo</t>
        </r>
      </text>
    </comment>
    <comment ref="F821" authorId="1" shapeId="0" xr:uid="{FBCDE568-EE48-4C08-86B4-8F2C3373CC03}">
      <text>
        <r>
          <rPr>
            <sz val="11"/>
            <color theme="1"/>
            <rFont val="Calibri"/>
            <family val="2"/>
            <scheme val="minor"/>
          </rPr>
          <t>Monto calculado automáticamente por el sistema</t>
        </r>
      </text>
    </comment>
    <comment ref="A875" authorId="1" shapeId="0" xr:uid="{BDF90A4B-3487-42A0-9FC3-B5D048C8CB00}">
      <text>
        <r>
          <rPr>
            <sz val="11"/>
            <color theme="1"/>
            <rFont val="Calibri"/>
            <family val="2"/>
            <scheme val="minor"/>
          </rPr>
          <t>Introducir un texto con el nombre o referencia de la contratación</t>
        </r>
      </text>
    </comment>
    <comment ref="B875" authorId="1" shapeId="0" xr:uid="{48964EC6-D687-4A4C-9E24-7AD94CDFEE94}">
      <text>
        <r>
          <rPr>
            <sz val="11"/>
            <color theme="1"/>
            <rFont val="Calibri"/>
            <family val="2"/>
            <scheme val="minor"/>
          </rPr>
          <t>Introduzca un texto con la finalidad de la contratación</t>
        </r>
      </text>
    </comment>
    <comment ref="C875" authorId="1" shapeId="0" xr:uid="{443F67C2-D364-42F2-B2D8-B5E78C9B9F1F}">
      <text>
        <r>
          <rPr>
            <sz val="11"/>
            <color theme="1"/>
            <rFont val="Calibri"/>
            <family val="2"/>
            <scheme val="minor"/>
          </rPr>
          <t>Seleccionar un valor del listado</t>
        </r>
      </text>
    </comment>
    <comment ref="D875" authorId="1" shapeId="0" xr:uid="{8DA8D3CF-9AD1-46EC-AD9C-ABB03BDC9BE7}">
      <text>
        <r>
          <rPr>
            <sz val="11"/>
            <color theme="1"/>
            <rFont val="Calibri"/>
            <family val="2"/>
            <scheme val="minor"/>
          </rPr>
          <t>Seleccione el tipo de procedimiento</t>
        </r>
      </text>
    </comment>
    <comment ref="E875" authorId="1" shapeId="0" xr:uid="{3FF58896-FE9C-49B7-B8E6-3D619CE04564}">
      <text>
        <r>
          <rPr>
            <sz val="11"/>
            <color theme="1"/>
            <rFont val="Calibri"/>
            <family val="2"/>
            <scheme val="minor"/>
          </rPr>
          <t>Seleccione un valor de la lista</t>
        </r>
      </text>
    </comment>
    <comment ref="F875" authorId="1" shapeId="0" xr:uid="{71A2F345-212A-43FE-A1ED-BF906A973E28}">
      <text>
        <r>
          <rPr>
            <sz val="11"/>
            <color theme="1"/>
            <rFont val="Calibri"/>
            <family val="2"/>
            <scheme val="minor"/>
          </rPr>
          <t>Introduzca el código SNIP</t>
        </r>
      </text>
    </comment>
    <comment ref="C876" authorId="1" shapeId="0" xr:uid="{8B383FE8-CA58-46FE-9F5B-C7A3BC976088}">
      <text>
        <r>
          <rPr>
            <sz val="11"/>
            <color theme="1"/>
            <rFont val="Calibri"/>
            <family val="2"/>
            <scheme val="minor"/>
          </rPr>
          <t>Introduzca la fecha de inicio del proceso, en formato dd-mm-aaaa</t>
        </r>
      </text>
    </comment>
    <comment ref="F876" authorId="1" shapeId="0" xr:uid="{4595C487-31DB-4759-9DE8-5A3F177C1A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7" authorId="1" shapeId="0" xr:uid="{064BCAD9-D5CE-4909-A662-387EE369D490}">
      <text/>
    </comment>
    <comment ref="C878" authorId="1" shapeId="0" xr:uid="{F8D12125-74AA-48FB-BEB8-5B7339F15FB8}">
      <text>
        <r>
          <rPr>
            <sz val="11"/>
            <color theme="1"/>
            <rFont val="Calibri"/>
            <family val="2"/>
            <scheme val="minor"/>
          </rPr>
          <t>Introduzca la fecha prevista de adjudicación, en formato dd-mm-aaaa</t>
        </r>
      </text>
    </comment>
    <comment ref="F878" authorId="1" shapeId="0" xr:uid="{353A0BA8-206E-414B-8E78-E04D6C09E01C}">
      <text/>
    </comment>
    <comment ref="F879" authorId="1" shapeId="0" xr:uid="{92790666-773F-4C65-A9E2-B0079B0B5238}">
      <text/>
    </comment>
    <comment ref="A881" authorId="1" shapeId="0" xr:uid="{5164700E-6F52-40C3-9D07-4ADE73BD3380}">
      <text>
        <r>
          <rPr>
            <sz val="11"/>
            <color theme="1"/>
            <rFont val="Calibri"/>
            <family val="2"/>
            <scheme val="minor"/>
          </rPr>
          <t>Introduzca un codigo UNSPSC</t>
        </r>
      </text>
    </comment>
    <comment ref="B881" authorId="1" shapeId="0" xr:uid="{6582E3FA-E87B-4B49-A58C-4D8CCEE518A9}">
      <text>
        <r>
          <rPr>
            <sz val="11"/>
            <color theme="1"/>
            <rFont val="Calibri"/>
            <family val="2"/>
            <scheme val="minor"/>
          </rPr>
          <t>Descripción calculada automáticamente a partir de código del artículo</t>
        </r>
      </text>
    </comment>
    <comment ref="C881" authorId="1" shapeId="0" xr:uid="{08EA4E7A-637D-41B1-8CA2-9649C23902FA}">
      <text>
        <r>
          <rPr>
            <sz val="11"/>
            <color theme="1"/>
            <rFont val="Calibri"/>
            <family val="2"/>
            <scheme val="minor"/>
          </rPr>
          <t>Seleccione un valor de la lista</t>
        </r>
      </text>
    </comment>
    <comment ref="D881" authorId="1" shapeId="0" xr:uid="{F2470A73-A61C-43AA-A8D6-2FE524777FE7}">
      <text>
        <r>
          <rPr>
            <sz val="11"/>
            <color theme="1"/>
            <rFont val="Calibri"/>
            <family val="2"/>
            <scheme val="minor"/>
          </rPr>
          <t>Introduzca un número con dos decimales como máximo. Debe ser igual o mayor a la "Cantidad Real Consumida"</t>
        </r>
      </text>
    </comment>
    <comment ref="E881" authorId="1" shapeId="0" xr:uid="{79B36350-5749-4894-86DC-88FAB3A2D060}">
      <text>
        <r>
          <rPr>
            <sz val="11"/>
            <color theme="1"/>
            <rFont val="Calibri"/>
            <family val="2"/>
            <scheme val="minor"/>
          </rPr>
          <t>Introduzca un número con dos decimales como máximo</t>
        </r>
      </text>
    </comment>
    <comment ref="F881" authorId="1" shapeId="0" xr:uid="{02741C45-50A9-469A-921A-788E9A2B61CB}">
      <text>
        <r>
          <rPr>
            <sz val="11"/>
            <color theme="1"/>
            <rFont val="Calibri"/>
            <family val="2"/>
            <scheme val="minor"/>
          </rPr>
          <t>Monto calculado automáticamente por el sistema</t>
        </r>
      </text>
    </comment>
    <comment ref="A886" authorId="1" shapeId="0" xr:uid="{6F5FFEDA-C729-4B73-BD3F-F44B69750958}">
      <text>
        <r>
          <rPr>
            <sz val="11"/>
            <color theme="1"/>
            <rFont val="Calibri"/>
            <family val="2"/>
            <scheme val="minor"/>
          </rPr>
          <t>Introducir un texto con el nombre o referencia de la contratación</t>
        </r>
      </text>
    </comment>
    <comment ref="B886" authorId="1" shapeId="0" xr:uid="{E9FA54F5-B3D8-4207-9F15-B5E0048DF74B}">
      <text>
        <r>
          <rPr>
            <sz val="11"/>
            <color theme="1"/>
            <rFont val="Calibri"/>
            <family val="2"/>
            <scheme val="minor"/>
          </rPr>
          <t>Introduzca un texto con la finalidad de la contratación</t>
        </r>
      </text>
    </comment>
    <comment ref="C886" authorId="1" shapeId="0" xr:uid="{1B543F56-95FC-470F-ADA7-7D1F3008E672}">
      <text>
        <r>
          <rPr>
            <sz val="11"/>
            <color theme="1"/>
            <rFont val="Calibri"/>
            <family val="2"/>
            <scheme val="minor"/>
          </rPr>
          <t>Seleccionar un valor del listado</t>
        </r>
      </text>
    </comment>
    <comment ref="D886" authorId="1" shapeId="0" xr:uid="{D851E7DB-FE12-426B-A2F9-FBE360551BBC}">
      <text>
        <r>
          <rPr>
            <sz val="11"/>
            <color theme="1"/>
            <rFont val="Calibri"/>
            <family val="2"/>
            <scheme val="minor"/>
          </rPr>
          <t>Seleccione el tipo de procedimiento</t>
        </r>
      </text>
    </comment>
    <comment ref="E886" authorId="1" shapeId="0" xr:uid="{BC85850E-BE12-44A5-9A72-3251BAB41BB5}">
      <text>
        <r>
          <rPr>
            <sz val="11"/>
            <color theme="1"/>
            <rFont val="Calibri"/>
            <family val="2"/>
            <scheme val="minor"/>
          </rPr>
          <t>Seleccione un valor de la lista</t>
        </r>
      </text>
    </comment>
    <comment ref="F886" authorId="1" shapeId="0" xr:uid="{351FF593-F12F-4927-A8C3-EE452AD26A84}">
      <text>
        <r>
          <rPr>
            <sz val="11"/>
            <color theme="1"/>
            <rFont val="Calibri"/>
            <family val="2"/>
            <scheme val="minor"/>
          </rPr>
          <t>Introduzca el código SNIP</t>
        </r>
      </text>
    </comment>
    <comment ref="C887" authorId="1" shapeId="0" xr:uid="{2BFEB68E-7DE5-4E8F-9B8C-3FEBAD765CCD}">
      <text>
        <r>
          <rPr>
            <sz val="11"/>
            <color theme="1"/>
            <rFont val="Calibri"/>
            <family val="2"/>
            <scheme val="minor"/>
          </rPr>
          <t>Introduzca la fecha de inicio del proceso, en formato dd-mm-aaaa</t>
        </r>
      </text>
    </comment>
    <comment ref="F887" authorId="1" shapeId="0" xr:uid="{808E172C-9BB7-4EAF-A0CE-E1C100FE96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030CFBBF-8F8E-4841-B263-DE4BFB92773D}">
      <text/>
    </comment>
    <comment ref="C889" authorId="1" shapeId="0" xr:uid="{EFFCF37C-3E1E-4B2B-ADA0-601F00178602}">
      <text>
        <r>
          <rPr>
            <sz val="11"/>
            <color theme="1"/>
            <rFont val="Calibri"/>
            <family val="2"/>
            <scheme val="minor"/>
          </rPr>
          <t>Introduzca la fecha prevista de adjudicación, en formato dd-mm-aaaa</t>
        </r>
      </text>
    </comment>
    <comment ref="F889" authorId="1" shapeId="0" xr:uid="{43E4579C-EB87-4F13-A00D-39C90B1E16B0}">
      <text/>
    </comment>
    <comment ref="F890" authorId="1" shapeId="0" xr:uid="{10CB4FEA-8356-4493-A63C-F3EADA071355}">
      <text/>
    </comment>
    <comment ref="A892" authorId="1" shapeId="0" xr:uid="{4106DFF9-F493-4C9E-AB43-3441C5938C8D}">
      <text>
        <r>
          <rPr>
            <sz val="11"/>
            <color theme="1"/>
            <rFont val="Calibri"/>
            <family val="2"/>
            <scheme val="minor"/>
          </rPr>
          <t>Introduzca un codigo UNSPSC</t>
        </r>
      </text>
    </comment>
    <comment ref="B892" authorId="1" shapeId="0" xr:uid="{3BFBCFA1-69AC-44C6-95C0-7497F87224C9}">
      <text>
        <r>
          <rPr>
            <sz val="11"/>
            <color theme="1"/>
            <rFont val="Calibri"/>
            <family val="2"/>
            <scheme val="minor"/>
          </rPr>
          <t>Descripción calculada automáticamente a partir de código del artículo</t>
        </r>
      </text>
    </comment>
    <comment ref="C892" authorId="1" shapeId="0" xr:uid="{C618CB22-CF9C-42EB-952F-51FF6FC63FD0}">
      <text>
        <r>
          <rPr>
            <sz val="11"/>
            <color theme="1"/>
            <rFont val="Calibri"/>
            <family val="2"/>
            <scheme val="minor"/>
          </rPr>
          <t>Seleccione un valor de la lista</t>
        </r>
      </text>
    </comment>
    <comment ref="D892" authorId="1" shapeId="0" xr:uid="{D7462B62-C654-4103-9873-411C8FAE5F2E}">
      <text>
        <r>
          <rPr>
            <sz val="11"/>
            <color theme="1"/>
            <rFont val="Calibri"/>
            <family val="2"/>
            <scheme val="minor"/>
          </rPr>
          <t>Introduzca un número con dos decimales como máximo. Debe ser igual o mayor a la "Cantidad Real Consumida"</t>
        </r>
      </text>
    </comment>
    <comment ref="E892" authorId="1" shapeId="0" xr:uid="{62DC15A4-023F-43D2-A38A-ADA704B71169}">
      <text>
        <r>
          <rPr>
            <sz val="11"/>
            <color theme="1"/>
            <rFont val="Calibri"/>
            <family val="2"/>
            <scheme val="minor"/>
          </rPr>
          <t>Introduzca un número con dos decimales como máximo</t>
        </r>
      </text>
    </comment>
    <comment ref="F892" authorId="1" shapeId="0" xr:uid="{77AB5A34-F7C9-428B-AD4D-381C93E44CDD}">
      <text>
        <r>
          <rPr>
            <sz val="11"/>
            <color theme="1"/>
            <rFont val="Calibri"/>
            <family val="2"/>
            <scheme val="minor"/>
          </rPr>
          <t>Monto calculado automáticamente por el sistema</t>
        </r>
      </text>
    </comment>
    <comment ref="A897" authorId="1" shapeId="0" xr:uid="{E8E5C52C-500B-4010-9F28-ED7A8A07B33B}">
      <text>
        <r>
          <rPr>
            <sz val="11"/>
            <color theme="1"/>
            <rFont val="Calibri"/>
            <family val="2"/>
            <scheme val="minor"/>
          </rPr>
          <t>Introducir un texto con el nombre o referencia de la contratación</t>
        </r>
      </text>
    </comment>
    <comment ref="B897" authorId="1" shapeId="0" xr:uid="{6A353769-1249-49AA-A663-1D7F1E1806E7}">
      <text>
        <r>
          <rPr>
            <sz val="11"/>
            <color theme="1"/>
            <rFont val="Calibri"/>
            <family val="2"/>
            <scheme val="minor"/>
          </rPr>
          <t>Introduzca un texto con la finalidad de la contratación</t>
        </r>
      </text>
    </comment>
    <comment ref="C897" authorId="1" shapeId="0" xr:uid="{4B99DCB7-7EE4-4A5B-AB14-DE1A2FC273FE}">
      <text>
        <r>
          <rPr>
            <sz val="11"/>
            <color theme="1"/>
            <rFont val="Calibri"/>
            <family val="2"/>
            <scheme val="minor"/>
          </rPr>
          <t>Seleccionar un valor del listado</t>
        </r>
      </text>
    </comment>
    <comment ref="D897" authorId="1" shapeId="0" xr:uid="{1EEE84C8-9BE6-4591-90E7-3B9A55260E33}">
      <text>
        <r>
          <rPr>
            <sz val="11"/>
            <color theme="1"/>
            <rFont val="Calibri"/>
            <family val="2"/>
            <scheme val="minor"/>
          </rPr>
          <t>Seleccione el tipo de procedimiento</t>
        </r>
      </text>
    </comment>
    <comment ref="E897" authorId="1" shapeId="0" xr:uid="{B72D7D49-3DC5-4B19-90AF-D7243264E2ED}">
      <text>
        <r>
          <rPr>
            <sz val="11"/>
            <color theme="1"/>
            <rFont val="Calibri"/>
            <family val="2"/>
            <scheme val="minor"/>
          </rPr>
          <t>Seleccione un valor de la lista</t>
        </r>
      </text>
    </comment>
    <comment ref="F897" authorId="1" shapeId="0" xr:uid="{CA2DA144-9EF9-47A9-9AC4-562C215C6E14}">
      <text>
        <r>
          <rPr>
            <sz val="11"/>
            <color theme="1"/>
            <rFont val="Calibri"/>
            <family val="2"/>
            <scheme val="minor"/>
          </rPr>
          <t>Introduzca el código SNIP</t>
        </r>
      </text>
    </comment>
    <comment ref="C898" authorId="1" shapeId="0" xr:uid="{33DDCEFB-D578-4445-BBC0-E746E7D68DF4}">
      <text>
        <r>
          <rPr>
            <sz val="11"/>
            <color theme="1"/>
            <rFont val="Calibri"/>
            <family val="2"/>
            <scheme val="minor"/>
          </rPr>
          <t>Introduzca la fecha de inicio del proceso, en formato dd-mm-aaaa</t>
        </r>
      </text>
    </comment>
    <comment ref="F898" authorId="1" shapeId="0" xr:uid="{282E21F3-61D1-48B4-92DD-00FCF518A9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1" shapeId="0" xr:uid="{E1828AAC-EE63-440E-8002-1BAC6188FDF7}">
      <text/>
    </comment>
    <comment ref="C900" authorId="1" shapeId="0" xr:uid="{232E6540-731F-4FE9-A60B-5FDD204527A9}">
      <text>
        <r>
          <rPr>
            <sz val="11"/>
            <color theme="1"/>
            <rFont val="Calibri"/>
            <family val="2"/>
            <scheme val="minor"/>
          </rPr>
          <t>Introduzca la fecha prevista de adjudicación, en formato dd-mm-aaaa</t>
        </r>
      </text>
    </comment>
    <comment ref="F900" authorId="1" shapeId="0" xr:uid="{3205DE2B-3E31-4CC5-8FA1-AF3935BBF469}">
      <text/>
    </comment>
    <comment ref="F901" authorId="1" shapeId="0" xr:uid="{106DDE64-E969-4C1F-987C-30E75D1DC9E2}">
      <text/>
    </comment>
    <comment ref="A903" authorId="1" shapeId="0" xr:uid="{0C8475B4-1C82-47D3-9743-FCCE44AC3128}">
      <text>
        <r>
          <rPr>
            <sz val="11"/>
            <color theme="1"/>
            <rFont val="Calibri"/>
            <family val="2"/>
            <scheme val="minor"/>
          </rPr>
          <t>Introduzca un codigo UNSPSC</t>
        </r>
      </text>
    </comment>
    <comment ref="B903" authorId="1" shapeId="0" xr:uid="{F0E79D8B-24C1-42C0-B4DB-E4DEB398E139}">
      <text>
        <r>
          <rPr>
            <sz val="11"/>
            <color theme="1"/>
            <rFont val="Calibri"/>
            <family val="2"/>
            <scheme val="minor"/>
          </rPr>
          <t>Descripción calculada automáticamente a partir de código del artículo</t>
        </r>
      </text>
    </comment>
    <comment ref="C903" authorId="1" shapeId="0" xr:uid="{DB9409E4-4913-4694-9DF6-FF9C15576F38}">
      <text>
        <r>
          <rPr>
            <sz val="11"/>
            <color theme="1"/>
            <rFont val="Calibri"/>
            <family val="2"/>
            <scheme val="minor"/>
          </rPr>
          <t>Seleccione un valor de la lista</t>
        </r>
      </text>
    </comment>
    <comment ref="D903" authorId="1" shapeId="0" xr:uid="{094C88A5-D7A3-4BAA-A646-6BFA4643BBED}">
      <text>
        <r>
          <rPr>
            <sz val="11"/>
            <color theme="1"/>
            <rFont val="Calibri"/>
            <family val="2"/>
            <scheme val="minor"/>
          </rPr>
          <t>Introduzca un número con dos decimales como máximo. Debe ser igual o mayor a la "Cantidad Real Consumida"</t>
        </r>
      </text>
    </comment>
    <comment ref="E903" authorId="1" shapeId="0" xr:uid="{DF6EC090-21C7-4FAC-BE54-5A23F5197C5B}">
      <text>
        <r>
          <rPr>
            <sz val="11"/>
            <color theme="1"/>
            <rFont val="Calibri"/>
            <family val="2"/>
            <scheme val="minor"/>
          </rPr>
          <t>Introduzca un número con dos decimales como máximo</t>
        </r>
      </text>
    </comment>
    <comment ref="F903" authorId="1" shapeId="0" xr:uid="{34D84A2A-23B2-4974-B8F5-60B5A29A9BC7}">
      <text>
        <r>
          <rPr>
            <sz val="11"/>
            <color theme="1"/>
            <rFont val="Calibri"/>
            <family val="2"/>
            <scheme val="minor"/>
          </rPr>
          <t>Monto calculado automáticamente por el sistema</t>
        </r>
      </text>
    </comment>
    <comment ref="A912" authorId="1" shapeId="0" xr:uid="{CA21092D-A853-4E0B-BFE8-C055D41460E2}">
      <text>
        <r>
          <rPr>
            <sz val="11"/>
            <color theme="1"/>
            <rFont val="Calibri"/>
            <family val="2"/>
            <scheme val="minor"/>
          </rPr>
          <t>Introducir un texto con el nombre o referencia de la contratación</t>
        </r>
      </text>
    </comment>
    <comment ref="B912" authorId="1" shapeId="0" xr:uid="{670CB4BD-06DE-42B6-9197-0C98AB357C94}">
      <text>
        <r>
          <rPr>
            <sz val="11"/>
            <color theme="1"/>
            <rFont val="Calibri"/>
            <family val="2"/>
            <scheme val="minor"/>
          </rPr>
          <t>Introduzca un texto con la finalidad de la contratación</t>
        </r>
      </text>
    </comment>
    <comment ref="C912" authorId="1" shapeId="0" xr:uid="{3182C989-DD76-481F-BBEB-4CD70DC36B7D}">
      <text>
        <r>
          <rPr>
            <sz val="11"/>
            <color theme="1"/>
            <rFont val="Calibri"/>
            <family val="2"/>
            <scheme val="minor"/>
          </rPr>
          <t>Seleccionar un valor del listado</t>
        </r>
      </text>
    </comment>
    <comment ref="D912" authorId="1" shapeId="0" xr:uid="{B7944B34-D31E-4147-8EB0-4736407A1CC6}">
      <text>
        <r>
          <rPr>
            <sz val="11"/>
            <color theme="1"/>
            <rFont val="Calibri"/>
            <family val="2"/>
            <scheme val="minor"/>
          </rPr>
          <t>Seleccione el tipo de procedimiento</t>
        </r>
      </text>
    </comment>
    <comment ref="E912" authorId="1" shapeId="0" xr:uid="{9DD27833-42B9-4A59-AB09-935FA5F4129A}">
      <text>
        <r>
          <rPr>
            <sz val="11"/>
            <color theme="1"/>
            <rFont val="Calibri"/>
            <family val="2"/>
            <scheme val="minor"/>
          </rPr>
          <t>Seleccione un valor de la lista</t>
        </r>
      </text>
    </comment>
    <comment ref="F912" authorId="1" shapeId="0" xr:uid="{CAB76A1D-3C34-4EDA-846D-B91319E657C8}">
      <text>
        <r>
          <rPr>
            <sz val="11"/>
            <color theme="1"/>
            <rFont val="Calibri"/>
            <family val="2"/>
            <scheme val="minor"/>
          </rPr>
          <t>Introduzca el código SNIP</t>
        </r>
      </text>
    </comment>
    <comment ref="C913" authorId="1" shapeId="0" xr:uid="{003D1275-FDD8-4B46-8CEA-526D7CC5946D}">
      <text>
        <r>
          <rPr>
            <sz val="11"/>
            <color theme="1"/>
            <rFont val="Calibri"/>
            <family val="2"/>
            <scheme val="minor"/>
          </rPr>
          <t>Introduzca la fecha de inicio del proceso, en formato dd-mm-aaaa</t>
        </r>
      </text>
    </comment>
    <comment ref="F913" authorId="1" shapeId="0" xr:uid="{F2B81167-AF68-4721-B25A-530382DF30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xr:uid="{734D8F5B-FA45-4BD3-9F4B-B205A8A99E53}">
      <text/>
    </comment>
    <comment ref="C915" authorId="1" shapeId="0" xr:uid="{87CD5E9F-4B5E-49C3-843A-7E8A5FFC1797}">
      <text>
        <r>
          <rPr>
            <sz val="11"/>
            <color theme="1"/>
            <rFont val="Calibri"/>
            <family val="2"/>
            <scheme val="minor"/>
          </rPr>
          <t>Introduzca la fecha prevista de adjudicación, en formato dd-mm-aaaa</t>
        </r>
      </text>
    </comment>
    <comment ref="F915" authorId="1" shapeId="0" xr:uid="{67D34F64-EAFA-42A6-AD60-868DD59400C8}">
      <text/>
    </comment>
    <comment ref="F916" authorId="1" shapeId="0" xr:uid="{AA995716-486D-4EF1-A642-5A2519AE17E1}">
      <text/>
    </comment>
    <comment ref="A918" authorId="1" shapeId="0" xr:uid="{F441E0E1-65A1-4D63-BABD-9361E2E3A1BC}">
      <text>
        <r>
          <rPr>
            <sz val="11"/>
            <color theme="1"/>
            <rFont val="Calibri"/>
            <family val="2"/>
            <scheme val="minor"/>
          </rPr>
          <t>Introduzca un codigo UNSPSC</t>
        </r>
      </text>
    </comment>
    <comment ref="B918" authorId="1" shapeId="0" xr:uid="{DF89822F-1001-4119-81B5-786D5BE365DB}">
      <text>
        <r>
          <rPr>
            <sz val="11"/>
            <color theme="1"/>
            <rFont val="Calibri"/>
            <family val="2"/>
            <scheme val="minor"/>
          </rPr>
          <t>Descripción calculada automáticamente a partir de código del artículo</t>
        </r>
      </text>
    </comment>
    <comment ref="C918" authorId="1" shapeId="0" xr:uid="{A2D2F92E-949E-4020-8E4F-C4D00D22C99F}">
      <text>
        <r>
          <rPr>
            <sz val="11"/>
            <color theme="1"/>
            <rFont val="Calibri"/>
            <family val="2"/>
            <scheme val="minor"/>
          </rPr>
          <t>Seleccione un valor de la lista</t>
        </r>
      </text>
    </comment>
    <comment ref="D918" authorId="1" shapeId="0" xr:uid="{9159240F-3CA8-4710-B662-6182D5C1E6E7}">
      <text>
        <r>
          <rPr>
            <sz val="11"/>
            <color theme="1"/>
            <rFont val="Calibri"/>
            <family val="2"/>
            <scheme val="minor"/>
          </rPr>
          <t>Introduzca un número con dos decimales como máximo. Debe ser igual o mayor a la "Cantidad Real Consumida"</t>
        </r>
      </text>
    </comment>
    <comment ref="E918" authorId="1" shapeId="0" xr:uid="{5A346F10-213C-4563-9717-5C185DAC6B30}">
      <text>
        <r>
          <rPr>
            <sz val="11"/>
            <color theme="1"/>
            <rFont val="Calibri"/>
            <family val="2"/>
            <scheme val="minor"/>
          </rPr>
          <t>Introduzca un número con dos decimales como máximo</t>
        </r>
      </text>
    </comment>
    <comment ref="F918" authorId="1" shapeId="0" xr:uid="{4A7325A3-6065-4E57-9AFE-5EE6301FD69D}">
      <text>
        <r>
          <rPr>
            <sz val="11"/>
            <color theme="1"/>
            <rFont val="Calibri"/>
            <family val="2"/>
            <scheme val="minor"/>
          </rPr>
          <t>Monto calculado automáticamente por el sistema</t>
        </r>
      </text>
    </comment>
    <comment ref="A923" authorId="1" shapeId="0" xr:uid="{47F14053-8132-43AA-8AEB-660157F860A2}">
      <text>
        <r>
          <rPr>
            <sz val="11"/>
            <color theme="1"/>
            <rFont val="Calibri"/>
            <family val="2"/>
            <scheme val="minor"/>
          </rPr>
          <t>Introducir un texto con el nombre o referencia de la contratación</t>
        </r>
      </text>
    </comment>
    <comment ref="B923" authorId="1" shapeId="0" xr:uid="{8B2E168B-14BA-4662-B8FA-A52B5E04BE1D}">
      <text>
        <r>
          <rPr>
            <sz val="11"/>
            <color theme="1"/>
            <rFont val="Calibri"/>
            <family val="2"/>
            <scheme val="minor"/>
          </rPr>
          <t>Introduzca un texto con la finalidad de la contratación</t>
        </r>
      </text>
    </comment>
    <comment ref="C923" authorId="1" shapeId="0" xr:uid="{5B0D7F02-F459-4D7C-90AE-1660BEB4802E}">
      <text>
        <r>
          <rPr>
            <sz val="11"/>
            <color theme="1"/>
            <rFont val="Calibri"/>
            <family val="2"/>
            <scheme val="minor"/>
          </rPr>
          <t>Seleccionar un valor del listado</t>
        </r>
      </text>
    </comment>
    <comment ref="D923" authorId="1" shapeId="0" xr:uid="{E0021BA8-15CD-4A4A-B8D5-4D4E92EFEB7D}">
      <text>
        <r>
          <rPr>
            <sz val="11"/>
            <color theme="1"/>
            <rFont val="Calibri"/>
            <family val="2"/>
            <scheme val="minor"/>
          </rPr>
          <t>Seleccione el tipo de procedimiento</t>
        </r>
      </text>
    </comment>
    <comment ref="E923" authorId="1" shapeId="0" xr:uid="{898BC6B0-3C27-4D05-8B38-DAE55FAB6B52}">
      <text>
        <r>
          <rPr>
            <sz val="11"/>
            <color theme="1"/>
            <rFont val="Calibri"/>
            <family val="2"/>
            <scheme val="minor"/>
          </rPr>
          <t>Seleccione un valor de la lista</t>
        </r>
      </text>
    </comment>
    <comment ref="F923" authorId="1" shapeId="0" xr:uid="{4F61BBC5-02CB-4082-8E18-69045C71482B}">
      <text>
        <r>
          <rPr>
            <sz val="11"/>
            <color theme="1"/>
            <rFont val="Calibri"/>
            <family val="2"/>
            <scheme val="minor"/>
          </rPr>
          <t>Introduzca el código SNIP</t>
        </r>
      </text>
    </comment>
    <comment ref="C924" authorId="1" shapeId="0" xr:uid="{DC922587-077C-464D-9B4A-FA0E6860BB67}">
      <text>
        <r>
          <rPr>
            <sz val="11"/>
            <color theme="1"/>
            <rFont val="Calibri"/>
            <family val="2"/>
            <scheme val="minor"/>
          </rPr>
          <t>Introduzca la fecha de inicio del proceso, en formato dd-mm-aaaa</t>
        </r>
      </text>
    </comment>
    <comment ref="F924" authorId="1" shapeId="0" xr:uid="{44829636-CACB-46AA-A3CC-A0D4D506C3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shapeId="0" xr:uid="{3306A444-AD4D-47C3-BA28-CF5648B72538}">
      <text/>
    </comment>
    <comment ref="C926" authorId="1" shapeId="0" xr:uid="{B90D765D-D9D2-4E56-8BC8-2DCB25F2ADD1}">
      <text>
        <r>
          <rPr>
            <sz val="11"/>
            <color theme="1"/>
            <rFont val="Calibri"/>
            <family val="2"/>
            <scheme val="minor"/>
          </rPr>
          <t>Introduzca la fecha prevista de adjudicación, en formato dd-mm-aaaa</t>
        </r>
      </text>
    </comment>
    <comment ref="F926" authorId="1" shapeId="0" xr:uid="{76010CDF-2172-4009-9E69-6638C8FD732C}">
      <text/>
    </comment>
    <comment ref="F927" authorId="1" shapeId="0" xr:uid="{D9D7A306-B2D7-4E1E-AF1B-7D7312FB96FA}">
      <text/>
    </comment>
    <comment ref="A929" authorId="1" shapeId="0" xr:uid="{2D11AD52-6B3F-4A0B-8A3F-894CCD939F8C}">
      <text>
        <r>
          <rPr>
            <sz val="11"/>
            <color theme="1"/>
            <rFont val="Calibri"/>
            <family val="2"/>
            <scheme val="minor"/>
          </rPr>
          <t>Introduzca un codigo UNSPSC</t>
        </r>
      </text>
    </comment>
    <comment ref="B929" authorId="1" shapeId="0" xr:uid="{7796094E-5691-492B-A170-9DCB45DB7420}">
      <text>
        <r>
          <rPr>
            <sz val="11"/>
            <color theme="1"/>
            <rFont val="Calibri"/>
            <family val="2"/>
            <scheme val="minor"/>
          </rPr>
          <t>Descripción calculada automáticamente a partir de código del artículo</t>
        </r>
      </text>
    </comment>
    <comment ref="C929" authorId="1" shapeId="0" xr:uid="{1DDB8553-09BB-4B2B-AD68-A7645BA6E8AE}">
      <text>
        <r>
          <rPr>
            <sz val="11"/>
            <color theme="1"/>
            <rFont val="Calibri"/>
            <family val="2"/>
            <scheme val="minor"/>
          </rPr>
          <t>Seleccione un valor de la lista</t>
        </r>
      </text>
    </comment>
    <comment ref="D929" authorId="1" shapeId="0" xr:uid="{17C63DF2-796A-4E36-876C-534FFA38803D}">
      <text>
        <r>
          <rPr>
            <sz val="11"/>
            <color theme="1"/>
            <rFont val="Calibri"/>
            <family val="2"/>
            <scheme val="minor"/>
          </rPr>
          <t>Introduzca un número con dos decimales como máximo. Debe ser igual o mayor a la "Cantidad Real Consumida"</t>
        </r>
      </text>
    </comment>
    <comment ref="E929" authorId="1" shapeId="0" xr:uid="{AD4E1BE5-EE49-4EA2-A4F4-357942A19EFC}">
      <text>
        <r>
          <rPr>
            <sz val="11"/>
            <color theme="1"/>
            <rFont val="Calibri"/>
            <family val="2"/>
            <scheme val="minor"/>
          </rPr>
          <t>Introduzca un número con dos decimales como máximo</t>
        </r>
      </text>
    </comment>
    <comment ref="F929" authorId="1" shapeId="0" xr:uid="{A86E38C5-EEC6-4091-9751-9363BDEB4E5A}">
      <text>
        <r>
          <rPr>
            <sz val="11"/>
            <color theme="1"/>
            <rFont val="Calibri"/>
            <family val="2"/>
            <scheme val="minor"/>
          </rPr>
          <t>Monto calculado automáticamente por el sistema</t>
        </r>
      </text>
    </comment>
    <comment ref="A934" authorId="1" shapeId="0" xr:uid="{CC7721BF-7184-4083-8CC5-53CEFA76BFC3}">
      <text>
        <r>
          <rPr>
            <sz val="11"/>
            <color theme="1"/>
            <rFont val="Calibri"/>
            <family val="2"/>
            <scheme val="minor"/>
          </rPr>
          <t>Introducir un texto con el nombre o referencia de la contratación</t>
        </r>
      </text>
    </comment>
    <comment ref="B934" authorId="1" shapeId="0" xr:uid="{EE95048E-313F-4CE2-8DDC-0D36FDE97F81}">
      <text>
        <r>
          <rPr>
            <sz val="11"/>
            <color theme="1"/>
            <rFont val="Calibri"/>
            <family val="2"/>
            <scheme val="minor"/>
          </rPr>
          <t>Introduzca un texto con la finalidad de la contratación</t>
        </r>
      </text>
    </comment>
    <comment ref="C934" authorId="1" shapeId="0" xr:uid="{8070BABE-AD5E-497F-8E9A-87B7FB2BA236}">
      <text>
        <r>
          <rPr>
            <sz val="11"/>
            <color theme="1"/>
            <rFont val="Calibri"/>
            <family val="2"/>
            <scheme val="minor"/>
          </rPr>
          <t>Seleccionar un valor del listado</t>
        </r>
      </text>
    </comment>
    <comment ref="D934" authorId="1" shapeId="0" xr:uid="{C4F0D480-1BC8-436E-A004-A8011DA65375}">
      <text>
        <r>
          <rPr>
            <sz val="11"/>
            <color theme="1"/>
            <rFont val="Calibri"/>
            <family val="2"/>
            <scheme val="minor"/>
          </rPr>
          <t>Seleccione el tipo de procedimiento</t>
        </r>
      </text>
    </comment>
    <comment ref="E934" authorId="1" shapeId="0" xr:uid="{60A1E5F7-889C-4E78-9D68-19F4D14590F6}">
      <text>
        <r>
          <rPr>
            <sz val="11"/>
            <color theme="1"/>
            <rFont val="Calibri"/>
            <family val="2"/>
            <scheme val="minor"/>
          </rPr>
          <t>Seleccione un valor de la lista</t>
        </r>
      </text>
    </comment>
    <comment ref="F934" authorId="1" shapeId="0" xr:uid="{C8FB677D-E038-4695-8FB5-71F686A97FC1}">
      <text>
        <r>
          <rPr>
            <sz val="11"/>
            <color theme="1"/>
            <rFont val="Calibri"/>
            <family val="2"/>
            <scheme val="minor"/>
          </rPr>
          <t>Introduzca el código SNIP</t>
        </r>
      </text>
    </comment>
    <comment ref="C935" authorId="1" shapeId="0" xr:uid="{8EDBF01A-7E6F-43AC-A50F-B10DF8B502A8}">
      <text>
        <r>
          <rPr>
            <sz val="11"/>
            <color theme="1"/>
            <rFont val="Calibri"/>
            <family val="2"/>
            <scheme val="minor"/>
          </rPr>
          <t>Introduzca la fecha de inicio del proceso, en formato dd-mm-aaaa</t>
        </r>
      </text>
    </comment>
    <comment ref="F935" authorId="1" shapeId="0" xr:uid="{C56BF0D2-317E-4999-897E-C2F6AB0312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1" shapeId="0" xr:uid="{5E5DB3F7-38B4-4439-91AC-F34101E7453E}">
      <text/>
    </comment>
    <comment ref="C937" authorId="1" shapeId="0" xr:uid="{F8578CE5-1B8B-446D-8035-976BB62538C8}">
      <text>
        <r>
          <rPr>
            <sz val="11"/>
            <color theme="1"/>
            <rFont val="Calibri"/>
            <family val="2"/>
            <scheme val="minor"/>
          </rPr>
          <t>Introduzca la fecha prevista de adjudicación, en formato dd-mm-aaaa</t>
        </r>
      </text>
    </comment>
    <comment ref="F937" authorId="1" shapeId="0" xr:uid="{A31FC218-182C-4014-AD8D-3ADB87552577}">
      <text/>
    </comment>
    <comment ref="F938" authorId="1" shapeId="0" xr:uid="{5C4F34B3-3B54-4425-90DD-E9650D66FF05}">
      <text/>
    </comment>
    <comment ref="A940" authorId="1" shapeId="0" xr:uid="{D51B5DD3-872F-4136-90EB-9C3002E6FCCC}">
      <text>
        <r>
          <rPr>
            <sz val="11"/>
            <color theme="1"/>
            <rFont val="Calibri"/>
            <family val="2"/>
            <scheme val="minor"/>
          </rPr>
          <t>Introduzca un codigo UNSPSC</t>
        </r>
      </text>
    </comment>
    <comment ref="B940" authorId="1" shapeId="0" xr:uid="{D41F0258-0FA5-44BE-928F-F773D7568745}">
      <text>
        <r>
          <rPr>
            <sz val="11"/>
            <color theme="1"/>
            <rFont val="Calibri"/>
            <family val="2"/>
            <scheme val="minor"/>
          </rPr>
          <t>Descripción calculada automáticamente a partir de código del artículo</t>
        </r>
      </text>
    </comment>
    <comment ref="C940" authorId="1" shapeId="0" xr:uid="{B91F356A-A289-486C-A359-C5B9D9205381}">
      <text>
        <r>
          <rPr>
            <sz val="11"/>
            <color theme="1"/>
            <rFont val="Calibri"/>
            <family val="2"/>
            <scheme val="minor"/>
          </rPr>
          <t>Seleccione un valor de la lista</t>
        </r>
      </text>
    </comment>
    <comment ref="D940" authorId="1" shapeId="0" xr:uid="{0C9229C6-F04C-4B30-9B22-EAC960056609}">
      <text>
        <r>
          <rPr>
            <sz val="11"/>
            <color theme="1"/>
            <rFont val="Calibri"/>
            <family val="2"/>
            <scheme val="minor"/>
          </rPr>
          <t>Introduzca un número con dos decimales como máximo. Debe ser igual o mayor a la "Cantidad Real Consumida"</t>
        </r>
      </text>
    </comment>
    <comment ref="E940" authorId="1" shapeId="0" xr:uid="{1B9D2EB5-50F6-4B3F-BD33-7AD9E5677ABA}">
      <text>
        <r>
          <rPr>
            <sz val="11"/>
            <color theme="1"/>
            <rFont val="Calibri"/>
            <family val="2"/>
            <scheme val="minor"/>
          </rPr>
          <t>Introduzca un número con dos decimales como máximo</t>
        </r>
      </text>
    </comment>
    <comment ref="F940" authorId="1" shapeId="0" xr:uid="{DC853B8F-CD5A-49CC-B68F-5F66588C5205}">
      <text>
        <r>
          <rPr>
            <sz val="11"/>
            <color theme="1"/>
            <rFont val="Calibri"/>
            <family val="2"/>
            <scheme val="minor"/>
          </rPr>
          <t>Monto calculado automáticamente por el sistema</t>
        </r>
      </text>
    </comment>
    <comment ref="A945" authorId="1" shapeId="0" xr:uid="{3A68CE34-D508-4A69-B648-24021C302B3A}">
      <text>
        <r>
          <rPr>
            <sz val="11"/>
            <color theme="1"/>
            <rFont val="Calibri"/>
            <family val="2"/>
            <scheme val="minor"/>
          </rPr>
          <t>Introducir un texto con el nombre o referencia de la contratación</t>
        </r>
      </text>
    </comment>
    <comment ref="B945" authorId="1" shapeId="0" xr:uid="{080DC659-F659-46BE-B883-889D05FFBF80}">
      <text>
        <r>
          <rPr>
            <sz val="11"/>
            <color theme="1"/>
            <rFont val="Calibri"/>
            <family val="2"/>
            <scheme val="minor"/>
          </rPr>
          <t>Introduzca un texto con la finalidad de la contratación</t>
        </r>
      </text>
    </comment>
    <comment ref="C945" authorId="1" shapeId="0" xr:uid="{DAC7BF04-0F45-4A77-879C-22377EAF83FE}">
      <text>
        <r>
          <rPr>
            <sz val="11"/>
            <color theme="1"/>
            <rFont val="Calibri"/>
            <family val="2"/>
            <scheme val="minor"/>
          </rPr>
          <t>Seleccionar un valor del listado</t>
        </r>
      </text>
    </comment>
    <comment ref="D945" authorId="1" shapeId="0" xr:uid="{A5E4A1D0-979C-45CB-9390-20666CF35991}">
      <text>
        <r>
          <rPr>
            <sz val="11"/>
            <color theme="1"/>
            <rFont val="Calibri"/>
            <family val="2"/>
            <scheme val="minor"/>
          </rPr>
          <t>Seleccione el tipo de procedimiento</t>
        </r>
      </text>
    </comment>
    <comment ref="E945" authorId="1" shapeId="0" xr:uid="{334DDD99-C4C6-4A65-874C-5D189ABFDF36}">
      <text>
        <r>
          <rPr>
            <sz val="11"/>
            <color theme="1"/>
            <rFont val="Calibri"/>
            <family val="2"/>
            <scheme val="minor"/>
          </rPr>
          <t>Seleccione un valor de la lista</t>
        </r>
      </text>
    </comment>
    <comment ref="F945" authorId="1" shapeId="0" xr:uid="{031D7130-3F45-4735-8CF5-B8FA0704083C}">
      <text>
        <r>
          <rPr>
            <sz val="11"/>
            <color theme="1"/>
            <rFont val="Calibri"/>
            <family val="2"/>
            <scheme val="minor"/>
          </rPr>
          <t>Introduzca el código SNIP</t>
        </r>
      </text>
    </comment>
    <comment ref="C946" authorId="1" shapeId="0" xr:uid="{4D1CF2A9-00F7-4914-99BE-29C95FA364FD}">
      <text>
        <r>
          <rPr>
            <sz val="11"/>
            <color theme="1"/>
            <rFont val="Calibri"/>
            <family val="2"/>
            <scheme val="minor"/>
          </rPr>
          <t>Introduzca la fecha de inicio del proceso, en formato dd-mm-aaaa</t>
        </r>
      </text>
    </comment>
    <comment ref="F946" authorId="1" shapeId="0" xr:uid="{72EBFE0F-9181-4BF4-A279-FCE3BCFD1F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1" shapeId="0" xr:uid="{37C483C3-9528-446D-A599-3C227C23CD3E}">
      <text/>
    </comment>
    <comment ref="C948" authorId="1" shapeId="0" xr:uid="{F3B33B79-7ED9-4B27-BC36-9E8D3545BA3D}">
      <text>
        <r>
          <rPr>
            <sz val="11"/>
            <color theme="1"/>
            <rFont val="Calibri"/>
            <family val="2"/>
            <scheme val="minor"/>
          </rPr>
          <t>Introduzca la fecha prevista de adjudicación, en formato dd-mm-aaaa</t>
        </r>
      </text>
    </comment>
    <comment ref="F948" authorId="1" shapeId="0" xr:uid="{A84A3CE8-22E5-4A08-AD11-CC1E5A335FB1}">
      <text/>
    </comment>
    <comment ref="F949" authorId="1" shapeId="0" xr:uid="{892A5AC8-3280-44BF-89FA-6CF8C2A45E7E}">
      <text/>
    </comment>
    <comment ref="A951" authorId="1" shapeId="0" xr:uid="{AFB2F2EE-0138-4B7E-977F-820A9379D577}">
      <text>
        <r>
          <rPr>
            <sz val="11"/>
            <color theme="1"/>
            <rFont val="Calibri"/>
            <family val="2"/>
            <scheme val="minor"/>
          </rPr>
          <t>Introduzca un codigo UNSPSC</t>
        </r>
      </text>
    </comment>
    <comment ref="B951" authorId="1" shapeId="0" xr:uid="{BC7CDB73-0FEC-4421-AF36-A10A570CE4AF}">
      <text>
        <r>
          <rPr>
            <sz val="11"/>
            <color theme="1"/>
            <rFont val="Calibri"/>
            <family val="2"/>
            <scheme val="minor"/>
          </rPr>
          <t>Descripción calculada automáticamente a partir de código del artículo</t>
        </r>
      </text>
    </comment>
    <comment ref="C951" authorId="1" shapeId="0" xr:uid="{9FCF384E-03F5-44A2-9DEB-2636066547CB}">
      <text>
        <r>
          <rPr>
            <sz val="11"/>
            <color theme="1"/>
            <rFont val="Calibri"/>
            <family val="2"/>
            <scheme val="minor"/>
          </rPr>
          <t>Seleccione un valor de la lista</t>
        </r>
      </text>
    </comment>
    <comment ref="D951" authorId="1" shapeId="0" xr:uid="{F6887849-D4C8-4A5D-993D-5432A5A745D1}">
      <text>
        <r>
          <rPr>
            <sz val="11"/>
            <color theme="1"/>
            <rFont val="Calibri"/>
            <family val="2"/>
            <scheme val="minor"/>
          </rPr>
          <t>Introduzca un número con dos decimales como máximo. Debe ser igual o mayor a la "Cantidad Real Consumida"</t>
        </r>
      </text>
    </comment>
    <comment ref="E951" authorId="1" shapeId="0" xr:uid="{9240CCCE-2295-490D-A5D8-1482AFCF9AF0}">
      <text>
        <r>
          <rPr>
            <sz val="11"/>
            <color theme="1"/>
            <rFont val="Calibri"/>
            <family val="2"/>
            <scheme val="minor"/>
          </rPr>
          <t>Introduzca un número con dos decimales como máximo</t>
        </r>
      </text>
    </comment>
    <comment ref="F951" authorId="1" shapeId="0" xr:uid="{7C86097D-8166-496E-92C1-58EC11538E78}">
      <text>
        <r>
          <rPr>
            <sz val="11"/>
            <color theme="1"/>
            <rFont val="Calibri"/>
            <family val="2"/>
            <scheme val="minor"/>
          </rPr>
          <t>Monto calculado automáticamente por el sistema</t>
        </r>
      </text>
    </comment>
    <comment ref="A956" authorId="1" shapeId="0" xr:uid="{7588902E-C9AE-4E5F-9145-F47059C96022}">
      <text>
        <r>
          <rPr>
            <sz val="11"/>
            <color theme="1"/>
            <rFont val="Calibri"/>
            <family val="2"/>
            <scheme val="minor"/>
          </rPr>
          <t>Introducir un texto con el nombre o referencia de la contratación</t>
        </r>
      </text>
    </comment>
    <comment ref="B956" authorId="1" shapeId="0" xr:uid="{518CB477-2A51-4C28-A81B-E15D770F939E}">
      <text>
        <r>
          <rPr>
            <sz val="11"/>
            <color theme="1"/>
            <rFont val="Calibri"/>
            <family val="2"/>
            <scheme val="minor"/>
          </rPr>
          <t>Introduzca un texto con la finalidad de la contratación</t>
        </r>
      </text>
    </comment>
    <comment ref="C956" authorId="1" shapeId="0" xr:uid="{B78C2247-D693-4639-B54A-9ADB3F5323F6}">
      <text>
        <r>
          <rPr>
            <sz val="11"/>
            <color theme="1"/>
            <rFont val="Calibri"/>
            <family val="2"/>
            <scheme val="minor"/>
          </rPr>
          <t>Seleccionar un valor del listado</t>
        </r>
      </text>
    </comment>
    <comment ref="D956" authorId="1" shapeId="0" xr:uid="{86ED8CC7-EAFA-4DC2-9883-80F92C5E0979}">
      <text>
        <r>
          <rPr>
            <sz val="11"/>
            <color theme="1"/>
            <rFont val="Calibri"/>
            <family val="2"/>
            <scheme val="minor"/>
          </rPr>
          <t>Seleccione el tipo de procedimiento</t>
        </r>
      </text>
    </comment>
    <comment ref="E956" authorId="1" shapeId="0" xr:uid="{8625AAFB-D399-43B5-96EE-5ECF0471AC71}">
      <text>
        <r>
          <rPr>
            <sz val="11"/>
            <color theme="1"/>
            <rFont val="Calibri"/>
            <family val="2"/>
            <scheme val="minor"/>
          </rPr>
          <t>Seleccione un valor de la lista</t>
        </r>
      </text>
    </comment>
    <comment ref="F956" authorId="1" shapeId="0" xr:uid="{417EB5FD-F8F4-47DA-A690-6D7AFFB63BAD}">
      <text>
        <r>
          <rPr>
            <sz val="11"/>
            <color theme="1"/>
            <rFont val="Calibri"/>
            <family val="2"/>
            <scheme val="minor"/>
          </rPr>
          <t>Introduzca el código SNIP</t>
        </r>
      </text>
    </comment>
    <comment ref="C957" authorId="1" shapeId="0" xr:uid="{2F436BB8-9256-402D-8066-FD9AC7E19882}">
      <text>
        <r>
          <rPr>
            <sz val="11"/>
            <color theme="1"/>
            <rFont val="Calibri"/>
            <family val="2"/>
            <scheme val="minor"/>
          </rPr>
          <t>Introduzca la fecha de inicio del proceso, en formato dd-mm-aaaa</t>
        </r>
      </text>
    </comment>
    <comment ref="F957" authorId="1" shapeId="0" xr:uid="{8C36DCF9-D4EB-4D97-8C91-6864ED3A19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8" authorId="1" shapeId="0" xr:uid="{4BAC04E0-FA8A-4AD8-BDFB-73ECBDF1CD77}">
      <text/>
    </comment>
    <comment ref="C959" authorId="1" shapeId="0" xr:uid="{F2A945E5-D396-4DCA-8F13-DCA09F3F8141}">
      <text>
        <r>
          <rPr>
            <sz val="11"/>
            <color theme="1"/>
            <rFont val="Calibri"/>
            <family val="2"/>
            <scheme val="minor"/>
          </rPr>
          <t>Introduzca la fecha prevista de adjudicación, en formato dd-mm-aaaa</t>
        </r>
      </text>
    </comment>
    <comment ref="F959" authorId="1" shapeId="0" xr:uid="{22115C54-CEDA-472D-9070-C72EAB12498A}">
      <text/>
    </comment>
    <comment ref="F960" authorId="1" shapeId="0" xr:uid="{4C3D567C-65B0-46B6-A2CE-3D5969F62EAD}">
      <text/>
    </comment>
    <comment ref="A962" authorId="1" shapeId="0" xr:uid="{D2A83FB4-7653-4A26-B11C-5B14DB55821E}">
      <text>
        <r>
          <rPr>
            <sz val="11"/>
            <color theme="1"/>
            <rFont val="Calibri"/>
            <family val="2"/>
            <scheme val="minor"/>
          </rPr>
          <t>Introduzca un codigo UNSPSC</t>
        </r>
      </text>
    </comment>
    <comment ref="B962" authorId="1" shapeId="0" xr:uid="{E370D05D-743C-48F7-B99B-95947F555907}">
      <text>
        <r>
          <rPr>
            <sz val="11"/>
            <color theme="1"/>
            <rFont val="Calibri"/>
            <family val="2"/>
            <scheme val="minor"/>
          </rPr>
          <t>Descripción calculada automáticamente a partir de código del artículo</t>
        </r>
      </text>
    </comment>
    <comment ref="C962" authorId="1" shapeId="0" xr:uid="{3BE73A42-A750-451E-A479-B4DFAAE6594E}">
      <text>
        <r>
          <rPr>
            <sz val="11"/>
            <color theme="1"/>
            <rFont val="Calibri"/>
            <family val="2"/>
            <scheme val="minor"/>
          </rPr>
          <t>Seleccione un valor de la lista</t>
        </r>
      </text>
    </comment>
    <comment ref="D962" authorId="1" shapeId="0" xr:uid="{39B4F39F-DADA-4F29-A4F2-027FCDFE01F6}">
      <text>
        <r>
          <rPr>
            <sz val="11"/>
            <color theme="1"/>
            <rFont val="Calibri"/>
            <family val="2"/>
            <scheme val="minor"/>
          </rPr>
          <t>Introduzca un número con dos decimales como máximo. Debe ser igual o mayor a la "Cantidad Real Consumida"</t>
        </r>
      </text>
    </comment>
    <comment ref="E962" authorId="1" shapeId="0" xr:uid="{6F7312F2-926B-413B-8463-AE6E8F587E91}">
      <text>
        <r>
          <rPr>
            <sz val="11"/>
            <color theme="1"/>
            <rFont val="Calibri"/>
            <family val="2"/>
            <scheme val="minor"/>
          </rPr>
          <t>Introduzca un número con dos decimales como máximo</t>
        </r>
      </text>
    </comment>
    <comment ref="F962" authorId="1" shapeId="0" xr:uid="{FFB9A42C-7E86-4312-88FB-DE853BA4C409}">
      <text>
        <r>
          <rPr>
            <sz val="11"/>
            <color theme="1"/>
            <rFont val="Calibri"/>
            <family val="2"/>
            <scheme val="minor"/>
          </rPr>
          <t>Monto calculado automáticamente por el sistema</t>
        </r>
      </text>
    </comment>
    <comment ref="A968" authorId="1" shapeId="0" xr:uid="{D2C48AE7-7803-4AA8-B316-7D791E8DCA49}">
      <text>
        <r>
          <rPr>
            <sz val="11"/>
            <color theme="1"/>
            <rFont val="Calibri"/>
            <family val="2"/>
            <scheme val="minor"/>
          </rPr>
          <t>Introducir un texto con el nombre o referencia de la contratación</t>
        </r>
      </text>
    </comment>
    <comment ref="B968" authorId="1" shapeId="0" xr:uid="{3A84756E-F7CB-4F4E-B36E-3176819984D7}">
      <text>
        <r>
          <rPr>
            <sz val="11"/>
            <color theme="1"/>
            <rFont val="Calibri"/>
            <family val="2"/>
            <scheme val="minor"/>
          </rPr>
          <t>Introduzca un texto con la finalidad de la contratación</t>
        </r>
      </text>
    </comment>
    <comment ref="C968" authorId="1" shapeId="0" xr:uid="{90379DD4-5BA9-4355-8BE6-E7544E3EBACA}">
      <text>
        <r>
          <rPr>
            <sz val="11"/>
            <color theme="1"/>
            <rFont val="Calibri"/>
            <family val="2"/>
            <scheme val="minor"/>
          </rPr>
          <t>Seleccionar un valor del listado</t>
        </r>
      </text>
    </comment>
    <comment ref="D968" authorId="1" shapeId="0" xr:uid="{CC0AECE5-8C6B-4351-8F97-A58C34BD02F1}">
      <text>
        <r>
          <rPr>
            <sz val="11"/>
            <color theme="1"/>
            <rFont val="Calibri"/>
            <family val="2"/>
            <scheme val="minor"/>
          </rPr>
          <t>Seleccione el tipo de procedimiento</t>
        </r>
      </text>
    </comment>
    <comment ref="E968" authorId="1" shapeId="0" xr:uid="{276C9BDB-2DBC-4815-B530-DEB52C111D38}">
      <text>
        <r>
          <rPr>
            <sz val="11"/>
            <color theme="1"/>
            <rFont val="Calibri"/>
            <family val="2"/>
            <scheme val="minor"/>
          </rPr>
          <t>Seleccione un valor de la lista</t>
        </r>
      </text>
    </comment>
    <comment ref="F968" authorId="1" shapeId="0" xr:uid="{15933948-E3D8-411C-8468-283FE9270B96}">
      <text>
        <r>
          <rPr>
            <sz val="11"/>
            <color theme="1"/>
            <rFont val="Calibri"/>
            <family val="2"/>
            <scheme val="minor"/>
          </rPr>
          <t>Introduzca el código SNIP</t>
        </r>
      </text>
    </comment>
    <comment ref="C969" authorId="1" shapeId="0" xr:uid="{358165C1-BE37-4A84-8AC2-49127F597EE4}">
      <text>
        <r>
          <rPr>
            <sz val="11"/>
            <color theme="1"/>
            <rFont val="Calibri"/>
            <family val="2"/>
            <scheme val="minor"/>
          </rPr>
          <t>Introduzca la fecha de inicio del proceso, en formato dd-mm-aaaa</t>
        </r>
      </text>
    </comment>
    <comment ref="F969" authorId="1" shapeId="0" xr:uid="{1837EA61-0BA1-4466-81E9-0BF6D91E0B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1" shapeId="0" xr:uid="{CDC1EDA8-9308-4DD1-B9ED-BE20576478DB}">
      <text/>
    </comment>
    <comment ref="C971" authorId="1" shapeId="0" xr:uid="{6642C507-51CD-4B55-893B-CDA528BBFA0D}">
      <text>
        <r>
          <rPr>
            <sz val="11"/>
            <color theme="1"/>
            <rFont val="Calibri"/>
            <family val="2"/>
            <scheme val="minor"/>
          </rPr>
          <t>Introduzca la fecha prevista de adjudicación, en formato dd-mm-aaaa</t>
        </r>
      </text>
    </comment>
    <comment ref="F971" authorId="1" shapeId="0" xr:uid="{BFC919C6-6F47-4EFE-9AF9-D049BE4D8F5B}">
      <text/>
    </comment>
    <comment ref="F972" authorId="1" shapeId="0" xr:uid="{FA249C73-2372-4601-9BDD-80299A8BB8C9}">
      <text/>
    </comment>
    <comment ref="A974" authorId="1" shapeId="0" xr:uid="{B0DF00D1-E13F-4597-998A-1D01B1EF4D86}">
      <text>
        <r>
          <rPr>
            <sz val="11"/>
            <color theme="1"/>
            <rFont val="Calibri"/>
            <family val="2"/>
            <scheme val="minor"/>
          </rPr>
          <t>Introduzca un codigo UNSPSC</t>
        </r>
      </text>
    </comment>
    <comment ref="B974" authorId="1" shapeId="0" xr:uid="{8BF43B34-A3A9-4FBC-B9D8-5573A75807B9}">
      <text>
        <r>
          <rPr>
            <sz val="11"/>
            <color theme="1"/>
            <rFont val="Calibri"/>
            <family val="2"/>
            <scheme val="minor"/>
          </rPr>
          <t>Descripción calculada automáticamente a partir de código del artículo</t>
        </r>
      </text>
    </comment>
    <comment ref="C974" authorId="1" shapeId="0" xr:uid="{2948F034-24CD-4B03-B7C0-24FC1337D08A}">
      <text>
        <r>
          <rPr>
            <sz val="11"/>
            <color theme="1"/>
            <rFont val="Calibri"/>
            <family val="2"/>
            <scheme val="minor"/>
          </rPr>
          <t>Seleccione un valor de la lista</t>
        </r>
      </text>
    </comment>
    <comment ref="D974" authorId="1" shapeId="0" xr:uid="{44E00D78-AEBD-4F98-AB40-77CD69DD2B28}">
      <text>
        <r>
          <rPr>
            <sz val="11"/>
            <color theme="1"/>
            <rFont val="Calibri"/>
            <family val="2"/>
            <scheme val="minor"/>
          </rPr>
          <t>Introduzca un número con dos decimales como máximo. Debe ser igual o mayor a la "Cantidad Real Consumida"</t>
        </r>
      </text>
    </comment>
    <comment ref="E974" authorId="1" shapeId="0" xr:uid="{10E70AB4-3501-441D-8AE4-82E796C79E5E}">
      <text>
        <r>
          <rPr>
            <sz val="11"/>
            <color theme="1"/>
            <rFont val="Calibri"/>
            <family val="2"/>
            <scheme val="minor"/>
          </rPr>
          <t>Introduzca un número con dos decimales como máximo</t>
        </r>
      </text>
    </comment>
    <comment ref="F974" authorId="1" shapeId="0" xr:uid="{605E1926-3FA3-467C-A535-2DC6741FC470}">
      <text>
        <r>
          <rPr>
            <sz val="11"/>
            <color theme="1"/>
            <rFont val="Calibri"/>
            <family val="2"/>
            <scheme val="minor"/>
          </rPr>
          <t>Monto calculado automáticamente por el sistema</t>
        </r>
      </text>
    </comment>
    <comment ref="A982" authorId="1" shapeId="0" xr:uid="{597B0269-E8AA-499D-879A-44A356866D6F}">
      <text>
        <r>
          <rPr>
            <sz val="11"/>
            <color theme="1"/>
            <rFont val="Calibri"/>
            <family val="2"/>
            <scheme val="minor"/>
          </rPr>
          <t>Introducir un texto con el nombre o referencia de la contratación</t>
        </r>
      </text>
    </comment>
    <comment ref="B982" authorId="1" shapeId="0" xr:uid="{ABABBA45-15A3-4089-A8F2-D6EE99E5DA48}">
      <text>
        <r>
          <rPr>
            <sz val="11"/>
            <color theme="1"/>
            <rFont val="Calibri"/>
            <family val="2"/>
            <scheme val="minor"/>
          </rPr>
          <t>Introduzca un texto con la finalidad de la contratación</t>
        </r>
      </text>
    </comment>
    <comment ref="C982" authorId="1" shapeId="0" xr:uid="{4BCF061F-1CE5-435C-81A2-220B99A496EB}">
      <text>
        <r>
          <rPr>
            <sz val="11"/>
            <color theme="1"/>
            <rFont val="Calibri"/>
            <family val="2"/>
            <scheme val="minor"/>
          </rPr>
          <t>Seleccionar un valor del listado</t>
        </r>
      </text>
    </comment>
    <comment ref="D982" authorId="1" shapeId="0" xr:uid="{7FB0333F-2E01-4A21-ADA8-C16AEE77BDE7}">
      <text>
        <r>
          <rPr>
            <sz val="11"/>
            <color theme="1"/>
            <rFont val="Calibri"/>
            <family val="2"/>
            <scheme val="minor"/>
          </rPr>
          <t>Seleccione el tipo de procedimiento</t>
        </r>
      </text>
    </comment>
    <comment ref="E982" authorId="1" shapeId="0" xr:uid="{8F5DE6BB-D66D-43B3-9A40-6AB779C72B2F}">
      <text>
        <r>
          <rPr>
            <sz val="11"/>
            <color theme="1"/>
            <rFont val="Calibri"/>
            <family val="2"/>
            <scheme val="minor"/>
          </rPr>
          <t>Seleccione un valor de la lista</t>
        </r>
      </text>
    </comment>
    <comment ref="F982" authorId="1" shapeId="0" xr:uid="{F1FBE6F7-0C50-4A0D-B3B2-BFBAEDFFCBC0}">
      <text>
        <r>
          <rPr>
            <sz val="11"/>
            <color theme="1"/>
            <rFont val="Calibri"/>
            <family val="2"/>
            <scheme val="minor"/>
          </rPr>
          <t>Introduzca el código SNIP</t>
        </r>
      </text>
    </comment>
    <comment ref="C983" authorId="1" shapeId="0" xr:uid="{2EF3EA43-2B78-48F0-9E05-E3396D33494F}">
      <text>
        <r>
          <rPr>
            <sz val="11"/>
            <color theme="1"/>
            <rFont val="Calibri"/>
            <family val="2"/>
            <scheme val="minor"/>
          </rPr>
          <t>Introduzca la fecha de inicio del proceso, en formato dd-mm-aaaa</t>
        </r>
      </text>
    </comment>
    <comment ref="F983" authorId="1" shapeId="0" xr:uid="{F634B3E3-BB08-47D2-8C5F-5C38BFE01D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4" authorId="1" shapeId="0" xr:uid="{EF8D4BE8-A5E4-4AB5-B281-F1ACFA1601B5}">
      <text/>
    </comment>
    <comment ref="C985" authorId="1" shapeId="0" xr:uid="{DBEA9AF1-0BF0-4775-B379-F2B67B5BF264}">
      <text>
        <r>
          <rPr>
            <sz val="11"/>
            <color theme="1"/>
            <rFont val="Calibri"/>
            <family val="2"/>
            <scheme val="minor"/>
          </rPr>
          <t>Introduzca la fecha prevista de adjudicación, en formato dd-mm-aaaa</t>
        </r>
      </text>
    </comment>
    <comment ref="F985" authorId="1" shapeId="0" xr:uid="{9231FEA9-57DE-4DD9-93D0-3146C4CDDF63}">
      <text/>
    </comment>
    <comment ref="F986" authorId="1" shapeId="0" xr:uid="{3EE9C837-C214-4C82-8897-CDC3EE84F30D}">
      <text/>
    </comment>
    <comment ref="A988" authorId="1" shapeId="0" xr:uid="{1C31AF3C-5D4B-4EFC-9AD5-0B0968ED8C26}">
      <text>
        <r>
          <rPr>
            <sz val="11"/>
            <color theme="1"/>
            <rFont val="Calibri"/>
            <family val="2"/>
            <scheme val="minor"/>
          </rPr>
          <t>Introduzca un codigo UNSPSC</t>
        </r>
      </text>
    </comment>
    <comment ref="B988" authorId="1" shapeId="0" xr:uid="{B4A32A75-217E-43F5-B1FC-6CA60840261B}">
      <text>
        <r>
          <rPr>
            <sz val="11"/>
            <color theme="1"/>
            <rFont val="Calibri"/>
            <family val="2"/>
            <scheme val="minor"/>
          </rPr>
          <t>Descripción calculada automáticamente a partir de código del artículo</t>
        </r>
      </text>
    </comment>
    <comment ref="C988" authorId="1" shapeId="0" xr:uid="{4865C539-43F6-4181-B491-FFB58035F747}">
      <text>
        <r>
          <rPr>
            <sz val="11"/>
            <color theme="1"/>
            <rFont val="Calibri"/>
            <family val="2"/>
            <scheme val="minor"/>
          </rPr>
          <t>Seleccione un valor de la lista</t>
        </r>
      </text>
    </comment>
    <comment ref="D988" authorId="1" shapeId="0" xr:uid="{6CE6DBF6-8E75-4CC0-B1C5-F59FBE256291}">
      <text>
        <r>
          <rPr>
            <sz val="11"/>
            <color theme="1"/>
            <rFont val="Calibri"/>
            <family val="2"/>
            <scheme val="minor"/>
          </rPr>
          <t>Introduzca un número con dos decimales como máximo. Debe ser igual o mayor a la "Cantidad Real Consumida"</t>
        </r>
      </text>
    </comment>
    <comment ref="E988" authorId="1" shapeId="0" xr:uid="{AADE8AB0-2461-434B-BDEE-7F039464F132}">
      <text>
        <r>
          <rPr>
            <sz val="11"/>
            <color theme="1"/>
            <rFont val="Calibri"/>
            <family val="2"/>
            <scheme val="minor"/>
          </rPr>
          <t>Introduzca un número con dos decimales como máximo</t>
        </r>
      </text>
    </comment>
    <comment ref="F988" authorId="1" shapeId="0" xr:uid="{B344036C-3DC4-434E-A027-4238A292CB11}">
      <text>
        <r>
          <rPr>
            <sz val="11"/>
            <color theme="1"/>
            <rFont val="Calibri"/>
            <family val="2"/>
            <scheme val="minor"/>
          </rPr>
          <t>Monto calculado automáticamente por el sistema</t>
        </r>
      </text>
    </comment>
    <comment ref="A996" authorId="1" shapeId="0" xr:uid="{60629426-588A-416F-8929-006E25CAB9D5}">
      <text>
        <r>
          <rPr>
            <sz val="11"/>
            <color theme="1"/>
            <rFont val="Calibri"/>
            <family val="2"/>
            <scheme val="minor"/>
          </rPr>
          <t>Introducir un texto con el nombre o referencia de la contratación</t>
        </r>
      </text>
    </comment>
    <comment ref="B996" authorId="1" shapeId="0" xr:uid="{C19CA997-DAFD-40FD-9735-3BDD8BB633EF}">
      <text>
        <r>
          <rPr>
            <sz val="11"/>
            <color theme="1"/>
            <rFont val="Calibri"/>
            <family val="2"/>
            <scheme val="minor"/>
          </rPr>
          <t>Introduzca un texto con la finalidad de la contratación</t>
        </r>
      </text>
    </comment>
    <comment ref="C996" authorId="1" shapeId="0" xr:uid="{D1B65819-1418-4FE3-9DD7-BB78C1C125D1}">
      <text>
        <r>
          <rPr>
            <sz val="11"/>
            <color theme="1"/>
            <rFont val="Calibri"/>
            <family val="2"/>
            <scheme val="minor"/>
          </rPr>
          <t>Seleccionar un valor del listado</t>
        </r>
      </text>
    </comment>
    <comment ref="D996" authorId="1" shapeId="0" xr:uid="{303D1FCC-5097-476A-9F14-EE7F9EEA12A2}">
      <text>
        <r>
          <rPr>
            <sz val="11"/>
            <color theme="1"/>
            <rFont val="Calibri"/>
            <family val="2"/>
            <scheme val="minor"/>
          </rPr>
          <t>Seleccione el tipo de procedimiento</t>
        </r>
      </text>
    </comment>
    <comment ref="E996" authorId="1" shapeId="0" xr:uid="{311B4B7E-CC8A-40BC-9C3B-F84F1BEB1884}">
      <text>
        <r>
          <rPr>
            <sz val="11"/>
            <color theme="1"/>
            <rFont val="Calibri"/>
            <family val="2"/>
            <scheme val="minor"/>
          </rPr>
          <t>Seleccione un valor de la lista</t>
        </r>
      </text>
    </comment>
    <comment ref="F996" authorId="1" shapeId="0" xr:uid="{52149437-3DC8-4E1E-B223-6388F7C44F33}">
      <text>
        <r>
          <rPr>
            <sz val="11"/>
            <color theme="1"/>
            <rFont val="Calibri"/>
            <family val="2"/>
            <scheme val="minor"/>
          </rPr>
          <t>Introduzca el código SNIP</t>
        </r>
      </text>
    </comment>
    <comment ref="C997" authorId="1" shapeId="0" xr:uid="{0139825A-6565-48FB-827F-FAC68D836211}">
      <text>
        <r>
          <rPr>
            <sz val="11"/>
            <color theme="1"/>
            <rFont val="Calibri"/>
            <family val="2"/>
            <scheme val="minor"/>
          </rPr>
          <t>Introduzca la fecha de inicio del proceso, en formato dd-mm-aaaa</t>
        </r>
      </text>
    </comment>
    <comment ref="F997" authorId="1" shapeId="0" xr:uid="{9B83208D-C477-4536-B259-42C1FDE770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8" authorId="1" shapeId="0" xr:uid="{4B35EF13-441A-4DDB-A4AA-75875CEDA800}">
      <text/>
    </comment>
    <comment ref="C999" authorId="1" shapeId="0" xr:uid="{911458E7-D71D-4EEE-B086-E21C087AACEB}">
      <text>
        <r>
          <rPr>
            <sz val="11"/>
            <color theme="1"/>
            <rFont val="Calibri"/>
            <family val="2"/>
            <scheme val="minor"/>
          </rPr>
          <t>Introduzca la fecha prevista de adjudicación, en formato dd-mm-aaaa</t>
        </r>
      </text>
    </comment>
    <comment ref="F999" authorId="1" shapeId="0" xr:uid="{F8EC3C7D-9E40-407F-B8B3-CBE4F1E125F3}">
      <text/>
    </comment>
    <comment ref="F1000" authorId="1" shapeId="0" xr:uid="{ABFA274D-48A4-4484-8CBB-B386C5E75880}">
      <text/>
    </comment>
    <comment ref="A1002" authorId="1" shapeId="0" xr:uid="{1A8BC919-FC33-4346-B9D1-782E9B7C2043}">
      <text>
        <r>
          <rPr>
            <sz val="11"/>
            <color theme="1"/>
            <rFont val="Calibri"/>
            <family val="2"/>
            <scheme val="minor"/>
          </rPr>
          <t>Introduzca un codigo UNSPSC</t>
        </r>
      </text>
    </comment>
    <comment ref="B1002" authorId="1" shapeId="0" xr:uid="{91130714-AE10-41FF-911D-3E559822CFAB}">
      <text>
        <r>
          <rPr>
            <sz val="11"/>
            <color theme="1"/>
            <rFont val="Calibri"/>
            <family val="2"/>
            <scheme val="minor"/>
          </rPr>
          <t>Descripción calculada automáticamente a partir de código del artículo</t>
        </r>
      </text>
    </comment>
    <comment ref="C1002" authorId="1" shapeId="0" xr:uid="{E524A8C5-2BAF-4612-BABB-6F37FF1EF4B2}">
      <text>
        <r>
          <rPr>
            <sz val="11"/>
            <color theme="1"/>
            <rFont val="Calibri"/>
            <family val="2"/>
            <scheme val="minor"/>
          </rPr>
          <t>Seleccione un valor de la lista</t>
        </r>
      </text>
    </comment>
    <comment ref="D1002" authorId="1" shapeId="0" xr:uid="{70A66588-6A7B-458E-93D7-288479FBB7CE}">
      <text>
        <r>
          <rPr>
            <sz val="11"/>
            <color theme="1"/>
            <rFont val="Calibri"/>
            <family val="2"/>
            <scheme val="minor"/>
          </rPr>
          <t>Introduzca un número con dos decimales como máximo. Debe ser igual o mayor a la "Cantidad Real Consumida"</t>
        </r>
      </text>
    </comment>
    <comment ref="E1002" authorId="1" shapeId="0" xr:uid="{1033648F-634D-4FE6-AD5E-05DAFD9313EE}">
      <text>
        <r>
          <rPr>
            <sz val="11"/>
            <color theme="1"/>
            <rFont val="Calibri"/>
            <family val="2"/>
            <scheme val="minor"/>
          </rPr>
          <t>Introduzca un número con dos decimales como máximo</t>
        </r>
      </text>
    </comment>
    <comment ref="F1002" authorId="1" shapeId="0" xr:uid="{4159BA7E-70B3-42DE-B222-EB2968EC7B5E}">
      <text>
        <r>
          <rPr>
            <sz val="11"/>
            <color theme="1"/>
            <rFont val="Calibri"/>
            <family val="2"/>
            <scheme val="minor"/>
          </rPr>
          <t>Monto calculado automáticamente por el sistema</t>
        </r>
      </text>
    </comment>
    <comment ref="A1007" authorId="1" shapeId="0" xr:uid="{5A528559-F6CD-4306-9387-8D6A014CF66D}">
      <text>
        <r>
          <rPr>
            <sz val="11"/>
            <color theme="1"/>
            <rFont val="Calibri"/>
            <family val="2"/>
            <scheme val="minor"/>
          </rPr>
          <t>Introducir un texto con el nombre o referencia de la contratación</t>
        </r>
      </text>
    </comment>
    <comment ref="B1007" authorId="1" shapeId="0" xr:uid="{8E129D5D-F135-430E-AC49-EDC625DD305C}">
      <text>
        <r>
          <rPr>
            <sz val="11"/>
            <color theme="1"/>
            <rFont val="Calibri"/>
            <family val="2"/>
            <scheme val="minor"/>
          </rPr>
          <t>Introduzca un texto con la finalidad de la contratación</t>
        </r>
      </text>
    </comment>
    <comment ref="C1007" authorId="1" shapeId="0" xr:uid="{B632B25A-1EE9-467C-BB07-5B9E7F3709F6}">
      <text>
        <r>
          <rPr>
            <sz val="11"/>
            <color theme="1"/>
            <rFont val="Calibri"/>
            <family val="2"/>
            <scheme val="minor"/>
          </rPr>
          <t>Seleccionar un valor del listado</t>
        </r>
      </text>
    </comment>
    <comment ref="D1007" authorId="1" shapeId="0" xr:uid="{4174014D-C75F-4053-87DF-46D711B5403E}">
      <text>
        <r>
          <rPr>
            <sz val="11"/>
            <color theme="1"/>
            <rFont val="Calibri"/>
            <family val="2"/>
            <scheme val="minor"/>
          </rPr>
          <t>Seleccione el tipo de procedimiento</t>
        </r>
      </text>
    </comment>
    <comment ref="E1007" authorId="1" shapeId="0" xr:uid="{C04EAADB-64CE-4119-9062-FFE7831B5BFE}">
      <text>
        <r>
          <rPr>
            <sz val="11"/>
            <color theme="1"/>
            <rFont val="Calibri"/>
            <family val="2"/>
            <scheme val="minor"/>
          </rPr>
          <t>Seleccione un valor de la lista</t>
        </r>
      </text>
    </comment>
    <comment ref="F1007" authorId="1" shapeId="0" xr:uid="{B88CB5EF-521D-4B88-B2B5-5B72B24C7825}">
      <text>
        <r>
          <rPr>
            <sz val="11"/>
            <color theme="1"/>
            <rFont val="Calibri"/>
            <family val="2"/>
            <scheme val="minor"/>
          </rPr>
          <t>Introduzca el código SNIP</t>
        </r>
      </text>
    </comment>
    <comment ref="C1008" authorId="1" shapeId="0" xr:uid="{E2AF8BD9-DC63-4156-8728-FDD1DEEACA04}">
      <text>
        <r>
          <rPr>
            <sz val="11"/>
            <color theme="1"/>
            <rFont val="Calibri"/>
            <family val="2"/>
            <scheme val="minor"/>
          </rPr>
          <t>Introduzca la fecha de inicio del proceso, en formato dd-mm-aaaa</t>
        </r>
      </text>
    </comment>
    <comment ref="F1008" authorId="1" shapeId="0" xr:uid="{905DEA53-44C1-4965-A4B5-C475B83354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xr:uid="{27496390-3DB8-4376-9459-23CBC501782F}">
      <text/>
    </comment>
    <comment ref="C1010" authorId="1" shapeId="0" xr:uid="{0228E8A3-374D-41CA-B68B-7B3B57D08DB9}">
      <text>
        <r>
          <rPr>
            <sz val="11"/>
            <color theme="1"/>
            <rFont val="Calibri"/>
            <family val="2"/>
            <scheme val="minor"/>
          </rPr>
          <t>Introduzca la fecha prevista de adjudicación, en formato dd-mm-aaaa</t>
        </r>
      </text>
    </comment>
    <comment ref="F1010" authorId="1" shapeId="0" xr:uid="{19929031-BA48-4A7E-ACE5-60F8C7BB2112}">
      <text/>
    </comment>
    <comment ref="F1011" authorId="1" shapeId="0" xr:uid="{6BB46C75-82C3-4B00-ADE5-FACFEDF6AA8D}">
      <text/>
    </comment>
    <comment ref="A1013" authorId="1" shapeId="0" xr:uid="{66963B37-3B6A-4F96-92C0-A893768630C0}">
      <text>
        <r>
          <rPr>
            <sz val="11"/>
            <color theme="1"/>
            <rFont val="Calibri"/>
            <family val="2"/>
            <scheme val="minor"/>
          </rPr>
          <t>Introduzca un codigo UNSPSC</t>
        </r>
      </text>
    </comment>
    <comment ref="B1013" authorId="1" shapeId="0" xr:uid="{56D8D485-AF37-4846-A9BA-C88C91049983}">
      <text>
        <r>
          <rPr>
            <sz val="11"/>
            <color theme="1"/>
            <rFont val="Calibri"/>
            <family val="2"/>
            <scheme val="minor"/>
          </rPr>
          <t>Descripción calculada automáticamente a partir de código del artículo</t>
        </r>
      </text>
    </comment>
    <comment ref="C1013" authorId="1" shapeId="0" xr:uid="{3D667819-CA14-440B-83D5-7FC40A82C1A3}">
      <text>
        <r>
          <rPr>
            <sz val="11"/>
            <color theme="1"/>
            <rFont val="Calibri"/>
            <family val="2"/>
            <scheme val="minor"/>
          </rPr>
          <t>Seleccione un valor de la lista</t>
        </r>
      </text>
    </comment>
    <comment ref="D1013" authorId="1" shapeId="0" xr:uid="{2D2B1483-A983-4749-9463-455380545C7E}">
      <text>
        <r>
          <rPr>
            <sz val="11"/>
            <color theme="1"/>
            <rFont val="Calibri"/>
            <family val="2"/>
            <scheme val="minor"/>
          </rPr>
          <t>Introduzca un número con dos decimales como máximo. Debe ser igual o mayor a la "Cantidad Real Consumida"</t>
        </r>
      </text>
    </comment>
    <comment ref="E1013" authorId="1" shapeId="0" xr:uid="{44A8A9DC-97AC-410A-ABF8-66330888BBB6}">
      <text>
        <r>
          <rPr>
            <sz val="11"/>
            <color theme="1"/>
            <rFont val="Calibri"/>
            <family val="2"/>
            <scheme val="minor"/>
          </rPr>
          <t>Introduzca un número con dos decimales como máximo</t>
        </r>
      </text>
    </comment>
    <comment ref="F1013" authorId="1" shapeId="0" xr:uid="{FF106E41-9B8E-4FCB-8F9A-90E029F2EE38}">
      <text>
        <r>
          <rPr>
            <sz val="11"/>
            <color theme="1"/>
            <rFont val="Calibri"/>
            <family val="2"/>
            <scheme val="minor"/>
          </rPr>
          <t>Monto calculado automáticamente por el sistema</t>
        </r>
      </text>
    </comment>
    <comment ref="A1018" authorId="1" shapeId="0" xr:uid="{5EAEF0DE-E100-4686-B253-978E2B0BC58F}">
      <text>
        <r>
          <rPr>
            <sz val="11"/>
            <color theme="1"/>
            <rFont val="Calibri"/>
            <family val="2"/>
            <scheme val="minor"/>
          </rPr>
          <t>Introducir un texto con el nombre o referencia de la contratación</t>
        </r>
      </text>
    </comment>
    <comment ref="B1018" authorId="1" shapeId="0" xr:uid="{682AA3BC-F885-4BE5-8C75-F07AA313E1FA}">
      <text>
        <r>
          <rPr>
            <sz val="11"/>
            <color theme="1"/>
            <rFont val="Calibri"/>
            <family val="2"/>
            <scheme val="minor"/>
          </rPr>
          <t>Introduzca un texto con la finalidad de la contratación</t>
        </r>
      </text>
    </comment>
    <comment ref="C1018" authorId="1" shapeId="0" xr:uid="{9BD37605-42FA-4F83-9ADC-C74943FD5045}">
      <text>
        <r>
          <rPr>
            <sz val="11"/>
            <color theme="1"/>
            <rFont val="Calibri"/>
            <family val="2"/>
            <scheme val="minor"/>
          </rPr>
          <t>Seleccionar un valor del listado</t>
        </r>
      </text>
    </comment>
    <comment ref="D1018" authorId="1" shapeId="0" xr:uid="{D0532656-DE92-4778-98B9-B232B0727120}">
      <text>
        <r>
          <rPr>
            <sz val="11"/>
            <color theme="1"/>
            <rFont val="Calibri"/>
            <family val="2"/>
            <scheme val="minor"/>
          </rPr>
          <t>Seleccione el tipo de procedimiento</t>
        </r>
      </text>
    </comment>
    <comment ref="E1018" authorId="1" shapeId="0" xr:uid="{00F3B257-8590-4E67-8AC7-96F4A76CC56B}">
      <text>
        <r>
          <rPr>
            <sz val="11"/>
            <color theme="1"/>
            <rFont val="Calibri"/>
            <family val="2"/>
            <scheme val="minor"/>
          </rPr>
          <t>Seleccione un valor de la lista</t>
        </r>
      </text>
    </comment>
    <comment ref="F1018" authorId="1" shapeId="0" xr:uid="{EAE118F3-216E-4270-B90B-4620C0E11D2B}">
      <text>
        <r>
          <rPr>
            <sz val="11"/>
            <color theme="1"/>
            <rFont val="Calibri"/>
            <family val="2"/>
            <scheme val="minor"/>
          </rPr>
          <t>Introduzca el código SNIP</t>
        </r>
      </text>
    </comment>
    <comment ref="C1019" authorId="1" shapeId="0" xr:uid="{52F29FAC-915A-4699-AA59-BD27E77BEB8A}">
      <text>
        <r>
          <rPr>
            <sz val="11"/>
            <color theme="1"/>
            <rFont val="Calibri"/>
            <family val="2"/>
            <scheme val="minor"/>
          </rPr>
          <t>Introduzca la fecha de inicio del proceso, en formato dd-mm-aaaa</t>
        </r>
      </text>
    </comment>
    <comment ref="F1019" authorId="1" shapeId="0" xr:uid="{03E9671C-1B34-430B-ABDA-3C1B545272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1" shapeId="0" xr:uid="{04EFBDA2-C710-46DD-8202-086D5783768A}">
      <text/>
    </comment>
    <comment ref="C1021" authorId="1" shapeId="0" xr:uid="{89F3CE82-8523-4BCF-BE9F-DF0CD0F9F76B}">
      <text>
        <r>
          <rPr>
            <sz val="11"/>
            <color theme="1"/>
            <rFont val="Calibri"/>
            <family val="2"/>
            <scheme val="minor"/>
          </rPr>
          <t>Introduzca la fecha prevista de adjudicación, en formato dd-mm-aaaa</t>
        </r>
      </text>
    </comment>
    <comment ref="F1021" authorId="1" shapeId="0" xr:uid="{00C8E799-FADE-460D-A5B4-193601713459}">
      <text/>
    </comment>
    <comment ref="F1022" authorId="1" shapeId="0" xr:uid="{4EB1FEE5-CC3E-44B8-8126-47F4E63D328A}">
      <text/>
    </comment>
    <comment ref="A1024" authorId="1" shapeId="0" xr:uid="{F19BC732-8F1A-4F1F-A340-AAAE38BE7A5A}">
      <text>
        <r>
          <rPr>
            <sz val="11"/>
            <color theme="1"/>
            <rFont val="Calibri"/>
            <family val="2"/>
            <scheme val="minor"/>
          </rPr>
          <t>Introduzca un codigo UNSPSC</t>
        </r>
      </text>
    </comment>
    <comment ref="B1024" authorId="1" shapeId="0" xr:uid="{4E4A23AF-29DC-4431-92DE-7FA71AA65505}">
      <text>
        <r>
          <rPr>
            <sz val="11"/>
            <color theme="1"/>
            <rFont val="Calibri"/>
            <family val="2"/>
            <scheme val="minor"/>
          </rPr>
          <t>Descripción calculada automáticamente a partir de código del artículo</t>
        </r>
      </text>
    </comment>
    <comment ref="C1024" authorId="1" shapeId="0" xr:uid="{488AD62B-2CCF-4681-B879-172C80BACD58}">
      <text>
        <r>
          <rPr>
            <sz val="11"/>
            <color theme="1"/>
            <rFont val="Calibri"/>
            <family val="2"/>
            <scheme val="minor"/>
          </rPr>
          <t>Seleccione un valor de la lista</t>
        </r>
      </text>
    </comment>
    <comment ref="D1024" authorId="1" shapeId="0" xr:uid="{11E2B588-D8AF-4750-8F0A-39CD8954583B}">
      <text>
        <r>
          <rPr>
            <sz val="11"/>
            <color theme="1"/>
            <rFont val="Calibri"/>
            <family val="2"/>
            <scheme val="minor"/>
          </rPr>
          <t>Introduzca un número con dos decimales como máximo. Debe ser igual o mayor a la "Cantidad Real Consumida"</t>
        </r>
      </text>
    </comment>
    <comment ref="E1024" authorId="1" shapeId="0" xr:uid="{3BF39F2D-F8A7-4911-97D3-865D6BFE5FF6}">
      <text>
        <r>
          <rPr>
            <sz val="11"/>
            <color theme="1"/>
            <rFont val="Calibri"/>
            <family val="2"/>
            <scheme val="minor"/>
          </rPr>
          <t>Introduzca un número con dos decimales como máximo</t>
        </r>
      </text>
    </comment>
    <comment ref="F1024" authorId="1" shapeId="0" xr:uid="{351B7879-6474-44A4-AE34-E6048111020C}">
      <text>
        <r>
          <rPr>
            <sz val="11"/>
            <color theme="1"/>
            <rFont val="Calibri"/>
            <family val="2"/>
            <scheme val="minor"/>
          </rPr>
          <t>Monto calculado automáticamente por el sistema</t>
        </r>
      </text>
    </comment>
    <comment ref="A1029" authorId="1" shapeId="0" xr:uid="{AF08F04E-3454-4F91-974F-E6363E4B4098}">
      <text>
        <r>
          <rPr>
            <sz val="11"/>
            <color theme="1"/>
            <rFont val="Calibri"/>
            <family val="2"/>
            <scheme val="minor"/>
          </rPr>
          <t>Introducir un texto con el nombre o referencia de la contratación</t>
        </r>
      </text>
    </comment>
    <comment ref="B1029" authorId="1" shapeId="0" xr:uid="{1EACCC15-003F-4EDC-9182-33CF03591EF5}">
      <text>
        <r>
          <rPr>
            <sz val="11"/>
            <color theme="1"/>
            <rFont val="Calibri"/>
            <family val="2"/>
            <scheme val="minor"/>
          </rPr>
          <t>Introduzca un texto con la finalidad de la contratación</t>
        </r>
      </text>
    </comment>
    <comment ref="C1029" authorId="1" shapeId="0" xr:uid="{E8E95371-0B89-4844-BE4E-896E16455F4C}">
      <text>
        <r>
          <rPr>
            <sz val="11"/>
            <color theme="1"/>
            <rFont val="Calibri"/>
            <family val="2"/>
            <scheme val="minor"/>
          </rPr>
          <t>Seleccionar un valor del listado</t>
        </r>
      </text>
    </comment>
    <comment ref="D1029" authorId="1" shapeId="0" xr:uid="{FB4648FE-045D-49A3-95DB-52FF9D62150C}">
      <text>
        <r>
          <rPr>
            <sz val="11"/>
            <color theme="1"/>
            <rFont val="Calibri"/>
            <family val="2"/>
            <scheme val="minor"/>
          </rPr>
          <t>Seleccione el tipo de procedimiento</t>
        </r>
      </text>
    </comment>
    <comment ref="E1029" authorId="1" shapeId="0" xr:uid="{7CE6FB44-FA05-46F4-8887-53B8D943F778}">
      <text>
        <r>
          <rPr>
            <sz val="11"/>
            <color theme="1"/>
            <rFont val="Calibri"/>
            <family val="2"/>
            <scheme val="minor"/>
          </rPr>
          <t>Seleccione un valor de la lista</t>
        </r>
      </text>
    </comment>
    <comment ref="F1029" authorId="1" shapeId="0" xr:uid="{15CA1523-47CD-4D7C-A783-7135033CD629}">
      <text>
        <r>
          <rPr>
            <sz val="11"/>
            <color theme="1"/>
            <rFont val="Calibri"/>
            <family val="2"/>
            <scheme val="minor"/>
          </rPr>
          <t>Introduzca el código SNIP</t>
        </r>
      </text>
    </comment>
    <comment ref="C1030" authorId="1" shapeId="0" xr:uid="{8C5AD052-3CF6-466E-8B76-2209D8B70483}">
      <text>
        <r>
          <rPr>
            <sz val="11"/>
            <color theme="1"/>
            <rFont val="Calibri"/>
            <family val="2"/>
            <scheme val="minor"/>
          </rPr>
          <t>Introduzca la fecha de inicio del proceso, en formato dd-mm-aaaa</t>
        </r>
      </text>
    </comment>
    <comment ref="F1030" authorId="1" shapeId="0" xr:uid="{C51C9F53-00F7-47CF-BEF9-D0F7A8BC85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shapeId="0" xr:uid="{BFE07C8A-F025-42C1-B871-F4C39B136165}">
      <text/>
    </comment>
    <comment ref="C1032" authorId="1" shapeId="0" xr:uid="{CF483739-61DA-4CAF-822F-40734D9DDE68}">
      <text>
        <r>
          <rPr>
            <sz val="11"/>
            <color theme="1"/>
            <rFont val="Calibri"/>
            <family val="2"/>
            <scheme val="minor"/>
          </rPr>
          <t>Introduzca la fecha prevista de adjudicación, en formato dd-mm-aaaa</t>
        </r>
      </text>
    </comment>
    <comment ref="F1032" authorId="1" shapeId="0" xr:uid="{794AF5FF-E91C-4112-A9F7-2AB31ED028DE}">
      <text/>
    </comment>
    <comment ref="F1033" authorId="1" shapeId="0" xr:uid="{2901DFCB-8261-46D0-8E37-A230CA7A553C}">
      <text/>
    </comment>
    <comment ref="A1035" authorId="1" shapeId="0" xr:uid="{B7F0F862-118E-46D0-BB73-BEB9DC17A145}">
      <text>
        <r>
          <rPr>
            <sz val="11"/>
            <color theme="1"/>
            <rFont val="Calibri"/>
            <family val="2"/>
            <scheme val="minor"/>
          </rPr>
          <t>Introduzca un codigo UNSPSC</t>
        </r>
      </text>
    </comment>
    <comment ref="B1035" authorId="1" shapeId="0" xr:uid="{68966CFB-132C-44D3-B80D-7B4D8813D52B}">
      <text>
        <r>
          <rPr>
            <sz val="11"/>
            <color theme="1"/>
            <rFont val="Calibri"/>
            <family val="2"/>
            <scheme val="minor"/>
          </rPr>
          <t>Descripción calculada automáticamente a partir de código del artículo</t>
        </r>
      </text>
    </comment>
    <comment ref="C1035" authorId="1" shapeId="0" xr:uid="{ED3DFEBD-D9D3-42B5-85B9-9B75411D3B48}">
      <text>
        <r>
          <rPr>
            <sz val="11"/>
            <color theme="1"/>
            <rFont val="Calibri"/>
            <family val="2"/>
            <scheme val="minor"/>
          </rPr>
          <t>Seleccione un valor de la lista</t>
        </r>
      </text>
    </comment>
    <comment ref="D1035" authorId="1" shapeId="0" xr:uid="{1942CA05-60BE-466E-9845-90160407BEBF}">
      <text>
        <r>
          <rPr>
            <sz val="11"/>
            <color theme="1"/>
            <rFont val="Calibri"/>
            <family val="2"/>
            <scheme val="minor"/>
          </rPr>
          <t>Introduzca un número con dos decimales como máximo. Debe ser igual o mayor a la "Cantidad Real Consumida"</t>
        </r>
      </text>
    </comment>
    <comment ref="E1035" authorId="1" shapeId="0" xr:uid="{47645790-2926-4120-9B6C-49416179D56A}">
      <text>
        <r>
          <rPr>
            <sz val="11"/>
            <color theme="1"/>
            <rFont val="Calibri"/>
            <family val="2"/>
            <scheme val="minor"/>
          </rPr>
          <t>Introduzca un número con dos decimales como máximo</t>
        </r>
      </text>
    </comment>
    <comment ref="F1035" authorId="1" shapeId="0" xr:uid="{58B43CCE-16FB-415E-BC9E-FEF3C61D1D57}">
      <text>
        <r>
          <rPr>
            <sz val="11"/>
            <color theme="1"/>
            <rFont val="Calibri"/>
            <family val="2"/>
            <scheme val="minor"/>
          </rPr>
          <t>Monto calculado automáticamente por el sistema</t>
        </r>
      </text>
    </comment>
    <comment ref="A1040" authorId="1" shapeId="0" xr:uid="{F28D7236-4CFA-4801-8476-1D403F2488EE}">
      <text>
        <r>
          <rPr>
            <sz val="11"/>
            <color theme="1"/>
            <rFont val="Calibri"/>
            <family val="2"/>
            <scheme val="minor"/>
          </rPr>
          <t>Introducir un texto con el nombre o referencia de la contratación</t>
        </r>
      </text>
    </comment>
    <comment ref="B1040" authorId="1" shapeId="0" xr:uid="{C3069038-8BD7-4FAF-A449-EBC0F5C10924}">
      <text>
        <r>
          <rPr>
            <sz val="11"/>
            <color theme="1"/>
            <rFont val="Calibri"/>
            <family val="2"/>
            <scheme val="minor"/>
          </rPr>
          <t>Introduzca un texto con la finalidad de la contratación</t>
        </r>
      </text>
    </comment>
    <comment ref="C1040" authorId="1" shapeId="0" xr:uid="{020262C2-CF7E-429F-B8E2-5E6A16AACCCA}">
      <text>
        <r>
          <rPr>
            <sz val="11"/>
            <color theme="1"/>
            <rFont val="Calibri"/>
            <family val="2"/>
            <scheme val="minor"/>
          </rPr>
          <t>Seleccionar un valor del listado</t>
        </r>
      </text>
    </comment>
    <comment ref="D1040" authorId="1" shapeId="0" xr:uid="{C403684B-7150-4299-9542-6B4D305366A4}">
      <text>
        <r>
          <rPr>
            <sz val="11"/>
            <color theme="1"/>
            <rFont val="Calibri"/>
            <family val="2"/>
            <scheme val="minor"/>
          </rPr>
          <t>Seleccione el tipo de procedimiento</t>
        </r>
      </text>
    </comment>
    <comment ref="E1040" authorId="1" shapeId="0" xr:uid="{59C10D3E-BF58-4489-AD05-282CB3220DF3}">
      <text>
        <r>
          <rPr>
            <sz val="11"/>
            <color theme="1"/>
            <rFont val="Calibri"/>
            <family val="2"/>
            <scheme val="minor"/>
          </rPr>
          <t>Seleccione un valor de la lista</t>
        </r>
      </text>
    </comment>
    <comment ref="F1040" authorId="1" shapeId="0" xr:uid="{75C5F4B0-3D6F-4B07-A8AC-86E24D560F7F}">
      <text>
        <r>
          <rPr>
            <sz val="11"/>
            <color theme="1"/>
            <rFont val="Calibri"/>
            <family val="2"/>
            <scheme val="minor"/>
          </rPr>
          <t>Introduzca el código SNIP</t>
        </r>
      </text>
    </comment>
    <comment ref="C1041" authorId="1" shapeId="0" xr:uid="{9F103B17-CB60-497E-84D3-24CAD83AA7C9}">
      <text>
        <r>
          <rPr>
            <sz val="11"/>
            <color theme="1"/>
            <rFont val="Calibri"/>
            <family val="2"/>
            <scheme val="minor"/>
          </rPr>
          <t>Introduzca la fecha de inicio del proceso, en formato dd-mm-aaaa</t>
        </r>
      </text>
    </comment>
    <comment ref="F1041" authorId="1" shapeId="0" xr:uid="{72697F70-6BE4-460B-97BC-A532C538C2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shapeId="0" xr:uid="{E9E5649E-B6B4-46A0-B1B0-08231D8031A6}">
      <text/>
    </comment>
    <comment ref="C1043" authorId="1" shapeId="0" xr:uid="{308B0AC2-277A-445B-8C7E-FC474DD0E10E}">
      <text>
        <r>
          <rPr>
            <sz val="11"/>
            <color theme="1"/>
            <rFont val="Calibri"/>
            <family val="2"/>
            <scheme val="minor"/>
          </rPr>
          <t>Introduzca la fecha prevista de adjudicación, en formato dd-mm-aaaa</t>
        </r>
      </text>
    </comment>
    <comment ref="F1043" authorId="1" shapeId="0" xr:uid="{4F2882F8-7EB1-4449-9E02-8C3DB55B9ABF}">
      <text/>
    </comment>
    <comment ref="F1044" authorId="1" shapeId="0" xr:uid="{BFDF58E2-2296-4223-B615-4730D4E68918}">
      <text/>
    </comment>
    <comment ref="A1046" authorId="1" shapeId="0" xr:uid="{06DD8EA0-E470-4E6C-962F-210EF4666754}">
      <text>
        <r>
          <rPr>
            <sz val="11"/>
            <color theme="1"/>
            <rFont val="Calibri"/>
            <family val="2"/>
            <scheme val="minor"/>
          </rPr>
          <t>Introduzca un codigo UNSPSC</t>
        </r>
      </text>
    </comment>
    <comment ref="B1046" authorId="1" shapeId="0" xr:uid="{9CDCB1D0-5052-43F6-AFA4-2A4C69A93AFB}">
      <text>
        <r>
          <rPr>
            <sz val="11"/>
            <color theme="1"/>
            <rFont val="Calibri"/>
            <family val="2"/>
            <scheme val="minor"/>
          </rPr>
          <t>Descripción calculada automáticamente a partir de código del artículo</t>
        </r>
      </text>
    </comment>
    <comment ref="C1046" authorId="1" shapeId="0" xr:uid="{84C5ED75-4BDA-40C5-8D53-B4B06DDB59EF}">
      <text>
        <r>
          <rPr>
            <sz val="11"/>
            <color theme="1"/>
            <rFont val="Calibri"/>
            <family val="2"/>
            <scheme val="minor"/>
          </rPr>
          <t>Seleccione un valor de la lista</t>
        </r>
      </text>
    </comment>
    <comment ref="D1046" authorId="1" shapeId="0" xr:uid="{52976127-A79A-44DF-97BD-B91E34D8F974}">
      <text>
        <r>
          <rPr>
            <sz val="11"/>
            <color theme="1"/>
            <rFont val="Calibri"/>
            <family val="2"/>
            <scheme val="minor"/>
          </rPr>
          <t>Introduzca un número con dos decimales como máximo. Debe ser igual o mayor a la "Cantidad Real Consumida"</t>
        </r>
      </text>
    </comment>
    <comment ref="E1046" authorId="1" shapeId="0" xr:uid="{B2B45ABF-5542-4EA6-A1F4-BBC36F4AB64E}">
      <text>
        <r>
          <rPr>
            <sz val="11"/>
            <color theme="1"/>
            <rFont val="Calibri"/>
            <family val="2"/>
            <scheme val="minor"/>
          </rPr>
          <t>Introduzca un número con dos decimales como máximo</t>
        </r>
      </text>
    </comment>
    <comment ref="F1046" authorId="1" shapeId="0" xr:uid="{CC99A368-54E0-465B-A9A1-F0C26B5DD540}">
      <text>
        <r>
          <rPr>
            <sz val="11"/>
            <color theme="1"/>
            <rFont val="Calibri"/>
            <family val="2"/>
            <scheme val="minor"/>
          </rPr>
          <t>Monto calculado automáticamente por el sistema</t>
        </r>
      </text>
    </comment>
    <comment ref="A1051" authorId="1" shapeId="0" xr:uid="{CB91EFAF-CBBF-438B-8C52-1B7E9A75BD7B}">
      <text>
        <r>
          <rPr>
            <sz val="11"/>
            <color theme="1"/>
            <rFont val="Calibri"/>
            <family val="2"/>
            <scheme val="minor"/>
          </rPr>
          <t>Introducir un texto con el nombre o referencia de la contratación</t>
        </r>
      </text>
    </comment>
    <comment ref="B1051" authorId="1" shapeId="0" xr:uid="{168D16A6-D074-49BC-8AAB-238567B4493D}">
      <text>
        <r>
          <rPr>
            <sz val="11"/>
            <color theme="1"/>
            <rFont val="Calibri"/>
            <family val="2"/>
            <scheme val="minor"/>
          </rPr>
          <t>Introduzca un texto con la finalidad de la contratación</t>
        </r>
      </text>
    </comment>
    <comment ref="C1051" authorId="1" shapeId="0" xr:uid="{9A4F69DE-73D4-497F-BADF-DC54D66CB663}">
      <text>
        <r>
          <rPr>
            <sz val="11"/>
            <color theme="1"/>
            <rFont val="Calibri"/>
            <family val="2"/>
            <scheme val="minor"/>
          </rPr>
          <t>Seleccionar un valor del listado</t>
        </r>
      </text>
    </comment>
    <comment ref="D1051" authorId="1" shapeId="0" xr:uid="{84F3A59B-E09A-49A6-BF52-25AE851B964C}">
      <text>
        <r>
          <rPr>
            <sz val="11"/>
            <color theme="1"/>
            <rFont val="Calibri"/>
            <family val="2"/>
            <scheme val="minor"/>
          </rPr>
          <t>Seleccione el tipo de procedimiento</t>
        </r>
      </text>
    </comment>
    <comment ref="E1051" authorId="1" shapeId="0" xr:uid="{7B793894-736A-49D2-ACAA-725EE36DE373}">
      <text>
        <r>
          <rPr>
            <sz val="11"/>
            <color theme="1"/>
            <rFont val="Calibri"/>
            <family val="2"/>
            <scheme val="minor"/>
          </rPr>
          <t>Seleccione un valor de la lista</t>
        </r>
      </text>
    </comment>
    <comment ref="F1051" authorId="1" shapeId="0" xr:uid="{32C289EC-D6D9-41C7-A3C9-333204C8E0B6}">
      <text>
        <r>
          <rPr>
            <sz val="11"/>
            <color theme="1"/>
            <rFont val="Calibri"/>
            <family val="2"/>
            <scheme val="minor"/>
          </rPr>
          <t>Introduzca el código SNIP</t>
        </r>
      </text>
    </comment>
    <comment ref="C1052" authorId="1" shapeId="0" xr:uid="{C5BD2351-1DC3-472E-9D1F-C6CF9306A958}">
      <text>
        <r>
          <rPr>
            <sz val="11"/>
            <color theme="1"/>
            <rFont val="Calibri"/>
            <family val="2"/>
            <scheme val="minor"/>
          </rPr>
          <t>Introduzca la fecha de inicio del proceso, en formato dd-mm-aaaa</t>
        </r>
      </text>
    </comment>
    <comment ref="F1052" authorId="1" shapeId="0" xr:uid="{622218EF-1A97-490D-A4D6-0AF0D341E4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1" shapeId="0" xr:uid="{874DED97-1900-4463-9084-4DA10618F1C9}">
      <text/>
    </comment>
    <comment ref="C1054" authorId="1" shapeId="0" xr:uid="{7A8D2976-D17A-4A7E-B4F1-A810592827E8}">
      <text>
        <r>
          <rPr>
            <sz val="11"/>
            <color theme="1"/>
            <rFont val="Calibri"/>
            <family val="2"/>
            <scheme val="minor"/>
          </rPr>
          <t>Introduzca la fecha prevista de adjudicación, en formato dd-mm-aaaa</t>
        </r>
      </text>
    </comment>
    <comment ref="F1054" authorId="1" shapeId="0" xr:uid="{4453BD33-52D4-4D56-B57E-468CFA01DF39}">
      <text/>
    </comment>
    <comment ref="F1055" authorId="1" shapeId="0" xr:uid="{99602833-5762-472D-8E95-C45706F28940}">
      <text/>
    </comment>
    <comment ref="A1057" authorId="1" shapeId="0" xr:uid="{FF831F07-C39E-4F69-B508-3DCB3125EFF7}">
      <text>
        <r>
          <rPr>
            <sz val="11"/>
            <color theme="1"/>
            <rFont val="Calibri"/>
            <family val="2"/>
            <scheme val="minor"/>
          </rPr>
          <t>Introduzca un codigo UNSPSC</t>
        </r>
      </text>
    </comment>
    <comment ref="B1057" authorId="1" shapeId="0" xr:uid="{81E959B8-984B-43E5-8AA3-88CC7DDD16EB}">
      <text>
        <r>
          <rPr>
            <sz val="11"/>
            <color theme="1"/>
            <rFont val="Calibri"/>
            <family val="2"/>
            <scheme val="minor"/>
          </rPr>
          <t>Descripción calculada automáticamente a partir de código del artículo</t>
        </r>
      </text>
    </comment>
    <comment ref="C1057" authorId="1" shapeId="0" xr:uid="{7FD23C43-1E88-48AB-85CB-6611DD67BE6A}">
      <text>
        <r>
          <rPr>
            <sz val="11"/>
            <color theme="1"/>
            <rFont val="Calibri"/>
            <family val="2"/>
            <scheme val="minor"/>
          </rPr>
          <t>Seleccione un valor de la lista</t>
        </r>
      </text>
    </comment>
    <comment ref="D1057" authorId="1" shapeId="0" xr:uid="{23B41503-12AE-41C1-9E7E-4F460BE06A47}">
      <text>
        <r>
          <rPr>
            <sz val="11"/>
            <color theme="1"/>
            <rFont val="Calibri"/>
            <family val="2"/>
            <scheme val="minor"/>
          </rPr>
          <t>Introduzca un número con dos decimales como máximo. Debe ser igual o mayor a la "Cantidad Real Consumida"</t>
        </r>
      </text>
    </comment>
    <comment ref="E1057" authorId="1" shapeId="0" xr:uid="{AC58CC0C-717A-4BC0-A556-3E2E02E3652E}">
      <text>
        <r>
          <rPr>
            <sz val="11"/>
            <color theme="1"/>
            <rFont val="Calibri"/>
            <family val="2"/>
            <scheme val="minor"/>
          </rPr>
          <t>Introduzca un número con dos decimales como máximo</t>
        </r>
      </text>
    </comment>
    <comment ref="F1057" authorId="1" shapeId="0" xr:uid="{EF79D9D1-79D3-4867-9530-29A6BA508FCA}">
      <text>
        <r>
          <rPr>
            <sz val="11"/>
            <color theme="1"/>
            <rFont val="Calibri"/>
            <family val="2"/>
            <scheme val="minor"/>
          </rPr>
          <t>Monto calculado automáticamente por el sistema</t>
        </r>
      </text>
    </comment>
    <comment ref="A1063" authorId="1" shapeId="0" xr:uid="{AF320527-8D69-44A2-AB2F-DCF43BE444E4}">
      <text>
        <r>
          <rPr>
            <sz val="11"/>
            <color theme="1"/>
            <rFont val="Calibri"/>
            <family val="2"/>
            <scheme val="minor"/>
          </rPr>
          <t>Introducir un texto con el nombre o referencia de la contratación</t>
        </r>
      </text>
    </comment>
    <comment ref="B1063" authorId="1" shapeId="0" xr:uid="{30D8AB74-458B-4C28-B0C2-D7498943EC5B}">
      <text>
        <r>
          <rPr>
            <sz val="11"/>
            <color theme="1"/>
            <rFont val="Calibri"/>
            <family val="2"/>
            <scheme val="minor"/>
          </rPr>
          <t>Introduzca un texto con la finalidad de la contratación</t>
        </r>
      </text>
    </comment>
    <comment ref="C1063" authorId="1" shapeId="0" xr:uid="{9DD5F49B-432E-4A51-90A4-C70583154985}">
      <text>
        <r>
          <rPr>
            <sz val="11"/>
            <color theme="1"/>
            <rFont val="Calibri"/>
            <family val="2"/>
            <scheme val="minor"/>
          </rPr>
          <t>Seleccionar un valor del listado</t>
        </r>
      </text>
    </comment>
    <comment ref="D1063" authorId="1" shapeId="0" xr:uid="{F1A1132B-79BB-4B28-B6CB-A5B21243D637}">
      <text>
        <r>
          <rPr>
            <sz val="11"/>
            <color theme="1"/>
            <rFont val="Calibri"/>
            <family val="2"/>
            <scheme val="minor"/>
          </rPr>
          <t>Seleccione el tipo de procedimiento</t>
        </r>
      </text>
    </comment>
    <comment ref="E1063" authorId="1" shapeId="0" xr:uid="{DE52FD8E-3C74-4D35-88EA-6270B5FE1F02}">
      <text>
        <r>
          <rPr>
            <sz val="11"/>
            <color theme="1"/>
            <rFont val="Calibri"/>
            <family val="2"/>
            <scheme val="minor"/>
          </rPr>
          <t>Seleccione un valor de la lista</t>
        </r>
      </text>
    </comment>
    <comment ref="F1063" authorId="1" shapeId="0" xr:uid="{21287F9A-8F5F-41F6-AFF8-87C8188296DA}">
      <text>
        <r>
          <rPr>
            <sz val="11"/>
            <color theme="1"/>
            <rFont val="Calibri"/>
            <family val="2"/>
            <scheme val="minor"/>
          </rPr>
          <t>Introduzca el código SNIP</t>
        </r>
      </text>
    </comment>
    <comment ref="C1064" authorId="1" shapeId="0" xr:uid="{0C10802D-BE47-4F6D-91DB-194023E01D51}">
      <text>
        <r>
          <rPr>
            <sz val="11"/>
            <color theme="1"/>
            <rFont val="Calibri"/>
            <family val="2"/>
            <scheme val="minor"/>
          </rPr>
          <t>Introduzca la fecha de inicio del proceso, en formato dd-mm-aaaa</t>
        </r>
      </text>
    </comment>
    <comment ref="F1064" authorId="1" shapeId="0" xr:uid="{35771420-489F-4C07-BDB3-95D65B8CD4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xr:uid="{5FA27CF4-8004-4A96-910A-717027863413}">
      <text/>
    </comment>
    <comment ref="C1066" authorId="1" shapeId="0" xr:uid="{A0C53E95-6810-49D4-B40C-5EF3D17C68C7}">
      <text>
        <r>
          <rPr>
            <sz val="11"/>
            <color theme="1"/>
            <rFont val="Calibri"/>
            <family val="2"/>
            <scheme val="minor"/>
          </rPr>
          <t>Introduzca la fecha prevista de adjudicación, en formato dd-mm-aaaa</t>
        </r>
      </text>
    </comment>
    <comment ref="F1066" authorId="1" shapeId="0" xr:uid="{E2190937-B146-4472-967C-ED9E8E0EC137}">
      <text/>
    </comment>
    <comment ref="F1067" authorId="1" shapeId="0" xr:uid="{CBD1EA9B-C131-4DF5-8F44-8133F950FA47}">
      <text/>
    </comment>
    <comment ref="A1069" authorId="1" shapeId="0" xr:uid="{3D876F93-4EBF-4675-B206-69DDDDDB54EA}">
      <text>
        <r>
          <rPr>
            <sz val="11"/>
            <color theme="1"/>
            <rFont val="Calibri"/>
            <family val="2"/>
            <scheme val="minor"/>
          </rPr>
          <t>Introduzca un codigo UNSPSC</t>
        </r>
      </text>
    </comment>
    <comment ref="B1069" authorId="1" shapeId="0" xr:uid="{E7683CA9-BA77-4FE8-8BC9-BBAD4A7486CA}">
      <text>
        <r>
          <rPr>
            <sz val="11"/>
            <color theme="1"/>
            <rFont val="Calibri"/>
            <family val="2"/>
            <scheme val="minor"/>
          </rPr>
          <t>Descripción calculada automáticamente a partir de código del artículo</t>
        </r>
      </text>
    </comment>
    <comment ref="C1069" authorId="1" shapeId="0" xr:uid="{0AB0496E-1D50-4EAE-AE33-2F6376278E15}">
      <text>
        <r>
          <rPr>
            <sz val="11"/>
            <color theme="1"/>
            <rFont val="Calibri"/>
            <family val="2"/>
            <scheme val="minor"/>
          </rPr>
          <t>Seleccione un valor de la lista</t>
        </r>
      </text>
    </comment>
    <comment ref="D1069" authorId="1" shapeId="0" xr:uid="{7E7160CC-6A2B-47C8-A351-C7E92C3691C8}">
      <text>
        <r>
          <rPr>
            <sz val="11"/>
            <color theme="1"/>
            <rFont val="Calibri"/>
            <family val="2"/>
            <scheme val="minor"/>
          </rPr>
          <t>Introduzca un número con dos decimales como máximo. Debe ser igual o mayor a la "Cantidad Real Consumida"</t>
        </r>
      </text>
    </comment>
    <comment ref="E1069" authorId="1" shapeId="0" xr:uid="{DCE85FBF-11A4-4343-ACF1-D40971E00355}">
      <text>
        <r>
          <rPr>
            <sz val="11"/>
            <color theme="1"/>
            <rFont val="Calibri"/>
            <family val="2"/>
            <scheme val="minor"/>
          </rPr>
          <t>Introduzca un número con dos decimales como máximo</t>
        </r>
      </text>
    </comment>
    <comment ref="F1069" authorId="1" shapeId="0" xr:uid="{D81B49B4-625D-4F17-8E67-300A6D7E04C6}">
      <text>
        <r>
          <rPr>
            <sz val="11"/>
            <color theme="1"/>
            <rFont val="Calibri"/>
            <family val="2"/>
            <scheme val="minor"/>
          </rPr>
          <t>Monto calculado automáticamente por el sistema</t>
        </r>
      </text>
    </comment>
    <comment ref="A1074" authorId="1" shapeId="0" xr:uid="{0BDA243A-CC78-4666-B412-E8467CF54D6F}">
      <text>
        <r>
          <rPr>
            <sz val="11"/>
            <color theme="1"/>
            <rFont val="Calibri"/>
            <family val="2"/>
            <scheme val="minor"/>
          </rPr>
          <t>Introducir un texto con el nombre o referencia de la contratación</t>
        </r>
      </text>
    </comment>
    <comment ref="B1074" authorId="1" shapeId="0" xr:uid="{C0A1D5F5-1790-4773-840D-B98168C4AACB}">
      <text>
        <r>
          <rPr>
            <sz val="11"/>
            <color theme="1"/>
            <rFont val="Calibri"/>
            <family val="2"/>
            <scheme val="minor"/>
          </rPr>
          <t>Introduzca un texto con la finalidad de la contratación</t>
        </r>
      </text>
    </comment>
    <comment ref="C1074" authorId="1" shapeId="0" xr:uid="{19491B3E-63F9-472D-B128-2D30D360CFD0}">
      <text>
        <r>
          <rPr>
            <sz val="11"/>
            <color theme="1"/>
            <rFont val="Calibri"/>
            <family val="2"/>
            <scheme val="minor"/>
          </rPr>
          <t>Seleccionar un valor del listado</t>
        </r>
      </text>
    </comment>
    <comment ref="D1074" authorId="1" shapeId="0" xr:uid="{2EED2654-C26D-4B20-B862-D02CA867C9FD}">
      <text>
        <r>
          <rPr>
            <sz val="11"/>
            <color theme="1"/>
            <rFont val="Calibri"/>
            <family val="2"/>
            <scheme val="minor"/>
          </rPr>
          <t>Seleccione el tipo de procedimiento</t>
        </r>
      </text>
    </comment>
    <comment ref="E1074" authorId="1" shapeId="0" xr:uid="{22A9839F-E90B-4401-A06A-3583EFC9BD57}">
      <text>
        <r>
          <rPr>
            <sz val="11"/>
            <color theme="1"/>
            <rFont val="Calibri"/>
            <family val="2"/>
            <scheme val="minor"/>
          </rPr>
          <t>Seleccione un valor de la lista</t>
        </r>
      </text>
    </comment>
    <comment ref="F1074" authorId="1" shapeId="0" xr:uid="{FE807141-118B-466F-B603-FD7A1FC6F45E}">
      <text>
        <r>
          <rPr>
            <sz val="11"/>
            <color theme="1"/>
            <rFont val="Calibri"/>
            <family val="2"/>
            <scheme val="minor"/>
          </rPr>
          <t>Introduzca el código SNIP</t>
        </r>
      </text>
    </comment>
    <comment ref="C1075" authorId="1" shapeId="0" xr:uid="{521E5591-9150-4283-B28D-D86603716B54}">
      <text>
        <r>
          <rPr>
            <sz val="11"/>
            <color theme="1"/>
            <rFont val="Calibri"/>
            <family val="2"/>
            <scheme val="minor"/>
          </rPr>
          <t>Introduzca la fecha de inicio del proceso, en formato dd-mm-aaaa</t>
        </r>
      </text>
    </comment>
    <comment ref="F1075" authorId="1" shapeId="0" xr:uid="{62DD73AC-6151-45B1-9A5A-92B82B097D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6" authorId="1" shapeId="0" xr:uid="{44D9E4E2-D47A-4196-8437-1ECD5F4B7B4D}">
      <text/>
    </comment>
    <comment ref="C1077" authorId="1" shapeId="0" xr:uid="{42DF119B-EEA7-484A-AB1E-745EC6221D2D}">
      <text>
        <r>
          <rPr>
            <sz val="11"/>
            <color theme="1"/>
            <rFont val="Calibri"/>
            <family val="2"/>
            <scheme val="minor"/>
          </rPr>
          <t>Introduzca la fecha prevista de adjudicación, en formato dd-mm-aaaa</t>
        </r>
      </text>
    </comment>
    <comment ref="F1077" authorId="1" shapeId="0" xr:uid="{4539B1AC-7172-47B5-8D49-54894EEC0D7D}">
      <text/>
    </comment>
    <comment ref="F1078" authorId="1" shapeId="0" xr:uid="{B80516ED-4885-4AF4-9A0E-2273A849EA63}">
      <text/>
    </comment>
    <comment ref="A1080" authorId="1" shapeId="0" xr:uid="{741B01D1-C486-40D4-AE61-C61E65ABE494}">
      <text>
        <r>
          <rPr>
            <sz val="11"/>
            <color theme="1"/>
            <rFont val="Calibri"/>
            <family val="2"/>
            <scheme val="minor"/>
          </rPr>
          <t>Introduzca un codigo UNSPSC</t>
        </r>
      </text>
    </comment>
    <comment ref="B1080" authorId="1" shapeId="0" xr:uid="{31131EA4-983E-421A-B79B-4DE9658C505E}">
      <text>
        <r>
          <rPr>
            <sz val="11"/>
            <color theme="1"/>
            <rFont val="Calibri"/>
            <family val="2"/>
            <scheme val="minor"/>
          </rPr>
          <t>Descripción calculada automáticamente a partir de código del artículo</t>
        </r>
      </text>
    </comment>
    <comment ref="C1080" authorId="1" shapeId="0" xr:uid="{22D9345B-C158-460D-AE24-605A0DE957C7}">
      <text>
        <r>
          <rPr>
            <sz val="11"/>
            <color theme="1"/>
            <rFont val="Calibri"/>
            <family val="2"/>
            <scheme val="minor"/>
          </rPr>
          <t>Seleccione un valor de la lista</t>
        </r>
      </text>
    </comment>
    <comment ref="D1080" authorId="1" shapeId="0" xr:uid="{32C52833-8F59-466D-9541-DF8D496EE4C6}">
      <text>
        <r>
          <rPr>
            <sz val="11"/>
            <color theme="1"/>
            <rFont val="Calibri"/>
            <family val="2"/>
            <scheme val="minor"/>
          </rPr>
          <t>Introduzca un número con dos decimales como máximo. Debe ser igual o mayor a la "Cantidad Real Consumida"</t>
        </r>
      </text>
    </comment>
    <comment ref="E1080" authorId="1" shapeId="0" xr:uid="{C66F40EF-B936-4B1A-826D-6ECB87BA3977}">
      <text>
        <r>
          <rPr>
            <sz val="11"/>
            <color theme="1"/>
            <rFont val="Calibri"/>
            <family val="2"/>
            <scheme val="minor"/>
          </rPr>
          <t>Introduzca un número con dos decimales como máximo</t>
        </r>
      </text>
    </comment>
    <comment ref="F1080" authorId="1" shapeId="0" xr:uid="{090E3FCF-1A07-4E83-95E3-7E6E1DA502A8}">
      <text>
        <r>
          <rPr>
            <sz val="11"/>
            <color theme="1"/>
            <rFont val="Calibri"/>
            <family val="2"/>
            <scheme val="minor"/>
          </rPr>
          <t>Monto calculado automáticamente por el sistema</t>
        </r>
      </text>
    </comment>
    <comment ref="A1085" authorId="1" shapeId="0" xr:uid="{7BFE5ED6-3115-4DEF-965A-CC2E2E2DFA77}">
      <text>
        <r>
          <rPr>
            <sz val="11"/>
            <color theme="1"/>
            <rFont val="Calibri"/>
            <family val="2"/>
            <scheme val="minor"/>
          </rPr>
          <t>Introducir un texto con el nombre o referencia de la contratación</t>
        </r>
      </text>
    </comment>
    <comment ref="B1085" authorId="1" shapeId="0" xr:uid="{D1469FE1-B80F-4439-807E-296C44205E6F}">
      <text>
        <r>
          <rPr>
            <sz val="11"/>
            <color theme="1"/>
            <rFont val="Calibri"/>
            <family val="2"/>
            <scheme val="minor"/>
          </rPr>
          <t>Introduzca un texto con la finalidad de la contratación</t>
        </r>
      </text>
    </comment>
    <comment ref="C1085" authorId="1" shapeId="0" xr:uid="{92B41044-46C2-462E-A4F1-6AF87712C9EE}">
      <text>
        <r>
          <rPr>
            <sz val="11"/>
            <color theme="1"/>
            <rFont val="Calibri"/>
            <family val="2"/>
            <scheme val="minor"/>
          </rPr>
          <t>Seleccionar un valor del listado</t>
        </r>
      </text>
    </comment>
    <comment ref="D1085" authorId="1" shapeId="0" xr:uid="{FD80D44B-A19E-458F-AE1A-F46934A73DA7}">
      <text>
        <r>
          <rPr>
            <sz val="11"/>
            <color theme="1"/>
            <rFont val="Calibri"/>
            <family val="2"/>
            <scheme val="minor"/>
          </rPr>
          <t>Seleccione el tipo de procedimiento</t>
        </r>
      </text>
    </comment>
    <comment ref="E1085" authorId="1" shapeId="0" xr:uid="{DAF15373-6582-4036-A6DB-60FF0E934802}">
      <text>
        <r>
          <rPr>
            <sz val="11"/>
            <color theme="1"/>
            <rFont val="Calibri"/>
            <family val="2"/>
            <scheme val="minor"/>
          </rPr>
          <t>Seleccione un valor de la lista</t>
        </r>
      </text>
    </comment>
    <comment ref="F1085" authorId="1" shapeId="0" xr:uid="{6954678A-275D-4083-911D-6DAC4E5B6797}">
      <text>
        <r>
          <rPr>
            <sz val="11"/>
            <color theme="1"/>
            <rFont val="Calibri"/>
            <family val="2"/>
            <scheme val="minor"/>
          </rPr>
          <t>Introduzca el código SNIP</t>
        </r>
      </text>
    </comment>
    <comment ref="C1086" authorId="1" shapeId="0" xr:uid="{4C84E67E-AA06-49F9-B020-D0711EB35FDD}">
      <text>
        <r>
          <rPr>
            <sz val="11"/>
            <color theme="1"/>
            <rFont val="Calibri"/>
            <family val="2"/>
            <scheme val="minor"/>
          </rPr>
          <t>Introduzca la fecha de inicio del proceso, en formato dd-mm-aaaa</t>
        </r>
      </text>
    </comment>
    <comment ref="F1086" authorId="1" shapeId="0" xr:uid="{031C728C-4CA7-4846-8591-8F56D185F1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1" shapeId="0" xr:uid="{1F4E292A-4862-442F-A971-DE5EEA1F73A1}">
      <text/>
    </comment>
    <comment ref="C1088" authorId="1" shapeId="0" xr:uid="{F5919318-08BF-4FE1-823C-F3120B5CFB6F}">
      <text>
        <r>
          <rPr>
            <sz val="11"/>
            <color theme="1"/>
            <rFont val="Calibri"/>
            <family val="2"/>
            <scheme val="minor"/>
          </rPr>
          <t>Introduzca la fecha prevista de adjudicación, en formato dd-mm-aaaa</t>
        </r>
      </text>
    </comment>
    <comment ref="F1088" authorId="1" shapeId="0" xr:uid="{521B0824-9FC6-4327-AD34-2D31790D24EE}">
      <text/>
    </comment>
    <comment ref="F1089" authorId="1" shapeId="0" xr:uid="{98965C5F-1633-4545-A2EF-51CE39E99055}">
      <text/>
    </comment>
    <comment ref="A1091" authorId="1" shapeId="0" xr:uid="{6C1E6E1C-466E-4DDE-BAD2-ADB01A6320D3}">
      <text>
        <r>
          <rPr>
            <sz val="11"/>
            <color theme="1"/>
            <rFont val="Calibri"/>
            <family val="2"/>
            <scheme val="minor"/>
          </rPr>
          <t>Introduzca un codigo UNSPSC</t>
        </r>
      </text>
    </comment>
    <comment ref="B1091" authorId="1" shapeId="0" xr:uid="{2B7059E1-DFBB-4BC9-B6E3-C686440998DB}">
      <text>
        <r>
          <rPr>
            <sz val="11"/>
            <color theme="1"/>
            <rFont val="Calibri"/>
            <family val="2"/>
            <scheme val="minor"/>
          </rPr>
          <t>Descripción calculada automáticamente a partir de código del artículo</t>
        </r>
      </text>
    </comment>
    <comment ref="C1091" authorId="1" shapeId="0" xr:uid="{E913633C-0220-4E62-8B1B-3DD3BA902FB7}">
      <text>
        <r>
          <rPr>
            <sz val="11"/>
            <color theme="1"/>
            <rFont val="Calibri"/>
            <family val="2"/>
            <scheme val="minor"/>
          </rPr>
          <t>Seleccione un valor de la lista</t>
        </r>
      </text>
    </comment>
    <comment ref="D1091" authorId="1" shapeId="0" xr:uid="{FFCA0792-952F-4C00-A7DE-5C8CC16EF5EB}">
      <text>
        <r>
          <rPr>
            <sz val="11"/>
            <color theme="1"/>
            <rFont val="Calibri"/>
            <family val="2"/>
            <scheme val="minor"/>
          </rPr>
          <t>Introduzca un número con dos decimales como máximo. Debe ser igual o mayor a la "Cantidad Real Consumida"</t>
        </r>
      </text>
    </comment>
    <comment ref="E1091" authorId="1" shapeId="0" xr:uid="{2CCFCB49-6A76-4400-9F67-E4E43455AB44}">
      <text>
        <r>
          <rPr>
            <sz val="11"/>
            <color theme="1"/>
            <rFont val="Calibri"/>
            <family val="2"/>
            <scheme val="minor"/>
          </rPr>
          <t>Introduzca un número con dos decimales como máximo</t>
        </r>
      </text>
    </comment>
    <comment ref="F1091" authorId="1" shapeId="0" xr:uid="{F4C10465-F2FE-4B95-9EF1-81657F30DF90}">
      <text>
        <r>
          <rPr>
            <sz val="11"/>
            <color theme="1"/>
            <rFont val="Calibri"/>
            <family val="2"/>
            <scheme val="minor"/>
          </rPr>
          <t>Monto calculado automáticamente por el sistema</t>
        </r>
      </text>
    </comment>
    <comment ref="A1107" authorId="1" shapeId="0" xr:uid="{05387D0B-000F-4FEB-8258-ABD3255630DA}">
      <text>
        <r>
          <rPr>
            <sz val="11"/>
            <color theme="1"/>
            <rFont val="Calibri"/>
            <family val="2"/>
            <scheme val="minor"/>
          </rPr>
          <t>Introducir un texto con el nombre o referencia de la contratación</t>
        </r>
      </text>
    </comment>
    <comment ref="B1107" authorId="1" shapeId="0" xr:uid="{DBA621AD-113B-4871-A8F7-F237A0E08011}">
      <text>
        <r>
          <rPr>
            <sz val="11"/>
            <color theme="1"/>
            <rFont val="Calibri"/>
            <family val="2"/>
            <scheme val="minor"/>
          </rPr>
          <t>Introduzca un texto con la finalidad de la contratación</t>
        </r>
      </text>
    </comment>
    <comment ref="C1107" authorId="1" shapeId="0" xr:uid="{B5D77859-C634-457C-A123-BD08D980DA91}">
      <text>
        <r>
          <rPr>
            <sz val="11"/>
            <color theme="1"/>
            <rFont val="Calibri"/>
            <family val="2"/>
            <scheme val="minor"/>
          </rPr>
          <t>Seleccionar un valor del listado</t>
        </r>
      </text>
    </comment>
    <comment ref="D1107" authorId="1" shapeId="0" xr:uid="{F4D070B2-8518-4B17-885A-170F4F046E91}">
      <text>
        <r>
          <rPr>
            <sz val="11"/>
            <color theme="1"/>
            <rFont val="Calibri"/>
            <family val="2"/>
            <scheme val="minor"/>
          </rPr>
          <t>Seleccione el tipo de procedimiento</t>
        </r>
      </text>
    </comment>
    <comment ref="E1107" authorId="1" shapeId="0" xr:uid="{B8F710BA-FD76-439D-8240-2D379645CE71}">
      <text>
        <r>
          <rPr>
            <sz val="11"/>
            <color theme="1"/>
            <rFont val="Calibri"/>
            <family val="2"/>
            <scheme val="minor"/>
          </rPr>
          <t>Seleccione un valor de la lista</t>
        </r>
      </text>
    </comment>
    <comment ref="F1107" authorId="1" shapeId="0" xr:uid="{C1DCB293-E99A-472C-B474-35A4C607653A}">
      <text>
        <r>
          <rPr>
            <sz val="11"/>
            <color theme="1"/>
            <rFont val="Calibri"/>
            <family val="2"/>
            <scheme val="minor"/>
          </rPr>
          <t>Introduzca el código SNIP</t>
        </r>
      </text>
    </comment>
    <comment ref="C1108" authorId="1" shapeId="0" xr:uid="{370C3937-3E5A-4409-BB78-1C2E5D667671}">
      <text>
        <r>
          <rPr>
            <sz val="11"/>
            <color theme="1"/>
            <rFont val="Calibri"/>
            <family val="2"/>
            <scheme val="minor"/>
          </rPr>
          <t>Introduzca la fecha de inicio del proceso, en formato dd-mm-aaaa</t>
        </r>
      </text>
    </comment>
    <comment ref="F1108" authorId="1" shapeId="0" xr:uid="{0DDCEF89-548B-4AB0-B305-105821C520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1" shapeId="0" xr:uid="{C300E3E0-936D-4C7D-8297-1453E6CF068D}">
      <text/>
    </comment>
    <comment ref="C1110" authorId="1" shapeId="0" xr:uid="{9D5C940E-D4DD-4DC9-9DF7-E390DDF21731}">
      <text>
        <r>
          <rPr>
            <sz val="11"/>
            <color theme="1"/>
            <rFont val="Calibri"/>
            <family val="2"/>
            <scheme val="minor"/>
          </rPr>
          <t>Introduzca la fecha prevista de adjudicación, en formato dd-mm-aaaa</t>
        </r>
      </text>
    </comment>
    <comment ref="F1110" authorId="1" shapeId="0" xr:uid="{0A6E8258-F547-45B2-8CF0-A1A2418A9493}">
      <text/>
    </comment>
    <comment ref="F1111" authorId="1" shapeId="0" xr:uid="{9F8BCEAF-1F20-4C2D-B0EA-06D0D56CABFC}">
      <text/>
    </comment>
    <comment ref="A1113" authorId="1" shapeId="0" xr:uid="{635FCCB2-1E16-4FA3-8319-12CC8F71E161}">
      <text>
        <r>
          <rPr>
            <sz val="11"/>
            <color theme="1"/>
            <rFont val="Calibri"/>
            <family val="2"/>
            <scheme val="minor"/>
          </rPr>
          <t>Introduzca un codigo UNSPSC</t>
        </r>
      </text>
    </comment>
    <comment ref="B1113" authorId="1" shapeId="0" xr:uid="{894F9191-9937-4BA9-8EB6-DD85302FEE2F}">
      <text>
        <r>
          <rPr>
            <sz val="11"/>
            <color theme="1"/>
            <rFont val="Calibri"/>
            <family val="2"/>
            <scheme val="minor"/>
          </rPr>
          <t>Descripción calculada automáticamente a partir de código del artículo</t>
        </r>
      </text>
    </comment>
    <comment ref="C1113" authorId="1" shapeId="0" xr:uid="{F45D15EC-B5D3-44AB-9420-EA41C3AE663A}">
      <text>
        <r>
          <rPr>
            <sz val="11"/>
            <color theme="1"/>
            <rFont val="Calibri"/>
            <family val="2"/>
            <scheme val="minor"/>
          </rPr>
          <t>Seleccione un valor de la lista</t>
        </r>
      </text>
    </comment>
    <comment ref="D1113" authorId="1" shapeId="0" xr:uid="{A279AE03-1909-4A28-B171-401084912DB7}">
      <text>
        <r>
          <rPr>
            <sz val="11"/>
            <color theme="1"/>
            <rFont val="Calibri"/>
            <family val="2"/>
            <scheme val="minor"/>
          </rPr>
          <t>Introduzca un número con dos decimales como máximo. Debe ser igual o mayor a la "Cantidad Real Consumida"</t>
        </r>
      </text>
    </comment>
    <comment ref="E1113" authorId="1" shapeId="0" xr:uid="{8E405731-1A25-4693-AA13-8CE0540AB1FD}">
      <text>
        <r>
          <rPr>
            <sz val="11"/>
            <color theme="1"/>
            <rFont val="Calibri"/>
            <family val="2"/>
            <scheme val="minor"/>
          </rPr>
          <t>Introduzca un número con dos decimales como máximo</t>
        </r>
      </text>
    </comment>
    <comment ref="F1113" authorId="1" shapeId="0" xr:uid="{34D7E6BE-43D6-4F6D-A5C6-10AEF84CB051}">
      <text>
        <r>
          <rPr>
            <sz val="11"/>
            <color theme="1"/>
            <rFont val="Calibri"/>
            <family val="2"/>
            <scheme val="minor"/>
          </rPr>
          <t>Monto calculado automáticamente por el sistema</t>
        </r>
      </text>
    </comment>
    <comment ref="A1128" authorId="1" shapeId="0" xr:uid="{5EB0412B-81BA-405D-AE77-A136857B87BC}">
      <text>
        <r>
          <rPr>
            <sz val="11"/>
            <color theme="1"/>
            <rFont val="Calibri"/>
            <family val="2"/>
            <scheme val="minor"/>
          </rPr>
          <t>Introducir un texto con el nombre o referencia de la contratación</t>
        </r>
      </text>
    </comment>
    <comment ref="B1128" authorId="1" shapeId="0" xr:uid="{84AEDA46-14E0-4DF3-AEE8-80494BA4692D}">
      <text>
        <r>
          <rPr>
            <sz val="11"/>
            <color theme="1"/>
            <rFont val="Calibri"/>
            <family val="2"/>
            <scheme val="minor"/>
          </rPr>
          <t>Introduzca un texto con la finalidad de la contratación</t>
        </r>
      </text>
    </comment>
    <comment ref="C1128" authorId="1" shapeId="0" xr:uid="{D7A9BFE8-7587-4C4B-8524-7E986548FAC5}">
      <text>
        <r>
          <rPr>
            <sz val="11"/>
            <color theme="1"/>
            <rFont val="Calibri"/>
            <family val="2"/>
            <scheme val="minor"/>
          </rPr>
          <t>Seleccionar un valor del listado</t>
        </r>
      </text>
    </comment>
    <comment ref="D1128" authorId="1" shapeId="0" xr:uid="{B77884CF-5D22-405D-B9A4-C7304E600938}">
      <text>
        <r>
          <rPr>
            <sz val="11"/>
            <color theme="1"/>
            <rFont val="Calibri"/>
            <family val="2"/>
            <scheme val="minor"/>
          </rPr>
          <t>Seleccione el tipo de procedimiento</t>
        </r>
      </text>
    </comment>
    <comment ref="E1128" authorId="1" shapeId="0" xr:uid="{BB1B7127-8D47-46D4-AEEA-778B76CDC08A}">
      <text>
        <r>
          <rPr>
            <sz val="11"/>
            <color theme="1"/>
            <rFont val="Calibri"/>
            <family val="2"/>
            <scheme val="minor"/>
          </rPr>
          <t>Seleccione un valor de la lista</t>
        </r>
      </text>
    </comment>
    <comment ref="F1128" authorId="1" shapeId="0" xr:uid="{A251FFC8-57CA-4A1E-8224-F51F93BF2FF3}">
      <text>
        <r>
          <rPr>
            <sz val="11"/>
            <color theme="1"/>
            <rFont val="Calibri"/>
            <family val="2"/>
            <scheme val="minor"/>
          </rPr>
          <t>Introduzca el código SNIP</t>
        </r>
      </text>
    </comment>
    <comment ref="C1129" authorId="1" shapeId="0" xr:uid="{0154476D-0178-48EE-AEB9-6681684CB16A}">
      <text>
        <r>
          <rPr>
            <sz val="11"/>
            <color theme="1"/>
            <rFont val="Calibri"/>
            <family val="2"/>
            <scheme val="minor"/>
          </rPr>
          <t>Introduzca la fecha de inicio del proceso, en formato dd-mm-aaaa</t>
        </r>
      </text>
    </comment>
    <comment ref="F1129" authorId="1" shapeId="0" xr:uid="{70C8D2F3-E507-43F9-9A8A-95C3A6B211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0" authorId="1" shapeId="0" xr:uid="{1992D678-B3F4-4C3F-8512-81A6BA816057}">
      <text/>
    </comment>
    <comment ref="C1131" authorId="1" shapeId="0" xr:uid="{007034D5-4902-486D-B279-1ADCF8A08ADC}">
      <text>
        <r>
          <rPr>
            <sz val="11"/>
            <color theme="1"/>
            <rFont val="Calibri"/>
            <family val="2"/>
            <scheme val="minor"/>
          </rPr>
          <t>Introduzca la fecha prevista de adjudicación, en formato dd-mm-aaaa</t>
        </r>
      </text>
    </comment>
    <comment ref="F1131" authorId="1" shapeId="0" xr:uid="{085C1C01-8237-4A5A-A8E6-9F01FBFC4EB2}">
      <text/>
    </comment>
    <comment ref="F1132" authorId="1" shapeId="0" xr:uid="{C91A94E4-64F7-4D4B-951C-221D11CB9462}">
      <text/>
    </comment>
    <comment ref="A1134" authorId="1" shapeId="0" xr:uid="{C52C1451-67B1-48D9-A27E-6A9C946D09FD}">
      <text>
        <r>
          <rPr>
            <sz val="11"/>
            <color theme="1"/>
            <rFont val="Calibri"/>
            <family val="2"/>
            <scheme val="minor"/>
          </rPr>
          <t>Introduzca un codigo UNSPSC</t>
        </r>
      </text>
    </comment>
    <comment ref="B1134" authorId="1" shapeId="0" xr:uid="{DC05E335-5CB5-4C0A-87E0-268187636026}">
      <text>
        <r>
          <rPr>
            <sz val="11"/>
            <color theme="1"/>
            <rFont val="Calibri"/>
            <family val="2"/>
            <scheme val="minor"/>
          </rPr>
          <t>Descripción calculada automáticamente a partir de código del artículo</t>
        </r>
      </text>
    </comment>
    <comment ref="C1134" authorId="1" shapeId="0" xr:uid="{1D099DE7-7D21-4B31-8E58-CD4D7203B9F0}">
      <text>
        <r>
          <rPr>
            <sz val="11"/>
            <color theme="1"/>
            <rFont val="Calibri"/>
            <family val="2"/>
            <scheme val="minor"/>
          </rPr>
          <t>Seleccione un valor de la lista</t>
        </r>
      </text>
    </comment>
    <comment ref="D1134" authorId="1" shapeId="0" xr:uid="{B4086995-F102-4F67-9423-44B43E5439A9}">
      <text>
        <r>
          <rPr>
            <sz val="11"/>
            <color theme="1"/>
            <rFont val="Calibri"/>
            <family val="2"/>
            <scheme val="minor"/>
          </rPr>
          <t>Introduzca un número con dos decimales como máximo. Debe ser igual o mayor a la "Cantidad Real Consumida"</t>
        </r>
      </text>
    </comment>
    <comment ref="E1134" authorId="1" shapeId="0" xr:uid="{E24F06E5-7F25-4990-9E80-094F0E42AA4F}">
      <text>
        <r>
          <rPr>
            <sz val="11"/>
            <color theme="1"/>
            <rFont val="Calibri"/>
            <family val="2"/>
            <scheme val="minor"/>
          </rPr>
          <t>Introduzca un número con dos decimales como máximo</t>
        </r>
      </text>
    </comment>
    <comment ref="F1134" authorId="1" shapeId="0" xr:uid="{48D050DC-0B13-4D1B-B9A5-6BB2910CAE52}">
      <text>
        <r>
          <rPr>
            <sz val="11"/>
            <color theme="1"/>
            <rFont val="Calibri"/>
            <family val="2"/>
            <scheme val="minor"/>
          </rPr>
          <t>Monto calculado automáticamente por el sistema</t>
        </r>
      </text>
    </comment>
    <comment ref="A1139" authorId="1" shapeId="0" xr:uid="{EDCCB704-AB93-4EC4-8420-1EA5C261A3BE}">
      <text>
        <r>
          <rPr>
            <sz val="11"/>
            <color theme="1"/>
            <rFont val="Calibri"/>
            <family val="2"/>
            <scheme val="minor"/>
          </rPr>
          <t>Introducir un texto con el nombre o referencia de la contratación</t>
        </r>
      </text>
    </comment>
    <comment ref="B1139" authorId="1" shapeId="0" xr:uid="{1D4B4D8D-2591-4463-A878-31BEA004903E}">
      <text>
        <r>
          <rPr>
            <sz val="11"/>
            <color theme="1"/>
            <rFont val="Calibri"/>
            <family val="2"/>
            <scheme val="minor"/>
          </rPr>
          <t>Introduzca un texto con la finalidad de la contratación</t>
        </r>
      </text>
    </comment>
    <comment ref="C1139" authorId="1" shapeId="0" xr:uid="{2CE3B0AB-276C-4816-BBBA-805F8B3270C5}">
      <text>
        <r>
          <rPr>
            <sz val="11"/>
            <color theme="1"/>
            <rFont val="Calibri"/>
            <family val="2"/>
            <scheme val="minor"/>
          </rPr>
          <t>Seleccionar un valor del listado</t>
        </r>
      </text>
    </comment>
    <comment ref="D1139" authorId="1" shapeId="0" xr:uid="{3580E053-1787-4679-B6DE-A16A7F3B04C4}">
      <text>
        <r>
          <rPr>
            <sz val="11"/>
            <color theme="1"/>
            <rFont val="Calibri"/>
            <family val="2"/>
            <scheme val="minor"/>
          </rPr>
          <t>Seleccione el tipo de procedimiento</t>
        </r>
      </text>
    </comment>
    <comment ref="E1139" authorId="1" shapeId="0" xr:uid="{61FE0E97-91AE-4D8B-BAF1-157419DEDE8E}">
      <text>
        <r>
          <rPr>
            <sz val="11"/>
            <color theme="1"/>
            <rFont val="Calibri"/>
            <family val="2"/>
            <scheme val="minor"/>
          </rPr>
          <t>Seleccione un valor de la lista</t>
        </r>
      </text>
    </comment>
    <comment ref="F1139" authorId="1" shapeId="0" xr:uid="{93451882-5667-4007-8327-631265DB9850}">
      <text>
        <r>
          <rPr>
            <sz val="11"/>
            <color theme="1"/>
            <rFont val="Calibri"/>
            <family val="2"/>
            <scheme val="minor"/>
          </rPr>
          <t>Introduzca el código SNIP</t>
        </r>
      </text>
    </comment>
    <comment ref="C1140" authorId="1" shapeId="0" xr:uid="{D29E742F-1B54-415F-BACD-B687468A093C}">
      <text>
        <r>
          <rPr>
            <sz val="11"/>
            <color theme="1"/>
            <rFont val="Calibri"/>
            <family val="2"/>
            <scheme val="minor"/>
          </rPr>
          <t>Introduzca la fecha de inicio del proceso, en formato dd-mm-aaaa</t>
        </r>
      </text>
    </comment>
    <comment ref="F1140" authorId="1" shapeId="0" xr:uid="{D19BAEE8-98F9-462C-B7B8-8DC89AFC9C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1" shapeId="0" xr:uid="{37F9B881-AD66-4EBC-BAD8-6A3801B4295F}">
      <text/>
    </comment>
    <comment ref="C1142" authorId="1" shapeId="0" xr:uid="{D41DD745-E8E5-4220-96AD-9582BA9779F7}">
      <text>
        <r>
          <rPr>
            <sz val="11"/>
            <color theme="1"/>
            <rFont val="Calibri"/>
            <family val="2"/>
            <scheme val="minor"/>
          </rPr>
          <t>Introduzca la fecha prevista de adjudicación, en formato dd-mm-aaaa</t>
        </r>
      </text>
    </comment>
    <comment ref="F1142" authorId="1" shapeId="0" xr:uid="{87B09394-3CD5-4E05-8497-9EE3384AD01E}">
      <text/>
    </comment>
    <comment ref="F1143" authorId="1" shapeId="0" xr:uid="{BC638E2B-AC4D-42E3-A400-A7B555123607}">
      <text/>
    </comment>
    <comment ref="A1145" authorId="1" shapeId="0" xr:uid="{4EC91D79-982F-42F7-9732-49472609AEEC}">
      <text>
        <r>
          <rPr>
            <sz val="11"/>
            <color theme="1"/>
            <rFont val="Calibri"/>
            <family val="2"/>
            <scheme val="minor"/>
          </rPr>
          <t>Introduzca un codigo UNSPSC</t>
        </r>
      </text>
    </comment>
    <comment ref="B1145" authorId="1" shapeId="0" xr:uid="{40F6502A-CA03-4752-9878-08BDE729273B}">
      <text>
        <r>
          <rPr>
            <sz val="11"/>
            <color theme="1"/>
            <rFont val="Calibri"/>
            <family val="2"/>
            <scheme val="minor"/>
          </rPr>
          <t>Descripción calculada automáticamente a partir de código del artículo</t>
        </r>
      </text>
    </comment>
    <comment ref="C1145" authorId="1" shapeId="0" xr:uid="{6E80CBE4-0122-4ECC-97B7-29C221F33851}">
      <text>
        <r>
          <rPr>
            <sz val="11"/>
            <color theme="1"/>
            <rFont val="Calibri"/>
            <family val="2"/>
            <scheme val="minor"/>
          </rPr>
          <t>Seleccione un valor de la lista</t>
        </r>
      </text>
    </comment>
    <comment ref="D1145" authorId="1" shapeId="0" xr:uid="{4E8ED76A-2332-429F-B6CC-786E8DA0CF61}">
      <text>
        <r>
          <rPr>
            <sz val="11"/>
            <color theme="1"/>
            <rFont val="Calibri"/>
            <family val="2"/>
            <scheme val="minor"/>
          </rPr>
          <t>Introduzca un número con dos decimales como máximo. Debe ser igual o mayor a la "Cantidad Real Consumida"</t>
        </r>
      </text>
    </comment>
    <comment ref="E1145" authorId="1" shapeId="0" xr:uid="{58D04855-8D20-4277-A49B-478225945A18}">
      <text>
        <r>
          <rPr>
            <sz val="11"/>
            <color theme="1"/>
            <rFont val="Calibri"/>
            <family val="2"/>
            <scheme val="minor"/>
          </rPr>
          <t>Introduzca un número con dos decimales como máximo</t>
        </r>
      </text>
    </comment>
    <comment ref="F1145" authorId="1" shapeId="0" xr:uid="{156E44C2-71F0-480D-8A05-7E5DB2CA9881}">
      <text>
        <r>
          <rPr>
            <sz val="11"/>
            <color theme="1"/>
            <rFont val="Calibri"/>
            <family val="2"/>
            <scheme val="minor"/>
          </rPr>
          <t>Monto calculado automáticamente por el sistema</t>
        </r>
      </text>
    </comment>
    <comment ref="A1157" authorId="1" shapeId="0" xr:uid="{3C2CE9E4-D126-42B5-B512-CCF6D7BCB3C5}">
      <text>
        <r>
          <rPr>
            <sz val="11"/>
            <color theme="1"/>
            <rFont val="Calibri"/>
            <family val="2"/>
            <scheme val="minor"/>
          </rPr>
          <t>Introducir un texto con el nombre o referencia de la contratación</t>
        </r>
      </text>
    </comment>
    <comment ref="B1157" authorId="1" shapeId="0" xr:uid="{781E0DE9-B349-43D5-BFB6-5DE5DE682F01}">
      <text>
        <r>
          <rPr>
            <sz val="11"/>
            <color theme="1"/>
            <rFont val="Calibri"/>
            <family val="2"/>
            <scheme val="minor"/>
          </rPr>
          <t>Introduzca un texto con la finalidad de la contratación</t>
        </r>
      </text>
    </comment>
    <comment ref="C1157" authorId="1" shapeId="0" xr:uid="{7AB4F6DB-A619-442E-A0BF-800D68B388CD}">
      <text>
        <r>
          <rPr>
            <sz val="11"/>
            <color theme="1"/>
            <rFont val="Calibri"/>
            <family val="2"/>
            <scheme val="minor"/>
          </rPr>
          <t>Seleccionar un valor del listado</t>
        </r>
      </text>
    </comment>
    <comment ref="D1157" authorId="1" shapeId="0" xr:uid="{B5F4D8C9-E569-43E1-BD1B-C5442F3B58E9}">
      <text>
        <r>
          <rPr>
            <sz val="11"/>
            <color theme="1"/>
            <rFont val="Calibri"/>
            <family val="2"/>
            <scheme val="minor"/>
          </rPr>
          <t>Seleccione el tipo de procedimiento</t>
        </r>
      </text>
    </comment>
    <comment ref="E1157" authorId="1" shapeId="0" xr:uid="{347946FA-E844-4DCF-BE50-10396BA9982B}">
      <text>
        <r>
          <rPr>
            <sz val="11"/>
            <color theme="1"/>
            <rFont val="Calibri"/>
            <family val="2"/>
            <scheme val="minor"/>
          </rPr>
          <t>Seleccione un valor de la lista</t>
        </r>
      </text>
    </comment>
    <comment ref="F1157" authorId="1" shapeId="0" xr:uid="{3A97A60D-3F08-4A94-B7DF-B840B3E21306}">
      <text>
        <r>
          <rPr>
            <sz val="11"/>
            <color theme="1"/>
            <rFont val="Calibri"/>
            <family val="2"/>
            <scheme val="minor"/>
          </rPr>
          <t>Introduzca el código SNIP</t>
        </r>
      </text>
    </comment>
    <comment ref="C1158" authorId="1" shapeId="0" xr:uid="{539BD128-4451-41D0-A5DC-D9F76455FCDF}">
      <text>
        <r>
          <rPr>
            <sz val="11"/>
            <color theme="1"/>
            <rFont val="Calibri"/>
            <family val="2"/>
            <scheme val="minor"/>
          </rPr>
          <t>Introduzca la fecha de inicio del proceso, en formato dd-mm-aaaa</t>
        </r>
      </text>
    </comment>
    <comment ref="F1158" authorId="1" shapeId="0" xr:uid="{8EB143C0-2EE4-4662-A128-647DCCCA80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9" authorId="1" shapeId="0" xr:uid="{8BD13C1B-9B21-48EB-BF0E-DE6BA5AAADC8}">
      <text/>
    </comment>
    <comment ref="C1160" authorId="1" shapeId="0" xr:uid="{3FFC9CF8-A611-46FB-892B-9D261B377193}">
      <text>
        <r>
          <rPr>
            <sz val="11"/>
            <color theme="1"/>
            <rFont val="Calibri"/>
            <family val="2"/>
            <scheme val="minor"/>
          </rPr>
          <t>Introduzca la fecha prevista de adjudicación, en formato dd-mm-aaaa</t>
        </r>
      </text>
    </comment>
    <comment ref="F1160" authorId="1" shapeId="0" xr:uid="{7EC1EADC-C549-4D19-A51B-31D58849FDA7}">
      <text/>
    </comment>
    <comment ref="F1161" authorId="1" shapeId="0" xr:uid="{1B5799FB-318B-424C-AE11-0858906D8053}">
      <text/>
    </comment>
    <comment ref="A1163" authorId="1" shapeId="0" xr:uid="{ED554256-45BD-4C01-A953-B968779496A1}">
      <text>
        <r>
          <rPr>
            <sz val="11"/>
            <color theme="1"/>
            <rFont val="Calibri"/>
            <family val="2"/>
            <scheme val="minor"/>
          </rPr>
          <t>Introduzca un codigo UNSPSC</t>
        </r>
      </text>
    </comment>
    <comment ref="B1163" authorId="1" shapeId="0" xr:uid="{76E5F7C4-5C91-44F2-A35F-523EFF551F5D}">
      <text>
        <r>
          <rPr>
            <sz val="11"/>
            <color theme="1"/>
            <rFont val="Calibri"/>
            <family val="2"/>
            <scheme val="minor"/>
          </rPr>
          <t>Descripción calculada automáticamente a partir de código del artículo</t>
        </r>
      </text>
    </comment>
    <comment ref="C1163" authorId="1" shapeId="0" xr:uid="{E67788E3-BD8C-44C3-A984-0E9B157B6F60}">
      <text>
        <r>
          <rPr>
            <sz val="11"/>
            <color theme="1"/>
            <rFont val="Calibri"/>
            <family val="2"/>
            <scheme val="minor"/>
          </rPr>
          <t>Seleccione un valor de la lista</t>
        </r>
      </text>
    </comment>
    <comment ref="D1163" authorId="1" shapeId="0" xr:uid="{19F3A630-9D1B-4758-9F7A-D59A2B2B2F7A}">
      <text>
        <r>
          <rPr>
            <sz val="11"/>
            <color theme="1"/>
            <rFont val="Calibri"/>
            <family val="2"/>
            <scheme val="minor"/>
          </rPr>
          <t>Introduzca un número con dos decimales como máximo. Debe ser igual o mayor a la "Cantidad Real Consumida"</t>
        </r>
      </text>
    </comment>
    <comment ref="E1163" authorId="1" shapeId="0" xr:uid="{305AF08A-C176-44EB-897C-9BFA68D83A63}">
      <text>
        <r>
          <rPr>
            <sz val="11"/>
            <color theme="1"/>
            <rFont val="Calibri"/>
            <family val="2"/>
            <scheme val="minor"/>
          </rPr>
          <t>Introduzca un número con dos decimales como máximo</t>
        </r>
      </text>
    </comment>
    <comment ref="F1163" authorId="1" shapeId="0" xr:uid="{0177E643-F96E-4928-B089-86D5C14218B2}">
      <text>
        <r>
          <rPr>
            <sz val="11"/>
            <color theme="1"/>
            <rFont val="Calibri"/>
            <family val="2"/>
            <scheme val="minor"/>
          </rPr>
          <t>Monto calculado automáticamente por el sistema</t>
        </r>
      </text>
    </comment>
    <comment ref="A1168" authorId="1" shapeId="0" xr:uid="{C91A6EDA-B220-46F8-9F1C-A9D5820F10AB}">
      <text>
        <r>
          <rPr>
            <sz val="11"/>
            <color theme="1"/>
            <rFont val="Calibri"/>
            <family val="2"/>
            <scheme val="minor"/>
          </rPr>
          <t>Introducir un texto con el nombre o referencia de la contratación</t>
        </r>
      </text>
    </comment>
    <comment ref="B1168" authorId="1" shapeId="0" xr:uid="{DD3FF52D-610B-4345-8EEA-D65EBF6C1D55}">
      <text>
        <r>
          <rPr>
            <sz val="11"/>
            <color theme="1"/>
            <rFont val="Calibri"/>
            <family val="2"/>
            <scheme val="minor"/>
          </rPr>
          <t>Introduzca un texto con la finalidad de la contratación</t>
        </r>
      </text>
    </comment>
    <comment ref="C1168" authorId="1" shapeId="0" xr:uid="{37159C97-8A6F-4769-A84F-157F89852AEB}">
      <text>
        <r>
          <rPr>
            <sz val="11"/>
            <color theme="1"/>
            <rFont val="Calibri"/>
            <family val="2"/>
            <scheme val="minor"/>
          </rPr>
          <t>Seleccionar un valor del listado</t>
        </r>
      </text>
    </comment>
    <comment ref="D1168" authorId="1" shapeId="0" xr:uid="{CB93C8EC-4BB8-464E-B9C2-3C24243D05CC}">
      <text>
        <r>
          <rPr>
            <sz val="11"/>
            <color theme="1"/>
            <rFont val="Calibri"/>
            <family val="2"/>
            <scheme val="minor"/>
          </rPr>
          <t>Seleccione el tipo de procedimiento</t>
        </r>
      </text>
    </comment>
    <comment ref="E1168" authorId="1" shapeId="0" xr:uid="{97215485-4BF6-4FAC-A768-406361C5FE39}">
      <text>
        <r>
          <rPr>
            <sz val="11"/>
            <color theme="1"/>
            <rFont val="Calibri"/>
            <family val="2"/>
            <scheme val="minor"/>
          </rPr>
          <t>Seleccione un valor de la lista</t>
        </r>
      </text>
    </comment>
    <comment ref="F1168" authorId="1" shapeId="0" xr:uid="{817A6AC6-436F-4F97-9968-2AC14BC57E73}">
      <text>
        <r>
          <rPr>
            <sz val="11"/>
            <color theme="1"/>
            <rFont val="Calibri"/>
            <family val="2"/>
            <scheme val="minor"/>
          </rPr>
          <t>Introduzca el código SNIP</t>
        </r>
      </text>
    </comment>
    <comment ref="C1169" authorId="1" shapeId="0" xr:uid="{F20B4DC9-88D6-45D1-8AD5-FEBF9E9C44E1}">
      <text>
        <r>
          <rPr>
            <sz val="11"/>
            <color theme="1"/>
            <rFont val="Calibri"/>
            <family val="2"/>
            <scheme val="minor"/>
          </rPr>
          <t>Introduzca la fecha de inicio del proceso, en formato dd-mm-aaaa</t>
        </r>
      </text>
    </comment>
    <comment ref="F1169" authorId="1" shapeId="0" xr:uid="{22B5C773-95B5-44FF-9173-30F82EEA3B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0" authorId="1" shapeId="0" xr:uid="{F067DEA5-F574-4D85-BCAC-12393914F461}">
      <text/>
    </comment>
    <comment ref="C1171" authorId="1" shapeId="0" xr:uid="{2B0C2A65-9FF8-45BD-90E3-4C487450822D}">
      <text>
        <r>
          <rPr>
            <sz val="11"/>
            <color theme="1"/>
            <rFont val="Calibri"/>
            <family val="2"/>
            <scheme val="minor"/>
          </rPr>
          <t>Introduzca la fecha prevista de adjudicación, en formato dd-mm-aaaa</t>
        </r>
      </text>
    </comment>
    <comment ref="F1171" authorId="1" shapeId="0" xr:uid="{85A812A8-8E43-4935-8D8F-9727CDE3AE06}">
      <text/>
    </comment>
    <comment ref="F1172" authorId="1" shapeId="0" xr:uid="{031A8158-3A30-4FB9-8B0C-15D30D0B0E4D}">
      <text/>
    </comment>
    <comment ref="A1174" authorId="1" shapeId="0" xr:uid="{67246207-A0FC-4757-BABC-6126D6FD8B9C}">
      <text>
        <r>
          <rPr>
            <sz val="11"/>
            <color theme="1"/>
            <rFont val="Calibri"/>
            <family val="2"/>
            <scheme val="minor"/>
          </rPr>
          <t>Introduzca un codigo UNSPSC</t>
        </r>
      </text>
    </comment>
    <comment ref="B1174" authorId="1" shapeId="0" xr:uid="{33CC4908-BF7F-447A-899D-E215B5C0A1B0}">
      <text>
        <r>
          <rPr>
            <sz val="11"/>
            <color theme="1"/>
            <rFont val="Calibri"/>
            <family val="2"/>
            <scheme val="minor"/>
          </rPr>
          <t>Descripción calculada automáticamente a partir de código del artículo</t>
        </r>
      </text>
    </comment>
    <comment ref="C1174" authorId="1" shapeId="0" xr:uid="{ED12BD09-D1C5-4080-B718-707FC2EC0A4F}">
      <text>
        <r>
          <rPr>
            <sz val="11"/>
            <color theme="1"/>
            <rFont val="Calibri"/>
            <family val="2"/>
            <scheme val="minor"/>
          </rPr>
          <t>Seleccione un valor de la lista</t>
        </r>
      </text>
    </comment>
    <comment ref="D1174" authorId="1" shapeId="0" xr:uid="{2DDB1B72-CC18-4EE5-8AEB-1DC96ED02B55}">
      <text>
        <r>
          <rPr>
            <sz val="11"/>
            <color theme="1"/>
            <rFont val="Calibri"/>
            <family val="2"/>
            <scheme val="minor"/>
          </rPr>
          <t>Introduzca un número con dos decimales como máximo. Debe ser igual o mayor a la "Cantidad Real Consumida"</t>
        </r>
      </text>
    </comment>
    <comment ref="E1174" authorId="1" shapeId="0" xr:uid="{5C94EAF9-2693-4681-81FC-F61F95EF123C}">
      <text>
        <r>
          <rPr>
            <sz val="11"/>
            <color theme="1"/>
            <rFont val="Calibri"/>
            <family val="2"/>
            <scheme val="minor"/>
          </rPr>
          <t>Introduzca un número con dos decimales como máximo</t>
        </r>
      </text>
    </comment>
    <comment ref="F1174" authorId="1" shapeId="0" xr:uid="{60365C7C-2F58-45BD-8906-F9FEA4F1F9DF}">
      <text>
        <r>
          <rPr>
            <sz val="11"/>
            <color theme="1"/>
            <rFont val="Calibri"/>
            <family val="2"/>
            <scheme val="minor"/>
          </rPr>
          <t>Monto calculado automáticamente por el sistema</t>
        </r>
      </text>
    </comment>
    <comment ref="A1179" authorId="1" shapeId="0" xr:uid="{285C2AAE-9724-4432-A25D-E4E0AB8118C9}">
      <text>
        <r>
          <rPr>
            <sz val="11"/>
            <color theme="1"/>
            <rFont val="Calibri"/>
            <family val="2"/>
            <scheme val="minor"/>
          </rPr>
          <t>Introducir un texto con el nombre o referencia de la contratación</t>
        </r>
      </text>
    </comment>
    <comment ref="B1179" authorId="1" shapeId="0" xr:uid="{36E92CDF-990E-4A8E-8946-20819433B5F4}">
      <text>
        <r>
          <rPr>
            <sz val="11"/>
            <color theme="1"/>
            <rFont val="Calibri"/>
            <family val="2"/>
            <scheme val="minor"/>
          </rPr>
          <t>Introduzca un texto con la finalidad de la contratación</t>
        </r>
      </text>
    </comment>
    <comment ref="C1179" authorId="1" shapeId="0" xr:uid="{8F76608C-B690-477E-B28E-C2BDAA89C678}">
      <text>
        <r>
          <rPr>
            <sz val="11"/>
            <color theme="1"/>
            <rFont val="Calibri"/>
            <family val="2"/>
            <scheme val="minor"/>
          </rPr>
          <t>Seleccionar un valor del listado</t>
        </r>
      </text>
    </comment>
    <comment ref="D1179" authorId="1" shapeId="0" xr:uid="{0708AF08-0CF2-4EF8-9DD8-8DD2FFB13ACA}">
      <text>
        <r>
          <rPr>
            <sz val="11"/>
            <color theme="1"/>
            <rFont val="Calibri"/>
            <family val="2"/>
            <scheme val="minor"/>
          </rPr>
          <t>Seleccione el tipo de procedimiento</t>
        </r>
      </text>
    </comment>
    <comment ref="E1179" authorId="1" shapeId="0" xr:uid="{1A0065FA-D2F8-4F4B-AA8D-B77124D66B95}">
      <text>
        <r>
          <rPr>
            <sz val="11"/>
            <color theme="1"/>
            <rFont val="Calibri"/>
            <family val="2"/>
            <scheme val="minor"/>
          </rPr>
          <t>Seleccione un valor de la lista</t>
        </r>
      </text>
    </comment>
    <comment ref="F1179" authorId="1" shapeId="0" xr:uid="{84A6B2BA-183A-47CD-9D50-9B83E66E665F}">
      <text>
        <r>
          <rPr>
            <sz val="11"/>
            <color theme="1"/>
            <rFont val="Calibri"/>
            <family val="2"/>
            <scheme val="minor"/>
          </rPr>
          <t>Introduzca el código SNIP</t>
        </r>
      </text>
    </comment>
    <comment ref="C1180" authorId="1" shapeId="0" xr:uid="{818E1DD9-F96C-45C6-980A-45B53604CC8F}">
      <text>
        <r>
          <rPr>
            <sz val="11"/>
            <color theme="1"/>
            <rFont val="Calibri"/>
            <family val="2"/>
            <scheme val="minor"/>
          </rPr>
          <t>Introduzca la fecha de inicio del proceso, en formato dd-mm-aaaa</t>
        </r>
      </text>
    </comment>
    <comment ref="F1180" authorId="1" shapeId="0" xr:uid="{EE6CF6E0-64AE-4AA0-B5B6-E763CE6B7E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1" authorId="1" shapeId="0" xr:uid="{B8BB7A64-C8AB-498C-BCD3-B5184809BF88}">
      <text/>
    </comment>
    <comment ref="C1182" authorId="1" shapeId="0" xr:uid="{84844139-F40C-4B2D-B630-7C2ABDA6DC59}">
      <text>
        <r>
          <rPr>
            <sz val="11"/>
            <color theme="1"/>
            <rFont val="Calibri"/>
            <family val="2"/>
            <scheme val="minor"/>
          </rPr>
          <t>Introduzca la fecha prevista de adjudicación, en formato dd-mm-aaaa</t>
        </r>
      </text>
    </comment>
    <comment ref="F1182" authorId="1" shapeId="0" xr:uid="{19F9766A-EF30-4284-BCAA-FCDC249DFBE7}">
      <text/>
    </comment>
    <comment ref="F1183" authorId="1" shapeId="0" xr:uid="{1C3319A0-6683-43F2-9860-5031A381710D}">
      <text/>
    </comment>
    <comment ref="A1185" authorId="1" shapeId="0" xr:uid="{46D5B3EB-9065-41CD-A0DD-32AF4F139BAD}">
      <text>
        <r>
          <rPr>
            <sz val="11"/>
            <color theme="1"/>
            <rFont val="Calibri"/>
            <family val="2"/>
            <scheme val="minor"/>
          </rPr>
          <t>Introduzca un codigo UNSPSC</t>
        </r>
      </text>
    </comment>
    <comment ref="B1185" authorId="1" shapeId="0" xr:uid="{21814939-7364-4F53-BB27-CEDFF78B0F74}">
      <text>
        <r>
          <rPr>
            <sz val="11"/>
            <color theme="1"/>
            <rFont val="Calibri"/>
            <family val="2"/>
            <scheme val="minor"/>
          </rPr>
          <t>Descripción calculada automáticamente a partir de código del artículo</t>
        </r>
      </text>
    </comment>
    <comment ref="C1185" authorId="1" shapeId="0" xr:uid="{DD620E0D-A0CA-4373-8C51-55D3C4C08C0A}">
      <text>
        <r>
          <rPr>
            <sz val="11"/>
            <color theme="1"/>
            <rFont val="Calibri"/>
            <family val="2"/>
            <scheme val="minor"/>
          </rPr>
          <t>Seleccione un valor de la lista</t>
        </r>
      </text>
    </comment>
    <comment ref="D1185" authorId="1" shapeId="0" xr:uid="{658CFDBA-10B6-44F5-A6ED-60D4A4157B50}">
      <text>
        <r>
          <rPr>
            <sz val="11"/>
            <color theme="1"/>
            <rFont val="Calibri"/>
            <family val="2"/>
            <scheme val="minor"/>
          </rPr>
          <t>Introduzca un número con dos decimales como máximo. Debe ser igual o mayor a la "Cantidad Real Consumida"</t>
        </r>
      </text>
    </comment>
    <comment ref="E1185" authorId="1" shapeId="0" xr:uid="{18996CCD-942F-4913-A549-37C0924D9F3B}">
      <text>
        <r>
          <rPr>
            <sz val="11"/>
            <color theme="1"/>
            <rFont val="Calibri"/>
            <family val="2"/>
            <scheme val="minor"/>
          </rPr>
          <t>Introduzca un número con dos decimales como máximo</t>
        </r>
      </text>
    </comment>
    <comment ref="F1185" authorId="1" shapeId="0" xr:uid="{7F26CDD2-084F-4C2D-8510-1A99A4EDF00D}">
      <text>
        <r>
          <rPr>
            <sz val="11"/>
            <color theme="1"/>
            <rFont val="Calibri"/>
            <family val="2"/>
            <scheme val="minor"/>
          </rPr>
          <t>Monto calculado automáticamente por el sistema</t>
        </r>
      </text>
    </comment>
    <comment ref="A1190" authorId="1" shapeId="0" xr:uid="{D7F14A50-01D3-4D53-901F-1488F1916FD2}">
      <text>
        <r>
          <rPr>
            <sz val="11"/>
            <color theme="1"/>
            <rFont val="Calibri"/>
            <family val="2"/>
            <scheme val="minor"/>
          </rPr>
          <t>Introducir un texto con el nombre o referencia de la contratación</t>
        </r>
      </text>
    </comment>
    <comment ref="B1190" authorId="1" shapeId="0" xr:uid="{814DD440-EC96-458B-BD42-71826E34CCC5}">
      <text>
        <r>
          <rPr>
            <sz val="11"/>
            <color theme="1"/>
            <rFont val="Calibri"/>
            <family val="2"/>
            <scheme val="minor"/>
          </rPr>
          <t>Introduzca un texto con la finalidad de la contratación</t>
        </r>
      </text>
    </comment>
    <comment ref="C1190" authorId="1" shapeId="0" xr:uid="{AE175BF8-30AB-4A6A-BC07-3704BDC76F4E}">
      <text>
        <r>
          <rPr>
            <sz val="11"/>
            <color theme="1"/>
            <rFont val="Calibri"/>
            <family val="2"/>
            <scheme val="minor"/>
          </rPr>
          <t>Seleccionar un valor del listado</t>
        </r>
      </text>
    </comment>
    <comment ref="D1190" authorId="1" shapeId="0" xr:uid="{E395D208-8258-4D8F-90D7-E44178C5F5FC}">
      <text>
        <r>
          <rPr>
            <sz val="11"/>
            <color theme="1"/>
            <rFont val="Calibri"/>
            <family val="2"/>
            <scheme val="minor"/>
          </rPr>
          <t>Seleccione el tipo de procedimiento</t>
        </r>
      </text>
    </comment>
    <comment ref="E1190" authorId="1" shapeId="0" xr:uid="{48375D1A-B0DB-4185-87A1-C9497B0AB87A}">
      <text>
        <r>
          <rPr>
            <sz val="11"/>
            <color theme="1"/>
            <rFont val="Calibri"/>
            <family val="2"/>
            <scheme val="minor"/>
          </rPr>
          <t>Seleccione un valor de la lista</t>
        </r>
      </text>
    </comment>
    <comment ref="F1190" authorId="1" shapeId="0" xr:uid="{E2290C4E-19F9-4D4D-88D5-C0DFEC09A04F}">
      <text>
        <r>
          <rPr>
            <sz val="11"/>
            <color theme="1"/>
            <rFont val="Calibri"/>
            <family val="2"/>
            <scheme val="minor"/>
          </rPr>
          <t>Introduzca el código SNIP</t>
        </r>
      </text>
    </comment>
    <comment ref="C1191" authorId="1" shapeId="0" xr:uid="{6F3F1470-BD04-4496-982B-01A4120B5844}">
      <text>
        <r>
          <rPr>
            <sz val="11"/>
            <color theme="1"/>
            <rFont val="Calibri"/>
            <family val="2"/>
            <scheme val="minor"/>
          </rPr>
          <t>Introduzca la fecha de inicio del proceso, en formato dd-mm-aaaa</t>
        </r>
      </text>
    </comment>
    <comment ref="F1191" authorId="1" shapeId="0" xr:uid="{8FECDAC1-EDCB-4284-9C19-2184160C4B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xr:uid="{AF0E363B-E9F5-44D7-BFCA-8FBAB75DC686}">
      <text/>
    </comment>
    <comment ref="C1193" authorId="1" shapeId="0" xr:uid="{8B414ABC-615A-4F39-93A4-9C52EEA52743}">
      <text>
        <r>
          <rPr>
            <sz val="11"/>
            <color theme="1"/>
            <rFont val="Calibri"/>
            <family val="2"/>
            <scheme val="minor"/>
          </rPr>
          <t>Introduzca la fecha prevista de adjudicación, en formato dd-mm-aaaa</t>
        </r>
      </text>
    </comment>
    <comment ref="F1193" authorId="1" shapeId="0" xr:uid="{5BD90EE2-BE3A-4437-8669-7AA245CD5BD2}">
      <text/>
    </comment>
    <comment ref="F1194" authorId="1" shapeId="0" xr:uid="{28929A6B-753E-4335-928E-D81E98A46940}">
      <text/>
    </comment>
    <comment ref="A1196" authorId="1" shapeId="0" xr:uid="{E264DDE6-9CE7-4001-AE8B-087EE8A3ADF2}">
      <text>
        <r>
          <rPr>
            <sz val="11"/>
            <color theme="1"/>
            <rFont val="Calibri"/>
            <family val="2"/>
            <scheme val="minor"/>
          </rPr>
          <t>Introduzca un codigo UNSPSC</t>
        </r>
      </text>
    </comment>
    <comment ref="B1196" authorId="1" shapeId="0" xr:uid="{042EB22E-4DA0-48CC-9B4D-0581914533C2}">
      <text>
        <r>
          <rPr>
            <sz val="11"/>
            <color theme="1"/>
            <rFont val="Calibri"/>
            <family val="2"/>
            <scheme val="minor"/>
          </rPr>
          <t>Descripción calculada automáticamente a partir de código del artículo</t>
        </r>
      </text>
    </comment>
    <comment ref="C1196" authorId="1" shapeId="0" xr:uid="{C10FECC1-02AE-41F2-A660-D0D2D2AF83F9}">
      <text>
        <r>
          <rPr>
            <sz val="11"/>
            <color theme="1"/>
            <rFont val="Calibri"/>
            <family val="2"/>
            <scheme val="minor"/>
          </rPr>
          <t>Seleccione un valor de la lista</t>
        </r>
      </text>
    </comment>
    <comment ref="D1196" authorId="1" shapeId="0" xr:uid="{29DA7407-8D5B-49BA-B638-387F99E68DFE}">
      <text>
        <r>
          <rPr>
            <sz val="11"/>
            <color theme="1"/>
            <rFont val="Calibri"/>
            <family val="2"/>
            <scheme val="minor"/>
          </rPr>
          <t>Introduzca un número con dos decimales como máximo. Debe ser igual o mayor a la "Cantidad Real Consumida"</t>
        </r>
      </text>
    </comment>
    <comment ref="E1196" authorId="1" shapeId="0" xr:uid="{1DF04A1F-1D06-4394-9B6E-82674B6BE030}">
      <text>
        <r>
          <rPr>
            <sz val="11"/>
            <color theme="1"/>
            <rFont val="Calibri"/>
            <family val="2"/>
            <scheme val="minor"/>
          </rPr>
          <t>Introduzca un número con dos decimales como máximo</t>
        </r>
      </text>
    </comment>
    <comment ref="F1196" authorId="1" shapeId="0" xr:uid="{BAFDB4C5-68E2-4F9C-B8EC-78B5D6A7E95D}">
      <text>
        <r>
          <rPr>
            <sz val="11"/>
            <color theme="1"/>
            <rFont val="Calibri"/>
            <family val="2"/>
            <scheme val="minor"/>
          </rPr>
          <t>Monto calculado automáticamente por el sistema</t>
        </r>
      </text>
    </comment>
    <comment ref="A1201" authorId="1" shapeId="0" xr:uid="{E32A2565-0AAD-47FC-B541-D1AAE17DFBA8}">
      <text>
        <r>
          <rPr>
            <sz val="11"/>
            <color theme="1"/>
            <rFont val="Calibri"/>
            <family val="2"/>
            <scheme val="minor"/>
          </rPr>
          <t>Introducir un texto con el nombre o referencia de la contratación</t>
        </r>
      </text>
    </comment>
    <comment ref="B1201" authorId="1" shapeId="0" xr:uid="{52F45A79-C8EA-4434-8CC0-63B61AD1AFA0}">
      <text>
        <r>
          <rPr>
            <sz val="11"/>
            <color theme="1"/>
            <rFont val="Calibri"/>
            <family val="2"/>
            <scheme val="minor"/>
          </rPr>
          <t>Introduzca un texto con la finalidad de la contratación</t>
        </r>
      </text>
    </comment>
    <comment ref="C1201" authorId="1" shapeId="0" xr:uid="{3D2F87E4-8A50-4407-823D-BD20A1BE0B72}">
      <text>
        <r>
          <rPr>
            <sz val="11"/>
            <color theme="1"/>
            <rFont val="Calibri"/>
            <family val="2"/>
            <scheme val="minor"/>
          </rPr>
          <t>Seleccionar un valor del listado</t>
        </r>
      </text>
    </comment>
    <comment ref="D1201" authorId="1" shapeId="0" xr:uid="{B4C11691-0184-4FDF-9E88-DA4514C64547}">
      <text>
        <r>
          <rPr>
            <sz val="11"/>
            <color theme="1"/>
            <rFont val="Calibri"/>
            <family val="2"/>
            <scheme val="minor"/>
          </rPr>
          <t>Seleccione el tipo de procedimiento</t>
        </r>
      </text>
    </comment>
    <comment ref="E1201" authorId="1" shapeId="0" xr:uid="{75E0740A-CF11-4E7B-88A0-0D2230BDB381}">
      <text>
        <r>
          <rPr>
            <sz val="11"/>
            <color theme="1"/>
            <rFont val="Calibri"/>
            <family val="2"/>
            <scheme val="minor"/>
          </rPr>
          <t>Seleccione un valor de la lista</t>
        </r>
      </text>
    </comment>
    <comment ref="F1201" authorId="1" shapeId="0" xr:uid="{BD1022DB-400A-462B-B391-E725B4D89721}">
      <text>
        <r>
          <rPr>
            <sz val="11"/>
            <color theme="1"/>
            <rFont val="Calibri"/>
            <family val="2"/>
            <scheme val="minor"/>
          </rPr>
          <t>Introduzca el código SNIP</t>
        </r>
      </text>
    </comment>
    <comment ref="C1202" authorId="1" shapeId="0" xr:uid="{3DE477FF-9F2E-4EED-9EF2-4BE888661293}">
      <text>
        <r>
          <rPr>
            <sz val="11"/>
            <color theme="1"/>
            <rFont val="Calibri"/>
            <family val="2"/>
            <scheme val="minor"/>
          </rPr>
          <t>Introduzca la fecha de inicio del proceso, en formato dd-mm-aaaa</t>
        </r>
      </text>
    </comment>
    <comment ref="F1202" authorId="1" shapeId="0" xr:uid="{74023B6B-5F21-4498-8D39-4B59DACF49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1" shapeId="0" xr:uid="{8D707503-015F-4F65-81C5-448F6916D98E}">
      <text/>
    </comment>
    <comment ref="C1204" authorId="1" shapeId="0" xr:uid="{F2A82236-05AE-482F-A1AE-EBC10D822E7C}">
      <text>
        <r>
          <rPr>
            <sz val="11"/>
            <color theme="1"/>
            <rFont val="Calibri"/>
            <family val="2"/>
            <scheme val="minor"/>
          </rPr>
          <t>Introduzca la fecha prevista de adjudicación, en formato dd-mm-aaaa</t>
        </r>
      </text>
    </comment>
    <comment ref="F1204" authorId="1" shapeId="0" xr:uid="{7E471437-AD0E-44EF-9AC2-6345F646E586}">
      <text/>
    </comment>
    <comment ref="F1205" authorId="1" shapeId="0" xr:uid="{9CF3A19A-CF64-4802-830E-617884D58B53}">
      <text/>
    </comment>
    <comment ref="A1207" authorId="1" shapeId="0" xr:uid="{492773C5-063F-4703-A776-D69281646680}">
      <text>
        <r>
          <rPr>
            <sz val="11"/>
            <color theme="1"/>
            <rFont val="Calibri"/>
            <family val="2"/>
            <scheme val="minor"/>
          </rPr>
          <t>Introduzca un codigo UNSPSC</t>
        </r>
      </text>
    </comment>
    <comment ref="B1207" authorId="1" shapeId="0" xr:uid="{CCCA0F4C-AA97-4590-A87F-BF69FAA82466}">
      <text>
        <r>
          <rPr>
            <sz val="11"/>
            <color theme="1"/>
            <rFont val="Calibri"/>
            <family val="2"/>
            <scheme val="minor"/>
          </rPr>
          <t>Descripción calculada automáticamente a partir de código del artículo</t>
        </r>
      </text>
    </comment>
    <comment ref="C1207" authorId="1" shapeId="0" xr:uid="{5D476404-C0DB-437F-9BDE-37E7EC4CC473}">
      <text>
        <r>
          <rPr>
            <sz val="11"/>
            <color theme="1"/>
            <rFont val="Calibri"/>
            <family val="2"/>
            <scheme val="minor"/>
          </rPr>
          <t>Seleccione un valor de la lista</t>
        </r>
      </text>
    </comment>
    <comment ref="D1207" authorId="1" shapeId="0" xr:uid="{64110E68-D679-4CCA-95AE-D84F206471F0}">
      <text>
        <r>
          <rPr>
            <sz val="11"/>
            <color theme="1"/>
            <rFont val="Calibri"/>
            <family val="2"/>
            <scheme val="minor"/>
          </rPr>
          <t>Introduzca un número con dos decimales como máximo. Debe ser igual o mayor a la "Cantidad Real Consumida"</t>
        </r>
      </text>
    </comment>
    <comment ref="E1207" authorId="1" shapeId="0" xr:uid="{79E25776-EB97-4F5C-952D-5AC20216FF19}">
      <text>
        <r>
          <rPr>
            <sz val="11"/>
            <color theme="1"/>
            <rFont val="Calibri"/>
            <family val="2"/>
            <scheme val="minor"/>
          </rPr>
          <t>Introduzca un número con dos decimales como máximo</t>
        </r>
      </text>
    </comment>
    <comment ref="F1207" authorId="1" shapeId="0" xr:uid="{B7A1C6DB-36C6-41F6-AD66-D48C49BAA3DD}">
      <text>
        <r>
          <rPr>
            <sz val="11"/>
            <color theme="1"/>
            <rFont val="Calibri"/>
            <family val="2"/>
            <scheme val="minor"/>
          </rPr>
          <t>Monto calculado automáticamente por el sistema</t>
        </r>
      </text>
    </comment>
    <comment ref="A1212" authorId="1" shapeId="0" xr:uid="{5DC0FB1F-78C5-44CD-B111-512A18CA32FE}">
      <text>
        <r>
          <rPr>
            <sz val="11"/>
            <color theme="1"/>
            <rFont val="Calibri"/>
            <family val="2"/>
            <scheme val="minor"/>
          </rPr>
          <t>Introducir un texto con el nombre o referencia de la contratación</t>
        </r>
      </text>
    </comment>
    <comment ref="B1212" authorId="1" shapeId="0" xr:uid="{FC80C40E-2471-47FD-8D0E-B0D7788374D3}">
      <text>
        <r>
          <rPr>
            <sz val="11"/>
            <color theme="1"/>
            <rFont val="Calibri"/>
            <family val="2"/>
            <scheme val="minor"/>
          </rPr>
          <t>Introduzca un texto con la finalidad de la contratación</t>
        </r>
      </text>
    </comment>
    <comment ref="C1212" authorId="1" shapeId="0" xr:uid="{B4777E36-4B52-4B47-A0A6-8B7F84B0AFF5}">
      <text>
        <r>
          <rPr>
            <sz val="11"/>
            <color theme="1"/>
            <rFont val="Calibri"/>
            <family val="2"/>
            <scheme val="minor"/>
          </rPr>
          <t>Seleccionar un valor del listado</t>
        </r>
      </text>
    </comment>
    <comment ref="D1212" authorId="1" shapeId="0" xr:uid="{B59AE506-0E03-4D25-B469-D4FD8D11351C}">
      <text>
        <r>
          <rPr>
            <sz val="11"/>
            <color theme="1"/>
            <rFont val="Calibri"/>
            <family val="2"/>
            <scheme val="minor"/>
          </rPr>
          <t>Seleccione el tipo de procedimiento</t>
        </r>
      </text>
    </comment>
    <comment ref="E1212" authorId="1" shapeId="0" xr:uid="{DBDF00DA-DB86-468E-A241-6B8223C8AB16}">
      <text>
        <r>
          <rPr>
            <sz val="11"/>
            <color theme="1"/>
            <rFont val="Calibri"/>
            <family val="2"/>
            <scheme val="minor"/>
          </rPr>
          <t>Seleccione un valor de la lista</t>
        </r>
      </text>
    </comment>
    <comment ref="F1212" authorId="1" shapeId="0" xr:uid="{8E22CD86-0DCC-4793-AF25-591E42EA313C}">
      <text>
        <r>
          <rPr>
            <sz val="11"/>
            <color theme="1"/>
            <rFont val="Calibri"/>
            <family val="2"/>
            <scheme val="minor"/>
          </rPr>
          <t>Introduzca el código SNIP</t>
        </r>
      </text>
    </comment>
    <comment ref="C1213" authorId="1" shapeId="0" xr:uid="{16D9CAF2-7FA0-4319-B659-62B982B084D6}">
      <text>
        <r>
          <rPr>
            <sz val="11"/>
            <color theme="1"/>
            <rFont val="Calibri"/>
            <family val="2"/>
            <scheme val="minor"/>
          </rPr>
          <t>Introduzca la fecha de inicio del proceso, en formato dd-mm-aaaa</t>
        </r>
      </text>
    </comment>
    <comment ref="F1213" authorId="1" shapeId="0" xr:uid="{8D22A0C9-D855-479C-85EE-20D0ACD526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1" shapeId="0" xr:uid="{8F9E4CB6-B095-4BA1-BA05-847DA220F962}">
      <text/>
    </comment>
    <comment ref="C1215" authorId="1" shapeId="0" xr:uid="{DD8D1C7D-BBA0-4CF4-B9F1-59145E88311D}">
      <text>
        <r>
          <rPr>
            <sz val="11"/>
            <color theme="1"/>
            <rFont val="Calibri"/>
            <family val="2"/>
            <scheme val="minor"/>
          </rPr>
          <t>Introduzca la fecha prevista de adjudicación, en formato dd-mm-aaaa</t>
        </r>
      </text>
    </comment>
    <comment ref="F1215" authorId="1" shapeId="0" xr:uid="{C26BD499-EAF6-42E5-846E-60E61A1531D7}">
      <text/>
    </comment>
    <comment ref="F1216" authorId="1" shapeId="0" xr:uid="{3656F567-59AC-41FD-A642-EC76C15993B5}">
      <text/>
    </comment>
    <comment ref="A1218" authorId="1" shapeId="0" xr:uid="{41DE8DCC-E02A-4536-8175-829C1654270E}">
      <text>
        <r>
          <rPr>
            <sz val="11"/>
            <color theme="1"/>
            <rFont val="Calibri"/>
            <family val="2"/>
            <scheme val="minor"/>
          </rPr>
          <t>Introduzca un codigo UNSPSC</t>
        </r>
      </text>
    </comment>
    <comment ref="B1218" authorId="1" shapeId="0" xr:uid="{0B41A7D2-2A0C-400B-82A3-2D9BCE1AF02A}">
      <text>
        <r>
          <rPr>
            <sz val="11"/>
            <color theme="1"/>
            <rFont val="Calibri"/>
            <family val="2"/>
            <scheme val="minor"/>
          </rPr>
          <t>Descripción calculada automáticamente a partir de código del artículo</t>
        </r>
      </text>
    </comment>
    <comment ref="C1218" authorId="1" shapeId="0" xr:uid="{2D605EE8-1ECC-48A8-B086-0AA32F2EC01D}">
      <text>
        <r>
          <rPr>
            <sz val="11"/>
            <color theme="1"/>
            <rFont val="Calibri"/>
            <family val="2"/>
            <scheme val="minor"/>
          </rPr>
          <t>Seleccione un valor de la lista</t>
        </r>
      </text>
    </comment>
    <comment ref="D1218" authorId="1" shapeId="0" xr:uid="{D7BBB85C-8E3E-4450-8929-EEE18A7C6C18}">
      <text>
        <r>
          <rPr>
            <sz val="11"/>
            <color theme="1"/>
            <rFont val="Calibri"/>
            <family val="2"/>
            <scheme val="minor"/>
          </rPr>
          <t>Introduzca un número con dos decimales como máximo. Debe ser igual o mayor a la "Cantidad Real Consumida"</t>
        </r>
      </text>
    </comment>
    <comment ref="E1218" authorId="1" shapeId="0" xr:uid="{49212821-F2A6-4BC1-9B6C-76E0C57099A3}">
      <text>
        <r>
          <rPr>
            <sz val="11"/>
            <color theme="1"/>
            <rFont val="Calibri"/>
            <family val="2"/>
            <scheme val="minor"/>
          </rPr>
          <t>Introduzca un número con dos decimales como máximo</t>
        </r>
      </text>
    </comment>
    <comment ref="F1218" authorId="1" shapeId="0" xr:uid="{8543BCDC-3DC6-4F39-9F7E-324ED3C6120E}">
      <text>
        <r>
          <rPr>
            <sz val="11"/>
            <color theme="1"/>
            <rFont val="Calibri"/>
            <family val="2"/>
            <scheme val="minor"/>
          </rPr>
          <t>Monto calculado automáticamente por el sistema</t>
        </r>
      </text>
    </comment>
    <comment ref="A1223" authorId="1" shapeId="0" xr:uid="{38A0BB85-13A5-40E7-AE3A-567781D14125}">
      <text>
        <r>
          <rPr>
            <sz val="11"/>
            <color theme="1"/>
            <rFont val="Calibri"/>
            <family val="2"/>
            <scheme val="minor"/>
          </rPr>
          <t>Introducir un texto con el nombre o referencia de la contratación</t>
        </r>
      </text>
    </comment>
    <comment ref="B1223" authorId="1" shapeId="0" xr:uid="{115DABAC-F391-483B-87C2-50BADF6C2B65}">
      <text>
        <r>
          <rPr>
            <sz val="11"/>
            <color theme="1"/>
            <rFont val="Calibri"/>
            <family val="2"/>
            <scheme val="minor"/>
          </rPr>
          <t>Introduzca un texto con la finalidad de la contratación</t>
        </r>
      </text>
    </comment>
    <comment ref="C1223" authorId="1" shapeId="0" xr:uid="{91E7EA68-5D72-4117-B945-96986D6BD069}">
      <text>
        <r>
          <rPr>
            <sz val="11"/>
            <color theme="1"/>
            <rFont val="Calibri"/>
            <family val="2"/>
            <scheme val="minor"/>
          </rPr>
          <t>Seleccionar un valor del listado</t>
        </r>
      </text>
    </comment>
    <comment ref="D1223" authorId="1" shapeId="0" xr:uid="{E46CD7FA-983D-4BC8-8621-23307AA124BB}">
      <text>
        <r>
          <rPr>
            <sz val="11"/>
            <color theme="1"/>
            <rFont val="Calibri"/>
            <family val="2"/>
            <scheme val="minor"/>
          </rPr>
          <t>Seleccione el tipo de procedimiento</t>
        </r>
      </text>
    </comment>
    <comment ref="E1223" authorId="1" shapeId="0" xr:uid="{4B1134B4-2F06-44AC-8618-E232E8238938}">
      <text>
        <r>
          <rPr>
            <sz val="11"/>
            <color theme="1"/>
            <rFont val="Calibri"/>
            <family val="2"/>
            <scheme val="minor"/>
          </rPr>
          <t>Seleccione un valor de la lista</t>
        </r>
      </text>
    </comment>
    <comment ref="F1223" authorId="1" shapeId="0" xr:uid="{5DEB8CE0-FEE9-47FB-B042-3F086FE4408B}">
      <text>
        <r>
          <rPr>
            <sz val="11"/>
            <color theme="1"/>
            <rFont val="Calibri"/>
            <family val="2"/>
            <scheme val="minor"/>
          </rPr>
          <t>Introduzca el código SNIP</t>
        </r>
      </text>
    </comment>
    <comment ref="C1224" authorId="1" shapeId="0" xr:uid="{057A4E4F-EC9F-4074-BCA7-4593A5BCD2BD}">
      <text>
        <r>
          <rPr>
            <sz val="11"/>
            <color theme="1"/>
            <rFont val="Calibri"/>
            <family val="2"/>
            <scheme val="minor"/>
          </rPr>
          <t>Introduzca la fecha de inicio del proceso, en formato dd-mm-aaaa</t>
        </r>
      </text>
    </comment>
    <comment ref="F1224" authorId="1" shapeId="0" xr:uid="{EA8BFF5E-0D24-4F28-9291-2897998682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1" shapeId="0" xr:uid="{74F42DDC-E8E6-412F-972C-A9284F374DF6}">
      <text/>
    </comment>
    <comment ref="C1226" authorId="1" shapeId="0" xr:uid="{4B24EA13-0FDD-469B-B379-11F8BC55846E}">
      <text>
        <r>
          <rPr>
            <sz val="11"/>
            <color theme="1"/>
            <rFont val="Calibri"/>
            <family val="2"/>
            <scheme val="minor"/>
          </rPr>
          <t>Introduzca la fecha prevista de adjudicación, en formato dd-mm-aaaa</t>
        </r>
      </text>
    </comment>
    <comment ref="F1226" authorId="1" shapeId="0" xr:uid="{C09B0F87-70B2-4ED2-B162-734E6F24D50E}">
      <text/>
    </comment>
    <comment ref="F1227" authorId="1" shapeId="0" xr:uid="{1AD71617-0F6B-4D26-95F6-E054C3C3BD33}">
      <text/>
    </comment>
    <comment ref="A1229" authorId="1" shapeId="0" xr:uid="{73C357D2-374C-4D03-8CE2-7AE95EF085FC}">
      <text>
        <r>
          <rPr>
            <sz val="11"/>
            <color theme="1"/>
            <rFont val="Calibri"/>
            <family val="2"/>
            <scheme val="minor"/>
          </rPr>
          <t>Introduzca un codigo UNSPSC</t>
        </r>
      </text>
    </comment>
    <comment ref="B1229" authorId="1" shapeId="0" xr:uid="{CA375A56-6195-4A85-A639-C43783A0C9B6}">
      <text>
        <r>
          <rPr>
            <sz val="11"/>
            <color theme="1"/>
            <rFont val="Calibri"/>
            <family val="2"/>
            <scheme val="minor"/>
          </rPr>
          <t>Descripción calculada automáticamente a partir de código del artículo</t>
        </r>
      </text>
    </comment>
    <comment ref="C1229" authorId="1" shapeId="0" xr:uid="{7EE60F01-F820-45A0-9123-42C5C2AF9FCA}">
      <text>
        <r>
          <rPr>
            <sz val="11"/>
            <color theme="1"/>
            <rFont val="Calibri"/>
            <family val="2"/>
            <scheme val="minor"/>
          </rPr>
          <t>Seleccione un valor de la lista</t>
        </r>
      </text>
    </comment>
    <comment ref="D1229" authorId="1" shapeId="0" xr:uid="{7E5567EF-F1D8-4E42-9C8D-611EF4D9A98D}">
      <text>
        <r>
          <rPr>
            <sz val="11"/>
            <color theme="1"/>
            <rFont val="Calibri"/>
            <family val="2"/>
            <scheme val="minor"/>
          </rPr>
          <t>Introduzca un número con dos decimales como máximo. Debe ser igual o mayor a la "Cantidad Real Consumida"</t>
        </r>
      </text>
    </comment>
    <comment ref="E1229" authorId="1" shapeId="0" xr:uid="{1F0F9C9B-BAA9-429E-879D-D6A36AB91E5F}">
      <text>
        <r>
          <rPr>
            <sz val="11"/>
            <color theme="1"/>
            <rFont val="Calibri"/>
            <family val="2"/>
            <scheme val="minor"/>
          </rPr>
          <t>Introduzca un número con dos decimales como máximo</t>
        </r>
      </text>
    </comment>
    <comment ref="F1229" authorId="1" shapeId="0" xr:uid="{8CF7E6B8-9672-4F27-A09D-4BAEF19E01ED}">
      <text>
        <r>
          <rPr>
            <sz val="11"/>
            <color theme="1"/>
            <rFont val="Calibri"/>
            <family val="2"/>
            <scheme val="minor"/>
          </rPr>
          <t>Monto calculado automáticamente por el sistema</t>
        </r>
      </text>
    </comment>
    <comment ref="A1234" authorId="1" shapeId="0" xr:uid="{3B9EE5B9-D01E-47E2-A670-8DEB53E4A6BC}">
      <text>
        <r>
          <rPr>
            <sz val="11"/>
            <color theme="1"/>
            <rFont val="Calibri"/>
            <family val="2"/>
            <scheme val="minor"/>
          </rPr>
          <t>Introducir un texto con el nombre o referencia de la contratación</t>
        </r>
      </text>
    </comment>
    <comment ref="B1234" authorId="1" shapeId="0" xr:uid="{3951558C-1454-4605-B38C-4D6705E72920}">
      <text>
        <r>
          <rPr>
            <sz val="11"/>
            <color theme="1"/>
            <rFont val="Calibri"/>
            <family val="2"/>
            <scheme val="minor"/>
          </rPr>
          <t>Introduzca un texto con la finalidad de la contratación</t>
        </r>
      </text>
    </comment>
    <comment ref="C1234" authorId="1" shapeId="0" xr:uid="{F865EAB1-81D0-4778-B5F4-3851F6095EBB}">
      <text>
        <r>
          <rPr>
            <sz val="11"/>
            <color theme="1"/>
            <rFont val="Calibri"/>
            <family val="2"/>
            <scheme val="minor"/>
          </rPr>
          <t>Seleccionar un valor del listado</t>
        </r>
      </text>
    </comment>
    <comment ref="D1234" authorId="1" shapeId="0" xr:uid="{68B49DE5-5DD1-4449-A1F3-9BA543E361C1}">
      <text>
        <r>
          <rPr>
            <sz val="11"/>
            <color theme="1"/>
            <rFont val="Calibri"/>
            <family val="2"/>
            <scheme val="minor"/>
          </rPr>
          <t>Seleccione el tipo de procedimiento</t>
        </r>
      </text>
    </comment>
    <comment ref="E1234" authorId="1" shapeId="0" xr:uid="{05311B8F-65DD-4D06-A8BB-1F98B993AC7D}">
      <text>
        <r>
          <rPr>
            <sz val="11"/>
            <color theme="1"/>
            <rFont val="Calibri"/>
            <family val="2"/>
            <scheme val="minor"/>
          </rPr>
          <t>Seleccione un valor de la lista</t>
        </r>
      </text>
    </comment>
    <comment ref="F1234" authorId="1" shapeId="0" xr:uid="{54D2978F-D7BD-4106-BCD4-D810C922CC21}">
      <text>
        <r>
          <rPr>
            <sz val="11"/>
            <color theme="1"/>
            <rFont val="Calibri"/>
            <family val="2"/>
            <scheme val="minor"/>
          </rPr>
          <t>Introduzca el código SNIP</t>
        </r>
      </text>
    </comment>
    <comment ref="C1235" authorId="1" shapeId="0" xr:uid="{5D17ADC4-6581-418E-AA5D-FE9515C6D124}">
      <text>
        <r>
          <rPr>
            <sz val="11"/>
            <color theme="1"/>
            <rFont val="Calibri"/>
            <family val="2"/>
            <scheme val="minor"/>
          </rPr>
          <t>Introduzca la fecha de inicio del proceso, en formato dd-mm-aaaa</t>
        </r>
      </text>
    </comment>
    <comment ref="F1235" authorId="1" shapeId="0" xr:uid="{6F470E62-FA82-4668-9DA1-BD6943FFE6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6" authorId="1" shapeId="0" xr:uid="{EAB5C201-79A9-4B6C-B06B-AA6C46597559}">
      <text/>
    </comment>
    <comment ref="C1237" authorId="1" shapeId="0" xr:uid="{D098B950-C6EE-4F17-BFB8-E7A6F6950A91}">
      <text>
        <r>
          <rPr>
            <sz val="11"/>
            <color theme="1"/>
            <rFont val="Calibri"/>
            <family val="2"/>
            <scheme val="minor"/>
          </rPr>
          <t>Introduzca la fecha prevista de adjudicación, en formato dd-mm-aaaa</t>
        </r>
      </text>
    </comment>
    <comment ref="F1237" authorId="1" shapeId="0" xr:uid="{FBBF76D8-3798-43F4-9F32-6A0D719536B6}">
      <text/>
    </comment>
    <comment ref="F1238" authorId="1" shapeId="0" xr:uid="{6853D77C-5925-4F32-B2B8-31A1DA458E84}">
      <text/>
    </comment>
    <comment ref="A1240" authorId="1" shapeId="0" xr:uid="{333EE56F-6AD9-4A7F-B27F-0BA907B2FB05}">
      <text>
        <r>
          <rPr>
            <sz val="11"/>
            <color theme="1"/>
            <rFont val="Calibri"/>
            <family val="2"/>
            <scheme val="minor"/>
          </rPr>
          <t>Introduzca un codigo UNSPSC</t>
        </r>
      </text>
    </comment>
    <comment ref="B1240" authorId="1" shapeId="0" xr:uid="{790A3D13-71B1-4974-A92C-49112D8B96FB}">
      <text>
        <r>
          <rPr>
            <sz val="11"/>
            <color theme="1"/>
            <rFont val="Calibri"/>
            <family val="2"/>
            <scheme val="minor"/>
          </rPr>
          <t>Descripción calculada automáticamente a partir de código del artículo</t>
        </r>
      </text>
    </comment>
    <comment ref="C1240" authorId="1" shapeId="0" xr:uid="{DEE33693-0B18-494F-8A61-A28619C575B8}">
      <text>
        <r>
          <rPr>
            <sz val="11"/>
            <color theme="1"/>
            <rFont val="Calibri"/>
            <family val="2"/>
            <scheme val="minor"/>
          </rPr>
          <t>Seleccione un valor de la lista</t>
        </r>
      </text>
    </comment>
    <comment ref="D1240" authorId="1" shapeId="0" xr:uid="{CF7CA6E3-F7BE-4453-974F-16D14D3011B1}">
      <text>
        <r>
          <rPr>
            <sz val="11"/>
            <color theme="1"/>
            <rFont val="Calibri"/>
            <family val="2"/>
            <scheme val="minor"/>
          </rPr>
          <t>Introduzca un número con dos decimales como máximo. Debe ser igual o mayor a la "Cantidad Real Consumida"</t>
        </r>
      </text>
    </comment>
    <comment ref="E1240" authorId="1" shapeId="0" xr:uid="{F7125EDC-F099-446B-993C-FF66A204CCE7}">
      <text>
        <r>
          <rPr>
            <sz val="11"/>
            <color theme="1"/>
            <rFont val="Calibri"/>
            <family val="2"/>
            <scheme val="minor"/>
          </rPr>
          <t>Introduzca un número con dos decimales como máximo</t>
        </r>
      </text>
    </comment>
    <comment ref="F1240" authorId="1" shapeId="0" xr:uid="{3A83FA0B-910F-4A0D-94B3-E97580A55F21}">
      <text>
        <r>
          <rPr>
            <sz val="11"/>
            <color theme="1"/>
            <rFont val="Calibri"/>
            <family val="2"/>
            <scheme val="minor"/>
          </rPr>
          <t>Monto calculado automáticamente por el sistema</t>
        </r>
      </text>
    </comment>
    <comment ref="A1245" authorId="1" shapeId="0" xr:uid="{C44BE7C4-1CE6-4A1C-B32D-53C64DEF0589}">
      <text>
        <r>
          <rPr>
            <sz val="11"/>
            <color theme="1"/>
            <rFont val="Calibri"/>
            <family val="2"/>
            <scheme val="minor"/>
          </rPr>
          <t>Introducir un texto con el nombre o referencia de la contratación</t>
        </r>
      </text>
    </comment>
    <comment ref="B1245" authorId="1" shapeId="0" xr:uid="{D74446A8-760C-42D3-8881-CB1E0856BF4E}">
      <text>
        <r>
          <rPr>
            <sz val="11"/>
            <color theme="1"/>
            <rFont val="Calibri"/>
            <family val="2"/>
            <scheme val="minor"/>
          </rPr>
          <t>Introduzca un texto con la finalidad de la contratación</t>
        </r>
      </text>
    </comment>
    <comment ref="C1245" authorId="1" shapeId="0" xr:uid="{B271760E-7323-420C-B8A6-0107CEED767C}">
      <text>
        <r>
          <rPr>
            <sz val="11"/>
            <color theme="1"/>
            <rFont val="Calibri"/>
            <family val="2"/>
            <scheme val="minor"/>
          </rPr>
          <t>Seleccionar un valor del listado</t>
        </r>
      </text>
    </comment>
    <comment ref="D1245" authorId="1" shapeId="0" xr:uid="{97263608-A362-4415-AA96-5469A4F7B5C7}">
      <text>
        <r>
          <rPr>
            <sz val="11"/>
            <color theme="1"/>
            <rFont val="Calibri"/>
            <family val="2"/>
            <scheme val="minor"/>
          </rPr>
          <t>Seleccione el tipo de procedimiento</t>
        </r>
      </text>
    </comment>
    <comment ref="E1245" authorId="1" shapeId="0" xr:uid="{ABCA040F-F09D-4389-89E5-0A9B037ECAFB}">
      <text>
        <r>
          <rPr>
            <sz val="11"/>
            <color theme="1"/>
            <rFont val="Calibri"/>
            <family val="2"/>
            <scheme val="minor"/>
          </rPr>
          <t>Seleccione un valor de la lista</t>
        </r>
      </text>
    </comment>
    <comment ref="F1245" authorId="1" shapeId="0" xr:uid="{0C09AF60-FF1C-4916-98C9-CAB7FFD87FE6}">
      <text>
        <r>
          <rPr>
            <sz val="11"/>
            <color theme="1"/>
            <rFont val="Calibri"/>
            <family val="2"/>
            <scheme val="minor"/>
          </rPr>
          <t>Introduzca el código SNIP</t>
        </r>
      </text>
    </comment>
    <comment ref="C1246" authorId="1" shapeId="0" xr:uid="{E21678A4-BEA8-4395-A688-D4E944E07357}">
      <text>
        <r>
          <rPr>
            <sz val="11"/>
            <color theme="1"/>
            <rFont val="Calibri"/>
            <family val="2"/>
            <scheme val="minor"/>
          </rPr>
          <t>Introduzca la fecha de inicio del proceso, en formato dd-mm-aaaa</t>
        </r>
      </text>
    </comment>
    <comment ref="F1246" authorId="1" shapeId="0" xr:uid="{1837014F-EAA1-46BC-8853-533866AE26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1" shapeId="0" xr:uid="{4180B4D0-376C-4585-B379-5B90FA56BF1C}">
      <text/>
    </comment>
    <comment ref="C1248" authorId="1" shapeId="0" xr:uid="{F5DDE6C5-A001-487F-AFF6-8B5E2915F106}">
      <text>
        <r>
          <rPr>
            <sz val="11"/>
            <color theme="1"/>
            <rFont val="Calibri"/>
            <family val="2"/>
            <scheme val="minor"/>
          </rPr>
          <t>Introduzca la fecha prevista de adjudicación, en formato dd-mm-aaaa</t>
        </r>
      </text>
    </comment>
    <comment ref="F1248" authorId="1" shapeId="0" xr:uid="{635FA211-D235-4329-858B-B6A6AE718025}">
      <text/>
    </comment>
    <comment ref="F1249" authorId="1" shapeId="0" xr:uid="{E51E1FF2-6233-4DAC-84E5-5010208740D8}">
      <text/>
    </comment>
    <comment ref="A1251" authorId="1" shapeId="0" xr:uid="{A046B0C2-68F6-4EEA-8BFF-30DFF166AF32}">
      <text>
        <r>
          <rPr>
            <sz val="11"/>
            <color theme="1"/>
            <rFont val="Calibri"/>
            <family val="2"/>
            <scheme val="minor"/>
          </rPr>
          <t>Introduzca un codigo UNSPSC</t>
        </r>
      </text>
    </comment>
    <comment ref="B1251" authorId="1" shapeId="0" xr:uid="{3EEE04DA-C9E2-4BC6-A7FD-4E2A6CF64F48}">
      <text>
        <r>
          <rPr>
            <sz val="11"/>
            <color theme="1"/>
            <rFont val="Calibri"/>
            <family val="2"/>
            <scheme val="minor"/>
          </rPr>
          <t>Descripción calculada automáticamente a partir de código del artículo</t>
        </r>
      </text>
    </comment>
    <comment ref="C1251" authorId="1" shapeId="0" xr:uid="{BA6663B5-F58D-4AA2-A9D0-D16D32DA983D}">
      <text>
        <r>
          <rPr>
            <sz val="11"/>
            <color theme="1"/>
            <rFont val="Calibri"/>
            <family val="2"/>
            <scheme val="minor"/>
          </rPr>
          <t>Seleccione un valor de la lista</t>
        </r>
      </text>
    </comment>
    <comment ref="D1251" authorId="1" shapeId="0" xr:uid="{09551C83-6D21-401E-8655-1F6B783CD808}">
      <text>
        <r>
          <rPr>
            <sz val="11"/>
            <color theme="1"/>
            <rFont val="Calibri"/>
            <family val="2"/>
            <scheme val="minor"/>
          </rPr>
          <t>Introduzca un número con dos decimales como máximo. Debe ser igual o mayor a la "Cantidad Real Consumida"</t>
        </r>
      </text>
    </comment>
    <comment ref="E1251" authorId="1" shapeId="0" xr:uid="{3F87CC33-260A-4DD9-9CBE-7C70424B7AB8}">
      <text>
        <r>
          <rPr>
            <sz val="11"/>
            <color theme="1"/>
            <rFont val="Calibri"/>
            <family val="2"/>
            <scheme val="minor"/>
          </rPr>
          <t>Introduzca un número con dos decimales como máximo</t>
        </r>
      </text>
    </comment>
    <comment ref="F1251" authorId="1" shapeId="0" xr:uid="{EAAD43D2-D6DC-4840-8017-3CF54EF9AEFA}">
      <text>
        <r>
          <rPr>
            <sz val="11"/>
            <color theme="1"/>
            <rFont val="Calibri"/>
            <family val="2"/>
            <scheme val="minor"/>
          </rPr>
          <t>Monto calculado automáticamente por el sistema</t>
        </r>
      </text>
    </comment>
    <comment ref="A1256" authorId="1" shapeId="0" xr:uid="{DA346C38-3520-40C0-B46C-911CD0B704F4}">
      <text>
        <r>
          <rPr>
            <sz val="11"/>
            <color theme="1"/>
            <rFont val="Calibri"/>
            <family val="2"/>
            <scheme val="minor"/>
          </rPr>
          <t>Introducir un texto con el nombre o referencia de la contratación</t>
        </r>
      </text>
    </comment>
    <comment ref="B1256" authorId="1" shapeId="0" xr:uid="{673FCC8D-D1D5-402A-B158-0C68ABB3DA04}">
      <text>
        <r>
          <rPr>
            <sz val="11"/>
            <color theme="1"/>
            <rFont val="Calibri"/>
            <family val="2"/>
            <scheme val="minor"/>
          </rPr>
          <t>Introduzca un texto con la finalidad de la contratación</t>
        </r>
      </text>
    </comment>
    <comment ref="C1256" authorId="1" shapeId="0" xr:uid="{D5EE5205-89BF-4CC9-BC09-EC402283CD9A}">
      <text>
        <r>
          <rPr>
            <sz val="11"/>
            <color theme="1"/>
            <rFont val="Calibri"/>
            <family val="2"/>
            <scheme val="minor"/>
          </rPr>
          <t>Seleccionar un valor del listado</t>
        </r>
      </text>
    </comment>
    <comment ref="D1256" authorId="1" shapeId="0" xr:uid="{AAB7B39E-F058-49D0-8E01-B3B7F8A3F272}">
      <text>
        <r>
          <rPr>
            <sz val="11"/>
            <color theme="1"/>
            <rFont val="Calibri"/>
            <family val="2"/>
            <scheme val="minor"/>
          </rPr>
          <t>Seleccione el tipo de procedimiento</t>
        </r>
      </text>
    </comment>
    <comment ref="E1256" authorId="1" shapeId="0" xr:uid="{0589CB5E-D357-4109-AED9-C98A10D5B581}">
      <text>
        <r>
          <rPr>
            <sz val="11"/>
            <color theme="1"/>
            <rFont val="Calibri"/>
            <family val="2"/>
            <scheme val="minor"/>
          </rPr>
          <t>Seleccione un valor de la lista</t>
        </r>
      </text>
    </comment>
    <comment ref="F1256" authorId="1" shapeId="0" xr:uid="{64F9A2AC-5E57-46C4-886C-28A8A0F8ECAC}">
      <text>
        <r>
          <rPr>
            <sz val="11"/>
            <color theme="1"/>
            <rFont val="Calibri"/>
            <family val="2"/>
            <scheme val="minor"/>
          </rPr>
          <t>Introduzca el código SNIP</t>
        </r>
      </text>
    </comment>
    <comment ref="C1257" authorId="1" shapeId="0" xr:uid="{505FA96F-56D5-4F27-A058-461FBD05E6F0}">
      <text>
        <r>
          <rPr>
            <sz val="11"/>
            <color theme="1"/>
            <rFont val="Calibri"/>
            <family val="2"/>
            <scheme val="minor"/>
          </rPr>
          <t>Introduzca la fecha de inicio del proceso, en formato dd-mm-aaaa</t>
        </r>
      </text>
    </comment>
    <comment ref="F1257" authorId="1" shapeId="0" xr:uid="{A7BDD750-DCBD-4561-9099-DF4C20DBEA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1" shapeId="0" xr:uid="{C6FBED73-BDE8-4CCD-8DA7-556C2D4503D8}">
      <text/>
    </comment>
    <comment ref="C1259" authorId="1" shapeId="0" xr:uid="{6F8AA332-E5AF-44F2-8CB3-E67705536E93}">
      <text>
        <r>
          <rPr>
            <sz val="11"/>
            <color theme="1"/>
            <rFont val="Calibri"/>
            <family val="2"/>
            <scheme val="minor"/>
          </rPr>
          <t>Introduzca la fecha prevista de adjudicación, en formato dd-mm-aaaa</t>
        </r>
      </text>
    </comment>
    <comment ref="F1259" authorId="1" shapeId="0" xr:uid="{424E355A-645B-4F04-A47F-05F23F955BE7}">
      <text/>
    </comment>
    <comment ref="F1260" authorId="1" shapeId="0" xr:uid="{2DACAE5E-AE3D-4174-889E-EA02098FEDF7}">
      <text/>
    </comment>
    <comment ref="A1262" authorId="1" shapeId="0" xr:uid="{0B63CC00-A49D-44E5-B612-53CAEB9A0161}">
      <text>
        <r>
          <rPr>
            <sz val="11"/>
            <color theme="1"/>
            <rFont val="Calibri"/>
            <family val="2"/>
            <scheme val="minor"/>
          </rPr>
          <t>Introduzca un codigo UNSPSC</t>
        </r>
      </text>
    </comment>
    <comment ref="B1262" authorId="1" shapeId="0" xr:uid="{C71E5F9E-6B51-41F8-82CA-7CD4844B3E58}">
      <text>
        <r>
          <rPr>
            <sz val="11"/>
            <color theme="1"/>
            <rFont val="Calibri"/>
            <family val="2"/>
            <scheme val="minor"/>
          </rPr>
          <t>Descripción calculada automáticamente a partir de código del artículo</t>
        </r>
      </text>
    </comment>
    <comment ref="C1262" authorId="1" shapeId="0" xr:uid="{9B900511-161B-4D84-B7B1-A16D79707425}">
      <text>
        <r>
          <rPr>
            <sz val="11"/>
            <color theme="1"/>
            <rFont val="Calibri"/>
            <family val="2"/>
            <scheme val="minor"/>
          </rPr>
          <t>Seleccione un valor de la lista</t>
        </r>
      </text>
    </comment>
    <comment ref="D1262" authorId="1" shapeId="0" xr:uid="{FFFD1D1C-295A-49E4-9DB5-950B3FBA9B05}">
      <text>
        <r>
          <rPr>
            <sz val="11"/>
            <color theme="1"/>
            <rFont val="Calibri"/>
            <family val="2"/>
            <scheme val="minor"/>
          </rPr>
          <t>Introduzca un número con dos decimales como máximo. Debe ser igual o mayor a la "Cantidad Real Consumida"</t>
        </r>
      </text>
    </comment>
    <comment ref="E1262" authorId="1" shapeId="0" xr:uid="{84432D84-C57D-4B42-A4F4-C162D185B509}">
      <text>
        <r>
          <rPr>
            <sz val="11"/>
            <color theme="1"/>
            <rFont val="Calibri"/>
            <family val="2"/>
            <scheme val="minor"/>
          </rPr>
          <t>Introduzca un número con dos decimales como máximo</t>
        </r>
      </text>
    </comment>
    <comment ref="F1262" authorId="1" shapeId="0" xr:uid="{F87685AC-4AAA-4780-9450-A857655270B9}">
      <text>
        <r>
          <rPr>
            <sz val="11"/>
            <color theme="1"/>
            <rFont val="Calibri"/>
            <family val="2"/>
            <scheme val="minor"/>
          </rPr>
          <t>Monto calculado automáticamente por el sistema</t>
        </r>
      </text>
    </comment>
    <comment ref="A1267" authorId="1" shapeId="0" xr:uid="{DD12C481-723D-40D2-9177-1DD1CDE6072F}">
      <text>
        <r>
          <rPr>
            <sz val="11"/>
            <color theme="1"/>
            <rFont val="Calibri"/>
            <family val="2"/>
            <scheme val="minor"/>
          </rPr>
          <t>Introducir un texto con el nombre o referencia de la contratación</t>
        </r>
      </text>
    </comment>
    <comment ref="B1267" authorId="1" shapeId="0" xr:uid="{E5F06DD3-8ACC-46D2-BBAF-45C6ED29E5FA}">
      <text>
        <r>
          <rPr>
            <sz val="11"/>
            <color theme="1"/>
            <rFont val="Calibri"/>
            <family val="2"/>
            <scheme val="minor"/>
          </rPr>
          <t>Introduzca un texto con la finalidad de la contratación</t>
        </r>
      </text>
    </comment>
    <comment ref="C1267" authorId="1" shapeId="0" xr:uid="{CFB6282A-C2EF-487E-AFD3-0977C50B997D}">
      <text>
        <r>
          <rPr>
            <sz val="11"/>
            <color theme="1"/>
            <rFont val="Calibri"/>
            <family val="2"/>
            <scheme val="minor"/>
          </rPr>
          <t>Seleccionar un valor del listado</t>
        </r>
      </text>
    </comment>
    <comment ref="D1267" authorId="1" shapeId="0" xr:uid="{61DBC066-BD67-48E2-953C-5D31A8AE02DF}">
      <text>
        <r>
          <rPr>
            <sz val="11"/>
            <color theme="1"/>
            <rFont val="Calibri"/>
            <family val="2"/>
            <scheme val="minor"/>
          </rPr>
          <t>Seleccione el tipo de procedimiento</t>
        </r>
      </text>
    </comment>
    <comment ref="E1267" authorId="1" shapeId="0" xr:uid="{0AF4ACF6-040E-4059-BB99-0EE2F3D33E82}">
      <text>
        <r>
          <rPr>
            <sz val="11"/>
            <color theme="1"/>
            <rFont val="Calibri"/>
            <family val="2"/>
            <scheme val="minor"/>
          </rPr>
          <t>Seleccione un valor de la lista</t>
        </r>
      </text>
    </comment>
    <comment ref="F1267" authorId="1" shapeId="0" xr:uid="{BAFCE8A4-CF8B-425B-8A80-4BC435DAD0A0}">
      <text>
        <r>
          <rPr>
            <sz val="11"/>
            <color theme="1"/>
            <rFont val="Calibri"/>
            <family val="2"/>
            <scheme val="minor"/>
          </rPr>
          <t>Introduzca el código SNIP</t>
        </r>
      </text>
    </comment>
    <comment ref="C1268" authorId="1" shapeId="0" xr:uid="{A1E05B56-F4A2-46AF-9C5D-BBD198B33303}">
      <text>
        <r>
          <rPr>
            <sz val="11"/>
            <color theme="1"/>
            <rFont val="Calibri"/>
            <family val="2"/>
            <scheme val="minor"/>
          </rPr>
          <t>Introduzca la fecha de inicio del proceso, en formato dd-mm-aaaa</t>
        </r>
      </text>
    </comment>
    <comment ref="F1268" authorId="1" shapeId="0" xr:uid="{02EC9406-174F-4B92-99A6-96E7ABE608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1" shapeId="0" xr:uid="{45604152-706B-4902-A3EB-96FFFB5AE938}">
      <text/>
    </comment>
    <comment ref="C1270" authorId="1" shapeId="0" xr:uid="{2099874D-025F-4144-8121-8C9AD4E51DC6}">
      <text>
        <r>
          <rPr>
            <sz val="11"/>
            <color theme="1"/>
            <rFont val="Calibri"/>
            <family val="2"/>
            <scheme val="minor"/>
          </rPr>
          <t>Introduzca la fecha prevista de adjudicación, en formato dd-mm-aaaa</t>
        </r>
      </text>
    </comment>
    <comment ref="F1270" authorId="1" shapeId="0" xr:uid="{F5243D3F-5E5D-484C-BB7C-587458BCFB4E}">
      <text/>
    </comment>
    <comment ref="F1271" authorId="1" shapeId="0" xr:uid="{BF8947C0-9DA6-4F1E-BB34-77A978B20F5A}">
      <text/>
    </comment>
    <comment ref="A1273" authorId="1" shapeId="0" xr:uid="{3A097119-8991-4D22-BC51-CC0672486B0F}">
      <text>
        <r>
          <rPr>
            <sz val="11"/>
            <color theme="1"/>
            <rFont val="Calibri"/>
            <family val="2"/>
            <scheme val="minor"/>
          </rPr>
          <t>Introduzca un codigo UNSPSC</t>
        </r>
      </text>
    </comment>
    <comment ref="B1273" authorId="1" shapeId="0" xr:uid="{8B5EEFA0-F7D4-4E22-9F3A-004AF5EAF944}">
      <text>
        <r>
          <rPr>
            <sz val="11"/>
            <color theme="1"/>
            <rFont val="Calibri"/>
            <family val="2"/>
            <scheme val="minor"/>
          </rPr>
          <t>Descripción calculada automáticamente a partir de código del artículo</t>
        </r>
      </text>
    </comment>
    <comment ref="C1273" authorId="1" shapeId="0" xr:uid="{8AB33C45-BD7D-4141-AAA6-38578342F906}">
      <text>
        <r>
          <rPr>
            <sz val="11"/>
            <color theme="1"/>
            <rFont val="Calibri"/>
            <family val="2"/>
            <scheme val="minor"/>
          </rPr>
          <t>Seleccione un valor de la lista</t>
        </r>
      </text>
    </comment>
    <comment ref="D1273" authorId="1" shapeId="0" xr:uid="{1FD58E06-B64A-40D5-B69F-ABD4FD59B349}">
      <text>
        <r>
          <rPr>
            <sz val="11"/>
            <color theme="1"/>
            <rFont val="Calibri"/>
            <family val="2"/>
            <scheme val="minor"/>
          </rPr>
          <t>Introduzca un número con dos decimales como máximo. Debe ser igual o mayor a la "Cantidad Real Consumida"</t>
        </r>
      </text>
    </comment>
    <comment ref="E1273" authorId="1" shapeId="0" xr:uid="{56DA3DAA-4DC1-40C4-B8C4-FF11F80D011F}">
      <text>
        <r>
          <rPr>
            <sz val="11"/>
            <color theme="1"/>
            <rFont val="Calibri"/>
            <family val="2"/>
            <scheme val="minor"/>
          </rPr>
          <t>Introduzca un número con dos decimales como máximo</t>
        </r>
      </text>
    </comment>
    <comment ref="F1273" authorId="1" shapeId="0" xr:uid="{021B5E21-C37A-4517-AC4E-31C69ADE9DCA}">
      <text>
        <r>
          <rPr>
            <sz val="11"/>
            <color theme="1"/>
            <rFont val="Calibri"/>
            <family val="2"/>
            <scheme val="minor"/>
          </rPr>
          <t>Monto calculado automáticamente por el sistema</t>
        </r>
      </text>
    </comment>
    <comment ref="A1278" authorId="1" shapeId="0" xr:uid="{BE7FB12E-8692-4203-9147-F68C9DCBF4E2}">
      <text>
        <r>
          <rPr>
            <sz val="11"/>
            <color theme="1"/>
            <rFont val="Calibri"/>
            <family val="2"/>
            <scheme val="minor"/>
          </rPr>
          <t>Introducir un texto con el nombre o referencia de la contratación</t>
        </r>
      </text>
    </comment>
    <comment ref="B1278" authorId="1" shapeId="0" xr:uid="{7EAA3064-3076-4CC1-986F-A6CFAA418BEC}">
      <text>
        <r>
          <rPr>
            <sz val="11"/>
            <color theme="1"/>
            <rFont val="Calibri"/>
            <family val="2"/>
            <scheme val="minor"/>
          </rPr>
          <t>Introduzca un texto con la finalidad de la contratación</t>
        </r>
      </text>
    </comment>
    <comment ref="C1278" authorId="1" shapeId="0" xr:uid="{D1AA388F-A06C-4412-82D7-3FA4AC84FB35}">
      <text>
        <r>
          <rPr>
            <sz val="11"/>
            <color theme="1"/>
            <rFont val="Calibri"/>
            <family val="2"/>
            <scheme val="minor"/>
          </rPr>
          <t>Seleccionar un valor del listado</t>
        </r>
      </text>
    </comment>
    <comment ref="D1278" authorId="1" shapeId="0" xr:uid="{35A7BD30-3E67-4EBD-8565-77E161B7C757}">
      <text>
        <r>
          <rPr>
            <sz val="11"/>
            <color theme="1"/>
            <rFont val="Calibri"/>
            <family val="2"/>
            <scheme val="minor"/>
          </rPr>
          <t>Seleccione el tipo de procedimiento</t>
        </r>
      </text>
    </comment>
    <comment ref="E1278" authorId="1" shapeId="0" xr:uid="{30119D7F-3627-4113-A646-C1A321B72DB8}">
      <text>
        <r>
          <rPr>
            <sz val="11"/>
            <color theme="1"/>
            <rFont val="Calibri"/>
            <family val="2"/>
            <scheme val="minor"/>
          </rPr>
          <t>Seleccione un valor de la lista</t>
        </r>
      </text>
    </comment>
    <comment ref="F1278" authorId="1" shapeId="0" xr:uid="{A1AEB500-A236-4BBF-B83E-5F21CED411B6}">
      <text>
        <r>
          <rPr>
            <sz val="11"/>
            <color theme="1"/>
            <rFont val="Calibri"/>
            <family val="2"/>
            <scheme val="minor"/>
          </rPr>
          <t>Introduzca el código SNIP</t>
        </r>
      </text>
    </comment>
    <comment ref="C1279" authorId="1" shapeId="0" xr:uid="{373A6EBD-A327-47C0-A872-F6A627AD6EAC}">
      <text>
        <r>
          <rPr>
            <sz val="11"/>
            <color theme="1"/>
            <rFont val="Calibri"/>
            <family val="2"/>
            <scheme val="minor"/>
          </rPr>
          <t>Introduzca la fecha de inicio del proceso, en formato dd-mm-aaaa</t>
        </r>
      </text>
    </comment>
    <comment ref="F1279" authorId="1" shapeId="0" xr:uid="{349E5588-B117-47AA-8245-1D235B1AD6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xr:uid="{4A1975A2-1F1E-4E74-884C-A360B70B473B}">
      <text/>
    </comment>
    <comment ref="C1281" authorId="1" shapeId="0" xr:uid="{00463C31-0722-4BB0-A9B1-2730516A97CC}">
      <text>
        <r>
          <rPr>
            <sz val="11"/>
            <color theme="1"/>
            <rFont val="Calibri"/>
            <family val="2"/>
            <scheme val="minor"/>
          </rPr>
          <t>Introduzca la fecha prevista de adjudicación, en formato dd-mm-aaaa</t>
        </r>
      </text>
    </comment>
    <comment ref="F1281" authorId="1" shapeId="0" xr:uid="{DA339134-515D-4935-B04B-22EAA3E67E5E}">
      <text/>
    </comment>
    <comment ref="F1282" authorId="1" shapeId="0" xr:uid="{8F2FFFF9-A620-4F88-85AE-28AE7F82FF47}">
      <text/>
    </comment>
    <comment ref="A1284" authorId="1" shapeId="0" xr:uid="{1087A7D6-980D-4268-BED2-E41FA6FC211D}">
      <text>
        <r>
          <rPr>
            <sz val="11"/>
            <color theme="1"/>
            <rFont val="Calibri"/>
            <family val="2"/>
            <scheme val="minor"/>
          </rPr>
          <t>Introduzca un codigo UNSPSC</t>
        </r>
      </text>
    </comment>
    <comment ref="B1284" authorId="1" shapeId="0" xr:uid="{E182C11E-19B3-406B-9D85-2730C7EF594E}">
      <text>
        <r>
          <rPr>
            <sz val="11"/>
            <color theme="1"/>
            <rFont val="Calibri"/>
            <family val="2"/>
            <scheme val="minor"/>
          </rPr>
          <t>Descripción calculada automáticamente a partir de código del artículo</t>
        </r>
      </text>
    </comment>
    <comment ref="C1284" authorId="1" shapeId="0" xr:uid="{B7C24B1A-46D8-4E60-B2E0-A14710EB50B2}">
      <text>
        <r>
          <rPr>
            <sz val="11"/>
            <color theme="1"/>
            <rFont val="Calibri"/>
            <family val="2"/>
            <scheme val="minor"/>
          </rPr>
          <t>Seleccione un valor de la lista</t>
        </r>
      </text>
    </comment>
    <comment ref="D1284" authorId="1" shapeId="0" xr:uid="{6FB07590-04D9-4E71-BA4F-29FFD591A59A}">
      <text>
        <r>
          <rPr>
            <sz val="11"/>
            <color theme="1"/>
            <rFont val="Calibri"/>
            <family val="2"/>
            <scheme val="minor"/>
          </rPr>
          <t>Introduzca un número con dos decimales como máximo. Debe ser igual o mayor a la "Cantidad Real Consumida"</t>
        </r>
      </text>
    </comment>
    <comment ref="E1284" authorId="1" shapeId="0" xr:uid="{54DF02C1-8C6D-446B-91FF-C6ECC3DDFC45}">
      <text>
        <r>
          <rPr>
            <sz val="11"/>
            <color theme="1"/>
            <rFont val="Calibri"/>
            <family val="2"/>
            <scheme val="minor"/>
          </rPr>
          <t>Introduzca un número con dos decimales como máximo</t>
        </r>
      </text>
    </comment>
    <comment ref="F1284" authorId="1" shapeId="0" xr:uid="{F72FB501-8895-4A2A-8955-30314F53A83D}">
      <text>
        <r>
          <rPr>
            <sz val="11"/>
            <color theme="1"/>
            <rFont val="Calibri"/>
            <family val="2"/>
            <scheme val="minor"/>
          </rPr>
          <t>Monto calculado automáticamente por el sistema</t>
        </r>
      </text>
    </comment>
    <comment ref="A1290" authorId="1" shapeId="0" xr:uid="{353E3286-A665-4FBF-B479-CE60598BBF38}">
      <text>
        <r>
          <rPr>
            <sz val="11"/>
            <color theme="1"/>
            <rFont val="Calibri"/>
            <family val="2"/>
            <scheme val="minor"/>
          </rPr>
          <t>Introducir un texto con el nombre o referencia de la contratación</t>
        </r>
      </text>
    </comment>
    <comment ref="B1290" authorId="1" shapeId="0" xr:uid="{CDDDBBA3-F458-43F2-A9EF-2BE1F7E3C6D7}">
      <text>
        <r>
          <rPr>
            <sz val="11"/>
            <color theme="1"/>
            <rFont val="Calibri"/>
            <family val="2"/>
            <scheme val="minor"/>
          </rPr>
          <t>Introduzca un texto con la finalidad de la contratación</t>
        </r>
      </text>
    </comment>
    <comment ref="C1290" authorId="1" shapeId="0" xr:uid="{3ECEB03E-B408-4AE5-9DFE-A09ED03B9EA4}">
      <text>
        <r>
          <rPr>
            <sz val="11"/>
            <color theme="1"/>
            <rFont val="Calibri"/>
            <family val="2"/>
            <scheme val="minor"/>
          </rPr>
          <t>Seleccionar un valor del listado</t>
        </r>
      </text>
    </comment>
    <comment ref="D1290" authorId="1" shapeId="0" xr:uid="{B7DE9BCC-6D29-457B-A990-161E01D4CEBA}">
      <text>
        <r>
          <rPr>
            <sz val="11"/>
            <color theme="1"/>
            <rFont val="Calibri"/>
            <family val="2"/>
            <scheme val="minor"/>
          </rPr>
          <t>Seleccione el tipo de procedimiento</t>
        </r>
      </text>
    </comment>
    <comment ref="E1290" authorId="1" shapeId="0" xr:uid="{32C64521-244C-45B7-BB20-4312DC4DBBBF}">
      <text>
        <r>
          <rPr>
            <sz val="11"/>
            <color theme="1"/>
            <rFont val="Calibri"/>
            <family val="2"/>
            <scheme val="minor"/>
          </rPr>
          <t>Seleccione un valor de la lista</t>
        </r>
      </text>
    </comment>
    <comment ref="F1290" authorId="1" shapeId="0" xr:uid="{21E0127A-30CE-4154-A56A-A205D33C6AEF}">
      <text>
        <r>
          <rPr>
            <sz val="11"/>
            <color theme="1"/>
            <rFont val="Calibri"/>
            <family val="2"/>
            <scheme val="minor"/>
          </rPr>
          <t>Introduzca el código SNIP</t>
        </r>
      </text>
    </comment>
    <comment ref="C1291" authorId="1" shapeId="0" xr:uid="{286D5279-0429-4502-B786-EE6F3EC04E58}">
      <text>
        <r>
          <rPr>
            <sz val="11"/>
            <color theme="1"/>
            <rFont val="Calibri"/>
            <family val="2"/>
            <scheme val="minor"/>
          </rPr>
          <t>Introduzca la fecha de inicio del proceso, en formato dd-mm-aaaa</t>
        </r>
      </text>
    </comment>
    <comment ref="F1291" authorId="1" shapeId="0" xr:uid="{A8CCAFDD-041D-4C9A-9425-1EAB9C4C8B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2" authorId="1" shapeId="0" xr:uid="{7CEB0706-8D2D-4F48-AB40-339636D89CFE}">
      <text/>
    </comment>
    <comment ref="C1293" authorId="1" shapeId="0" xr:uid="{BA025135-3FA7-46CC-AB17-179DBAFF62C2}">
      <text>
        <r>
          <rPr>
            <sz val="11"/>
            <color theme="1"/>
            <rFont val="Calibri"/>
            <family val="2"/>
            <scheme val="minor"/>
          </rPr>
          <t>Introduzca la fecha prevista de adjudicación, en formato dd-mm-aaaa</t>
        </r>
      </text>
    </comment>
    <comment ref="F1293" authorId="1" shapeId="0" xr:uid="{83EAB529-2D4D-4E97-89CB-D80E7F7C6DFB}">
      <text/>
    </comment>
    <comment ref="F1294" authorId="1" shapeId="0" xr:uid="{79622A5B-1513-44FE-AFDD-46B32072E969}">
      <text/>
    </comment>
    <comment ref="A1296" authorId="1" shapeId="0" xr:uid="{184CC041-67A0-4D3C-ABF5-714DC0203F92}">
      <text>
        <r>
          <rPr>
            <sz val="11"/>
            <color theme="1"/>
            <rFont val="Calibri"/>
            <family val="2"/>
            <scheme val="minor"/>
          </rPr>
          <t>Introduzca un codigo UNSPSC</t>
        </r>
      </text>
    </comment>
    <comment ref="B1296" authorId="1" shapeId="0" xr:uid="{CA598118-6B51-4939-BAD3-3B91BA95E942}">
      <text>
        <r>
          <rPr>
            <sz val="11"/>
            <color theme="1"/>
            <rFont val="Calibri"/>
            <family val="2"/>
            <scheme val="minor"/>
          </rPr>
          <t>Descripción calculada automáticamente a partir de código del artículo</t>
        </r>
      </text>
    </comment>
    <comment ref="C1296" authorId="1" shapeId="0" xr:uid="{19A97F00-C7D5-43EC-8713-C7816C16946E}">
      <text>
        <r>
          <rPr>
            <sz val="11"/>
            <color theme="1"/>
            <rFont val="Calibri"/>
            <family val="2"/>
            <scheme val="minor"/>
          </rPr>
          <t>Seleccione un valor de la lista</t>
        </r>
      </text>
    </comment>
    <comment ref="D1296" authorId="1" shapeId="0" xr:uid="{F46AC106-C623-4BBD-BAA7-49826652B04F}">
      <text>
        <r>
          <rPr>
            <sz val="11"/>
            <color theme="1"/>
            <rFont val="Calibri"/>
            <family val="2"/>
            <scheme val="minor"/>
          </rPr>
          <t>Introduzca un número con dos decimales como máximo. Debe ser igual o mayor a la "Cantidad Real Consumida"</t>
        </r>
      </text>
    </comment>
    <comment ref="E1296" authorId="1" shapeId="0" xr:uid="{AF7ABD7E-A613-43DE-B266-7319DF4C3BDB}">
      <text>
        <r>
          <rPr>
            <sz val="11"/>
            <color theme="1"/>
            <rFont val="Calibri"/>
            <family val="2"/>
            <scheme val="minor"/>
          </rPr>
          <t>Introduzca un número con dos decimales como máximo</t>
        </r>
      </text>
    </comment>
    <comment ref="F1296" authorId="1" shapeId="0" xr:uid="{5948D507-A852-4641-B3E0-BE990EA3E172}">
      <text>
        <r>
          <rPr>
            <sz val="11"/>
            <color theme="1"/>
            <rFont val="Calibri"/>
            <family val="2"/>
            <scheme val="minor"/>
          </rPr>
          <t>Monto calculado automáticamente por el sistema</t>
        </r>
      </text>
    </comment>
    <comment ref="A1302" authorId="1" shapeId="0" xr:uid="{AB04EAD3-2656-4DD3-8805-3BA2D2062A24}">
      <text>
        <r>
          <rPr>
            <sz val="11"/>
            <color theme="1"/>
            <rFont val="Calibri"/>
            <family val="2"/>
            <scheme val="minor"/>
          </rPr>
          <t>Introducir un texto con el nombre o referencia de la contratación</t>
        </r>
      </text>
    </comment>
    <comment ref="B1302" authorId="1" shapeId="0" xr:uid="{27A30AC3-CFB6-4329-ACFF-0D1565E513F1}">
      <text>
        <r>
          <rPr>
            <sz val="11"/>
            <color theme="1"/>
            <rFont val="Calibri"/>
            <family val="2"/>
            <scheme val="minor"/>
          </rPr>
          <t>Introduzca un texto con la finalidad de la contratación</t>
        </r>
      </text>
    </comment>
    <comment ref="C1302" authorId="1" shapeId="0" xr:uid="{9EDDA291-235B-44A8-AAF3-B6C2536D87E2}">
      <text>
        <r>
          <rPr>
            <sz val="11"/>
            <color theme="1"/>
            <rFont val="Calibri"/>
            <family val="2"/>
            <scheme val="minor"/>
          </rPr>
          <t>Seleccionar un valor del listado</t>
        </r>
      </text>
    </comment>
    <comment ref="D1302" authorId="1" shapeId="0" xr:uid="{9DD04480-3AAF-47F5-B7B8-20CABA1387CC}">
      <text>
        <r>
          <rPr>
            <sz val="11"/>
            <color theme="1"/>
            <rFont val="Calibri"/>
            <family val="2"/>
            <scheme val="minor"/>
          </rPr>
          <t>Seleccione el tipo de procedimiento</t>
        </r>
      </text>
    </comment>
    <comment ref="E1302" authorId="1" shapeId="0" xr:uid="{8654CCAF-FED0-4AB6-A84F-ACBA3FF738D1}">
      <text>
        <r>
          <rPr>
            <sz val="11"/>
            <color theme="1"/>
            <rFont val="Calibri"/>
            <family val="2"/>
            <scheme val="minor"/>
          </rPr>
          <t>Seleccione un valor de la lista</t>
        </r>
      </text>
    </comment>
    <comment ref="F1302" authorId="1" shapeId="0" xr:uid="{2A67EC37-F79F-4393-A361-8BD41B2FAE4A}">
      <text>
        <r>
          <rPr>
            <sz val="11"/>
            <color theme="1"/>
            <rFont val="Calibri"/>
            <family val="2"/>
            <scheme val="minor"/>
          </rPr>
          <t>Introduzca el código SNIP</t>
        </r>
      </text>
    </comment>
    <comment ref="C1303" authorId="1" shapeId="0" xr:uid="{BF2F3F36-EEAF-4506-B250-A9B0FF0E211A}">
      <text>
        <r>
          <rPr>
            <sz val="11"/>
            <color theme="1"/>
            <rFont val="Calibri"/>
            <family val="2"/>
            <scheme val="minor"/>
          </rPr>
          <t>Introduzca la fecha de inicio del proceso, en formato dd-mm-aaaa</t>
        </r>
      </text>
    </comment>
    <comment ref="F1303" authorId="1" shapeId="0" xr:uid="{166BE8A5-3290-484C-9121-222452EBFA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xr:uid="{3F8D161E-4203-4CD2-970F-CC09C8D74806}">
      <text/>
    </comment>
    <comment ref="C1305" authorId="1" shapeId="0" xr:uid="{A3EA2F2C-BBBD-4AFD-B774-0B37031D2864}">
      <text>
        <r>
          <rPr>
            <sz val="11"/>
            <color theme="1"/>
            <rFont val="Calibri"/>
            <family val="2"/>
            <scheme val="minor"/>
          </rPr>
          <t>Introduzca la fecha prevista de adjudicación, en formato dd-mm-aaaa</t>
        </r>
      </text>
    </comment>
    <comment ref="F1305" authorId="1" shapeId="0" xr:uid="{D613A796-5C2D-4DC0-BAFA-5806C646C7D9}">
      <text/>
    </comment>
    <comment ref="F1306" authorId="1" shapeId="0" xr:uid="{11E8F659-4750-423D-9511-797BB6843B95}">
      <text/>
    </comment>
    <comment ref="A1308" authorId="1" shapeId="0" xr:uid="{C9B36139-B186-4CD8-9759-F5FB0B5BAC5B}">
      <text>
        <r>
          <rPr>
            <sz val="11"/>
            <color theme="1"/>
            <rFont val="Calibri"/>
            <family val="2"/>
            <scheme val="minor"/>
          </rPr>
          <t>Introduzca un codigo UNSPSC</t>
        </r>
      </text>
    </comment>
    <comment ref="B1308" authorId="1" shapeId="0" xr:uid="{2E0023C9-94C3-4378-B6D2-F519701887F8}">
      <text>
        <r>
          <rPr>
            <sz val="11"/>
            <color theme="1"/>
            <rFont val="Calibri"/>
            <family val="2"/>
            <scheme val="minor"/>
          </rPr>
          <t>Descripción calculada automáticamente a partir de código del artículo</t>
        </r>
      </text>
    </comment>
    <comment ref="C1308" authorId="1" shapeId="0" xr:uid="{41E68B22-F80C-4834-ADD2-9DEC2A31CE0B}">
      <text>
        <r>
          <rPr>
            <sz val="11"/>
            <color theme="1"/>
            <rFont val="Calibri"/>
            <family val="2"/>
            <scheme val="minor"/>
          </rPr>
          <t>Seleccione un valor de la lista</t>
        </r>
      </text>
    </comment>
    <comment ref="D1308" authorId="1" shapeId="0" xr:uid="{C4FD6ED5-6654-430B-9459-EA77CFA59944}">
      <text>
        <r>
          <rPr>
            <sz val="11"/>
            <color theme="1"/>
            <rFont val="Calibri"/>
            <family val="2"/>
            <scheme val="minor"/>
          </rPr>
          <t>Introduzca un número con dos decimales como máximo. Debe ser igual o mayor a la "Cantidad Real Consumida"</t>
        </r>
      </text>
    </comment>
    <comment ref="E1308" authorId="1" shapeId="0" xr:uid="{D1E690CD-ACB4-4CE3-A027-EF59896304A7}">
      <text>
        <r>
          <rPr>
            <sz val="11"/>
            <color theme="1"/>
            <rFont val="Calibri"/>
            <family val="2"/>
            <scheme val="minor"/>
          </rPr>
          <t>Introduzca un número con dos decimales como máximo</t>
        </r>
      </text>
    </comment>
    <comment ref="F1308" authorId="1" shapeId="0" xr:uid="{033A4C97-2B28-4C06-901A-3FEA10BF849F}">
      <text>
        <r>
          <rPr>
            <sz val="11"/>
            <color theme="1"/>
            <rFont val="Calibri"/>
            <family val="2"/>
            <scheme val="minor"/>
          </rPr>
          <t>Monto calculado automáticamente por el sistema</t>
        </r>
      </text>
    </comment>
    <comment ref="A1320" authorId="1" shapeId="0" xr:uid="{54288168-D7C4-48A8-8133-6B468A31ADBF}">
      <text>
        <r>
          <rPr>
            <sz val="11"/>
            <color theme="1"/>
            <rFont val="Calibri"/>
            <family val="2"/>
            <scheme val="minor"/>
          </rPr>
          <t>Introducir un texto con el nombre o referencia de la contratación</t>
        </r>
      </text>
    </comment>
    <comment ref="B1320" authorId="1" shapeId="0" xr:uid="{5F57223C-AB00-4630-A6FB-C7896011F198}">
      <text>
        <r>
          <rPr>
            <sz val="11"/>
            <color theme="1"/>
            <rFont val="Calibri"/>
            <family val="2"/>
            <scheme val="minor"/>
          </rPr>
          <t>Introduzca un texto con la finalidad de la contratación</t>
        </r>
      </text>
    </comment>
    <comment ref="C1320" authorId="1" shapeId="0" xr:uid="{D726A0C0-3BF6-42B0-B152-897EDF0F077D}">
      <text>
        <r>
          <rPr>
            <sz val="11"/>
            <color theme="1"/>
            <rFont val="Calibri"/>
            <family val="2"/>
            <scheme val="minor"/>
          </rPr>
          <t>Seleccionar un valor del listado</t>
        </r>
      </text>
    </comment>
    <comment ref="D1320" authorId="1" shapeId="0" xr:uid="{44992192-F0CD-4A19-9686-A05DFF4BC66E}">
      <text>
        <r>
          <rPr>
            <sz val="11"/>
            <color theme="1"/>
            <rFont val="Calibri"/>
            <family val="2"/>
            <scheme val="minor"/>
          </rPr>
          <t>Seleccione el tipo de procedimiento</t>
        </r>
      </text>
    </comment>
    <comment ref="E1320" authorId="1" shapeId="0" xr:uid="{683F6244-1F77-49B4-B8CE-5CFA981675CB}">
      <text>
        <r>
          <rPr>
            <sz val="11"/>
            <color theme="1"/>
            <rFont val="Calibri"/>
            <family val="2"/>
            <scheme val="minor"/>
          </rPr>
          <t>Seleccione un valor de la lista</t>
        </r>
      </text>
    </comment>
    <comment ref="F1320" authorId="1" shapeId="0" xr:uid="{034412BE-7312-4265-B99F-0ED78A041224}">
      <text>
        <r>
          <rPr>
            <sz val="11"/>
            <color theme="1"/>
            <rFont val="Calibri"/>
            <family val="2"/>
            <scheme val="minor"/>
          </rPr>
          <t>Introduzca el código SNIP</t>
        </r>
      </text>
    </comment>
    <comment ref="C1321" authorId="1" shapeId="0" xr:uid="{B9A1734E-DC03-4450-B1DD-0BDBD1854F38}">
      <text>
        <r>
          <rPr>
            <sz val="11"/>
            <color theme="1"/>
            <rFont val="Calibri"/>
            <family val="2"/>
            <scheme val="minor"/>
          </rPr>
          <t>Introduzca la fecha de inicio del proceso, en formato dd-mm-aaaa</t>
        </r>
      </text>
    </comment>
    <comment ref="F1321" authorId="1" shapeId="0" xr:uid="{E8CDE342-34A0-4713-BAFA-D88B1E291B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2" authorId="1" shapeId="0" xr:uid="{4DBB54D2-4F66-4313-B416-45F781805867}">
      <text/>
    </comment>
    <comment ref="C1323" authorId="1" shapeId="0" xr:uid="{04DC3332-19F0-4456-AB75-8B2CC913F241}">
      <text>
        <r>
          <rPr>
            <sz val="11"/>
            <color theme="1"/>
            <rFont val="Calibri"/>
            <family val="2"/>
            <scheme val="minor"/>
          </rPr>
          <t>Introduzca la fecha prevista de adjudicación, en formato dd-mm-aaaa</t>
        </r>
      </text>
    </comment>
    <comment ref="F1323" authorId="1" shapeId="0" xr:uid="{F2CCBD10-7374-417D-A5D2-FFC6F14EFFD9}">
      <text/>
    </comment>
    <comment ref="F1324" authorId="1" shapeId="0" xr:uid="{A0B23427-F1AE-45A3-B829-4082ECCC0BDE}">
      <text/>
    </comment>
    <comment ref="A1326" authorId="1" shapeId="0" xr:uid="{A2365008-7EF7-4127-A858-7EA9E2EE4D57}">
      <text>
        <r>
          <rPr>
            <sz val="11"/>
            <color theme="1"/>
            <rFont val="Calibri"/>
            <family val="2"/>
            <scheme val="minor"/>
          </rPr>
          <t>Introduzca un codigo UNSPSC</t>
        </r>
      </text>
    </comment>
    <comment ref="B1326" authorId="1" shapeId="0" xr:uid="{3039D223-8E02-4E01-8CC5-A28C94A113D7}">
      <text>
        <r>
          <rPr>
            <sz val="11"/>
            <color theme="1"/>
            <rFont val="Calibri"/>
            <family val="2"/>
            <scheme val="minor"/>
          </rPr>
          <t>Descripción calculada automáticamente a partir de código del artículo</t>
        </r>
      </text>
    </comment>
    <comment ref="C1326" authorId="1" shapeId="0" xr:uid="{649DA3B5-5A52-472A-8E74-A812148B1661}">
      <text>
        <r>
          <rPr>
            <sz val="11"/>
            <color theme="1"/>
            <rFont val="Calibri"/>
            <family val="2"/>
            <scheme val="minor"/>
          </rPr>
          <t>Seleccione un valor de la lista</t>
        </r>
      </text>
    </comment>
    <comment ref="D1326" authorId="1" shapeId="0" xr:uid="{141E4B88-18FA-4A58-82D9-E2ED8074F740}">
      <text>
        <r>
          <rPr>
            <sz val="11"/>
            <color theme="1"/>
            <rFont val="Calibri"/>
            <family val="2"/>
            <scheme val="minor"/>
          </rPr>
          <t>Introduzca un número con dos decimales como máximo. Debe ser igual o mayor a la "Cantidad Real Consumida"</t>
        </r>
      </text>
    </comment>
    <comment ref="E1326" authorId="1" shapeId="0" xr:uid="{BEE41382-1B88-471B-8868-4202FF2AB009}">
      <text>
        <r>
          <rPr>
            <sz val="11"/>
            <color theme="1"/>
            <rFont val="Calibri"/>
            <family val="2"/>
            <scheme val="minor"/>
          </rPr>
          <t>Introduzca un número con dos decimales como máximo</t>
        </r>
      </text>
    </comment>
    <comment ref="F1326" authorId="1" shapeId="0" xr:uid="{B282B919-C553-4E8E-B80D-E0ACC2914D1A}">
      <text>
        <r>
          <rPr>
            <sz val="11"/>
            <color theme="1"/>
            <rFont val="Calibri"/>
            <family val="2"/>
            <scheme val="minor"/>
          </rPr>
          <t>Monto calculado automáticamente por el sistema</t>
        </r>
      </text>
    </comment>
    <comment ref="A1333" authorId="1" shapeId="0" xr:uid="{E4FD07DA-7D2C-41A6-ACAD-56C453AC8739}">
      <text>
        <r>
          <rPr>
            <sz val="11"/>
            <color theme="1"/>
            <rFont val="Calibri"/>
            <family val="2"/>
            <scheme val="minor"/>
          </rPr>
          <t>Introducir un texto con el nombre o referencia de la contratación</t>
        </r>
      </text>
    </comment>
    <comment ref="B1333" authorId="1" shapeId="0" xr:uid="{7E93A5A7-6173-4E87-8B71-FA6E1F1AE191}">
      <text>
        <r>
          <rPr>
            <sz val="11"/>
            <color theme="1"/>
            <rFont val="Calibri"/>
            <family val="2"/>
            <scheme val="minor"/>
          </rPr>
          <t>Introduzca un texto con la finalidad de la contratación</t>
        </r>
      </text>
    </comment>
    <comment ref="C1333" authorId="1" shapeId="0" xr:uid="{01E806AB-E41E-4F2C-980E-9A48D080ED88}">
      <text>
        <r>
          <rPr>
            <sz val="11"/>
            <color theme="1"/>
            <rFont val="Calibri"/>
            <family val="2"/>
            <scheme val="minor"/>
          </rPr>
          <t>Seleccionar un valor del listado</t>
        </r>
      </text>
    </comment>
    <comment ref="D1333" authorId="1" shapeId="0" xr:uid="{7D735EFB-5A13-4168-979E-27E17F40CFCC}">
      <text>
        <r>
          <rPr>
            <sz val="11"/>
            <color theme="1"/>
            <rFont val="Calibri"/>
            <family val="2"/>
            <scheme val="minor"/>
          </rPr>
          <t>Seleccione el tipo de procedimiento</t>
        </r>
      </text>
    </comment>
    <comment ref="E1333" authorId="1" shapeId="0" xr:uid="{A7254D81-03B6-46B3-915E-C49DB01FBF93}">
      <text>
        <r>
          <rPr>
            <sz val="11"/>
            <color theme="1"/>
            <rFont val="Calibri"/>
            <family val="2"/>
            <scheme val="minor"/>
          </rPr>
          <t>Seleccione un valor de la lista</t>
        </r>
      </text>
    </comment>
    <comment ref="F1333" authorId="1" shapeId="0" xr:uid="{95BE26BD-CAB0-4FCE-AEA2-8F0A124A6910}">
      <text>
        <r>
          <rPr>
            <sz val="11"/>
            <color theme="1"/>
            <rFont val="Calibri"/>
            <family val="2"/>
            <scheme val="minor"/>
          </rPr>
          <t>Introduzca el código SNIP</t>
        </r>
      </text>
    </comment>
    <comment ref="C1334" authorId="1" shapeId="0" xr:uid="{36A2760B-D479-4B9E-97F2-E2842E43A6AE}">
      <text>
        <r>
          <rPr>
            <sz val="11"/>
            <color theme="1"/>
            <rFont val="Calibri"/>
            <family val="2"/>
            <scheme val="minor"/>
          </rPr>
          <t>Introduzca la fecha de inicio del proceso, en formato dd-mm-aaaa</t>
        </r>
      </text>
    </comment>
    <comment ref="F1334" authorId="1" shapeId="0" xr:uid="{CCBE43A0-14DF-48C5-998B-7EE62BA480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5" authorId="1" shapeId="0" xr:uid="{0DA00174-7BDA-47A7-A277-CF00D01B6F27}">
      <text/>
    </comment>
    <comment ref="C1336" authorId="1" shapeId="0" xr:uid="{891D6114-E303-4FAB-86E1-FB9904FB2C3B}">
      <text>
        <r>
          <rPr>
            <sz val="11"/>
            <color theme="1"/>
            <rFont val="Calibri"/>
            <family val="2"/>
            <scheme val="minor"/>
          </rPr>
          <t>Introduzca la fecha prevista de adjudicación, en formato dd-mm-aaaa</t>
        </r>
      </text>
    </comment>
    <comment ref="F1336" authorId="1" shapeId="0" xr:uid="{6445D490-2B1F-4FFB-9AAD-6C126ABF7A12}">
      <text/>
    </comment>
    <comment ref="F1337" authorId="1" shapeId="0" xr:uid="{5A391DD2-5291-40DC-8BA1-02684E05A9C1}">
      <text/>
    </comment>
    <comment ref="A1339" authorId="1" shapeId="0" xr:uid="{C74ED58E-456A-41A2-8C6A-47361D2317D3}">
      <text>
        <r>
          <rPr>
            <sz val="11"/>
            <color theme="1"/>
            <rFont val="Calibri"/>
            <family val="2"/>
            <scheme val="minor"/>
          </rPr>
          <t>Introduzca un codigo UNSPSC</t>
        </r>
      </text>
    </comment>
    <comment ref="B1339" authorId="1" shapeId="0" xr:uid="{F53FAC3F-47CB-4872-8C9D-7435A2B977E1}">
      <text>
        <r>
          <rPr>
            <sz val="11"/>
            <color theme="1"/>
            <rFont val="Calibri"/>
            <family val="2"/>
            <scheme val="minor"/>
          </rPr>
          <t>Descripción calculada automáticamente a partir de código del artículo</t>
        </r>
      </text>
    </comment>
    <comment ref="C1339" authorId="1" shapeId="0" xr:uid="{F8A3067B-1397-418E-AE00-91682D364D1D}">
      <text>
        <r>
          <rPr>
            <sz val="11"/>
            <color theme="1"/>
            <rFont val="Calibri"/>
            <family val="2"/>
            <scheme val="minor"/>
          </rPr>
          <t>Seleccione un valor de la lista</t>
        </r>
      </text>
    </comment>
    <comment ref="D1339" authorId="1" shapeId="0" xr:uid="{F38BD985-F935-48CD-AB89-3F97F92CC88B}">
      <text>
        <r>
          <rPr>
            <sz val="11"/>
            <color theme="1"/>
            <rFont val="Calibri"/>
            <family val="2"/>
            <scheme val="minor"/>
          </rPr>
          <t>Introduzca un número con dos decimales como máximo. Debe ser igual o mayor a la "Cantidad Real Consumida"</t>
        </r>
      </text>
    </comment>
    <comment ref="E1339" authorId="1" shapeId="0" xr:uid="{20B03AF8-A159-4DAA-971C-E829B4DD1841}">
      <text>
        <r>
          <rPr>
            <sz val="11"/>
            <color theme="1"/>
            <rFont val="Calibri"/>
            <family val="2"/>
            <scheme val="minor"/>
          </rPr>
          <t>Introduzca un número con dos decimales como máximo</t>
        </r>
      </text>
    </comment>
    <comment ref="F1339" authorId="1" shapeId="0" xr:uid="{322D3036-09CC-4960-8C85-D10AAAB8D5B7}">
      <text>
        <r>
          <rPr>
            <sz val="11"/>
            <color theme="1"/>
            <rFont val="Calibri"/>
            <family val="2"/>
            <scheme val="minor"/>
          </rPr>
          <t>Monto calculado automáticamente por el sistema</t>
        </r>
      </text>
    </comment>
    <comment ref="A1348" authorId="1" shapeId="0" xr:uid="{589942E8-E018-4729-A323-A12144C6604F}">
      <text>
        <r>
          <rPr>
            <sz val="11"/>
            <color theme="1"/>
            <rFont val="Calibri"/>
            <family val="2"/>
            <scheme val="minor"/>
          </rPr>
          <t>Introducir un texto con el nombre o referencia de la contratación</t>
        </r>
      </text>
    </comment>
    <comment ref="B1348" authorId="1" shapeId="0" xr:uid="{E0B47FC8-C4E6-4F0E-BEF5-E105936A880E}">
      <text>
        <r>
          <rPr>
            <sz val="11"/>
            <color theme="1"/>
            <rFont val="Calibri"/>
            <family val="2"/>
            <scheme val="minor"/>
          </rPr>
          <t>Introduzca un texto con la finalidad de la contratación</t>
        </r>
      </text>
    </comment>
    <comment ref="C1348" authorId="1" shapeId="0" xr:uid="{BB1919C3-3114-45ED-BD8A-4DC9147D84EE}">
      <text>
        <r>
          <rPr>
            <sz val="11"/>
            <color theme="1"/>
            <rFont val="Calibri"/>
            <family val="2"/>
            <scheme val="minor"/>
          </rPr>
          <t>Seleccionar un valor del listado</t>
        </r>
      </text>
    </comment>
    <comment ref="D1348" authorId="1" shapeId="0" xr:uid="{E01C76A1-AE94-44E0-A9A0-D603902B9386}">
      <text>
        <r>
          <rPr>
            <sz val="11"/>
            <color theme="1"/>
            <rFont val="Calibri"/>
            <family val="2"/>
            <scheme val="minor"/>
          </rPr>
          <t>Seleccione el tipo de procedimiento</t>
        </r>
      </text>
    </comment>
    <comment ref="E1348" authorId="1" shapeId="0" xr:uid="{E484A639-8BD4-4254-8C6B-D980C4D3710F}">
      <text>
        <r>
          <rPr>
            <sz val="11"/>
            <color theme="1"/>
            <rFont val="Calibri"/>
            <family val="2"/>
            <scheme val="minor"/>
          </rPr>
          <t>Seleccione un valor de la lista</t>
        </r>
      </text>
    </comment>
    <comment ref="F1348" authorId="1" shapeId="0" xr:uid="{E932C259-1C7E-4FC2-962A-E30F83E019F5}">
      <text>
        <r>
          <rPr>
            <sz val="11"/>
            <color theme="1"/>
            <rFont val="Calibri"/>
            <family val="2"/>
            <scheme val="minor"/>
          </rPr>
          <t>Introduzca el código SNIP</t>
        </r>
      </text>
    </comment>
    <comment ref="C1349" authorId="1" shapeId="0" xr:uid="{E689D88A-9A99-4651-BCCB-4CD22CA3AA14}">
      <text>
        <r>
          <rPr>
            <sz val="11"/>
            <color theme="1"/>
            <rFont val="Calibri"/>
            <family val="2"/>
            <scheme val="minor"/>
          </rPr>
          <t>Introduzca la fecha de inicio del proceso, en formato dd-mm-aaaa</t>
        </r>
      </text>
    </comment>
    <comment ref="F1349" authorId="1" shapeId="0" xr:uid="{2D5D4D76-2F1F-42C5-AEC9-370B49454E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0" authorId="1" shapeId="0" xr:uid="{825DEF37-741C-48EE-9F82-AA04D10FE5A2}">
      <text/>
    </comment>
    <comment ref="C1351" authorId="1" shapeId="0" xr:uid="{E88513F8-11F3-4882-A5C1-AC34B55060D4}">
      <text>
        <r>
          <rPr>
            <sz val="11"/>
            <color theme="1"/>
            <rFont val="Calibri"/>
            <family val="2"/>
            <scheme val="minor"/>
          </rPr>
          <t>Introduzca la fecha prevista de adjudicación, en formato dd-mm-aaaa</t>
        </r>
      </text>
    </comment>
    <comment ref="F1351" authorId="1" shapeId="0" xr:uid="{E0AC2C52-A24E-43F4-AA23-C3CF64DEC244}">
      <text/>
    </comment>
    <comment ref="F1352" authorId="1" shapeId="0" xr:uid="{0755FF5B-AADE-4F9E-A611-6A9A35DA79F3}">
      <text/>
    </comment>
    <comment ref="A1354" authorId="1" shapeId="0" xr:uid="{8DAC153D-FADF-4EC0-A1BF-247DCDB51AF5}">
      <text>
        <r>
          <rPr>
            <sz val="11"/>
            <color theme="1"/>
            <rFont val="Calibri"/>
            <family val="2"/>
            <scheme val="minor"/>
          </rPr>
          <t>Introduzca un codigo UNSPSC</t>
        </r>
      </text>
    </comment>
    <comment ref="B1354" authorId="1" shapeId="0" xr:uid="{C2E325E1-9BEB-41F4-A5F4-9B8393332CD0}">
      <text>
        <r>
          <rPr>
            <sz val="11"/>
            <color theme="1"/>
            <rFont val="Calibri"/>
            <family val="2"/>
            <scheme val="minor"/>
          </rPr>
          <t>Descripción calculada automáticamente a partir de código del artículo</t>
        </r>
      </text>
    </comment>
    <comment ref="C1354" authorId="1" shapeId="0" xr:uid="{3507D70F-16C2-410A-8E09-B1D87A44EE97}">
      <text>
        <r>
          <rPr>
            <sz val="11"/>
            <color theme="1"/>
            <rFont val="Calibri"/>
            <family val="2"/>
            <scheme val="minor"/>
          </rPr>
          <t>Seleccione un valor de la lista</t>
        </r>
      </text>
    </comment>
    <comment ref="D1354" authorId="1" shapeId="0" xr:uid="{F2F5D3BA-4E7B-44AF-81BC-67987E0AF558}">
      <text>
        <r>
          <rPr>
            <sz val="11"/>
            <color theme="1"/>
            <rFont val="Calibri"/>
            <family val="2"/>
            <scheme val="minor"/>
          </rPr>
          <t>Introduzca un número con dos decimales como máximo. Debe ser igual o mayor a la "Cantidad Real Consumida"</t>
        </r>
      </text>
    </comment>
    <comment ref="E1354" authorId="1" shapeId="0" xr:uid="{9DB50CEE-E797-4C6A-A41D-D0C58598AB57}">
      <text>
        <r>
          <rPr>
            <sz val="11"/>
            <color theme="1"/>
            <rFont val="Calibri"/>
            <family val="2"/>
            <scheme val="minor"/>
          </rPr>
          <t>Introduzca un número con dos decimales como máximo</t>
        </r>
      </text>
    </comment>
    <comment ref="F1354" authorId="1" shapeId="0" xr:uid="{498478AA-4251-4366-AF88-3A3E385CFDBB}">
      <text>
        <r>
          <rPr>
            <sz val="11"/>
            <color theme="1"/>
            <rFont val="Calibri"/>
            <family val="2"/>
            <scheme val="minor"/>
          </rPr>
          <t>Monto calculado automáticamente por el sistema</t>
        </r>
      </text>
    </comment>
    <comment ref="A1367" authorId="1" shapeId="0" xr:uid="{F36250B4-2AFE-440C-86B4-97EF1A63120E}">
      <text>
        <r>
          <rPr>
            <sz val="11"/>
            <color theme="1"/>
            <rFont val="Calibri"/>
            <family val="2"/>
            <scheme val="minor"/>
          </rPr>
          <t>Introducir un texto con el nombre o referencia de la contratación</t>
        </r>
      </text>
    </comment>
    <comment ref="B1367" authorId="1" shapeId="0" xr:uid="{453EE3BE-452E-40B4-A9A7-862635717FB1}">
      <text>
        <r>
          <rPr>
            <sz val="11"/>
            <color theme="1"/>
            <rFont val="Calibri"/>
            <family val="2"/>
            <scheme val="minor"/>
          </rPr>
          <t>Introduzca un texto con la finalidad de la contratación</t>
        </r>
      </text>
    </comment>
    <comment ref="C1367" authorId="1" shapeId="0" xr:uid="{8061F960-DE2E-4816-8CC8-954E6F60CA93}">
      <text>
        <r>
          <rPr>
            <sz val="11"/>
            <color theme="1"/>
            <rFont val="Calibri"/>
            <family val="2"/>
            <scheme val="minor"/>
          </rPr>
          <t>Seleccionar un valor del listado</t>
        </r>
      </text>
    </comment>
    <comment ref="D1367" authorId="1" shapeId="0" xr:uid="{031DD947-F988-4017-9520-027ED7F723A7}">
      <text>
        <r>
          <rPr>
            <sz val="11"/>
            <color theme="1"/>
            <rFont val="Calibri"/>
            <family val="2"/>
            <scheme val="minor"/>
          </rPr>
          <t>Seleccione el tipo de procedimiento</t>
        </r>
      </text>
    </comment>
    <comment ref="E1367" authorId="1" shapeId="0" xr:uid="{B98A7FA4-F8E9-4D94-86EC-BE8FA45AD565}">
      <text>
        <r>
          <rPr>
            <sz val="11"/>
            <color theme="1"/>
            <rFont val="Calibri"/>
            <family val="2"/>
            <scheme val="minor"/>
          </rPr>
          <t>Seleccione un valor de la lista</t>
        </r>
      </text>
    </comment>
    <comment ref="F1367" authorId="1" shapeId="0" xr:uid="{59F51F85-73EB-4E41-ABCB-3451EF7EDDA3}">
      <text>
        <r>
          <rPr>
            <sz val="11"/>
            <color theme="1"/>
            <rFont val="Calibri"/>
            <family val="2"/>
            <scheme val="minor"/>
          </rPr>
          <t>Introduzca el código SNIP</t>
        </r>
      </text>
    </comment>
    <comment ref="C1368" authorId="1" shapeId="0" xr:uid="{BD0977F5-4CD4-40BB-A359-DFA41A0E180E}">
      <text>
        <r>
          <rPr>
            <sz val="11"/>
            <color theme="1"/>
            <rFont val="Calibri"/>
            <family val="2"/>
            <scheme val="minor"/>
          </rPr>
          <t>Introduzca la fecha de inicio del proceso, en formato dd-mm-aaaa</t>
        </r>
      </text>
    </comment>
    <comment ref="F1368" authorId="1" shapeId="0" xr:uid="{19ECF8A2-B1FF-4EB7-82C5-5340E8A974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xr:uid="{A5A55152-D0AD-487C-B636-83D6FE744CF2}">
      <text/>
    </comment>
    <comment ref="C1370" authorId="1" shapeId="0" xr:uid="{859322D2-A96F-4675-BA90-9C7BC6754C21}">
      <text>
        <r>
          <rPr>
            <sz val="11"/>
            <color theme="1"/>
            <rFont val="Calibri"/>
            <family val="2"/>
            <scheme val="minor"/>
          </rPr>
          <t>Introduzca la fecha prevista de adjudicación, en formato dd-mm-aaaa</t>
        </r>
      </text>
    </comment>
    <comment ref="F1370" authorId="1" shapeId="0" xr:uid="{C6A60D55-7340-4654-A53D-0F14EF8A3EDA}">
      <text/>
    </comment>
    <comment ref="F1371" authorId="1" shapeId="0" xr:uid="{7C897AE3-AC0D-4B86-A17F-C0E4EC698FA4}">
      <text/>
    </comment>
    <comment ref="A1373" authorId="1" shapeId="0" xr:uid="{2B8E995B-9ED6-4E94-BBAE-F11AA9E44500}">
      <text>
        <r>
          <rPr>
            <sz val="11"/>
            <color theme="1"/>
            <rFont val="Calibri"/>
            <family val="2"/>
            <scheme val="minor"/>
          </rPr>
          <t>Introduzca un codigo UNSPSC</t>
        </r>
      </text>
    </comment>
    <comment ref="B1373" authorId="1" shapeId="0" xr:uid="{0C18441E-8DC3-4264-B35F-C3F1A945520D}">
      <text>
        <r>
          <rPr>
            <sz val="11"/>
            <color theme="1"/>
            <rFont val="Calibri"/>
            <family val="2"/>
            <scheme val="minor"/>
          </rPr>
          <t>Descripción calculada automáticamente a partir de código del artículo</t>
        </r>
      </text>
    </comment>
    <comment ref="C1373" authorId="1" shapeId="0" xr:uid="{951FA0F5-93C5-48D0-A6D7-BF1FE4226DBE}">
      <text>
        <r>
          <rPr>
            <sz val="11"/>
            <color theme="1"/>
            <rFont val="Calibri"/>
            <family val="2"/>
            <scheme val="minor"/>
          </rPr>
          <t>Seleccione un valor de la lista</t>
        </r>
      </text>
    </comment>
    <comment ref="D1373" authorId="1" shapeId="0" xr:uid="{385EB118-E619-43D0-B376-B23EBC6568D3}">
      <text>
        <r>
          <rPr>
            <sz val="11"/>
            <color theme="1"/>
            <rFont val="Calibri"/>
            <family val="2"/>
            <scheme val="minor"/>
          </rPr>
          <t>Introduzca un número con dos decimales como máximo. Debe ser igual o mayor a la "Cantidad Real Consumida"</t>
        </r>
      </text>
    </comment>
    <comment ref="E1373" authorId="1" shapeId="0" xr:uid="{CE27DC02-A30A-4FF8-85B4-02B33E31198B}">
      <text>
        <r>
          <rPr>
            <sz val="11"/>
            <color theme="1"/>
            <rFont val="Calibri"/>
            <family val="2"/>
            <scheme val="minor"/>
          </rPr>
          <t>Introduzca un número con dos decimales como máximo</t>
        </r>
      </text>
    </comment>
    <comment ref="F1373" authorId="1" shapeId="0" xr:uid="{F3259841-9AF0-4C14-95E5-41E827147ADE}">
      <text>
        <r>
          <rPr>
            <sz val="11"/>
            <color theme="1"/>
            <rFont val="Calibri"/>
            <family val="2"/>
            <scheme val="minor"/>
          </rPr>
          <t>Monto calculado automáticamente por el sistema</t>
        </r>
      </text>
    </comment>
    <comment ref="A1386" authorId="1" shapeId="0" xr:uid="{5F389331-262E-4F90-89FC-753602F2EFEE}">
      <text>
        <r>
          <rPr>
            <sz val="11"/>
            <color theme="1"/>
            <rFont val="Calibri"/>
            <family val="2"/>
            <scheme val="minor"/>
          </rPr>
          <t>Introducir un texto con el nombre o referencia de la contratación</t>
        </r>
      </text>
    </comment>
    <comment ref="B1386" authorId="1" shapeId="0" xr:uid="{11E46601-52FD-48D6-A204-204F1D07B5E9}">
      <text>
        <r>
          <rPr>
            <sz val="11"/>
            <color theme="1"/>
            <rFont val="Calibri"/>
            <family val="2"/>
            <scheme val="minor"/>
          </rPr>
          <t>Introduzca un texto con la finalidad de la contratación</t>
        </r>
      </text>
    </comment>
    <comment ref="C1386" authorId="1" shapeId="0" xr:uid="{461B708D-6869-4AB6-8FC8-8655DA721E19}">
      <text>
        <r>
          <rPr>
            <sz val="11"/>
            <color theme="1"/>
            <rFont val="Calibri"/>
            <family val="2"/>
            <scheme val="minor"/>
          </rPr>
          <t>Seleccionar un valor del listado</t>
        </r>
      </text>
    </comment>
    <comment ref="D1386" authorId="1" shapeId="0" xr:uid="{45779CCA-B668-45F1-AA88-F0B027EB5EA5}">
      <text>
        <r>
          <rPr>
            <sz val="11"/>
            <color theme="1"/>
            <rFont val="Calibri"/>
            <family val="2"/>
            <scheme val="minor"/>
          </rPr>
          <t>Seleccione el tipo de procedimiento</t>
        </r>
      </text>
    </comment>
    <comment ref="E1386" authorId="1" shapeId="0" xr:uid="{0E21B65C-4F17-4128-9500-A103FB1983C2}">
      <text>
        <r>
          <rPr>
            <sz val="11"/>
            <color theme="1"/>
            <rFont val="Calibri"/>
            <family val="2"/>
            <scheme val="minor"/>
          </rPr>
          <t>Seleccione un valor de la lista</t>
        </r>
      </text>
    </comment>
    <comment ref="F1386" authorId="1" shapeId="0" xr:uid="{3604FD54-179C-4FCA-88A1-FE5D123AFD21}">
      <text>
        <r>
          <rPr>
            <sz val="11"/>
            <color theme="1"/>
            <rFont val="Calibri"/>
            <family val="2"/>
            <scheme val="minor"/>
          </rPr>
          <t>Introduzca el código SNIP</t>
        </r>
      </text>
    </comment>
    <comment ref="C1387" authorId="1" shapeId="0" xr:uid="{1482CFBF-11A5-4808-B3C1-0B4B58060AF2}">
      <text>
        <r>
          <rPr>
            <sz val="11"/>
            <color theme="1"/>
            <rFont val="Calibri"/>
            <family val="2"/>
            <scheme val="minor"/>
          </rPr>
          <t>Introduzca la fecha de inicio del proceso, en formato dd-mm-aaaa</t>
        </r>
      </text>
    </comment>
    <comment ref="F1387" authorId="1" shapeId="0" xr:uid="{41151F78-A601-4CA3-A6A2-08289A800F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1" shapeId="0" xr:uid="{6E224CDE-0CCE-435B-BB9C-872270B78E7A}">
      <text/>
    </comment>
    <comment ref="C1389" authorId="1" shapeId="0" xr:uid="{57959207-4486-4F89-B391-48B138D04CC2}">
      <text>
        <r>
          <rPr>
            <sz val="11"/>
            <color theme="1"/>
            <rFont val="Calibri"/>
            <family val="2"/>
            <scheme val="minor"/>
          </rPr>
          <t>Introduzca la fecha prevista de adjudicación, en formato dd-mm-aaaa</t>
        </r>
      </text>
    </comment>
    <comment ref="F1389" authorId="1" shapeId="0" xr:uid="{7ACF7163-26A9-450A-BB55-32A766511311}">
      <text/>
    </comment>
    <comment ref="F1390" authorId="1" shapeId="0" xr:uid="{71AC4124-B1F6-48DE-8350-452F0D09C33F}">
      <text/>
    </comment>
    <comment ref="A1392" authorId="1" shapeId="0" xr:uid="{5E2705CD-224F-446E-82B7-BD8C0A920E2C}">
      <text>
        <r>
          <rPr>
            <sz val="11"/>
            <color theme="1"/>
            <rFont val="Calibri"/>
            <family val="2"/>
            <scheme val="minor"/>
          </rPr>
          <t>Introduzca un codigo UNSPSC</t>
        </r>
      </text>
    </comment>
    <comment ref="B1392" authorId="1" shapeId="0" xr:uid="{7397DDC2-D589-4E4C-80CB-6017E4AF9240}">
      <text>
        <r>
          <rPr>
            <sz val="11"/>
            <color theme="1"/>
            <rFont val="Calibri"/>
            <family val="2"/>
            <scheme val="minor"/>
          </rPr>
          <t>Descripción calculada automáticamente a partir de código del artículo</t>
        </r>
      </text>
    </comment>
    <comment ref="C1392" authorId="1" shapeId="0" xr:uid="{00AC0CE6-CFF8-4949-AB5D-F4CC793D28A3}">
      <text>
        <r>
          <rPr>
            <sz val="11"/>
            <color theme="1"/>
            <rFont val="Calibri"/>
            <family val="2"/>
            <scheme val="minor"/>
          </rPr>
          <t>Seleccione un valor de la lista</t>
        </r>
      </text>
    </comment>
    <comment ref="D1392" authorId="1" shapeId="0" xr:uid="{2344F295-E9AE-4A59-8678-82CDA4DF74BC}">
      <text>
        <r>
          <rPr>
            <sz val="11"/>
            <color theme="1"/>
            <rFont val="Calibri"/>
            <family val="2"/>
            <scheme val="minor"/>
          </rPr>
          <t>Introduzca un número con dos decimales como máximo. Debe ser igual o mayor a la "Cantidad Real Consumida"</t>
        </r>
      </text>
    </comment>
    <comment ref="E1392" authorId="1" shapeId="0" xr:uid="{E6C995BB-BE96-4FF4-9BD8-1DA3248503FB}">
      <text>
        <r>
          <rPr>
            <sz val="11"/>
            <color theme="1"/>
            <rFont val="Calibri"/>
            <family val="2"/>
            <scheme val="minor"/>
          </rPr>
          <t>Introduzca un número con dos decimales como máximo</t>
        </r>
      </text>
    </comment>
    <comment ref="F1392" authorId="1" shapeId="0" xr:uid="{2C934273-4B42-4DC6-B92F-E5053CB00B3B}">
      <text>
        <r>
          <rPr>
            <sz val="11"/>
            <color theme="1"/>
            <rFont val="Calibri"/>
            <family val="2"/>
            <scheme val="minor"/>
          </rPr>
          <t>Monto calculado automáticamente por el sistema</t>
        </r>
      </text>
    </comment>
    <comment ref="A1405" authorId="1" shapeId="0" xr:uid="{D41A70D3-8C11-4DD7-A0D1-563BFA830B9B}">
      <text>
        <r>
          <rPr>
            <sz val="11"/>
            <color theme="1"/>
            <rFont val="Calibri"/>
            <family val="2"/>
            <scheme val="minor"/>
          </rPr>
          <t>Introducir un texto con el nombre o referencia de la contratación</t>
        </r>
      </text>
    </comment>
    <comment ref="B1405" authorId="1" shapeId="0" xr:uid="{410D067E-0260-4E89-B29A-0FC9C2481BC1}">
      <text>
        <r>
          <rPr>
            <sz val="11"/>
            <color theme="1"/>
            <rFont val="Calibri"/>
            <family val="2"/>
            <scheme val="minor"/>
          </rPr>
          <t>Introduzca un texto con la finalidad de la contratación</t>
        </r>
      </text>
    </comment>
    <comment ref="C1405" authorId="1" shapeId="0" xr:uid="{36FF55A4-B462-46E1-887A-49768DA0DB94}">
      <text>
        <r>
          <rPr>
            <sz val="11"/>
            <color theme="1"/>
            <rFont val="Calibri"/>
            <family val="2"/>
            <scheme val="minor"/>
          </rPr>
          <t>Seleccionar un valor del listado</t>
        </r>
      </text>
    </comment>
    <comment ref="D1405" authorId="1" shapeId="0" xr:uid="{0E8463EE-EC04-4A03-9418-7313DEF23F91}">
      <text>
        <r>
          <rPr>
            <sz val="11"/>
            <color theme="1"/>
            <rFont val="Calibri"/>
            <family val="2"/>
            <scheme val="minor"/>
          </rPr>
          <t>Seleccione el tipo de procedimiento</t>
        </r>
      </text>
    </comment>
    <comment ref="E1405" authorId="1" shapeId="0" xr:uid="{F489DB43-2216-4889-A986-07238BC8E919}">
      <text>
        <r>
          <rPr>
            <sz val="11"/>
            <color theme="1"/>
            <rFont val="Calibri"/>
            <family val="2"/>
            <scheme val="minor"/>
          </rPr>
          <t>Seleccione un valor de la lista</t>
        </r>
      </text>
    </comment>
    <comment ref="F1405" authorId="1" shapeId="0" xr:uid="{25139C33-2028-42D5-9F8C-797FE76DB2D7}">
      <text>
        <r>
          <rPr>
            <sz val="11"/>
            <color theme="1"/>
            <rFont val="Calibri"/>
            <family val="2"/>
            <scheme val="minor"/>
          </rPr>
          <t>Introduzca el código SNIP</t>
        </r>
      </text>
    </comment>
    <comment ref="C1406" authorId="1" shapeId="0" xr:uid="{F28AB718-68EB-41A7-B965-7B75932A3FA9}">
      <text>
        <r>
          <rPr>
            <sz val="11"/>
            <color theme="1"/>
            <rFont val="Calibri"/>
            <family val="2"/>
            <scheme val="minor"/>
          </rPr>
          <t>Introduzca la fecha de inicio del proceso, en formato dd-mm-aaaa</t>
        </r>
      </text>
    </comment>
    <comment ref="F1406" authorId="1" shapeId="0" xr:uid="{68546553-E270-4FD6-ADAF-54A73D53F8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1" shapeId="0" xr:uid="{C33B0294-FB8A-4904-B2A8-A92933DA05B6}">
      <text/>
    </comment>
    <comment ref="C1408" authorId="1" shapeId="0" xr:uid="{A4F6A416-7678-4EC7-9FA6-B6535D6BEBAA}">
      <text>
        <r>
          <rPr>
            <sz val="11"/>
            <color theme="1"/>
            <rFont val="Calibri"/>
            <family val="2"/>
            <scheme val="minor"/>
          </rPr>
          <t>Introduzca la fecha prevista de adjudicación, en formato dd-mm-aaaa</t>
        </r>
      </text>
    </comment>
    <comment ref="F1408" authorId="1" shapeId="0" xr:uid="{741CB885-CF6E-459A-8566-37F6B497EEF2}">
      <text/>
    </comment>
    <comment ref="F1409" authorId="1" shapeId="0" xr:uid="{87FE5915-2030-4AAC-ACE3-DFDA3A3C9ED1}">
      <text/>
    </comment>
    <comment ref="A1411" authorId="1" shapeId="0" xr:uid="{881D9BDE-7131-49A9-AB6A-2385911F95C5}">
      <text>
        <r>
          <rPr>
            <sz val="11"/>
            <color theme="1"/>
            <rFont val="Calibri"/>
            <family val="2"/>
            <scheme val="minor"/>
          </rPr>
          <t>Introduzca un codigo UNSPSC</t>
        </r>
      </text>
    </comment>
    <comment ref="B1411" authorId="1" shapeId="0" xr:uid="{FCE8EEEB-C749-4A30-9F71-0536D38A2540}">
      <text>
        <r>
          <rPr>
            <sz val="11"/>
            <color theme="1"/>
            <rFont val="Calibri"/>
            <family val="2"/>
            <scheme val="minor"/>
          </rPr>
          <t>Descripción calculada automáticamente a partir de código del artículo</t>
        </r>
      </text>
    </comment>
    <comment ref="C1411" authorId="1" shapeId="0" xr:uid="{D30538C8-5AA1-4134-A0F0-4E300D8B4B3E}">
      <text>
        <r>
          <rPr>
            <sz val="11"/>
            <color theme="1"/>
            <rFont val="Calibri"/>
            <family val="2"/>
            <scheme val="minor"/>
          </rPr>
          <t>Seleccione un valor de la lista</t>
        </r>
      </text>
    </comment>
    <comment ref="D1411" authorId="1" shapeId="0" xr:uid="{8647D4AF-6111-4D06-B39D-92AF446B0DA9}">
      <text>
        <r>
          <rPr>
            <sz val="11"/>
            <color theme="1"/>
            <rFont val="Calibri"/>
            <family val="2"/>
            <scheme val="minor"/>
          </rPr>
          <t>Introduzca un número con dos decimales como máximo. Debe ser igual o mayor a la "Cantidad Real Consumida"</t>
        </r>
      </text>
    </comment>
    <comment ref="E1411" authorId="1" shapeId="0" xr:uid="{64B5EE1B-9BAB-48C8-8965-65947B008092}">
      <text>
        <r>
          <rPr>
            <sz val="11"/>
            <color theme="1"/>
            <rFont val="Calibri"/>
            <family val="2"/>
            <scheme val="minor"/>
          </rPr>
          <t>Introduzca un número con dos decimales como máximo</t>
        </r>
      </text>
    </comment>
    <comment ref="F1411" authorId="1" shapeId="0" xr:uid="{BB1659DE-15A7-4AE1-91F1-5AD7EB5D048C}">
      <text>
        <r>
          <rPr>
            <sz val="11"/>
            <color theme="1"/>
            <rFont val="Calibri"/>
            <family val="2"/>
            <scheme val="minor"/>
          </rPr>
          <t>Monto calculado automáticamente por el sistema</t>
        </r>
      </text>
    </comment>
    <comment ref="A1425" authorId="1" shapeId="0" xr:uid="{6FECC3A5-B41A-405A-90A4-B63EA750510D}">
      <text>
        <r>
          <rPr>
            <sz val="11"/>
            <color theme="1"/>
            <rFont val="Calibri"/>
            <family val="2"/>
            <scheme val="minor"/>
          </rPr>
          <t>Introducir un texto con el nombre o referencia de la contratación</t>
        </r>
      </text>
    </comment>
    <comment ref="B1425" authorId="1" shapeId="0" xr:uid="{A19F098A-6F07-48F2-807E-56BB2DEC8FB5}">
      <text>
        <r>
          <rPr>
            <sz val="11"/>
            <color theme="1"/>
            <rFont val="Calibri"/>
            <family val="2"/>
            <scheme val="minor"/>
          </rPr>
          <t>Introduzca un texto con la finalidad de la contratación</t>
        </r>
      </text>
    </comment>
    <comment ref="C1425" authorId="1" shapeId="0" xr:uid="{C39AEA56-85CB-4EAE-A19A-1774A3F04D6C}">
      <text>
        <r>
          <rPr>
            <sz val="11"/>
            <color theme="1"/>
            <rFont val="Calibri"/>
            <family val="2"/>
            <scheme val="minor"/>
          </rPr>
          <t>Seleccionar un valor del listado</t>
        </r>
      </text>
    </comment>
    <comment ref="D1425" authorId="1" shapeId="0" xr:uid="{93C113BF-E4D6-4D48-98E2-F7DD418AD8DF}">
      <text>
        <r>
          <rPr>
            <sz val="11"/>
            <color theme="1"/>
            <rFont val="Calibri"/>
            <family val="2"/>
            <scheme val="minor"/>
          </rPr>
          <t>Seleccione el tipo de procedimiento</t>
        </r>
      </text>
    </comment>
    <comment ref="E1425" authorId="1" shapeId="0" xr:uid="{97BB548B-FCF1-4660-895A-05531CACA13B}">
      <text>
        <r>
          <rPr>
            <sz val="11"/>
            <color theme="1"/>
            <rFont val="Calibri"/>
            <family val="2"/>
            <scheme val="minor"/>
          </rPr>
          <t>Seleccione un valor de la lista</t>
        </r>
      </text>
    </comment>
    <comment ref="F1425" authorId="1" shapeId="0" xr:uid="{D3509B09-96AE-4195-BA40-AAEDB63A7278}">
      <text>
        <r>
          <rPr>
            <sz val="11"/>
            <color theme="1"/>
            <rFont val="Calibri"/>
            <family val="2"/>
            <scheme val="minor"/>
          </rPr>
          <t>Introduzca el código SNIP</t>
        </r>
      </text>
    </comment>
    <comment ref="C1426" authorId="1" shapeId="0" xr:uid="{2CDD01E7-3552-498F-BA49-674F0858DC27}">
      <text>
        <r>
          <rPr>
            <sz val="11"/>
            <color theme="1"/>
            <rFont val="Calibri"/>
            <family val="2"/>
            <scheme val="minor"/>
          </rPr>
          <t>Introduzca la fecha de inicio del proceso, en formato dd-mm-aaaa</t>
        </r>
      </text>
    </comment>
    <comment ref="F1426" authorId="1" shapeId="0" xr:uid="{3FF43941-E845-475C-B409-114AEDA102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7" authorId="1" shapeId="0" xr:uid="{D82B19CC-3827-4EBA-9BD1-FF462A58E671}">
      <text/>
    </comment>
    <comment ref="C1428" authorId="1" shapeId="0" xr:uid="{F4FD8EB8-208A-427B-A488-1C0CBBFC1FCC}">
      <text>
        <r>
          <rPr>
            <sz val="11"/>
            <color theme="1"/>
            <rFont val="Calibri"/>
            <family val="2"/>
            <scheme val="minor"/>
          </rPr>
          <t>Introduzca la fecha prevista de adjudicación, en formato dd-mm-aaaa</t>
        </r>
      </text>
    </comment>
    <comment ref="F1428" authorId="1" shapeId="0" xr:uid="{7135B7B5-7A9D-4046-8C79-5E49F9C78D1D}">
      <text/>
    </comment>
    <comment ref="F1429" authorId="1" shapeId="0" xr:uid="{E4DA9045-6F18-44E4-878A-B7153D99362A}">
      <text/>
    </comment>
    <comment ref="A1431" authorId="1" shapeId="0" xr:uid="{525AE5D2-4286-475B-8411-829952D27ECB}">
      <text>
        <r>
          <rPr>
            <sz val="11"/>
            <color theme="1"/>
            <rFont val="Calibri"/>
            <family val="2"/>
            <scheme val="minor"/>
          </rPr>
          <t>Introduzca un codigo UNSPSC</t>
        </r>
      </text>
    </comment>
    <comment ref="B1431" authorId="1" shapeId="0" xr:uid="{5187210C-8BDD-4094-89BA-B549DCF52E5D}">
      <text>
        <r>
          <rPr>
            <sz val="11"/>
            <color theme="1"/>
            <rFont val="Calibri"/>
            <family val="2"/>
            <scheme val="minor"/>
          </rPr>
          <t>Descripción calculada automáticamente a partir de código del artículo</t>
        </r>
      </text>
    </comment>
    <comment ref="C1431" authorId="1" shapeId="0" xr:uid="{8E20F81C-2DF9-44A9-8A95-75B14407B41C}">
      <text>
        <r>
          <rPr>
            <sz val="11"/>
            <color theme="1"/>
            <rFont val="Calibri"/>
            <family val="2"/>
            <scheme val="minor"/>
          </rPr>
          <t>Seleccione un valor de la lista</t>
        </r>
      </text>
    </comment>
    <comment ref="D1431" authorId="1" shapeId="0" xr:uid="{1779DD8F-9C2D-4960-8DB9-3CA3BE5BA0CE}">
      <text>
        <r>
          <rPr>
            <sz val="11"/>
            <color theme="1"/>
            <rFont val="Calibri"/>
            <family val="2"/>
            <scheme val="minor"/>
          </rPr>
          <t>Introduzca un número con dos decimales como máximo. Debe ser igual o mayor a la "Cantidad Real Consumida"</t>
        </r>
      </text>
    </comment>
    <comment ref="E1431" authorId="1" shapeId="0" xr:uid="{A6BF9EC6-5B04-40E2-918C-656CE632E59F}">
      <text>
        <r>
          <rPr>
            <sz val="11"/>
            <color theme="1"/>
            <rFont val="Calibri"/>
            <family val="2"/>
            <scheme val="minor"/>
          </rPr>
          <t>Introduzca un número con dos decimales como máximo</t>
        </r>
      </text>
    </comment>
    <comment ref="F1431" authorId="1" shapeId="0" xr:uid="{F26C3A59-EEB8-41FD-960C-C66124EBE7E3}">
      <text>
        <r>
          <rPr>
            <sz val="11"/>
            <color theme="1"/>
            <rFont val="Calibri"/>
            <family val="2"/>
            <scheme val="minor"/>
          </rPr>
          <t>Monto calculado automáticamente por el sistema</t>
        </r>
      </text>
    </comment>
    <comment ref="A1446" authorId="1" shapeId="0" xr:uid="{51FFA591-C0B3-4EA0-ADBA-FE2A6B15D4AA}">
      <text>
        <r>
          <rPr>
            <sz val="11"/>
            <color theme="1"/>
            <rFont val="Calibri"/>
            <family val="2"/>
            <scheme val="minor"/>
          </rPr>
          <t>Introducir un texto con el nombre o referencia de la contratación</t>
        </r>
      </text>
    </comment>
    <comment ref="B1446" authorId="1" shapeId="0" xr:uid="{4AF651E9-30CD-4710-B0A7-5022FE0ABFCE}">
      <text>
        <r>
          <rPr>
            <sz val="11"/>
            <color theme="1"/>
            <rFont val="Calibri"/>
            <family val="2"/>
            <scheme val="minor"/>
          </rPr>
          <t>Introduzca un texto con la finalidad de la contratación</t>
        </r>
      </text>
    </comment>
    <comment ref="C1446" authorId="1" shapeId="0" xr:uid="{FD369EF9-1C9D-4227-95C3-3257F4AC979A}">
      <text>
        <r>
          <rPr>
            <sz val="11"/>
            <color theme="1"/>
            <rFont val="Calibri"/>
            <family val="2"/>
            <scheme val="minor"/>
          </rPr>
          <t>Seleccionar un valor del listado</t>
        </r>
      </text>
    </comment>
    <comment ref="D1446" authorId="1" shapeId="0" xr:uid="{BC662A9D-1FE5-47E7-918E-759A6415C1A5}">
      <text>
        <r>
          <rPr>
            <sz val="11"/>
            <color theme="1"/>
            <rFont val="Calibri"/>
            <family val="2"/>
            <scheme val="minor"/>
          </rPr>
          <t>Seleccione el tipo de procedimiento</t>
        </r>
      </text>
    </comment>
    <comment ref="E1446" authorId="1" shapeId="0" xr:uid="{4F0EF2EC-6D2E-4A12-86EC-DA692D59FBD8}">
      <text>
        <r>
          <rPr>
            <sz val="11"/>
            <color theme="1"/>
            <rFont val="Calibri"/>
            <family val="2"/>
            <scheme val="minor"/>
          </rPr>
          <t>Seleccione un valor de la lista</t>
        </r>
      </text>
    </comment>
    <comment ref="F1446" authorId="1" shapeId="0" xr:uid="{7803B5D2-2D0A-4058-B338-00F10317064C}">
      <text>
        <r>
          <rPr>
            <sz val="11"/>
            <color theme="1"/>
            <rFont val="Calibri"/>
            <family val="2"/>
            <scheme val="minor"/>
          </rPr>
          <t>Introduzca el código SNIP</t>
        </r>
      </text>
    </comment>
    <comment ref="C1447" authorId="1" shapeId="0" xr:uid="{D98D0BC3-68A1-4619-A4E3-FC62898D8432}">
      <text>
        <r>
          <rPr>
            <sz val="11"/>
            <color theme="1"/>
            <rFont val="Calibri"/>
            <family val="2"/>
            <scheme val="minor"/>
          </rPr>
          <t>Introduzca la fecha de inicio del proceso, en formato dd-mm-aaaa</t>
        </r>
      </text>
    </comment>
    <comment ref="F1447" authorId="1" shapeId="0" xr:uid="{2C0855A6-927B-4EE3-836D-C756EE3687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1" shapeId="0" xr:uid="{3211F505-A594-45E5-9320-2F799FB11C43}">
      <text/>
    </comment>
    <comment ref="C1449" authorId="1" shapeId="0" xr:uid="{3ACA3789-14E7-4FF8-BBCF-3D19A32C2B98}">
      <text>
        <r>
          <rPr>
            <sz val="11"/>
            <color theme="1"/>
            <rFont val="Calibri"/>
            <family val="2"/>
            <scheme val="minor"/>
          </rPr>
          <t>Introduzca la fecha prevista de adjudicación, en formato dd-mm-aaaa</t>
        </r>
      </text>
    </comment>
    <comment ref="F1449" authorId="1" shapeId="0" xr:uid="{347BADD8-F0D4-462A-BE2D-C5A01E6275DD}">
      <text/>
    </comment>
    <comment ref="F1450" authorId="1" shapeId="0" xr:uid="{B1D624F0-10C1-41F0-A06E-87FAC64BF581}">
      <text/>
    </comment>
    <comment ref="A1452" authorId="1" shapeId="0" xr:uid="{8EF956BB-DE66-49F7-ACA3-B1F81C2EF252}">
      <text>
        <r>
          <rPr>
            <sz val="11"/>
            <color theme="1"/>
            <rFont val="Calibri"/>
            <family val="2"/>
            <scheme val="minor"/>
          </rPr>
          <t>Introduzca un codigo UNSPSC</t>
        </r>
      </text>
    </comment>
    <comment ref="B1452" authorId="1" shapeId="0" xr:uid="{234F3BF5-9A10-412C-85AF-62B42A229E0F}">
      <text>
        <r>
          <rPr>
            <sz val="11"/>
            <color theme="1"/>
            <rFont val="Calibri"/>
            <family val="2"/>
            <scheme val="minor"/>
          </rPr>
          <t>Descripción calculada automáticamente a partir de código del artículo</t>
        </r>
      </text>
    </comment>
    <comment ref="C1452" authorId="1" shapeId="0" xr:uid="{7D0915CF-656E-4826-ACC5-2D7B83DE7584}">
      <text>
        <r>
          <rPr>
            <sz val="11"/>
            <color theme="1"/>
            <rFont val="Calibri"/>
            <family val="2"/>
            <scheme val="minor"/>
          </rPr>
          <t>Seleccione un valor de la lista</t>
        </r>
      </text>
    </comment>
    <comment ref="D1452" authorId="1" shapeId="0" xr:uid="{D3748AAD-4869-45B8-8668-77A4DD1F8162}">
      <text>
        <r>
          <rPr>
            <sz val="11"/>
            <color theme="1"/>
            <rFont val="Calibri"/>
            <family val="2"/>
            <scheme val="minor"/>
          </rPr>
          <t>Introduzca un número con dos decimales como máximo. Debe ser igual o mayor a la "Cantidad Real Consumida"</t>
        </r>
      </text>
    </comment>
    <comment ref="E1452" authorId="1" shapeId="0" xr:uid="{20AD590D-3391-4E53-8107-34109905D9F5}">
      <text>
        <r>
          <rPr>
            <sz val="11"/>
            <color theme="1"/>
            <rFont val="Calibri"/>
            <family val="2"/>
            <scheme val="minor"/>
          </rPr>
          <t>Introduzca un número con dos decimales como máximo</t>
        </r>
      </text>
    </comment>
    <comment ref="F1452" authorId="1" shapeId="0" xr:uid="{39298078-AA2B-4A88-85CC-55C91A25E0C1}">
      <text>
        <r>
          <rPr>
            <sz val="11"/>
            <color theme="1"/>
            <rFont val="Calibri"/>
            <family val="2"/>
            <scheme val="minor"/>
          </rPr>
          <t>Monto calculado automáticamente por el sistema</t>
        </r>
      </text>
    </comment>
    <comment ref="A1457" authorId="1" shapeId="0" xr:uid="{3B825FE4-F683-4A81-991A-9ECC64548B63}">
      <text>
        <r>
          <rPr>
            <sz val="11"/>
            <color theme="1"/>
            <rFont val="Calibri"/>
            <family val="2"/>
            <scheme val="minor"/>
          </rPr>
          <t>Introducir un texto con el nombre o referencia de la contratación</t>
        </r>
      </text>
    </comment>
    <comment ref="B1457" authorId="1" shapeId="0" xr:uid="{BD25028F-5233-4DA3-8CB6-2D1474C55E51}">
      <text>
        <r>
          <rPr>
            <sz val="11"/>
            <color theme="1"/>
            <rFont val="Calibri"/>
            <family val="2"/>
            <scheme val="minor"/>
          </rPr>
          <t>Introduzca un texto con la finalidad de la contratación</t>
        </r>
      </text>
    </comment>
    <comment ref="C1457" authorId="1" shapeId="0" xr:uid="{FE8447AE-4C7E-47BD-8EE6-A438C71C2EB5}">
      <text>
        <r>
          <rPr>
            <sz val="11"/>
            <color theme="1"/>
            <rFont val="Calibri"/>
            <family val="2"/>
            <scheme val="minor"/>
          </rPr>
          <t>Seleccionar un valor del listado</t>
        </r>
      </text>
    </comment>
    <comment ref="D1457" authorId="1" shapeId="0" xr:uid="{C8F9D398-46F9-44B8-AAE0-6D182AD1879B}">
      <text>
        <r>
          <rPr>
            <sz val="11"/>
            <color theme="1"/>
            <rFont val="Calibri"/>
            <family val="2"/>
            <scheme val="minor"/>
          </rPr>
          <t>Seleccione el tipo de procedimiento</t>
        </r>
      </text>
    </comment>
    <comment ref="E1457" authorId="1" shapeId="0" xr:uid="{04C412D4-2A9A-43F9-90C4-DCAE4E084839}">
      <text>
        <r>
          <rPr>
            <sz val="11"/>
            <color theme="1"/>
            <rFont val="Calibri"/>
            <family val="2"/>
            <scheme val="minor"/>
          </rPr>
          <t>Seleccione un valor de la lista</t>
        </r>
      </text>
    </comment>
    <comment ref="F1457" authorId="1" shapeId="0" xr:uid="{C492EA75-D3F9-4156-9B0E-5B9F81CCEB24}">
      <text>
        <r>
          <rPr>
            <sz val="11"/>
            <color theme="1"/>
            <rFont val="Calibri"/>
            <family val="2"/>
            <scheme val="minor"/>
          </rPr>
          <t>Introduzca el código SNIP</t>
        </r>
      </text>
    </comment>
    <comment ref="C1458" authorId="1" shapeId="0" xr:uid="{EA3AA384-F65A-4947-AD04-761F6123AD98}">
      <text>
        <r>
          <rPr>
            <sz val="11"/>
            <color theme="1"/>
            <rFont val="Calibri"/>
            <family val="2"/>
            <scheme val="minor"/>
          </rPr>
          <t>Introduzca la fecha de inicio del proceso, en formato dd-mm-aaaa</t>
        </r>
      </text>
    </comment>
    <comment ref="F1458" authorId="1" shapeId="0" xr:uid="{FFDAC117-F8BE-409D-9528-060C1BDF03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9" authorId="1" shapeId="0" xr:uid="{603FDAF5-C081-4BE0-921D-8ACED03DADF8}">
      <text/>
    </comment>
    <comment ref="C1460" authorId="1" shapeId="0" xr:uid="{6A62962A-BAF9-454F-B097-63F914EDBD63}">
      <text>
        <r>
          <rPr>
            <sz val="11"/>
            <color theme="1"/>
            <rFont val="Calibri"/>
            <family val="2"/>
            <scheme val="minor"/>
          </rPr>
          <t>Introduzca la fecha prevista de adjudicación, en formato dd-mm-aaaa</t>
        </r>
      </text>
    </comment>
    <comment ref="F1460" authorId="1" shapeId="0" xr:uid="{A01E2551-9D5C-4D3A-AADD-FEF5713E8D8D}">
      <text/>
    </comment>
    <comment ref="F1461" authorId="1" shapeId="0" xr:uid="{C3CE11F5-5D41-41C3-921E-4D29CF897130}">
      <text/>
    </comment>
    <comment ref="A1463" authorId="1" shapeId="0" xr:uid="{E719EA76-A694-4530-9CCA-FFDB02DD03DD}">
      <text>
        <r>
          <rPr>
            <sz val="11"/>
            <color theme="1"/>
            <rFont val="Calibri"/>
            <family val="2"/>
            <scheme val="minor"/>
          </rPr>
          <t>Introduzca un codigo UNSPSC</t>
        </r>
      </text>
    </comment>
    <comment ref="B1463" authorId="1" shapeId="0" xr:uid="{69D3C519-24D1-4B05-B206-B4D7DFFE24DA}">
      <text>
        <r>
          <rPr>
            <sz val="11"/>
            <color theme="1"/>
            <rFont val="Calibri"/>
            <family val="2"/>
            <scheme val="minor"/>
          </rPr>
          <t>Descripción calculada automáticamente a partir de código del artículo</t>
        </r>
      </text>
    </comment>
    <comment ref="C1463" authorId="1" shapeId="0" xr:uid="{A36E6DB7-3018-4C1C-891C-A525677F7FB7}">
      <text>
        <r>
          <rPr>
            <sz val="11"/>
            <color theme="1"/>
            <rFont val="Calibri"/>
            <family val="2"/>
            <scheme val="minor"/>
          </rPr>
          <t>Seleccione un valor de la lista</t>
        </r>
      </text>
    </comment>
    <comment ref="D1463" authorId="1" shapeId="0" xr:uid="{D4533D7C-E855-4D1E-A925-A07E7F6C6ADA}">
      <text>
        <r>
          <rPr>
            <sz val="11"/>
            <color theme="1"/>
            <rFont val="Calibri"/>
            <family val="2"/>
            <scheme val="minor"/>
          </rPr>
          <t>Introduzca un número con dos decimales como máximo. Debe ser igual o mayor a la "Cantidad Real Consumida"</t>
        </r>
      </text>
    </comment>
    <comment ref="E1463" authorId="1" shapeId="0" xr:uid="{B68465CA-E1BA-4365-B475-5CF438667D84}">
      <text>
        <r>
          <rPr>
            <sz val="11"/>
            <color theme="1"/>
            <rFont val="Calibri"/>
            <family val="2"/>
            <scheme val="minor"/>
          </rPr>
          <t>Introduzca un número con dos decimales como máximo</t>
        </r>
      </text>
    </comment>
    <comment ref="F1463" authorId="1" shapeId="0" xr:uid="{EC5ECDC3-9F3C-409E-A28F-ED8FD3DC6BC9}">
      <text>
        <r>
          <rPr>
            <sz val="11"/>
            <color theme="1"/>
            <rFont val="Calibri"/>
            <family val="2"/>
            <scheme val="minor"/>
          </rPr>
          <t>Monto calculado automáticamente por el sistema</t>
        </r>
      </text>
    </comment>
    <comment ref="A1489" authorId="1" shapeId="0" xr:uid="{B0761301-B9B2-43CE-B94B-5E1637CF43EC}">
      <text>
        <r>
          <rPr>
            <sz val="11"/>
            <color theme="1"/>
            <rFont val="Calibri"/>
            <family val="2"/>
            <scheme val="minor"/>
          </rPr>
          <t>Introducir un texto con el nombre o referencia de la contratación</t>
        </r>
      </text>
    </comment>
    <comment ref="B1489" authorId="1" shapeId="0" xr:uid="{FFFBB664-7904-4E2E-8DCC-E0D81738C72A}">
      <text>
        <r>
          <rPr>
            <sz val="11"/>
            <color theme="1"/>
            <rFont val="Calibri"/>
            <family val="2"/>
            <scheme val="minor"/>
          </rPr>
          <t>Introduzca un texto con la finalidad de la contratación</t>
        </r>
      </text>
    </comment>
    <comment ref="C1489" authorId="1" shapeId="0" xr:uid="{C60115A9-A6D3-4D6C-93A2-7BC30D8E9E68}">
      <text>
        <r>
          <rPr>
            <sz val="11"/>
            <color theme="1"/>
            <rFont val="Calibri"/>
            <family val="2"/>
            <scheme val="minor"/>
          </rPr>
          <t>Seleccionar un valor del listado</t>
        </r>
      </text>
    </comment>
    <comment ref="D1489" authorId="1" shapeId="0" xr:uid="{57773F09-D6AF-4FEA-9DA3-36FD9B93B377}">
      <text>
        <r>
          <rPr>
            <sz val="11"/>
            <color theme="1"/>
            <rFont val="Calibri"/>
            <family val="2"/>
            <scheme val="minor"/>
          </rPr>
          <t>Seleccione el tipo de procedimiento</t>
        </r>
      </text>
    </comment>
    <comment ref="E1489" authorId="1" shapeId="0" xr:uid="{47884A71-F98B-440C-81C5-13101B30D4ED}">
      <text>
        <r>
          <rPr>
            <sz val="11"/>
            <color theme="1"/>
            <rFont val="Calibri"/>
            <family val="2"/>
            <scheme val="minor"/>
          </rPr>
          <t>Seleccione un valor de la lista</t>
        </r>
      </text>
    </comment>
    <comment ref="F1489" authorId="1" shapeId="0" xr:uid="{DD137308-CFEE-4FDE-B808-BE42308B3078}">
      <text>
        <r>
          <rPr>
            <sz val="11"/>
            <color theme="1"/>
            <rFont val="Calibri"/>
            <family val="2"/>
            <scheme val="minor"/>
          </rPr>
          <t>Introduzca el código SNIP</t>
        </r>
      </text>
    </comment>
    <comment ref="C1490" authorId="1" shapeId="0" xr:uid="{2B206131-E5A3-4EB8-8875-09D5DC11B409}">
      <text>
        <r>
          <rPr>
            <sz val="11"/>
            <color theme="1"/>
            <rFont val="Calibri"/>
            <family val="2"/>
            <scheme val="minor"/>
          </rPr>
          <t>Introduzca la fecha de inicio del proceso, en formato dd-mm-aaaa</t>
        </r>
      </text>
    </comment>
    <comment ref="F1490" authorId="1" shapeId="0" xr:uid="{4636C6C4-DE12-47A5-BBF9-FA1A9ED387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1" authorId="1" shapeId="0" xr:uid="{AE37DC5A-D8B3-47AD-9E35-EAC4E5987DDA}">
      <text/>
    </comment>
    <comment ref="C1492" authorId="1" shapeId="0" xr:uid="{0009F100-729C-4DA7-AF65-43B610214864}">
      <text>
        <r>
          <rPr>
            <sz val="11"/>
            <color theme="1"/>
            <rFont val="Calibri"/>
            <family val="2"/>
            <scheme val="minor"/>
          </rPr>
          <t>Introduzca la fecha prevista de adjudicación, en formato dd-mm-aaaa</t>
        </r>
      </text>
    </comment>
    <comment ref="F1492" authorId="1" shapeId="0" xr:uid="{8BDAF385-E640-4D22-A708-9320C3CAD5AB}">
      <text/>
    </comment>
    <comment ref="F1493" authorId="1" shapeId="0" xr:uid="{860C13DA-F867-4951-B576-DEEBF9D102CE}">
      <text/>
    </comment>
    <comment ref="A1495" authorId="1" shapeId="0" xr:uid="{18E74173-AC3F-4354-8ED9-FCDDB89EFEC8}">
      <text>
        <r>
          <rPr>
            <sz val="11"/>
            <color theme="1"/>
            <rFont val="Calibri"/>
            <family val="2"/>
            <scheme val="minor"/>
          </rPr>
          <t>Introduzca un codigo UNSPSC</t>
        </r>
      </text>
    </comment>
    <comment ref="B1495" authorId="1" shapeId="0" xr:uid="{B91C9F0F-23E1-487C-AAAE-28987595C2BE}">
      <text>
        <r>
          <rPr>
            <sz val="11"/>
            <color theme="1"/>
            <rFont val="Calibri"/>
            <family val="2"/>
            <scheme val="minor"/>
          </rPr>
          <t>Descripción calculada automáticamente a partir de código del artículo</t>
        </r>
      </text>
    </comment>
    <comment ref="C1495" authorId="1" shapeId="0" xr:uid="{EF42CB76-42D8-4BFF-A46C-430BE5722FC7}">
      <text>
        <r>
          <rPr>
            <sz val="11"/>
            <color theme="1"/>
            <rFont val="Calibri"/>
            <family val="2"/>
            <scheme val="minor"/>
          </rPr>
          <t>Seleccione un valor de la lista</t>
        </r>
      </text>
    </comment>
    <comment ref="D1495" authorId="1" shapeId="0" xr:uid="{CBBD223F-66C2-44FB-AEA8-9693B21694E9}">
      <text>
        <r>
          <rPr>
            <sz val="11"/>
            <color theme="1"/>
            <rFont val="Calibri"/>
            <family val="2"/>
            <scheme val="minor"/>
          </rPr>
          <t>Introduzca un número con dos decimales como máximo. Debe ser igual o mayor a la "Cantidad Real Consumida"</t>
        </r>
      </text>
    </comment>
    <comment ref="E1495" authorId="1" shapeId="0" xr:uid="{E0247C18-D62E-4C65-8A31-3FE012A87B51}">
      <text>
        <r>
          <rPr>
            <sz val="11"/>
            <color theme="1"/>
            <rFont val="Calibri"/>
            <family val="2"/>
            <scheme val="minor"/>
          </rPr>
          <t>Introduzca un número con dos decimales como máximo</t>
        </r>
      </text>
    </comment>
    <comment ref="F1495" authorId="1" shapeId="0" xr:uid="{039777C8-5B2C-4314-B012-DD9B477F9DD8}">
      <text>
        <r>
          <rPr>
            <sz val="11"/>
            <color theme="1"/>
            <rFont val="Calibri"/>
            <family val="2"/>
            <scheme val="minor"/>
          </rPr>
          <t>Monto calculado automáticamente por el sistema</t>
        </r>
      </text>
    </comment>
    <comment ref="A1506" authorId="1" shapeId="0" xr:uid="{B4E73455-F7AD-4037-8010-CFF5338B8348}">
      <text>
        <r>
          <rPr>
            <sz val="11"/>
            <color theme="1"/>
            <rFont val="Calibri"/>
            <family val="2"/>
            <scheme val="minor"/>
          </rPr>
          <t>Introducir un texto con el nombre o referencia de la contratación</t>
        </r>
      </text>
    </comment>
    <comment ref="B1506" authorId="1" shapeId="0" xr:uid="{28FEA7A7-21EE-4090-BC55-7AF133B84FE9}">
      <text>
        <r>
          <rPr>
            <sz val="11"/>
            <color theme="1"/>
            <rFont val="Calibri"/>
            <family val="2"/>
            <scheme val="minor"/>
          </rPr>
          <t>Introduzca un texto con la finalidad de la contratación</t>
        </r>
      </text>
    </comment>
    <comment ref="C1506" authorId="1" shapeId="0" xr:uid="{DA04B3BA-89A5-476B-BEF2-08AB772084CB}">
      <text>
        <r>
          <rPr>
            <sz val="11"/>
            <color theme="1"/>
            <rFont val="Calibri"/>
            <family val="2"/>
            <scheme val="minor"/>
          </rPr>
          <t>Seleccionar un valor del listado</t>
        </r>
      </text>
    </comment>
    <comment ref="D1506" authorId="1" shapeId="0" xr:uid="{09F4F737-51AA-47DB-A64E-9AA21F1E2B31}">
      <text>
        <r>
          <rPr>
            <sz val="11"/>
            <color theme="1"/>
            <rFont val="Calibri"/>
            <family val="2"/>
            <scheme val="minor"/>
          </rPr>
          <t>Seleccione el tipo de procedimiento</t>
        </r>
      </text>
    </comment>
    <comment ref="E1506" authorId="1" shapeId="0" xr:uid="{871440C6-FB6B-4BE2-A5E4-5D8858673793}">
      <text>
        <r>
          <rPr>
            <sz val="11"/>
            <color theme="1"/>
            <rFont val="Calibri"/>
            <family val="2"/>
            <scheme val="minor"/>
          </rPr>
          <t>Seleccione un valor de la lista</t>
        </r>
      </text>
    </comment>
    <comment ref="F1506" authorId="1" shapeId="0" xr:uid="{4CDD1393-EA30-443E-837F-44A646BA28C7}">
      <text>
        <r>
          <rPr>
            <sz val="11"/>
            <color theme="1"/>
            <rFont val="Calibri"/>
            <family val="2"/>
            <scheme val="minor"/>
          </rPr>
          <t>Introduzca el código SNIP</t>
        </r>
      </text>
    </comment>
    <comment ref="C1507" authorId="1" shapeId="0" xr:uid="{5B8C555E-953F-451F-9364-5B93CD3AFDC5}">
      <text>
        <r>
          <rPr>
            <sz val="11"/>
            <color theme="1"/>
            <rFont val="Calibri"/>
            <family val="2"/>
            <scheme val="minor"/>
          </rPr>
          <t>Introduzca la fecha de inicio del proceso, en formato dd-mm-aaaa</t>
        </r>
      </text>
    </comment>
    <comment ref="F1507" authorId="1" shapeId="0" xr:uid="{E44C6E22-FACB-4125-897B-24DD9DAD47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8" authorId="1" shapeId="0" xr:uid="{7B11DDC0-9C66-4B90-A057-633ABDE6FDFF}">
      <text/>
    </comment>
    <comment ref="C1509" authorId="1" shapeId="0" xr:uid="{DC68A0A8-1A55-4F68-9E9E-4ACB0C6E5E6B}">
      <text>
        <r>
          <rPr>
            <sz val="11"/>
            <color theme="1"/>
            <rFont val="Calibri"/>
            <family val="2"/>
            <scheme val="minor"/>
          </rPr>
          <t>Introduzca la fecha prevista de adjudicación, en formato dd-mm-aaaa</t>
        </r>
      </text>
    </comment>
    <comment ref="F1509" authorId="1" shapeId="0" xr:uid="{8A5BA76A-5A64-460F-9754-2C0888D2DA51}">
      <text/>
    </comment>
    <comment ref="F1510" authorId="1" shapeId="0" xr:uid="{ED79C880-EB8B-4380-980F-0C06EDBF913C}">
      <text/>
    </comment>
    <comment ref="A1512" authorId="1" shapeId="0" xr:uid="{D6C45F5D-F63E-4ED3-ABD8-43D5C06127BB}">
      <text>
        <r>
          <rPr>
            <sz val="11"/>
            <color theme="1"/>
            <rFont val="Calibri"/>
            <family val="2"/>
            <scheme val="minor"/>
          </rPr>
          <t>Introduzca un codigo UNSPSC</t>
        </r>
      </text>
    </comment>
    <comment ref="B1512" authorId="1" shapeId="0" xr:uid="{284D85BE-16B7-4179-8758-F6D56380D2C3}">
      <text>
        <r>
          <rPr>
            <sz val="11"/>
            <color theme="1"/>
            <rFont val="Calibri"/>
            <family val="2"/>
            <scheme val="minor"/>
          </rPr>
          <t>Descripción calculada automáticamente a partir de código del artículo</t>
        </r>
      </text>
    </comment>
    <comment ref="C1512" authorId="1" shapeId="0" xr:uid="{AC872226-2283-4EEE-89F4-41EC22A4DC21}">
      <text>
        <r>
          <rPr>
            <sz val="11"/>
            <color theme="1"/>
            <rFont val="Calibri"/>
            <family val="2"/>
            <scheme val="minor"/>
          </rPr>
          <t>Seleccione un valor de la lista</t>
        </r>
      </text>
    </comment>
    <comment ref="D1512" authorId="1" shapeId="0" xr:uid="{CE3FD3A7-5468-4C10-9856-3CD18D09E1D7}">
      <text>
        <r>
          <rPr>
            <sz val="11"/>
            <color theme="1"/>
            <rFont val="Calibri"/>
            <family val="2"/>
            <scheme val="minor"/>
          </rPr>
          <t>Introduzca un número con dos decimales como máximo. Debe ser igual o mayor a la "Cantidad Real Consumida"</t>
        </r>
      </text>
    </comment>
    <comment ref="E1512" authorId="1" shapeId="0" xr:uid="{B359DB0F-1DFE-4BD9-A71A-EC8340ECA4F7}">
      <text>
        <r>
          <rPr>
            <sz val="11"/>
            <color theme="1"/>
            <rFont val="Calibri"/>
            <family val="2"/>
            <scheme val="minor"/>
          </rPr>
          <t>Introduzca un número con dos decimales como máximo</t>
        </r>
      </text>
    </comment>
    <comment ref="F1512" authorId="1" shapeId="0" xr:uid="{B5DF4F12-BAC1-4ADE-8C74-5E3CB6B2AEA7}">
      <text>
        <r>
          <rPr>
            <sz val="11"/>
            <color theme="1"/>
            <rFont val="Calibri"/>
            <family val="2"/>
            <scheme val="minor"/>
          </rPr>
          <t>Monto calculado automáticamente por el sistema</t>
        </r>
      </text>
    </comment>
    <comment ref="A1518" authorId="1" shapeId="0" xr:uid="{F9FD1A87-7D1A-4431-B4B4-8D4296FDB0B5}">
      <text>
        <r>
          <rPr>
            <sz val="11"/>
            <color theme="1"/>
            <rFont val="Calibri"/>
            <family val="2"/>
            <scheme val="minor"/>
          </rPr>
          <t>Introducir un texto con el nombre o referencia de la contratación</t>
        </r>
      </text>
    </comment>
    <comment ref="B1518" authorId="1" shapeId="0" xr:uid="{5787B5D8-4181-4AB4-ADC6-A6F47704F25F}">
      <text>
        <r>
          <rPr>
            <sz val="11"/>
            <color theme="1"/>
            <rFont val="Calibri"/>
            <family val="2"/>
            <scheme val="minor"/>
          </rPr>
          <t>Introduzca un texto con la finalidad de la contratación</t>
        </r>
      </text>
    </comment>
    <comment ref="C1518" authorId="1" shapeId="0" xr:uid="{0E5F0E2F-C1CE-4122-88F7-D4CF83FEC426}">
      <text>
        <r>
          <rPr>
            <sz val="11"/>
            <color theme="1"/>
            <rFont val="Calibri"/>
            <family val="2"/>
            <scheme val="minor"/>
          </rPr>
          <t>Seleccionar un valor del listado</t>
        </r>
      </text>
    </comment>
    <comment ref="D1518" authorId="1" shapeId="0" xr:uid="{56EB9640-DA7F-493C-9610-ED8256CB064D}">
      <text>
        <r>
          <rPr>
            <sz val="11"/>
            <color theme="1"/>
            <rFont val="Calibri"/>
            <family val="2"/>
            <scheme val="minor"/>
          </rPr>
          <t>Seleccione el tipo de procedimiento</t>
        </r>
      </text>
    </comment>
    <comment ref="E1518" authorId="1" shapeId="0" xr:uid="{C7C6F286-D523-4044-B687-6BF7D0D3045A}">
      <text>
        <r>
          <rPr>
            <sz val="11"/>
            <color theme="1"/>
            <rFont val="Calibri"/>
            <family val="2"/>
            <scheme val="minor"/>
          </rPr>
          <t>Seleccione un valor de la lista</t>
        </r>
      </text>
    </comment>
    <comment ref="F1518" authorId="1" shapeId="0" xr:uid="{48C68815-1545-465E-A59A-81CD056E14E2}">
      <text>
        <r>
          <rPr>
            <sz val="11"/>
            <color theme="1"/>
            <rFont val="Calibri"/>
            <family val="2"/>
            <scheme val="minor"/>
          </rPr>
          <t>Introduzca el código SNIP</t>
        </r>
      </text>
    </comment>
    <comment ref="C1519" authorId="1" shapeId="0" xr:uid="{7B6BDD5F-C6DB-4BD2-8870-76214788CB6A}">
      <text>
        <r>
          <rPr>
            <sz val="11"/>
            <color theme="1"/>
            <rFont val="Calibri"/>
            <family val="2"/>
            <scheme val="minor"/>
          </rPr>
          <t>Introduzca la fecha de inicio del proceso, en formato dd-mm-aaaa</t>
        </r>
      </text>
    </comment>
    <comment ref="F1519" authorId="1" shapeId="0" xr:uid="{F5D4EE6F-5C14-4CC7-A1E0-7DEA26B9CC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0" authorId="1" shapeId="0" xr:uid="{C0515A63-436E-4305-AC8F-F54857FEBA77}">
      <text/>
    </comment>
    <comment ref="C1521" authorId="1" shapeId="0" xr:uid="{1F621E83-DAFD-4620-A8D3-E9CE994BE8D0}">
      <text>
        <r>
          <rPr>
            <sz val="11"/>
            <color theme="1"/>
            <rFont val="Calibri"/>
            <family val="2"/>
            <scheme val="minor"/>
          </rPr>
          <t>Introduzca la fecha prevista de adjudicación, en formato dd-mm-aaaa</t>
        </r>
      </text>
    </comment>
    <comment ref="F1521" authorId="1" shapeId="0" xr:uid="{D8441277-6A01-408E-889C-146F69924B3A}">
      <text/>
    </comment>
    <comment ref="F1522" authorId="1" shapeId="0" xr:uid="{4C49DF0C-E854-4027-BD38-A239A29240D1}">
      <text/>
    </comment>
    <comment ref="A1524" authorId="1" shapeId="0" xr:uid="{67D05D29-8AA9-4874-A5DB-0F54009384BA}">
      <text>
        <r>
          <rPr>
            <sz val="11"/>
            <color theme="1"/>
            <rFont val="Calibri"/>
            <family val="2"/>
            <scheme val="minor"/>
          </rPr>
          <t>Introduzca un codigo UNSPSC</t>
        </r>
      </text>
    </comment>
    <comment ref="B1524" authorId="1" shapeId="0" xr:uid="{F6DB7E87-0CB2-4D85-9425-4A31377FA4E6}">
      <text>
        <r>
          <rPr>
            <sz val="11"/>
            <color theme="1"/>
            <rFont val="Calibri"/>
            <family val="2"/>
            <scheme val="minor"/>
          </rPr>
          <t>Descripción calculada automáticamente a partir de código del artículo</t>
        </r>
      </text>
    </comment>
    <comment ref="C1524" authorId="1" shapeId="0" xr:uid="{E840561E-01B7-4685-8C6F-F95332C9DA2C}">
      <text>
        <r>
          <rPr>
            <sz val="11"/>
            <color theme="1"/>
            <rFont val="Calibri"/>
            <family val="2"/>
            <scheme val="minor"/>
          </rPr>
          <t>Seleccione un valor de la lista</t>
        </r>
      </text>
    </comment>
    <comment ref="D1524" authorId="1" shapeId="0" xr:uid="{DCF0BD20-E88F-40BA-AF09-476BD163CE3D}">
      <text>
        <r>
          <rPr>
            <sz val="11"/>
            <color theme="1"/>
            <rFont val="Calibri"/>
            <family val="2"/>
            <scheme val="minor"/>
          </rPr>
          <t>Introduzca un número con dos decimales como máximo. Debe ser igual o mayor a la "Cantidad Real Consumida"</t>
        </r>
      </text>
    </comment>
    <comment ref="E1524" authorId="1" shapeId="0" xr:uid="{03499D18-DD9C-4C0C-9E37-F2A928FA4858}">
      <text>
        <r>
          <rPr>
            <sz val="11"/>
            <color theme="1"/>
            <rFont val="Calibri"/>
            <family val="2"/>
            <scheme val="minor"/>
          </rPr>
          <t>Introduzca un número con dos decimales como máximo</t>
        </r>
      </text>
    </comment>
    <comment ref="F1524" authorId="1" shapeId="0" xr:uid="{11E5F6D9-A27D-4708-946A-D4B7F053124D}">
      <text>
        <r>
          <rPr>
            <sz val="11"/>
            <color theme="1"/>
            <rFont val="Calibri"/>
            <family val="2"/>
            <scheme val="minor"/>
          </rPr>
          <t>Monto calculado automáticamente por el sistema</t>
        </r>
      </text>
    </comment>
    <comment ref="A1534" authorId="1" shapeId="0" xr:uid="{7B9D6DA0-7C8A-4E5B-BB2D-A1C8AAA0742D}">
      <text>
        <r>
          <rPr>
            <sz val="11"/>
            <color theme="1"/>
            <rFont val="Calibri"/>
            <family val="2"/>
            <scheme val="minor"/>
          </rPr>
          <t>Introducir un texto con el nombre o referencia de la contratación</t>
        </r>
      </text>
    </comment>
    <comment ref="B1534" authorId="1" shapeId="0" xr:uid="{E4EA7DDE-1994-4AF3-8FEC-91A8A9502570}">
      <text>
        <r>
          <rPr>
            <sz val="11"/>
            <color theme="1"/>
            <rFont val="Calibri"/>
            <family val="2"/>
            <scheme val="minor"/>
          </rPr>
          <t>Introduzca un texto con la finalidad de la contratación</t>
        </r>
      </text>
    </comment>
    <comment ref="C1534" authorId="1" shapeId="0" xr:uid="{29DAB49D-EBE7-4E05-901B-99EA602F3C40}">
      <text>
        <r>
          <rPr>
            <sz val="11"/>
            <color theme="1"/>
            <rFont val="Calibri"/>
            <family val="2"/>
            <scheme val="minor"/>
          </rPr>
          <t>Seleccionar un valor del listado</t>
        </r>
      </text>
    </comment>
    <comment ref="D1534" authorId="1" shapeId="0" xr:uid="{52CBF831-EC25-473A-8937-6AFA3D9C3F73}">
      <text>
        <r>
          <rPr>
            <sz val="11"/>
            <color theme="1"/>
            <rFont val="Calibri"/>
            <family val="2"/>
            <scheme val="minor"/>
          </rPr>
          <t>Seleccione el tipo de procedimiento</t>
        </r>
      </text>
    </comment>
    <comment ref="E1534" authorId="1" shapeId="0" xr:uid="{63877E1A-76C2-4309-B8F8-BDBD9E402CA7}">
      <text>
        <r>
          <rPr>
            <sz val="11"/>
            <color theme="1"/>
            <rFont val="Calibri"/>
            <family val="2"/>
            <scheme val="minor"/>
          </rPr>
          <t>Seleccione un valor de la lista</t>
        </r>
      </text>
    </comment>
    <comment ref="F1534" authorId="1" shapeId="0" xr:uid="{038253F3-1876-4D99-B302-C45485799772}">
      <text>
        <r>
          <rPr>
            <sz val="11"/>
            <color theme="1"/>
            <rFont val="Calibri"/>
            <family val="2"/>
            <scheme val="minor"/>
          </rPr>
          <t>Introduzca el código SNIP</t>
        </r>
      </text>
    </comment>
    <comment ref="C1535" authorId="1" shapeId="0" xr:uid="{F7AAB2BE-A63E-4707-9F03-216955C31882}">
      <text>
        <r>
          <rPr>
            <sz val="11"/>
            <color theme="1"/>
            <rFont val="Calibri"/>
            <family val="2"/>
            <scheme val="minor"/>
          </rPr>
          <t>Introduzca la fecha de inicio del proceso, en formato dd-mm-aaaa</t>
        </r>
      </text>
    </comment>
    <comment ref="F1535" authorId="1" shapeId="0" xr:uid="{B6416B6D-124F-4E41-9AD5-3AF6148297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xr:uid="{DCBC4D90-D885-466E-B9BF-8946D2F30D4E}">
      <text/>
    </comment>
    <comment ref="C1537" authorId="1" shapeId="0" xr:uid="{FBD4448D-DD5E-4C5C-9728-52551F9CC179}">
      <text>
        <r>
          <rPr>
            <sz val="11"/>
            <color theme="1"/>
            <rFont val="Calibri"/>
            <family val="2"/>
            <scheme val="minor"/>
          </rPr>
          <t>Introduzca la fecha prevista de adjudicación, en formato dd-mm-aaaa</t>
        </r>
      </text>
    </comment>
    <comment ref="F1537" authorId="1" shapeId="0" xr:uid="{00CA45B1-50BC-4B20-8F40-2BB75A45AD59}">
      <text/>
    </comment>
    <comment ref="F1538" authorId="1" shapeId="0" xr:uid="{8980D77A-45AB-485A-BC0C-3E1CC1A36B59}">
      <text/>
    </comment>
    <comment ref="A1540" authorId="1" shapeId="0" xr:uid="{5E7C69DB-3DBD-4B40-A903-F8DD6288B97A}">
      <text>
        <r>
          <rPr>
            <sz val="11"/>
            <color theme="1"/>
            <rFont val="Calibri"/>
            <family val="2"/>
            <scheme val="minor"/>
          </rPr>
          <t>Introduzca un codigo UNSPSC</t>
        </r>
      </text>
    </comment>
    <comment ref="B1540" authorId="1" shapeId="0" xr:uid="{FCB119DC-D3F3-442E-AA0F-BDC6D6F99112}">
      <text>
        <r>
          <rPr>
            <sz val="11"/>
            <color theme="1"/>
            <rFont val="Calibri"/>
            <family val="2"/>
            <scheme val="minor"/>
          </rPr>
          <t>Descripción calculada automáticamente a partir de código del artículo</t>
        </r>
      </text>
    </comment>
    <comment ref="C1540" authorId="1" shapeId="0" xr:uid="{3069EB3E-6211-49B7-8D0E-C6BB50E432E3}">
      <text>
        <r>
          <rPr>
            <sz val="11"/>
            <color theme="1"/>
            <rFont val="Calibri"/>
            <family val="2"/>
            <scheme val="minor"/>
          </rPr>
          <t>Seleccione un valor de la lista</t>
        </r>
      </text>
    </comment>
    <comment ref="D1540" authorId="1" shapeId="0" xr:uid="{C29B7CE8-EF65-4AF3-B480-BD3E19F9EFF9}">
      <text>
        <r>
          <rPr>
            <sz val="11"/>
            <color theme="1"/>
            <rFont val="Calibri"/>
            <family val="2"/>
            <scheme val="minor"/>
          </rPr>
          <t>Introduzca un número con dos decimales como máximo. Debe ser igual o mayor a la "Cantidad Real Consumida"</t>
        </r>
      </text>
    </comment>
    <comment ref="E1540" authorId="1" shapeId="0" xr:uid="{76188289-CBE8-4F60-A129-269773F463F6}">
      <text>
        <r>
          <rPr>
            <sz val="11"/>
            <color theme="1"/>
            <rFont val="Calibri"/>
            <family val="2"/>
            <scheme val="minor"/>
          </rPr>
          <t>Introduzca un número con dos decimales como máximo</t>
        </r>
      </text>
    </comment>
    <comment ref="F1540" authorId="1" shapeId="0" xr:uid="{EFBBDD00-CFBD-495D-8E6E-7D3062B1D55C}">
      <text>
        <r>
          <rPr>
            <sz val="11"/>
            <color theme="1"/>
            <rFont val="Calibri"/>
            <family val="2"/>
            <scheme val="minor"/>
          </rPr>
          <t>Monto calculado automáticamente por el sistema</t>
        </r>
      </text>
    </comment>
    <comment ref="A1569" authorId="1" shapeId="0" xr:uid="{DCB7A8BA-8392-49DA-ADFE-4C825489A999}">
      <text>
        <r>
          <rPr>
            <sz val="11"/>
            <color theme="1"/>
            <rFont val="Calibri"/>
            <family val="2"/>
            <scheme val="minor"/>
          </rPr>
          <t>Introducir un texto con el nombre o referencia de la contratación</t>
        </r>
      </text>
    </comment>
    <comment ref="B1569" authorId="1" shapeId="0" xr:uid="{A019E315-659C-479C-95C3-66A8FEB1EEE0}">
      <text>
        <r>
          <rPr>
            <sz val="11"/>
            <color theme="1"/>
            <rFont val="Calibri"/>
            <family val="2"/>
            <scheme val="minor"/>
          </rPr>
          <t>Introduzca un texto con la finalidad de la contratación</t>
        </r>
      </text>
    </comment>
    <comment ref="C1569" authorId="1" shapeId="0" xr:uid="{2B690FC3-5035-45FD-96A3-44A9E07D17A6}">
      <text>
        <r>
          <rPr>
            <sz val="11"/>
            <color theme="1"/>
            <rFont val="Calibri"/>
            <family val="2"/>
            <scheme val="minor"/>
          </rPr>
          <t>Seleccionar un valor del listado</t>
        </r>
      </text>
    </comment>
    <comment ref="D1569" authorId="1" shapeId="0" xr:uid="{1828DC52-488D-44B7-8265-1EB543BC3326}">
      <text>
        <r>
          <rPr>
            <sz val="11"/>
            <color theme="1"/>
            <rFont val="Calibri"/>
            <family val="2"/>
            <scheme val="minor"/>
          </rPr>
          <t>Seleccione el tipo de procedimiento</t>
        </r>
      </text>
    </comment>
    <comment ref="E1569" authorId="1" shapeId="0" xr:uid="{425C5077-E88F-4A4A-9AF2-0486E3E988CE}">
      <text>
        <r>
          <rPr>
            <sz val="11"/>
            <color theme="1"/>
            <rFont val="Calibri"/>
            <family val="2"/>
            <scheme val="minor"/>
          </rPr>
          <t>Seleccione un valor de la lista</t>
        </r>
      </text>
    </comment>
    <comment ref="F1569" authorId="1" shapeId="0" xr:uid="{384CBC19-76DE-4CA8-B1E4-0E2B6FD7E8ED}">
      <text>
        <r>
          <rPr>
            <sz val="11"/>
            <color theme="1"/>
            <rFont val="Calibri"/>
            <family val="2"/>
            <scheme val="minor"/>
          </rPr>
          <t>Introduzca el código SNIP</t>
        </r>
      </text>
    </comment>
    <comment ref="C1570" authorId="1" shapeId="0" xr:uid="{2B194163-467C-4439-BFEA-A01F44FEEEC9}">
      <text>
        <r>
          <rPr>
            <sz val="11"/>
            <color theme="1"/>
            <rFont val="Calibri"/>
            <family val="2"/>
            <scheme val="minor"/>
          </rPr>
          <t>Introduzca la fecha de inicio del proceso, en formato dd-mm-aaaa</t>
        </r>
      </text>
    </comment>
    <comment ref="F1570" authorId="1" shapeId="0" xr:uid="{ACB9A1E2-5841-49A9-976E-676392F37D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1" shapeId="0" xr:uid="{0C9B58A1-8F02-478F-BB61-469274CDAAB6}">
      <text/>
    </comment>
    <comment ref="C1572" authorId="1" shapeId="0" xr:uid="{4FFEA65A-5033-4674-952B-4A4C09949C26}">
      <text>
        <r>
          <rPr>
            <sz val="11"/>
            <color theme="1"/>
            <rFont val="Calibri"/>
            <family val="2"/>
            <scheme val="minor"/>
          </rPr>
          <t>Introduzca la fecha prevista de adjudicación, en formato dd-mm-aaaa</t>
        </r>
      </text>
    </comment>
    <comment ref="F1572" authorId="1" shapeId="0" xr:uid="{0D160F20-0FE1-4E55-9A2D-526023711678}">
      <text/>
    </comment>
    <comment ref="F1573" authorId="1" shapeId="0" xr:uid="{4D059012-DD00-4B6C-8B72-124CAA25FE96}">
      <text/>
    </comment>
    <comment ref="A1575" authorId="1" shapeId="0" xr:uid="{89E54CA0-EB23-47D4-A599-0F324487DFAE}">
      <text>
        <r>
          <rPr>
            <sz val="11"/>
            <color theme="1"/>
            <rFont val="Calibri"/>
            <family val="2"/>
            <scheme val="minor"/>
          </rPr>
          <t>Introduzca un codigo UNSPSC</t>
        </r>
      </text>
    </comment>
    <comment ref="B1575" authorId="1" shapeId="0" xr:uid="{D7D0E1B7-1409-4594-9838-19080CD73F32}">
      <text>
        <r>
          <rPr>
            <sz val="11"/>
            <color theme="1"/>
            <rFont val="Calibri"/>
            <family val="2"/>
            <scheme val="minor"/>
          </rPr>
          <t>Descripción calculada automáticamente a partir de código del artículo</t>
        </r>
      </text>
    </comment>
    <comment ref="C1575" authorId="1" shapeId="0" xr:uid="{EAE3F1D3-B62F-4FAD-BD6B-43F0B29EF142}">
      <text>
        <r>
          <rPr>
            <sz val="11"/>
            <color theme="1"/>
            <rFont val="Calibri"/>
            <family val="2"/>
            <scheme val="minor"/>
          </rPr>
          <t>Seleccione un valor de la lista</t>
        </r>
      </text>
    </comment>
    <comment ref="D1575" authorId="1" shapeId="0" xr:uid="{EB07F3A4-8536-430E-9F5B-06ACE6476978}">
      <text>
        <r>
          <rPr>
            <sz val="11"/>
            <color theme="1"/>
            <rFont val="Calibri"/>
            <family val="2"/>
            <scheme val="minor"/>
          </rPr>
          <t>Introduzca un número con dos decimales como máximo. Debe ser igual o mayor a la "Cantidad Real Consumida"</t>
        </r>
      </text>
    </comment>
    <comment ref="E1575" authorId="1" shapeId="0" xr:uid="{1641C672-9CE9-4FEC-A944-E89354199900}">
      <text>
        <r>
          <rPr>
            <sz val="11"/>
            <color theme="1"/>
            <rFont val="Calibri"/>
            <family val="2"/>
            <scheme val="minor"/>
          </rPr>
          <t>Introduzca un número con dos decimales como máximo</t>
        </r>
      </text>
    </comment>
    <comment ref="F1575" authorId="1" shapeId="0" xr:uid="{CA7E5865-217F-4EDF-B8B0-9AC74B7B75F9}">
      <text>
        <r>
          <rPr>
            <sz val="11"/>
            <color theme="1"/>
            <rFont val="Calibri"/>
            <family val="2"/>
            <scheme val="minor"/>
          </rPr>
          <t>Monto calculado automáticamente por el sistema</t>
        </r>
      </text>
    </comment>
    <comment ref="A1580" authorId="1" shapeId="0" xr:uid="{5DDFF99C-A15B-4A17-A070-E1D72BDD98F7}">
      <text>
        <r>
          <rPr>
            <sz val="11"/>
            <color theme="1"/>
            <rFont val="Calibri"/>
            <family val="2"/>
            <scheme val="minor"/>
          </rPr>
          <t>Introducir un texto con el nombre o referencia de la contratación</t>
        </r>
      </text>
    </comment>
    <comment ref="B1580" authorId="1" shapeId="0" xr:uid="{75F133E8-01B1-4737-8660-50353EE627D0}">
      <text>
        <r>
          <rPr>
            <sz val="11"/>
            <color theme="1"/>
            <rFont val="Calibri"/>
            <family val="2"/>
            <scheme val="minor"/>
          </rPr>
          <t>Introduzca un texto con la finalidad de la contratación</t>
        </r>
      </text>
    </comment>
    <comment ref="C1580" authorId="1" shapeId="0" xr:uid="{F27DBDE8-D940-4036-AD57-3EA1CB2E8A37}">
      <text>
        <r>
          <rPr>
            <sz val="11"/>
            <color theme="1"/>
            <rFont val="Calibri"/>
            <family val="2"/>
            <scheme val="minor"/>
          </rPr>
          <t>Seleccionar un valor del listado</t>
        </r>
      </text>
    </comment>
    <comment ref="D1580" authorId="1" shapeId="0" xr:uid="{13A16BB2-999B-44BA-9E5C-174954129AAD}">
      <text>
        <r>
          <rPr>
            <sz val="11"/>
            <color theme="1"/>
            <rFont val="Calibri"/>
            <family val="2"/>
            <scheme val="minor"/>
          </rPr>
          <t>Seleccione el tipo de procedimiento</t>
        </r>
      </text>
    </comment>
    <comment ref="E1580" authorId="1" shapeId="0" xr:uid="{3DFF7DEA-C520-490F-8CB6-18B7EDEAF6FD}">
      <text>
        <r>
          <rPr>
            <sz val="11"/>
            <color theme="1"/>
            <rFont val="Calibri"/>
            <family val="2"/>
            <scheme val="minor"/>
          </rPr>
          <t>Seleccione un valor de la lista</t>
        </r>
      </text>
    </comment>
    <comment ref="F1580" authorId="1" shapeId="0" xr:uid="{FAC24E6B-05B5-4639-A8DE-92BFD37BF704}">
      <text>
        <r>
          <rPr>
            <sz val="11"/>
            <color theme="1"/>
            <rFont val="Calibri"/>
            <family val="2"/>
            <scheme val="minor"/>
          </rPr>
          <t>Introduzca el código SNIP</t>
        </r>
      </text>
    </comment>
    <comment ref="C1581" authorId="1" shapeId="0" xr:uid="{9204B8C9-E51C-47B5-9506-AF971264A674}">
      <text>
        <r>
          <rPr>
            <sz val="11"/>
            <color theme="1"/>
            <rFont val="Calibri"/>
            <family val="2"/>
            <scheme val="minor"/>
          </rPr>
          <t>Introduzca la fecha de inicio del proceso, en formato dd-mm-aaaa</t>
        </r>
      </text>
    </comment>
    <comment ref="F1581" authorId="1" shapeId="0" xr:uid="{A32AF1AF-9DA1-4D6B-A779-A0C09DEBD6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1" shapeId="0" xr:uid="{ACBA2A47-DB94-4627-96FC-5687BAA3E38B}">
      <text/>
    </comment>
    <comment ref="C1583" authorId="1" shapeId="0" xr:uid="{D5E19D30-1BA5-43DA-9103-D3654D9B5442}">
      <text>
        <r>
          <rPr>
            <sz val="11"/>
            <color theme="1"/>
            <rFont val="Calibri"/>
            <family val="2"/>
            <scheme val="minor"/>
          </rPr>
          <t>Introduzca la fecha prevista de adjudicación, en formato dd-mm-aaaa</t>
        </r>
      </text>
    </comment>
    <comment ref="F1583" authorId="1" shapeId="0" xr:uid="{7792F2C8-0910-440A-B448-B796F45AF97D}">
      <text/>
    </comment>
    <comment ref="F1584" authorId="1" shapeId="0" xr:uid="{BBC9ED57-DA0B-4725-9FDD-1BDCAFD6D516}">
      <text/>
    </comment>
    <comment ref="A1586" authorId="1" shapeId="0" xr:uid="{DED86ABB-103E-47F5-9194-7BDB41F7FE29}">
      <text>
        <r>
          <rPr>
            <sz val="11"/>
            <color theme="1"/>
            <rFont val="Calibri"/>
            <family val="2"/>
            <scheme val="minor"/>
          </rPr>
          <t>Introduzca un codigo UNSPSC</t>
        </r>
      </text>
    </comment>
    <comment ref="B1586" authorId="1" shapeId="0" xr:uid="{12FD6FF3-4FE7-4B50-9432-B6CE60F6BFCF}">
      <text>
        <r>
          <rPr>
            <sz val="11"/>
            <color theme="1"/>
            <rFont val="Calibri"/>
            <family val="2"/>
            <scheme val="minor"/>
          </rPr>
          <t>Descripción calculada automáticamente a partir de código del artículo</t>
        </r>
      </text>
    </comment>
    <comment ref="C1586" authorId="1" shapeId="0" xr:uid="{2325B13C-873D-43E7-8E92-3E1B097BE083}">
      <text>
        <r>
          <rPr>
            <sz val="11"/>
            <color theme="1"/>
            <rFont val="Calibri"/>
            <family val="2"/>
            <scheme val="minor"/>
          </rPr>
          <t>Seleccione un valor de la lista</t>
        </r>
      </text>
    </comment>
    <comment ref="D1586" authorId="1" shapeId="0" xr:uid="{E18C6A59-E3C9-45F6-BA3E-6843167BF25E}">
      <text>
        <r>
          <rPr>
            <sz val="11"/>
            <color theme="1"/>
            <rFont val="Calibri"/>
            <family val="2"/>
            <scheme val="minor"/>
          </rPr>
          <t>Introduzca un número con dos decimales como máximo. Debe ser igual o mayor a la "Cantidad Real Consumida"</t>
        </r>
      </text>
    </comment>
    <comment ref="E1586" authorId="1" shapeId="0" xr:uid="{22DC20F5-034E-4BB9-A227-EDB9D38F2980}">
      <text>
        <r>
          <rPr>
            <sz val="11"/>
            <color theme="1"/>
            <rFont val="Calibri"/>
            <family val="2"/>
            <scheme val="minor"/>
          </rPr>
          <t>Introduzca un número con dos decimales como máximo</t>
        </r>
      </text>
    </comment>
    <comment ref="F1586" authorId="1" shapeId="0" xr:uid="{4AB996C7-92AE-4C69-977F-9053E7798981}">
      <text>
        <r>
          <rPr>
            <sz val="11"/>
            <color theme="1"/>
            <rFont val="Calibri"/>
            <family val="2"/>
            <scheme val="minor"/>
          </rPr>
          <t>Monto calculado automáticamente por el sistema</t>
        </r>
      </text>
    </comment>
    <comment ref="A1593" authorId="1" shapeId="0" xr:uid="{BF7E8A16-C1C4-4C1E-A845-DC77C2414DF6}">
      <text>
        <r>
          <rPr>
            <sz val="11"/>
            <color theme="1"/>
            <rFont val="Calibri"/>
            <family val="2"/>
            <scheme val="minor"/>
          </rPr>
          <t>Introducir un texto con el nombre o referencia de la contratación</t>
        </r>
      </text>
    </comment>
    <comment ref="B1593" authorId="1" shapeId="0" xr:uid="{F30CB3F3-4428-46ED-960F-52BA9DFF4B42}">
      <text>
        <r>
          <rPr>
            <sz val="11"/>
            <color theme="1"/>
            <rFont val="Calibri"/>
            <family val="2"/>
            <scheme val="minor"/>
          </rPr>
          <t>Introduzca un texto con la finalidad de la contratación</t>
        </r>
      </text>
    </comment>
    <comment ref="C1593" authorId="1" shapeId="0" xr:uid="{07DA4764-194A-482D-BCB6-F4B8DDA232FA}">
      <text>
        <r>
          <rPr>
            <sz val="11"/>
            <color theme="1"/>
            <rFont val="Calibri"/>
            <family val="2"/>
            <scheme val="minor"/>
          </rPr>
          <t>Seleccionar un valor del listado</t>
        </r>
      </text>
    </comment>
    <comment ref="D1593" authorId="1" shapeId="0" xr:uid="{3A552775-F6DB-4653-BF7E-93D3060F9E19}">
      <text>
        <r>
          <rPr>
            <sz val="11"/>
            <color theme="1"/>
            <rFont val="Calibri"/>
            <family val="2"/>
            <scheme val="minor"/>
          </rPr>
          <t>Seleccione el tipo de procedimiento</t>
        </r>
      </text>
    </comment>
    <comment ref="E1593" authorId="1" shapeId="0" xr:uid="{498C817A-5C63-40BE-874D-179CAC852390}">
      <text>
        <r>
          <rPr>
            <sz val="11"/>
            <color theme="1"/>
            <rFont val="Calibri"/>
            <family val="2"/>
            <scheme val="minor"/>
          </rPr>
          <t>Seleccione un valor de la lista</t>
        </r>
      </text>
    </comment>
    <comment ref="F1593" authorId="1" shapeId="0" xr:uid="{8A0E538F-6AA6-4E2A-A313-1A66A12D0F1A}">
      <text>
        <r>
          <rPr>
            <sz val="11"/>
            <color theme="1"/>
            <rFont val="Calibri"/>
            <family val="2"/>
            <scheme val="minor"/>
          </rPr>
          <t>Introduzca el código SNIP</t>
        </r>
      </text>
    </comment>
    <comment ref="C1594" authorId="1" shapeId="0" xr:uid="{A00389D2-B036-4ACC-BB51-D431E88DCE94}">
      <text>
        <r>
          <rPr>
            <sz val="11"/>
            <color theme="1"/>
            <rFont val="Calibri"/>
            <family val="2"/>
            <scheme val="minor"/>
          </rPr>
          <t>Introduzca la fecha de inicio del proceso, en formato dd-mm-aaaa</t>
        </r>
      </text>
    </comment>
    <comment ref="F1594" authorId="1" shapeId="0" xr:uid="{A6F63F85-020C-4C64-A715-11FEB447B7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5" authorId="1" shapeId="0" xr:uid="{14E0A8D2-7369-4DE8-803A-9478DCFD02F0}">
      <text/>
    </comment>
    <comment ref="C1596" authorId="1" shapeId="0" xr:uid="{54EECED4-47CC-46CE-82EF-F4ED833E745E}">
      <text>
        <r>
          <rPr>
            <sz val="11"/>
            <color theme="1"/>
            <rFont val="Calibri"/>
            <family val="2"/>
            <scheme val="minor"/>
          </rPr>
          <t>Introduzca la fecha prevista de adjudicación, en formato dd-mm-aaaa</t>
        </r>
      </text>
    </comment>
    <comment ref="F1596" authorId="1" shapeId="0" xr:uid="{9B690A85-6038-404D-8C8D-8D167AA30B95}">
      <text/>
    </comment>
    <comment ref="F1597" authorId="1" shapeId="0" xr:uid="{3C5DDBDA-1CE2-4074-843A-88F5076F682D}">
      <text/>
    </comment>
    <comment ref="A1599" authorId="1" shapeId="0" xr:uid="{A4016516-6947-4AE9-8CCC-3946B2602E70}">
      <text>
        <r>
          <rPr>
            <sz val="11"/>
            <color theme="1"/>
            <rFont val="Calibri"/>
            <family val="2"/>
            <scheme val="minor"/>
          </rPr>
          <t>Introduzca un codigo UNSPSC</t>
        </r>
      </text>
    </comment>
    <comment ref="B1599" authorId="1" shapeId="0" xr:uid="{636823FB-4EA9-4EDC-8358-CBB7AD9E04A0}">
      <text>
        <r>
          <rPr>
            <sz val="11"/>
            <color theme="1"/>
            <rFont val="Calibri"/>
            <family val="2"/>
            <scheme val="minor"/>
          </rPr>
          <t>Descripción calculada automáticamente a partir de código del artículo</t>
        </r>
      </text>
    </comment>
    <comment ref="C1599" authorId="1" shapeId="0" xr:uid="{40144D30-F868-4D22-8390-BBC1D9FD0F6B}">
      <text>
        <r>
          <rPr>
            <sz val="11"/>
            <color theme="1"/>
            <rFont val="Calibri"/>
            <family val="2"/>
            <scheme val="minor"/>
          </rPr>
          <t>Seleccione un valor de la lista</t>
        </r>
      </text>
    </comment>
    <comment ref="D1599" authorId="1" shapeId="0" xr:uid="{7B7E595E-DFD6-4A32-B562-B8443B72251A}">
      <text>
        <r>
          <rPr>
            <sz val="11"/>
            <color theme="1"/>
            <rFont val="Calibri"/>
            <family val="2"/>
            <scheme val="minor"/>
          </rPr>
          <t>Introduzca un número con dos decimales como máximo. Debe ser igual o mayor a la "Cantidad Real Consumida"</t>
        </r>
      </text>
    </comment>
    <comment ref="E1599" authorId="1" shapeId="0" xr:uid="{9BB03E0E-7797-40D9-A76F-6CED9C913ABA}">
      <text>
        <r>
          <rPr>
            <sz val="11"/>
            <color theme="1"/>
            <rFont val="Calibri"/>
            <family val="2"/>
            <scheme val="minor"/>
          </rPr>
          <t>Introduzca un número con dos decimales como máximo</t>
        </r>
      </text>
    </comment>
    <comment ref="F1599" authorId="1" shapeId="0" xr:uid="{6A8B9440-E567-4095-94DB-D25402D31692}">
      <text>
        <r>
          <rPr>
            <sz val="11"/>
            <color theme="1"/>
            <rFont val="Calibri"/>
            <family val="2"/>
            <scheme val="minor"/>
          </rPr>
          <t>Monto calculado automáticamente por el sistema</t>
        </r>
      </text>
    </comment>
    <comment ref="A1612" authorId="1" shapeId="0" xr:uid="{8DF6F67E-6668-464B-A772-BC0A09BF3FD7}">
      <text>
        <r>
          <rPr>
            <sz val="11"/>
            <color theme="1"/>
            <rFont val="Calibri"/>
            <family val="2"/>
            <scheme val="minor"/>
          </rPr>
          <t>Introducir un texto con el nombre o referencia de la contratación</t>
        </r>
      </text>
    </comment>
    <comment ref="B1612" authorId="1" shapeId="0" xr:uid="{D8222352-B43E-4919-8D9A-986CACDA6431}">
      <text>
        <r>
          <rPr>
            <sz val="11"/>
            <color theme="1"/>
            <rFont val="Calibri"/>
            <family val="2"/>
            <scheme val="minor"/>
          </rPr>
          <t>Introduzca un texto con la finalidad de la contratación</t>
        </r>
      </text>
    </comment>
    <comment ref="C1612" authorId="1" shapeId="0" xr:uid="{F462E6C0-9AA9-4DC3-987A-96FDB82F339C}">
      <text>
        <r>
          <rPr>
            <sz val="11"/>
            <color theme="1"/>
            <rFont val="Calibri"/>
            <family val="2"/>
            <scheme val="minor"/>
          </rPr>
          <t>Seleccionar un valor del listado</t>
        </r>
      </text>
    </comment>
    <comment ref="D1612" authorId="1" shapeId="0" xr:uid="{3FD10B82-448E-489E-A3A2-E4F40EF9E563}">
      <text>
        <r>
          <rPr>
            <sz val="11"/>
            <color theme="1"/>
            <rFont val="Calibri"/>
            <family val="2"/>
            <scheme val="minor"/>
          </rPr>
          <t>Seleccione el tipo de procedimiento</t>
        </r>
      </text>
    </comment>
    <comment ref="E1612" authorId="1" shapeId="0" xr:uid="{72F3E706-3A48-44E8-9E2C-2A893D9EA076}">
      <text>
        <r>
          <rPr>
            <sz val="11"/>
            <color theme="1"/>
            <rFont val="Calibri"/>
            <family val="2"/>
            <scheme val="minor"/>
          </rPr>
          <t>Seleccione un valor de la lista</t>
        </r>
      </text>
    </comment>
    <comment ref="F1612" authorId="1" shapeId="0" xr:uid="{6992B6FB-D173-4BC9-95B5-3CF7B8657BAC}">
      <text>
        <r>
          <rPr>
            <sz val="11"/>
            <color theme="1"/>
            <rFont val="Calibri"/>
            <family val="2"/>
            <scheme val="minor"/>
          </rPr>
          <t>Introduzca el código SNIP</t>
        </r>
      </text>
    </comment>
    <comment ref="C1613" authorId="1" shapeId="0" xr:uid="{F10427DB-D9CF-465C-B199-153B0A797F8F}">
      <text>
        <r>
          <rPr>
            <sz val="11"/>
            <color theme="1"/>
            <rFont val="Calibri"/>
            <family val="2"/>
            <scheme val="minor"/>
          </rPr>
          <t>Introduzca la fecha de inicio del proceso, en formato dd-mm-aaaa</t>
        </r>
      </text>
    </comment>
    <comment ref="F1613" authorId="1" shapeId="0" xr:uid="{D7179AB0-AAA6-4405-BC9E-F04B1ADF44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4" authorId="1" shapeId="0" xr:uid="{F393D235-42DF-4B5E-90A1-79A8B22D4197}">
      <text/>
    </comment>
    <comment ref="C1615" authorId="1" shapeId="0" xr:uid="{BDECD975-3DB2-45F4-B349-3F91D933E88F}">
      <text>
        <r>
          <rPr>
            <sz val="11"/>
            <color theme="1"/>
            <rFont val="Calibri"/>
            <family val="2"/>
            <scheme val="minor"/>
          </rPr>
          <t>Introduzca la fecha prevista de adjudicación, en formato dd-mm-aaaa</t>
        </r>
      </text>
    </comment>
    <comment ref="F1615" authorId="1" shapeId="0" xr:uid="{4DF573AD-ACDE-474F-B2CB-DEFBD07785E0}">
      <text/>
    </comment>
    <comment ref="F1616" authorId="1" shapeId="0" xr:uid="{BA9B2C60-43DF-4801-B9DD-746EDF61F3CA}">
      <text/>
    </comment>
    <comment ref="A1618" authorId="1" shapeId="0" xr:uid="{7051AE8F-39DE-496A-B748-CD57699E9CCA}">
      <text>
        <r>
          <rPr>
            <sz val="11"/>
            <color theme="1"/>
            <rFont val="Calibri"/>
            <family val="2"/>
            <scheme val="minor"/>
          </rPr>
          <t>Introduzca un codigo UNSPSC</t>
        </r>
      </text>
    </comment>
    <comment ref="B1618" authorId="1" shapeId="0" xr:uid="{DE19ED53-9ED8-4D82-851E-4203D2F6F7BE}">
      <text>
        <r>
          <rPr>
            <sz val="11"/>
            <color theme="1"/>
            <rFont val="Calibri"/>
            <family val="2"/>
            <scheme val="minor"/>
          </rPr>
          <t>Descripción calculada automáticamente a partir de código del artículo</t>
        </r>
      </text>
    </comment>
    <comment ref="C1618" authorId="1" shapeId="0" xr:uid="{CC9F49BA-5FEA-4D32-9A5B-851D2233735E}">
      <text>
        <r>
          <rPr>
            <sz val="11"/>
            <color theme="1"/>
            <rFont val="Calibri"/>
            <family val="2"/>
            <scheme val="minor"/>
          </rPr>
          <t>Seleccione un valor de la lista</t>
        </r>
      </text>
    </comment>
    <comment ref="D1618" authorId="1" shapeId="0" xr:uid="{09FAA9EA-20FD-41B8-930F-95759BD067A0}">
      <text>
        <r>
          <rPr>
            <sz val="11"/>
            <color theme="1"/>
            <rFont val="Calibri"/>
            <family val="2"/>
            <scheme val="minor"/>
          </rPr>
          <t>Introduzca un número con dos decimales como máximo. Debe ser igual o mayor a la "Cantidad Real Consumida"</t>
        </r>
      </text>
    </comment>
    <comment ref="E1618" authorId="1" shapeId="0" xr:uid="{BBB58452-D5A1-40F8-AFF7-44FA0E583DAD}">
      <text>
        <r>
          <rPr>
            <sz val="11"/>
            <color theme="1"/>
            <rFont val="Calibri"/>
            <family val="2"/>
            <scheme val="minor"/>
          </rPr>
          <t>Introduzca un número con dos decimales como máximo</t>
        </r>
      </text>
    </comment>
    <comment ref="F1618" authorId="1" shapeId="0" xr:uid="{2EC86D55-8BDB-4BFE-9A5B-A879AE9C5F63}">
      <text>
        <r>
          <rPr>
            <sz val="11"/>
            <color theme="1"/>
            <rFont val="Calibri"/>
            <family val="2"/>
            <scheme val="minor"/>
          </rPr>
          <t>Monto calculado automáticamente por el sistema</t>
        </r>
      </text>
    </comment>
    <comment ref="A1627" authorId="1" shapeId="0" xr:uid="{EF333FEA-D882-4E64-B01F-C1D40B7625AA}">
      <text>
        <r>
          <rPr>
            <sz val="11"/>
            <color theme="1"/>
            <rFont val="Calibri"/>
            <family val="2"/>
            <scheme val="minor"/>
          </rPr>
          <t>Introducir un texto con el nombre o referencia de la contratación</t>
        </r>
      </text>
    </comment>
    <comment ref="B1627" authorId="1" shapeId="0" xr:uid="{22073419-377E-4976-91DE-BF775E51E94A}">
      <text>
        <r>
          <rPr>
            <sz val="11"/>
            <color theme="1"/>
            <rFont val="Calibri"/>
            <family val="2"/>
            <scheme val="minor"/>
          </rPr>
          <t>Introduzca un texto con la finalidad de la contratación</t>
        </r>
      </text>
    </comment>
    <comment ref="C1627" authorId="1" shapeId="0" xr:uid="{DFEB82A5-44E6-44B6-96FF-1B4B3E3F2814}">
      <text>
        <r>
          <rPr>
            <sz val="11"/>
            <color theme="1"/>
            <rFont val="Calibri"/>
            <family val="2"/>
            <scheme val="minor"/>
          </rPr>
          <t>Seleccionar un valor del listado</t>
        </r>
      </text>
    </comment>
    <comment ref="D1627" authorId="1" shapeId="0" xr:uid="{87E613D5-78F4-4CCF-AEC2-436AD9275C3E}">
      <text>
        <r>
          <rPr>
            <sz val="11"/>
            <color theme="1"/>
            <rFont val="Calibri"/>
            <family val="2"/>
            <scheme val="minor"/>
          </rPr>
          <t>Seleccione el tipo de procedimiento</t>
        </r>
      </text>
    </comment>
    <comment ref="E1627" authorId="1" shapeId="0" xr:uid="{3E73DC2F-7022-4EC5-BA0C-40A8AE05BFF9}">
      <text>
        <r>
          <rPr>
            <sz val="11"/>
            <color theme="1"/>
            <rFont val="Calibri"/>
            <family val="2"/>
            <scheme val="minor"/>
          </rPr>
          <t>Seleccione un valor de la lista</t>
        </r>
      </text>
    </comment>
    <comment ref="F1627" authorId="1" shapeId="0" xr:uid="{9DEB6695-8A0D-4439-A979-7E1287E08601}">
      <text>
        <r>
          <rPr>
            <sz val="11"/>
            <color theme="1"/>
            <rFont val="Calibri"/>
            <family val="2"/>
            <scheme val="minor"/>
          </rPr>
          <t>Introduzca el código SNIP</t>
        </r>
      </text>
    </comment>
    <comment ref="C1628" authorId="1" shapeId="0" xr:uid="{11355BC3-E82D-4537-B03A-D4155F3235E7}">
      <text>
        <r>
          <rPr>
            <sz val="11"/>
            <color theme="1"/>
            <rFont val="Calibri"/>
            <family val="2"/>
            <scheme val="minor"/>
          </rPr>
          <t>Introduzca la fecha de inicio del proceso, en formato dd-mm-aaaa</t>
        </r>
      </text>
    </comment>
    <comment ref="F1628" authorId="1" shapeId="0" xr:uid="{97057086-56FB-4864-8553-D1D9B44AEC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9" authorId="1" shapeId="0" xr:uid="{4CCF8B99-7A25-4A21-9418-D95199955ECE}">
      <text/>
    </comment>
    <comment ref="C1630" authorId="1" shapeId="0" xr:uid="{B8544DFA-2347-4960-817B-3F2F2FE21F7E}">
      <text>
        <r>
          <rPr>
            <sz val="11"/>
            <color theme="1"/>
            <rFont val="Calibri"/>
            <family val="2"/>
            <scheme val="minor"/>
          </rPr>
          <t>Introduzca la fecha prevista de adjudicación, en formato dd-mm-aaaa</t>
        </r>
      </text>
    </comment>
    <comment ref="F1630" authorId="1" shapeId="0" xr:uid="{17A108B5-2A7A-4E1F-BA6E-E2FD5C1C0202}">
      <text/>
    </comment>
    <comment ref="F1631" authorId="1" shapeId="0" xr:uid="{CCCC2959-C202-45A1-8CFE-7B18CB12A746}">
      <text/>
    </comment>
    <comment ref="A1633" authorId="1" shapeId="0" xr:uid="{430B8BC0-C2FC-4EAC-9E80-538D1C5AF36E}">
      <text>
        <r>
          <rPr>
            <sz val="11"/>
            <color theme="1"/>
            <rFont val="Calibri"/>
            <family val="2"/>
            <scheme val="minor"/>
          </rPr>
          <t>Introduzca un codigo UNSPSC</t>
        </r>
      </text>
    </comment>
    <comment ref="B1633" authorId="1" shapeId="0" xr:uid="{B1A76440-EB73-4801-9A62-424E1418BD28}">
      <text>
        <r>
          <rPr>
            <sz val="11"/>
            <color theme="1"/>
            <rFont val="Calibri"/>
            <family val="2"/>
            <scheme val="minor"/>
          </rPr>
          <t>Descripción calculada automáticamente a partir de código del artículo</t>
        </r>
      </text>
    </comment>
    <comment ref="C1633" authorId="1" shapeId="0" xr:uid="{D22B9A05-1C8F-463E-BE1C-3A00A15FBEF5}">
      <text>
        <r>
          <rPr>
            <sz val="11"/>
            <color theme="1"/>
            <rFont val="Calibri"/>
            <family val="2"/>
            <scheme val="minor"/>
          </rPr>
          <t>Seleccione un valor de la lista</t>
        </r>
      </text>
    </comment>
    <comment ref="D1633" authorId="1" shapeId="0" xr:uid="{A5C2150A-A932-4A91-BB9B-FB73F7E37C9E}">
      <text>
        <r>
          <rPr>
            <sz val="11"/>
            <color theme="1"/>
            <rFont val="Calibri"/>
            <family val="2"/>
            <scheme val="minor"/>
          </rPr>
          <t>Introduzca un número con dos decimales como máximo. Debe ser igual o mayor a la "Cantidad Real Consumida"</t>
        </r>
      </text>
    </comment>
    <comment ref="E1633" authorId="1" shapeId="0" xr:uid="{A82177F0-7298-42AE-9DB6-418CFA380526}">
      <text>
        <r>
          <rPr>
            <sz val="11"/>
            <color theme="1"/>
            <rFont val="Calibri"/>
            <family val="2"/>
            <scheme val="minor"/>
          </rPr>
          <t>Introduzca un número con dos decimales como máximo</t>
        </r>
      </text>
    </comment>
    <comment ref="F1633" authorId="1" shapeId="0" xr:uid="{F763CBBE-BC5A-41A7-8F80-CDAE0623F7DD}">
      <text>
        <r>
          <rPr>
            <sz val="11"/>
            <color theme="1"/>
            <rFont val="Calibri"/>
            <family val="2"/>
            <scheme val="minor"/>
          </rPr>
          <t>Monto calculado automáticamente por el sistema</t>
        </r>
      </text>
    </comment>
    <comment ref="A1651" authorId="1" shapeId="0" xr:uid="{38AD05CC-2EAA-4711-98CD-6E985E1072F6}">
      <text>
        <r>
          <rPr>
            <sz val="11"/>
            <color theme="1"/>
            <rFont val="Calibri"/>
            <family val="2"/>
            <scheme val="minor"/>
          </rPr>
          <t>Introducir un texto con el nombre o referencia de la contratación</t>
        </r>
      </text>
    </comment>
    <comment ref="B1651" authorId="1" shapeId="0" xr:uid="{65834B76-0EB3-404E-BCDC-FD9997043D3C}">
      <text>
        <r>
          <rPr>
            <sz val="11"/>
            <color theme="1"/>
            <rFont val="Calibri"/>
            <family val="2"/>
            <scheme val="minor"/>
          </rPr>
          <t>Introduzca un texto con la finalidad de la contratación</t>
        </r>
      </text>
    </comment>
    <comment ref="C1651" authorId="1" shapeId="0" xr:uid="{A627AC99-97DB-4659-838B-513FB75B4A78}">
      <text>
        <r>
          <rPr>
            <sz val="11"/>
            <color theme="1"/>
            <rFont val="Calibri"/>
            <family val="2"/>
            <scheme val="minor"/>
          </rPr>
          <t>Seleccionar un valor del listado</t>
        </r>
      </text>
    </comment>
    <comment ref="D1651" authorId="1" shapeId="0" xr:uid="{985C9B32-20B7-4545-BBC9-07F427E669D4}">
      <text>
        <r>
          <rPr>
            <sz val="11"/>
            <color theme="1"/>
            <rFont val="Calibri"/>
            <family val="2"/>
            <scheme val="minor"/>
          </rPr>
          <t>Seleccione el tipo de procedimiento</t>
        </r>
      </text>
    </comment>
    <comment ref="E1651" authorId="1" shapeId="0" xr:uid="{2745C638-8396-415C-BFF0-B8F81567FB2E}">
      <text>
        <r>
          <rPr>
            <sz val="11"/>
            <color theme="1"/>
            <rFont val="Calibri"/>
            <family val="2"/>
            <scheme val="minor"/>
          </rPr>
          <t>Seleccione un valor de la lista</t>
        </r>
      </text>
    </comment>
    <comment ref="F1651" authorId="1" shapeId="0" xr:uid="{06603637-498F-4EE2-99F8-95B35FBFCFFD}">
      <text>
        <r>
          <rPr>
            <sz val="11"/>
            <color theme="1"/>
            <rFont val="Calibri"/>
            <family val="2"/>
            <scheme val="minor"/>
          </rPr>
          <t>Introduzca el código SNIP</t>
        </r>
      </text>
    </comment>
    <comment ref="C1652" authorId="1" shapeId="0" xr:uid="{1526A38B-041E-4E77-A5F5-BE98C52194FD}">
      <text>
        <r>
          <rPr>
            <sz val="11"/>
            <color theme="1"/>
            <rFont val="Calibri"/>
            <family val="2"/>
            <scheme val="minor"/>
          </rPr>
          <t>Introduzca la fecha de inicio del proceso, en formato dd-mm-aaaa</t>
        </r>
      </text>
    </comment>
    <comment ref="F1652" authorId="1" shapeId="0" xr:uid="{058AABB1-47DC-4DE3-A528-9FEF5B8371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3" authorId="1" shapeId="0" xr:uid="{A0BB847B-E1B4-41BE-847B-0AE9758197F1}">
      <text/>
    </comment>
    <comment ref="C1654" authorId="1" shapeId="0" xr:uid="{836EC9A2-4742-4D35-ABE6-05EFB56F48C2}">
      <text>
        <r>
          <rPr>
            <sz val="11"/>
            <color theme="1"/>
            <rFont val="Calibri"/>
            <family val="2"/>
            <scheme val="minor"/>
          </rPr>
          <t>Introduzca la fecha prevista de adjudicación, en formato dd-mm-aaaa</t>
        </r>
      </text>
    </comment>
    <comment ref="F1654" authorId="1" shapeId="0" xr:uid="{0A5AA002-9315-42F3-9505-0EDA9543D8AD}">
      <text/>
    </comment>
    <comment ref="F1655" authorId="1" shapeId="0" xr:uid="{3919D345-9027-40B1-A506-83045D1F3E14}">
      <text/>
    </comment>
    <comment ref="A1657" authorId="1" shapeId="0" xr:uid="{672CD279-2161-4293-AB47-4E75C5FA64AF}">
      <text>
        <r>
          <rPr>
            <sz val="11"/>
            <color theme="1"/>
            <rFont val="Calibri"/>
            <family val="2"/>
            <scheme val="minor"/>
          </rPr>
          <t>Introduzca un codigo UNSPSC</t>
        </r>
      </text>
    </comment>
    <comment ref="B1657" authorId="1" shapeId="0" xr:uid="{8EC4E2BB-51C5-409B-9AD2-6769877378A0}">
      <text>
        <r>
          <rPr>
            <sz val="11"/>
            <color theme="1"/>
            <rFont val="Calibri"/>
            <family val="2"/>
            <scheme val="minor"/>
          </rPr>
          <t>Descripción calculada automáticamente a partir de código del artículo</t>
        </r>
      </text>
    </comment>
    <comment ref="C1657" authorId="1" shapeId="0" xr:uid="{71F45E35-AB0B-421F-8B95-B590A5AFF169}">
      <text>
        <r>
          <rPr>
            <sz val="11"/>
            <color theme="1"/>
            <rFont val="Calibri"/>
            <family val="2"/>
            <scheme val="minor"/>
          </rPr>
          <t>Seleccione un valor de la lista</t>
        </r>
      </text>
    </comment>
    <comment ref="D1657" authorId="1" shapeId="0" xr:uid="{E21D63CF-6CF0-4B0A-B7F8-D9A84C60BAB3}">
      <text>
        <r>
          <rPr>
            <sz val="11"/>
            <color theme="1"/>
            <rFont val="Calibri"/>
            <family val="2"/>
            <scheme val="minor"/>
          </rPr>
          <t>Introduzca un número con dos decimales como máximo. Debe ser igual o mayor a la "Cantidad Real Consumida"</t>
        </r>
      </text>
    </comment>
    <comment ref="E1657" authorId="1" shapeId="0" xr:uid="{2BD1C5D2-0AAF-49AC-B372-382A1144CC25}">
      <text>
        <r>
          <rPr>
            <sz val="11"/>
            <color theme="1"/>
            <rFont val="Calibri"/>
            <family val="2"/>
            <scheme val="minor"/>
          </rPr>
          <t>Introduzca un número con dos decimales como máximo</t>
        </r>
      </text>
    </comment>
    <comment ref="F1657" authorId="1" shapeId="0" xr:uid="{08C52C1C-5528-4368-9D46-071DCED81091}">
      <text>
        <r>
          <rPr>
            <sz val="11"/>
            <color theme="1"/>
            <rFont val="Calibri"/>
            <family val="2"/>
            <scheme val="minor"/>
          </rPr>
          <t>Monto calculado automáticamente por el sistema</t>
        </r>
      </text>
    </comment>
    <comment ref="A1662" authorId="1" shapeId="0" xr:uid="{11346D81-4611-45AC-81B0-77B709FD61DE}">
      <text>
        <r>
          <rPr>
            <sz val="11"/>
            <color theme="1"/>
            <rFont val="Calibri"/>
            <family val="2"/>
            <scheme val="minor"/>
          </rPr>
          <t>Introducir un texto con el nombre o referencia de la contratación</t>
        </r>
      </text>
    </comment>
    <comment ref="B1662" authorId="1" shapeId="0" xr:uid="{D4988924-A5A8-4242-888E-79DB738A7842}">
      <text>
        <r>
          <rPr>
            <sz val="11"/>
            <color theme="1"/>
            <rFont val="Calibri"/>
            <family val="2"/>
            <scheme val="minor"/>
          </rPr>
          <t>Introduzca un texto con la finalidad de la contratación</t>
        </r>
      </text>
    </comment>
    <comment ref="C1662" authorId="1" shapeId="0" xr:uid="{70360FE5-77C3-4882-B75C-7C2C0703FECA}">
      <text>
        <r>
          <rPr>
            <sz val="11"/>
            <color theme="1"/>
            <rFont val="Calibri"/>
            <family val="2"/>
            <scheme val="minor"/>
          </rPr>
          <t>Seleccionar un valor del listado</t>
        </r>
      </text>
    </comment>
    <comment ref="D1662" authorId="1" shapeId="0" xr:uid="{4055DFDB-25D6-4273-89E6-91C08D70B783}">
      <text>
        <r>
          <rPr>
            <sz val="11"/>
            <color theme="1"/>
            <rFont val="Calibri"/>
            <family val="2"/>
            <scheme val="minor"/>
          </rPr>
          <t>Seleccione el tipo de procedimiento</t>
        </r>
      </text>
    </comment>
    <comment ref="E1662" authorId="1" shapeId="0" xr:uid="{34168371-EBE0-4B35-ABFA-92F2D2194682}">
      <text>
        <r>
          <rPr>
            <sz val="11"/>
            <color theme="1"/>
            <rFont val="Calibri"/>
            <family val="2"/>
            <scheme val="minor"/>
          </rPr>
          <t>Seleccione un valor de la lista</t>
        </r>
      </text>
    </comment>
    <comment ref="F1662" authorId="1" shapeId="0" xr:uid="{D53D0D4F-21E9-47C1-9ACB-230FF2165136}">
      <text>
        <r>
          <rPr>
            <sz val="11"/>
            <color theme="1"/>
            <rFont val="Calibri"/>
            <family val="2"/>
            <scheme val="minor"/>
          </rPr>
          <t>Introduzca el código SNIP</t>
        </r>
      </text>
    </comment>
    <comment ref="C1663" authorId="1" shapeId="0" xr:uid="{1FF65D54-DE42-450C-AFAA-31B5655DC4F0}">
      <text>
        <r>
          <rPr>
            <sz val="11"/>
            <color theme="1"/>
            <rFont val="Calibri"/>
            <family val="2"/>
            <scheme val="minor"/>
          </rPr>
          <t>Introduzca la fecha de inicio del proceso, en formato dd-mm-aaaa</t>
        </r>
      </text>
    </comment>
    <comment ref="F1663" authorId="1" shapeId="0" xr:uid="{78F63DB7-7C02-4FD7-9D93-4A4A88EADE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4" authorId="1" shapeId="0" xr:uid="{8902F387-5DD4-4D2B-8535-8FE7D935A46C}">
      <text/>
    </comment>
    <comment ref="C1665" authorId="1" shapeId="0" xr:uid="{5C3FE674-A7AB-431D-A36B-805F0725664F}">
      <text>
        <r>
          <rPr>
            <sz val="11"/>
            <color theme="1"/>
            <rFont val="Calibri"/>
            <family val="2"/>
            <scheme val="minor"/>
          </rPr>
          <t>Introduzca la fecha prevista de adjudicación, en formato dd-mm-aaaa</t>
        </r>
      </text>
    </comment>
    <comment ref="F1665" authorId="1" shapeId="0" xr:uid="{60E657FD-67CE-473A-9A8E-C293508A6149}">
      <text/>
    </comment>
    <comment ref="F1666" authorId="1" shapeId="0" xr:uid="{CDC3220B-ABCF-4A44-BB50-BA8519215C4A}">
      <text/>
    </comment>
    <comment ref="A1668" authorId="1" shapeId="0" xr:uid="{9F23B039-C6B0-4BE6-AC9B-BB9F295F8EC8}">
      <text>
        <r>
          <rPr>
            <sz val="11"/>
            <color theme="1"/>
            <rFont val="Calibri"/>
            <family val="2"/>
            <scheme val="minor"/>
          </rPr>
          <t>Introduzca un codigo UNSPSC</t>
        </r>
      </text>
    </comment>
    <comment ref="B1668" authorId="1" shapeId="0" xr:uid="{BCBE511B-5C87-4BAE-A3E2-FA35E0FC09B0}">
      <text>
        <r>
          <rPr>
            <sz val="11"/>
            <color theme="1"/>
            <rFont val="Calibri"/>
            <family val="2"/>
            <scheme val="minor"/>
          </rPr>
          <t>Descripción calculada automáticamente a partir de código del artículo</t>
        </r>
      </text>
    </comment>
    <comment ref="C1668" authorId="1" shapeId="0" xr:uid="{E5EC4603-FBAB-404C-96A1-196F6C9F330B}">
      <text>
        <r>
          <rPr>
            <sz val="11"/>
            <color theme="1"/>
            <rFont val="Calibri"/>
            <family val="2"/>
            <scheme val="minor"/>
          </rPr>
          <t>Seleccione un valor de la lista</t>
        </r>
      </text>
    </comment>
    <comment ref="D1668" authorId="1" shapeId="0" xr:uid="{9EF394BF-68E5-4E12-ADE9-9ABF097A175F}">
      <text>
        <r>
          <rPr>
            <sz val="11"/>
            <color theme="1"/>
            <rFont val="Calibri"/>
            <family val="2"/>
            <scheme val="minor"/>
          </rPr>
          <t>Introduzca un número con dos decimales como máximo. Debe ser igual o mayor a la "Cantidad Real Consumida"</t>
        </r>
      </text>
    </comment>
    <comment ref="E1668" authorId="1" shapeId="0" xr:uid="{85BDCE3F-B3B3-4A47-911E-1B7333BEE7D2}">
      <text>
        <r>
          <rPr>
            <sz val="11"/>
            <color theme="1"/>
            <rFont val="Calibri"/>
            <family val="2"/>
            <scheme val="minor"/>
          </rPr>
          <t>Introduzca un número con dos decimales como máximo</t>
        </r>
      </text>
    </comment>
    <comment ref="F1668" authorId="1" shapeId="0" xr:uid="{768A59CB-6539-4BC5-82D9-37A434B8A877}">
      <text>
        <r>
          <rPr>
            <sz val="11"/>
            <color theme="1"/>
            <rFont val="Calibri"/>
            <family val="2"/>
            <scheme val="minor"/>
          </rPr>
          <t>Monto calculado automáticamente por el sistema</t>
        </r>
      </text>
    </comment>
    <comment ref="A1676" authorId="1" shapeId="0" xr:uid="{D137824C-66AA-48AB-935E-A92B7DF2628C}">
      <text>
        <r>
          <rPr>
            <sz val="11"/>
            <color theme="1"/>
            <rFont val="Calibri"/>
            <family val="2"/>
            <scheme val="minor"/>
          </rPr>
          <t>Introducir un texto con el nombre o referencia de la contratación</t>
        </r>
      </text>
    </comment>
    <comment ref="B1676" authorId="1" shapeId="0" xr:uid="{F3C0D4F8-4076-44FC-B204-14841C30B6BA}">
      <text>
        <r>
          <rPr>
            <sz val="11"/>
            <color theme="1"/>
            <rFont val="Calibri"/>
            <family val="2"/>
            <scheme val="minor"/>
          </rPr>
          <t>Introduzca un texto con la finalidad de la contratación</t>
        </r>
      </text>
    </comment>
    <comment ref="C1676" authorId="1" shapeId="0" xr:uid="{9F6F15BC-9DCE-4DDF-AF9B-0ED2002B9F92}">
      <text>
        <r>
          <rPr>
            <sz val="11"/>
            <color theme="1"/>
            <rFont val="Calibri"/>
            <family val="2"/>
            <scheme val="minor"/>
          </rPr>
          <t>Seleccionar un valor del listado</t>
        </r>
      </text>
    </comment>
    <comment ref="D1676" authorId="1" shapeId="0" xr:uid="{6E01A4C5-307C-4FB1-811E-7634254CBC7E}">
      <text>
        <r>
          <rPr>
            <sz val="11"/>
            <color theme="1"/>
            <rFont val="Calibri"/>
            <family val="2"/>
            <scheme val="minor"/>
          </rPr>
          <t>Seleccione el tipo de procedimiento</t>
        </r>
      </text>
    </comment>
    <comment ref="E1676" authorId="1" shapeId="0" xr:uid="{4B7B1B32-ED21-4745-A474-6F752AAF8C3D}">
      <text>
        <r>
          <rPr>
            <sz val="11"/>
            <color theme="1"/>
            <rFont val="Calibri"/>
            <family val="2"/>
            <scheme val="minor"/>
          </rPr>
          <t>Seleccione un valor de la lista</t>
        </r>
      </text>
    </comment>
    <comment ref="F1676" authorId="1" shapeId="0" xr:uid="{4AAF5512-3997-43B0-A6AD-AEED64429AA6}">
      <text>
        <r>
          <rPr>
            <sz val="11"/>
            <color theme="1"/>
            <rFont val="Calibri"/>
            <family val="2"/>
            <scheme val="minor"/>
          </rPr>
          <t>Introduzca el código SNIP</t>
        </r>
      </text>
    </comment>
    <comment ref="C1677" authorId="1" shapeId="0" xr:uid="{4DC07AB5-6335-440C-9CEA-934F890F9E70}">
      <text>
        <r>
          <rPr>
            <sz val="11"/>
            <color theme="1"/>
            <rFont val="Calibri"/>
            <family val="2"/>
            <scheme val="minor"/>
          </rPr>
          <t>Introduzca la fecha de inicio del proceso, en formato dd-mm-aaaa</t>
        </r>
      </text>
    </comment>
    <comment ref="F1677" authorId="1" shapeId="0" xr:uid="{19C52980-E74D-4CF0-8EEE-4115EE0EB2A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8" authorId="1" shapeId="0" xr:uid="{9C598079-6315-48F1-B4E8-C126DB15EE24}">
      <text/>
    </comment>
    <comment ref="C1679" authorId="1" shapeId="0" xr:uid="{549D2CB1-4811-4391-BB16-E1D36D828470}">
      <text>
        <r>
          <rPr>
            <sz val="11"/>
            <color theme="1"/>
            <rFont val="Calibri"/>
            <family val="2"/>
            <scheme val="minor"/>
          </rPr>
          <t>Introduzca la fecha prevista de adjudicación, en formato dd-mm-aaaa</t>
        </r>
      </text>
    </comment>
    <comment ref="F1679" authorId="1" shapeId="0" xr:uid="{4D26E36E-AADE-43EE-AAE7-ABE9EC13EBA3}">
      <text/>
    </comment>
    <comment ref="F1680" authorId="1" shapeId="0" xr:uid="{463ACB60-CD96-4A03-A690-619666DAC2E0}">
      <text/>
    </comment>
    <comment ref="A1682" authorId="1" shapeId="0" xr:uid="{F7E6D68C-CECD-420C-913B-58F51E99AB28}">
      <text>
        <r>
          <rPr>
            <sz val="11"/>
            <color theme="1"/>
            <rFont val="Calibri"/>
            <family val="2"/>
            <scheme val="minor"/>
          </rPr>
          <t>Introduzca un codigo UNSPSC</t>
        </r>
      </text>
    </comment>
    <comment ref="B1682" authorId="1" shapeId="0" xr:uid="{0660A5C6-C081-48ED-96EF-76D72E7871A5}">
      <text>
        <r>
          <rPr>
            <sz val="11"/>
            <color theme="1"/>
            <rFont val="Calibri"/>
            <family val="2"/>
            <scheme val="minor"/>
          </rPr>
          <t>Descripción calculada automáticamente a partir de código del artículo</t>
        </r>
      </text>
    </comment>
    <comment ref="C1682" authorId="1" shapeId="0" xr:uid="{2B817866-844B-4DFE-9340-0F802073977C}">
      <text>
        <r>
          <rPr>
            <sz val="11"/>
            <color theme="1"/>
            <rFont val="Calibri"/>
            <family val="2"/>
            <scheme val="minor"/>
          </rPr>
          <t>Seleccione un valor de la lista</t>
        </r>
      </text>
    </comment>
    <comment ref="D1682" authorId="1" shapeId="0" xr:uid="{1CC707B8-F77C-4242-AB6C-130820208D4E}">
      <text>
        <r>
          <rPr>
            <sz val="11"/>
            <color theme="1"/>
            <rFont val="Calibri"/>
            <family val="2"/>
            <scheme val="minor"/>
          </rPr>
          <t>Introduzca un número con dos decimales como máximo. Debe ser igual o mayor a la "Cantidad Real Consumida"</t>
        </r>
      </text>
    </comment>
    <comment ref="E1682" authorId="1" shapeId="0" xr:uid="{AD1C9512-9653-4D9F-ABE8-F2634F2EA82B}">
      <text>
        <r>
          <rPr>
            <sz val="11"/>
            <color theme="1"/>
            <rFont val="Calibri"/>
            <family val="2"/>
            <scheme val="minor"/>
          </rPr>
          <t>Introduzca un número con dos decimales como máximo</t>
        </r>
      </text>
    </comment>
    <comment ref="F1682" authorId="1" shapeId="0" xr:uid="{653CFD9B-B8EA-4D02-B187-CC8FAD19CFA1}">
      <text>
        <r>
          <rPr>
            <sz val="11"/>
            <color theme="1"/>
            <rFont val="Calibri"/>
            <family val="2"/>
            <scheme val="minor"/>
          </rPr>
          <t>Monto calculado automáticamente por el sistema</t>
        </r>
      </text>
    </comment>
    <comment ref="A1689" authorId="1" shapeId="0" xr:uid="{1FC49EC6-EE31-46CA-BE16-3C756C162036}">
      <text>
        <r>
          <rPr>
            <sz val="11"/>
            <color theme="1"/>
            <rFont val="Calibri"/>
            <family val="2"/>
            <scheme val="minor"/>
          </rPr>
          <t>Introducir un texto con el nombre o referencia de la contratación</t>
        </r>
      </text>
    </comment>
    <comment ref="B1689" authorId="1" shapeId="0" xr:uid="{4B3FA3AA-11EC-4A98-8DD8-0A6EE0587619}">
      <text>
        <r>
          <rPr>
            <sz val="11"/>
            <color theme="1"/>
            <rFont val="Calibri"/>
            <family val="2"/>
            <scheme val="minor"/>
          </rPr>
          <t>Introduzca un texto con la finalidad de la contratación</t>
        </r>
      </text>
    </comment>
    <comment ref="C1689" authorId="1" shapeId="0" xr:uid="{E696D640-5694-488E-AE4F-A8640742EB54}">
      <text>
        <r>
          <rPr>
            <sz val="11"/>
            <color theme="1"/>
            <rFont val="Calibri"/>
            <family val="2"/>
            <scheme val="minor"/>
          </rPr>
          <t>Seleccionar un valor del listado</t>
        </r>
      </text>
    </comment>
    <comment ref="D1689" authorId="1" shapeId="0" xr:uid="{A022A4D0-3185-4DBD-8AB7-ACA3AB0C7D70}">
      <text>
        <r>
          <rPr>
            <sz val="11"/>
            <color theme="1"/>
            <rFont val="Calibri"/>
            <family val="2"/>
            <scheme val="minor"/>
          </rPr>
          <t>Seleccione el tipo de procedimiento</t>
        </r>
      </text>
    </comment>
    <comment ref="E1689" authorId="1" shapeId="0" xr:uid="{BDA1AE01-0F54-4FFC-B644-F903835292E9}">
      <text>
        <r>
          <rPr>
            <sz val="11"/>
            <color theme="1"/>
            <rFont val="Calibri"/>
            <family val="2"/>
            <scheme val="minor"/>
          </rPr>
          <t>Seleccione un valor de la lista</t>
        </r>
      </text>
    </comment>
    <comment ref="F1689" authorId="1" shapeId="0" xr:uid="{EE08E3A3-B2E4-4535-B4ED-1564636C5456}">
      <text>
        <r>
          <rPr>
            <sz val="11"/>
            <color theme="1"/>
            <rFont val="Calibri"/>
            <family val="2"/>
            <scheme val="minor"/>
          </rPr>
          <t>Introduzca el código SNIP</t>
        </r>
      </text>
    </comment>
    <comment ref="C1690" authorId="1" shapeId="0" xr:uid="{55D2DF46-6455-4CC3-8DDC-2292CF833B86}">
      <text>
        <r>
          <rPr>
            <sz val="11"/>
            <color theme="1"/>
            <rFont val="Calibri"/>
            <family val="2"/>
            <scheme val="minor"/>
          </rPr>
          <t>Introduzca la fecha de inicio del proceso, en formato dd-mm-aaaa</t>
        </r>
      </text>
    </comment>
    <comment ref="F1690" authorId="1" shapeId="0" xr:uid="{6F923D12-8CDB-44A9-9205-7E0FDF1F80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1" authorId="1" shapeId="0" xr:uid="{68275E38-B861-4002-BCFE-6FDF76FB8E1C}">
      <text/>
    </comment>
    <comment ref="C1692" authorId="1" shapeId="0" xr:uid="{7EDB031D-DB34-48FF-B4A5-894D5A888ACF}">
      <text>
        <r>
          <rPr>
            <sz val="11"/>
            <color theme="1"/>
            <rFont val="Calibri"/>
            <family val="2"/>
            <scheme val="minor"/>
          </rPr>
          <t>Introduzca la fecha prevista de adjudicación, en formato dd-mm-aaaa</t>
        </r>
      </text>
    </comment>
    <comment ref="F1692" authorId="1" shapeId="0" xr:uid="{8097E0A2-A10C-4946-8EA0-8E1F4644E1FA}">
      <text/>
    </comment>
    <comment ref="F1693" authorId="1" shapeId="0" xr:uid="{A59AC010-A43D-4D7F-8AB1-3E161A0CD658}">
      <text/>
    </comment>
    <comment ref="A1695" authorId="1" shapeId="0" xr:uid="{2EC70B53-0AFE-4B0C-93DB-F13268A023D5}">
      <text>
        <r>
          <rPr>
            <sz val="11"/>
            <color theme="1"/>
            <rFont val="Calibri"/>
            <family val="2"/>
            <scheme val="minor"/>
          </rPr>
          <t>Introduzca un codigo UNSPSC</t>
        </r>
      </text>
    </comment>
    <comment ref="B1695" authorId="1" shapeId="0" xr:uid="{C3805CC8-3A16-4266-A11A-F8E89065E72F}">
      <text>
        <r>
          <rPr>
            <sz val="11"/>
            <color theme="1"/>
            <rFont val="Calibri"/>
            <family val="2"/>
            <scheme val="minor"/>
          </rPr>
          <t>Descripción calculada automáticamente a partir de código del artículo</t>
        </r>
      </text>
    </comment>
    <comment ref="C1695" authorId="1" shapeId="0" xr:uid="{D6FE062C-83D9-4803-BA34-F5EC420B494B}">
      <text>
        <r>
          <rPr>
            <sz val="11"/>
            <color theme="1"/>
            <rFont val="Calibri"/>
            <family val="2"/>
            <scheme val="minor"/>
          </rPr>
          <t>Seleccione un valor de la lista</t>
        </r>
      </text>
    </comment>
    <comment ref="D1695" authorId="1" shapeId="0" xr:uid="{DD788324-BA75-439F-A4DB-4AEC8344E1C6}">
      <text>
        <r>
          <rPr>
            <sz val="11"/>
            <color theme="1"/>
            <rFont val="Calibri"/>
            <family val="2"/>
            <scheme val="minor"/>
          </rPr>
          <t>Introduzca un número con dos decimales como máximo. Debe ser igual o mayor a la "Cantidad Real Consumida"</t>
        </r>
      </text>
    </comment>
    <comment ref="E1695" authorId="1" shapeId="0" xr:uid="{05E35D7C-2C6A-4C6B-BCED-65F5568F1216}">
      <text>
        <r>
          <rPr>
            <sz val="11"/>
            <color theme="1"/>
            <rFont val="Calibri"/>
            <family val="2"/>
            <scheme val="minor"/>
          </rPr>
          <t>Introduzca un número con dos decimales como máximo</t>
        </r>
      </text>
    </comment>
    <comment ref="F1695" authorId="1" shapeId="0" xr:uid="{63A5ECC7-77B2-463E-91F2-954A0CDC6701}">
      <text>
        <r>
          <rPr>
            <sz val="11"/>
            <color theme="1"/>
            <rFont val="Calibri"/>
            <family val="2"/>
            <scheme val="minor"/>
          </rPr>
          <t>Monto calculado automáticamente por el sistema</t>
        </r>
      </text>
    </comment>
    <comment ref="A1706" authorId="1" shapeId="0" xr:uid="{7B62E111-A6B3-4D55-B7D0-8ED98058B2FB}">
      <text>
        <r>
          <rPr>
            <sz val="11"/>
            <color theme="1"/>
            <rFont val="Calibri"/>
            <family val="2"/>
            <scheme val="minor"/>
          </rPr>
          <t>Introducir un texto con el nombre o referencia de la contratación</t>
        </r>
      </text>
    </comment>
    <comment ref="B1706" authorId="1" shapeId="0" xr:uid="{7B09C8CE-6BD6-4FB4-8FD7-037B0A56936F}">
      <text>
        <r>
          <rPr>
            <sz val="11"/>
            <color theme="1"/>
            <rFont val="Calibri"/>
            <family val="2"/>
            <scheme val="minor"/>
          </rPr>
          <t>Introduzca un texto con la finalidad de la contratación</t>
        </r>
      </text>
    </comment>
    <comment ref="C1706" authorId="1" shapeId="0" xr:uid="{F2777A37-E7E2-413D-89C1-EF37F09E0299}">
      <text>
        <r>
          <rPr>
            <sz val="11"/>
            <color theme="1"/>
            <rFont val="Calibri"/>
            <family val="2"/>
            <scheme val="minor"/>
          </rPr>
          <t>Seleccionar un valor del listado</t>
        </r>
      </text>
    </comment>
    <comment ref="D1706" authorId="1" shapeId="0" xr:uid="{60A081A8-51FF-411A-9BE8-8EC806E0B15A}">
      <text>
        <r>
          <rPr>
            <sz val="11"/>
            <color theme="1"/>
            <rFont val="Calibri"/>
            <family val="2"/>
            <scheme val="minor"/>
          </rPr>
          <t>Seleccione el tipo de procedimiento</t>
        </r>
      </text>
    </comment>
    <comment ref="E1706" authorId="1" shapeId="0" xr:uid="{EF2A2ADE-153C-4F63-9ECD-58A7776E1EC4}">
      <text>
        <r>
          <rPr>
            <sz val="11"/>
            <color theme="1"/>
            <rFont val="Calibri"/>
            <family val="2"/>
            <scheme val="minor"/>
          </rPr>
          <t>Seleccione un valor de la lista</t>
        </r>
      </text>
    </comment>
    <comment ref="F1706" authorId="1" shapeId="0" xr:uid="{3B6D0916-B27E-4222-848B-8C443A7BF944}">
      <text>
        <r>
          <rPr>
            <sz val="11"/>
            <color theme="1"/>
            <rFont val="Calibri"/>
            <family val="2"/>
            <scheme val="minor"/>
          </rPr>
          <t>Introduzca el código SNIP</t>
        </r>
      </text>
    </comment>
    <comment ref="C1707" authorId="1" shapeId="0" xr:uid="{5462E7FE-6EF6-4B5E-B281-AD6EFBF33939}">
      <text>
        <r>
          <rPr>
            <sz val="11"/>
            <color theme="1"/>
            <rFont val="Calibri"/>
            <family val="2"/>
            <scheme val="minor"/>
          </rPr>
          <t>Introduzca la fecha de inicio del proceso, en formato dd-mm-aaaa</t>
        </r>
      </text>
    </comment>
    <comment ref="F1707" authorId="1" shapeId="0" xr:uid="{2A330432-4CF2-421A-B70B-22024D6AC6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8" authorId="1" shapeId="0" xr:uid="{589924F2-74C0-4D04-93F1-0A02F8A3D898}">
      <text/>
    </comment>
    <comment ref="C1709" authorId="1" shapeId="0" xr:uid="{B78BBAEB-9446-45CF-95CA-13635B4762D7}">
      <text>
        <r>
          <rPr>
            <sz val="11"/>
            <color theme="1"/>
            <rFont val="Calibri"/>
            <family val="2"/>
            <scheme val="minor"/>
          </rPr>
          <t>Introduzca la fecha prevista de adjudicación, en formato dd-mm-aaaa</t>
        </r>
      </text>
    </comment>
    <comment ref="F1709" authorId="1" shapeId="0" xr:uid="{71C095A0-6F09-4A8D-BA8B-3EF83DD205EC}">
      <text/>
    </comment>
    <comment ref="F1710" authorId="1" shapeId="0" xr:uid="{0CE7BB1E-3DDB-4A5D-AED6-9175CBE0FC54}">
      <text/>
    </comment>
    <comment ref="A1712" authorId="1" shapeId="0" xr:uid="{52172518-3599-416F-9BA5-43D57CCBF6AC}">
      <text>
        <r>
          <rPr>
            <sz val="11"/>
            <color theme="1"/>
            <rFont val="Calibri"/>
            <family val="2"/>
            <scheme val="minor"/>
          </rPr>
          <t>Introduzca un codigo UNSPSC</t>
        </r>
      </text>
    </comment>
    <comment ref="B1712" authorId="1" shapeId="0" xr:uid="{DC7EE1AA-1231-41B9-A90E-477838C0AE54}">
      <text>
        <r>
          <rPr>
            <sz val="11"/>
            <color theme="1"/>
            <rFont val="Calibri"/>
            <family val="2"/>
            <scheme val="minor"/>
          </rPr>
          <t>Descripción calculada automáticamente a partir de código del artículo</t>
        </r>
      </text>
    </comment>
    <comment ref="C1712" authorId="1" shapeId="0" xr:uid="{1EC5209D-8A3D-4C4C-8AC5-EF836BFEDC84}">
      <text>
        <r>
          <rPr>
            <sz val="11"/>
            <color theme="1"/>
            <rFont val="Calibri"/>
            <family val="2"/>
            <scheme val="minor"/>
          </rPr>
          <t>Seleccione un valor de la lista</t>
        </r>
      </text>
    </comment>
    <comment ref="D1712" authorId="1" shapeId="0" xr:uid="{13B1A51E-E95B-408D-A943-AEC571E5B4A9}">
      <text>
        <r>
          <rPr>
            <sz val="11"/>
            <color theme="1"/>
            <rFont val="Calibri"/>
            <family val="2"/>
            <scheme val="minor"/>
          </rPr>
          <t>Introduzca un número con dos decimales como máximo. Debe ser igual o mayor a la "Cantidad Real Consumida"</t>
        </r>
      </text>
    </comment>
    <comment ref="E1712" authorId="1" shapeId="0" xr:uid="{24041F6F-A4D0-4FB5-895D-F4F2289A2B0D}">
      <text>
        <r>
          <rPr>
            <sz val="11"/>
            <color theme="1"/>
            <rFont val="Calibri"/>
            <family val="2"/>
            <scheme val="minor"/>
          </rPr>
          <t>Introduzca un número con dos decimales como máximo</t>
        </r>
      </text>
    </comment>
    <comment ref="F1712" authorId="1" shapeId="0" xr:uid="{A3E8FD95-8CD0-43B0-8600-CCDBEF0848D5}">
      <text>
        <r>
          <rPr>
            <sz val="11"/>
            <color theme="1"/>
            <rFont val="Calibri"/>
            <family val="2"/>
            <scheme val="minor"/>
          </rPr>
          <t>Monto calculado automáticamente por el sistema</t>
        </r>
      </text>
    </comment>
    <comment ref="A1725" authorId="1" shapeId="0" xr:uid="{14C682A3-3476-4405-A962-8D13F2E34E7D}">
      <text>
        <r>
          <rPr>
            <sz val="11"/>
            <color theme="1"/>
            <rFont val="Calibri"/>
            <family val="2"/>
            <scheme val="minor"/>
          </rPr>
          <t>Introducir un texto con el nombre o referencia de la contratación</t>
        </r>
      </text>
    </comment>
    <comment ref="B1725" authorId="1" shapeId="0" xr:uid="{9DF21626-B2D7-44B4-8E22-3647CB5B6755}">
      <text>
        <r>
          <rPr>
            <sz val="11"/>
            <color theme="1"/>
            <rFont val="Calibri"/>
            <family val="2"/>
            <scheme val="minor"/>
          </rPr>
          <t>Introduzca un texto con la finalidad de la contratación</t>
        </r>
      </text>
    </comment>
    <comment ref="C1725" authorId="1" shapeId="0" xr:uid="{EAD18322-D90E-459D-A628-DF1B37B0BC44}">
      <text>
        <r>
          <rPr>
            <sz val="11"/>
            <color theme="1"/>
            <rFont val="Calibri"/>
            <family val="2"/>
            <scheme val="minor"/>
          </rPr>
          <t>Seleccionar un valor del listado</t>
        </r>
      </text>
    </comment>
    <comment ref="D1725" authorId="1" shapeId="0" xr:uid="{8A9EDB4A-C375-499E-87E7-F384DD6BF844}">
      <text>
        <r>
          <rPr>
            <sz val="11"/>
            <color theme="1"/>
            <rFont val="Calibri"/>
            <family val="2"/>
            <scheme val="minor"/>
          </rPr>
          <t>Seleccione el tipo de procedimiento</t>
        </r>
      </text>
    </comment>
    <comment ref="E1725" authorId="1" shapeId="0" xr:uid="{E5A1502F-E1E7-422F-A7E3-23D347FEFE71}">
      <text>
        <r>
          <rPr>
            <sz val="11"/>
            <color theme="1"/>
            <rFont val="Calibri"/>
            <family val="2"/>
            <scheme val="minor"/>
          </rPr>
          <t>Seleccione un valor de la lista</t>
        </r>
      </text>
    </comment>
    <comment ref="F1725" authorId="1" shapeId="0" xr:uid="{6CE10166-8FCF-4756-BE5B-9FC7E26D917F}">
      <text>
        <r>
          <rPr>
            <sz val="11"/>
            <color theme="1"/>
            <rFont val="Calibri"/>
            <family val="2"/>
            <scheme val="minor"/>
          </rPr>
          <t>Introduzca el código SNIP</t>
        </r>
      </text>
    </comment>
    <comment ref="C1726" authorId="1" shapeId="0" xr:uid="{4A5CDB71-60B6-4F72-9538-33EA630E893F}">
      <text>
        <r>
          <rPr>
            <sz val="11"/>
            <color theme="1"/>
            <rFont val="Calibri"/>
            <family val="2"/>
            <scheme val="minor"/>
          </rPr>
          <t>Introduzca la fecha de inicio del proceso, en formato dd-mm-aaaa</t>
        </r>
      </text>
    </comment>
    <comment ref="F1726" authorId="1" shapeId="0" xr:uid="{5BC10E49-97D5-43A6-BE40-266D9D4250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7" authorId="1" shapeId="0" xr:uid="{A4EC049C-C74C-46AC-B4DB-C87A92265F55}">
      <text/>
    </comment>
    <comment ref="C1728" authorId="1" shapeId="0" xr:uid="{CA2898FB-1526-40EF-8857-DD2F28D925A6}">
      <text>
        <r>
          <rPr>
            <sz val="11"/>
            <color theme="1"/>
            <rFont val="Calibri"/>
            <family val="2"/>
            <scheme val="minor"/>
          </rPr>
          <t>Introduzca la fecha prevista de adjudicación, en formato dd-mm-aaaa</t>
        </r>
      </text>
    </comment>
    <comment ref="F1728" authorId="1" shapeId="0" xr:uid="{4B0CF404-6DC1-464D-A86F-C34FCD475E2F}">
      <text/>
    </comment>
    <comment ref="F1729" authorId="1" shapeId="0" xr:uid="{27B2834E-AA1A-4265-8977-EF70FBB823DA}">
      <text/>
    </comment>
    <comment ref="A1731" authorId="1" shapeId="0" xr:uid="{74C53DC9-FD52-47CC-959B-21AD7FF4CB6B}">
      <text>
        <r>
          <rPr>
            <sz val="11"/>
            <color theme="1"/>
            <rFont val="Calibri"/>
            <family val="2"/>
            <scheme val="minor"/>
          </rPr>
          <t>Introduzca un codigo UNSPSC</t>
        </r>
      </text>
    </comment>
    <comment ref="B1731" authorId="1" shapeId="0" xr:uid="{C835B17B-9A52-4F89-8D80-85EA197CF536}">
      <text>
        <r>
          <rPr>
            <sz val="11"/>
            <color theme="1"/>
            <rFont val="Calibri"/>
            <family val="2"/>
            <scheme val="minor"/>
          </rPr>
          <t>Descripción calculada automáticamente a partir de código del artículo</t>
        </r>
      </text>
    </comment>
    <comment ref="C1731" authorId="1" shapeId="0" xr:uid="{1F802D5A-0E4C-4EB8-80E0-2F24B3D7B408}">
      <text>
        <r>
          <rPr>
            <sz val="11"/>
            <color theme="1"/>
            <rFont val="Calibri"/>
            <family val="2"/>
            <scheme val="minor"/>
          </rPr>
          <t>Seleccione un valor de la lista</t>
        </r>
      </text>
    </comment>
    <comment ref="D1731" authorId="1" shapeId="0" xr:uid="{105C8C0E-E04B-48B9-84DE-A8A53BDE28C1}">
      <text>
        <r>
          <rPr>
            <sz val="11"/>
            <color theme="1"/>
            <rFont val="Calibri"/>
            <family val="2"/>
            <scheme val="minor"/>
          </rPr>
          <t>Introduzca un número con dos decimales como máximo. Debe ser igual o mayor a la "Cantidad Real Consumida"</t>
        </r>
      </text>
    </comment>
    <comment ref="E1731" authorId="1" shapeId="0" xr:uid="{4AE0C9F4-D32F-47AC-A8FC-A93C28CB067E}">
      <text>
        <r>
          <rPr>
            <sz val="11"/>
            <color theme="1"/>
            <rFont val="Calibri"/>
            <family val="2"/>
            <scheme val="minor"/>
          </rPr>
          <t>Introduzca un número con dos decimales como máximo</t>
        </r>
      </text>
    </comment>
    <comment ref="F1731" authorId="1" shapeId="0" xr:uid="{C98383A0-8B5A-474A-9083-20A07D0AEAFA}">
      <text>
        <r>
          <rPr>
            <sz val="11"/>
            <color theme="1"/>
            <rFont val="Calibri"/>
            <family val="2"/>
            <scheme val="minor"/>
          </rPr>
          <t>Monto calculado automáticamente por el sistema</t>
        </r>
      </text>
    </comment>
    <comment ref="A1737" authorId="1" shapeId="0" xr:uid="{D8E74049-E66C-49A4-91D2-F767253D2B76}">
      <text>
        <r>
          <rPr>
            <sz val="11"/>
            <color theme="1"/>
            <rFont val="Calibri"/>
            <family val="2"/>
            <scheme val="minor"/>
          </rPr>
          <t>Introducir un texto con el nombre o referencia de la contratación</t>
        </r>
      </text>
    </comment>
    <comment ref="B1737" authorId="1" shapeId="0" xr:uid="{9EB8B96C-0F6B-43DD-BF30-59D103B03D8C}">
      <text>
        <r>
          <rPr>
            <sz val="11"/>
            <color theme="1"/>
            <rFont val="Calibri"/>
            <family val="2"/>
            <scheme val="minor"/>
          </rPr>
          <t>Introduzca un texto con la finalidad de la contratación</t>
        </r>
      </text>
    </comment>
    <comment ref="C1737" authorId="1" shapeId="0" xr:uid="{35F07AF2-860B-43FD-BB24-87323CC770D6}">
      <text>
        <r>
          <rPr>
            <sz val="11"/>
            <color theme="1"/>
            <rFont val="Calibri"/>
            <family val="2"/>
            <scheme val="minor"/>
          </rPr>
          <t>Seleccionar un valor del listado</t>
        </r>
      </text>
    </comment>
    <comment ref="D1737" authorId="1" shapeId="0" xr:uid="{4F1CAE8D-D4EE-42ED-82B8-BCD0B5E464F3}">
      <text>
        <r>
          <rPr>
            <sz val="11"/>
            <color theme="1"/>
            <rFont val="Calibri"/>
            <family val="2"/>
            <scheme val="minor"/>
          </rPr>
          <t>Seleccione el tipo de procedimiento</t>
        </r>
      </text>
    </comment>
    <comment ref="E1737" authorId="1" shapeId="0" xr:uid="{90D7D176-2B11-4CF3-93BF-C3F91AF3894F}">
      <text>
        <r>
          <rPr>
            <sz val="11"/>
            <color theme="1"/>
            <rFont val="Calibri"/>
            <family val="2"/>
            <scheme val="minor"/>
          </rPr>
          <t>Seleccione un valor de la lista</t>
        </r>
      </text>
    </comment>
    <comment ref="F1737" authorId="1" shapeId="0" xr:uid="{C528488B-A801-417D-8973-5AA103AEA437}">
      <text>
        <r>
          <rPr>
            <sz val="11"/>
            <color theme="1"/>
            <rFont val="Calibri"/>
            <family val="2"/>
            <scheme val="minor"/>
          </rPr>
          <t>Introduzca el código SNIP</t>
        </r>
      </text>
    </comment>
    <comment ref="C1738" authorId="1" shapeId="0" xr:uid="{B806C534-AAAD-4B85-A7BD-F7698554F1A7}">
      <text>
        <r>
          <rPr>
            <sz val="11"/>
            <color theme="1"/>
            <rFont val="Calibri"/>
            <family val="2"/>
            <scheme val="minor"/>
          </rPr>
          <t>Introduzca la fecha de inicio del proceso, en formato dd-mm-aaaa</t>
        </r>
      </text>
    </comment>
    <comment ref="F1738" authorId="1" shapeId="0" xr:uid="{32957248-7F9F-4611-AFB8-BD9ABF2B92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9" authorId="1" shapeId="0" xr:uid="{B288A448-0715-42E8-B9C3-EF6BD740A0C9}">
      <text/>
    </comment>
    <comment ref="C1740" authorId="1" shapeId="0" xr:uid="{B0D1E6AA-03BA-4812-8C1C-A48F503F34FA}">
      <text>
        <r>
          <rPr>
            <sz val="11"/>
            <color theme="1"/>
            <rFont val="Calibri"/>
            <family val="2"/>
            <scheme val="minor"/>
          </rPr>
          <t>Introduzca la fecha prevista de adjudicación, en formato dd-mm-aaaa</t>
        </r>
      </text>
    </comment>
    <comment ref="F1740" authorId="1" shapeId="0" xr:uid="{C12251AA-91D5-410A-B27B-FB569DB2FF5E}">
      <text/>
    </comment>
    <comment ref="F1741" authorId="1" shapeId="0" xr:uid="{53AB2C78-EF29-4223-AF6D-4D9E0E815E9D}">
      <text/>
    </comment>
    <comment ref="A1743" authorId="1" shapeId="0" xr:uid="{A5A2C82A-5BE1-4DFB-9CCA-AD732E09C212}">
      <text>
        <r>
          <rPr>
            <sz val="11"/>
            <color theme="1"/>
            <rFont val="Calibri"/>
            <family val="2"/>
            <scheme val="minor"/>
          </rPr>
          <t>Introduzca un codigo UNSPSC</t>
        </r>
      </text>
    </comment>
    <comment ref="B1743" authorId="1" shapeId="0" xr:uid="{68E9FFFC-1159-4B8B-B1F5-E256CFA27025}">
      <text>
        <r>
          <rPr>
            <sz val="11"/>
            <color theme="1"/>
            <rFont val="Calibri"/>
            <family val="2"/>
            <scheme val="minor"/>
          </rPr>
          <t>Descripción calculada automáticamente a partir de código del artículo</t>
        </r>
      </text>
    </comment>
    <comment ref="C1743" authorId="1" shapeId="0" xr:uid="{3EE14FA8-C97B-4D59-B0C5-930C44B94803}">
      <text>
        <r>
          <rPr>
            <sz val="11"/>
            <color theme="1"/>
            <rFont val="Calibri"/>
            <family val="2"/>
            <scheme val="minor"/>
          </rPr>
          <t>Seleccione un valor de la lista</t>
        </r>
      </text>
    </comment>
    <comment ref="D1743" authorId="1" shapeId="0" xr:uid="{8FCA6CDA-BEED-44E0-AA6C-229E764DE132}">
      <text>
        <r>
          <rPr>
            <sz val="11"/>
            <color theme="1"/>
            <rFont val="Calibri"/>
            <family val="2"/>
            <scheme val="minor"/>
          </rPr>
          <t>Introduzca un número con dos decimales como máximo. Debe ser igual o mayor a la "Cantidad Real Consumida"</t>
        </r>
      </text>
    </comment>
    <comment ref="E1743" authorId="1" shapeId="0" xr:uid="{94FFEA28-7892-4BA2-8A4B-98368F3D4FB9}">
      <text>
        <r>
          <rPr>
            <sz val="11"/>
            <color theme="1"/>
            <rFont val="Calibri"/>
            <family val="2"/>
            <scheme val="minor"/>
          </rPr>
          <t>Introduzca un número con dos decimales como máximo</t>
        </r>
      </text>
    </comment>
    <comment ref="F1743" authorId="1" shapeId="0" xr:uid="{2A4A174C-5E4B-4E02-BC13-8F961AC5094C}">
      <text>
        <r>
          <rPr>
            <sz val="11"/>
            <color theme="1"/>
            <rFont val="Calibri"/>
            <family val="2"/>
            <scheme val="minor"/>
          </rPr>
          <t>Monto calculado automáticamente por el sistema</t>
        </r>
      </text>
    </comment>
    <comment ref="A1750" authorId="1" shapeId="0" xr:uid="{6A1038B5-BF2F-485F-AF2E-F6B672357F52}">
      <text>
        <r>
          <rPr>
            <sz val="11"/>
            <color theme="1"/>
            <rFont val="Calibri"/>
            <family val="2"/>
            <scheme val="minor"/>
          </rPr>
          <t>Introducir un texto con el nombre o referencia de la contratación</t>
        </r>
      </text>
    </comment>
    <comment ref="B1750" authorId="1" shapeId="0" xr:uid="{2B0FEC91-58DA-4075-9866-BF55644BAEE3}">
      <text>
        <r>
          <rPr>
            <sz val="11"/>
            <color theme="1"/>
            <rFont val="Calibri"/>
            <family val="2"/>
            <scheme val="minor"/>
          </rPr>
          <t>Introduzca un texto con la finalidad de la contratación</t>
        </r>
      </text>
    </comment>
    <comment ref="C1750" authorId="1" shapeId="0" xr:uid="{BD0616C4-50E8-4207-9708-15B47BDD6DF7}">
      <text>
        <r>
          <rPr>
            <sz val="11"/>
            <color theme="1"/>
            <rFont val="Calibri"/>
            <family val="2"/>
            <scheme val="minor"/>
          </rPr>
          <t>Seleccionar un valor del listado</t>
        </r>
      </text>
    </comment>
    <comment ref="D1750" authorId="1" shapeId="0" xr:uid="{636CE043-FA60-450F-9BE7-E82DFA115E9D}">
      <text>
        <r>
          <rPr>
            <sz val="11"/>
            <color theme="1"/>
            <rFont val="Calibri"/>
            <family val="2"/>
            <scheme val="minor"/>
          </rPr>
          <t>Seleccione el tipo de procedimiento</t>
        </r>
      </text>
    </comment>
    <comment ref="E1750" authorId="1" shapeId="0" xr:uid="{D05DE9DF-A719-4F2C-A9E7-BDE95AC61C32}">
      <text>
        <r>
          <rPr>
            <sz val="11"/>
            <color theme="1"/>
            <rFont val="Calibri"/>
            <family val="2"/>
            <scheme val="minor"/>
          </rPr>
          <t>Seleccione un valor de la lista</t>
        </r>
      </text>
    </comment>
    <comment ref="F1750" authorId="1" shapeId="0" xr:uid="{81FC08EE-7527-411A-9CDA-5315F484D214}">
      <text>
        <r>
          <rPr>
            <sz val="11"/>
            <color theme="1"/>
            <rFont val="Calibri"/>
            <family val="2"/>
            <scheme val="minor"/>
          </rPr>
          <t>Introduzca el código SNIP</t>
        </r>
      </text>
    </comment>
    <comment ref="C1751" authorId="1" shapeId="0" xr:uid="{6A9A20D9-D6F8-4284-A2CA-2411E5A5A9D1}">
      <text>
        <r>
          <rPr>
            <sz val="11"/>
            <color theme="1"/>
            <rFont val="Calibri"/>
            <family val="2"/>
            <scheme val="minor"/>
          </rPr>
          <t>Introduzca la fecha de inicio del proceso, en formato dd-mm-aaaa</t>
        </r>
      </text>
    </comment>
    <comment ref="F1751" authorId="1" shapeId="0" xr:uid="{76DB71CE-8818-47D7-881F-44326EBBB5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2" authorId="1" shapeId="0" xr:uid="{FC62B878-A313-4209-B187-D4E98B4CD153}">
      <text/>
    </comment>
    <comment ref="C1753" authorId="1" shapeId="0" xr:uid="{C489AF07-1FF5-4FEF-8693-4BC6EB25EB5E}">
      <text>
        <r>
          <rPr>
            <sz val="11"/>
            <color theme="1"/>
            <rFont val="Calibri"/>
            <family val="2"/>
            <scheme val="minor"/>
          </rPr>
          <t>Introduzca la fecha prevista de adjudicación, en formato dd-mm-aaaa</t>
        </r>
      </text>
    </comment>
    <comment ref="F1753" authorId="1" shapeId="0" xr:uid="{1021515E-730F-4DE1-A419-78E5AF1A080F}">
      <text/>
    </comment>
    <comment ref="F1754" authorId="1" shapeId="0" xr:uid="{6EB305A3-57FA-4DE8-B650-2218772E7313}">
      <text/>
    </comment>
    <comment ref="A1756" authorId="1" shapeId="0" xr:uid="{556BBF12-1864-45CF-ABC1-A0304A2D802B}">
      <text>
        <r>
          <rPr>
            <sz val="11"/>
            <color theme="1"/>
            <rFont val="Calibri"/>
            <family val="2"/>
            <scheme val="minor"/>
          </rPr>
          <t>Introduzca un codigo UNSPSC</t>
        </r>
      </text>
    </comment>
    <comment ref="B1756" authorId="1" shapeId="0" xr:uid="{8B5AA0C5-7332-4CEE-B530-CB66FF5BCA5D}">
      <text>
        <r>
          <rPr>
            <sz val="11"/>
            <color theme="1"/>
            <rFont val="Calibri"/>
            <family val="2"/>
            <scheme val="minor"/>
          </rPr>
          <t>Descripción calculada automáticamente a partir de código del artículo</t>
        </r>
      </text>
    </comment>
    <comment ref="C1756" authorId="1" shapeId="0" xr:uid="{D9B04218-948E-4249-B630-77195B99E407}">
      <text>
        <r>
          <rPr>
            <sz val="11"/>
            <color theme="1"/>
            <rFont val="Calibri"/>
            <family val="2"/>
            <scheme val="minor"/>
          </rPr>
          <t>Seleccione un valor de la lista</t>
        </r>
      </text>
    </comment>
    <comment ref="D1756" authorId="1" shapeId="0" xr:uid="{9860DB17-10CC-4347-81E5-2CB338EEAD26}">
      <text>
        <r>
          <rPr>
            <sz val="11"/>
            <color theme="1"/>
            <rFont val="Calibri"/>
            <family val="2"/>
            <scheme val="minor"/>
          </rPr>
          <t>Introduzca un número con dos decimales como máximo. Debe ser igual o mayor a la "Cantidad Real Consumida"</t>
        </r>
      </text>
    </comment>
    <comment ref="E1756" authorId="1" shapeId="0" xr:uid="{563D51E8-891F-4F5E-A63C-1794D14EC885}">
      <text>
        <r>
          <rPr>
            <sz val="11"/>
            <color theme="1"/>
            <rFont val="Calibri"/>
            <family val="2"/>
            <scheme val="minor"/>
          </rPr>
          <t>Introduzca un número con dos decimales como máximo</t>
        </r>
      </text>
    </comment>
    <comment ref="F1756" authorId="1" shapeId="0" xr:uid="{2C6378E4-4B45-4F42-B6BF-4EC955958B41}">
      <text>
        <r>
          <rPr>
            <sz val="11"/>
            <color theme="1"/>
            <rFont val="Calibri"/>
            <family val="2"/>
            <scheme val="minor"/>
          </rPr>
          <t>Monto calculado automáticamente por el sistema</t>
        </r>
      </text>
    </comment>
    <comment ref="A1763" authorId="1" shapeId="0" xr:uid="{026ACE6A-D4DA-4888-BA1C-96FA7AC9BF76}">
      <text>
        <r>
          <rPr>
            <sz val="11"/>
            <color theme="1"/>
            <rFont val="Calibri"/>
            <family val="2"/>
            <scheme val="minor"/>
          </rPr>
          <t>Introducir un texto con el nombre o referencia de la contratación</t>
        </r>
      </text>
    </comment>
    <comment ref="B1763" authorId="1" shapeId="0" xr:uid="{E2F98FF6-CE4B-499E-BA33-F1D22808796E}">
      <text>
        <r>
          <rPr>
            <sz val="11"/>
            <color theme="1"/>
            <rFont val="Calibri"/>
            <family val="2"/>
            <scheme val="minor"/>
          </rPr>
          <t>Introduzca un texto con la finalidad de la contratación</t>
        </r>
      </text>
    </comment>
    <comment ref="C1763" authorId="1" shapeId="0" xr:uid="{E3C56524-974A-40AA-9AB6-5F4F463768E4}">
      <text>
        <r>
          <rPr>
            <sz val="11"/>
            <color theme="1"/>
            <rFont val="Calibri"/>
            <family val="2"/>
            <scheme val="minor"/>
          </rPr>
          <t>Seleccionar un valor del listado</t>
        </r>
      </text>
    </comment>
    <comment ref="D1763" authorId="1" shapeId="0" xr:uid="{2E11CB3F-8912-4682-A527-5C04FA71B099}">
      <text>
        <r>
          <rPr>
            <sz val="11"/>
            <color theme="1"/>
            <rFont val="Calibri"/>
            <family val="2"/>
            <scheme val="minor"/>
          </rPr>
          <t>Seleccione el tipo de procedimiento</t>
        </r>
      </text>
    </comment>
    <comment ref="E1763" authorId="1" shapeId="0" xr:uid="{A15FE4A8-CD91-488C-B8F4-2081F81B6B83}">
      <text>
        <r>
          <rPr>
            <sz val="11"/>
            <color theme="1"/>
            <rFont val="Calibri"/>
            <family val="2"/>
            <scheme val="minor"/>
          </rPr>
          <t>Seleccione un valor de la lista</t>
        </r>
      </text>
    </comment>
    <comment ref="F1763" authorId="1" shapeId="0" xr:uid="{F856A2D0-FB98-48B7-A45D-01D02CD3BDF7}">
      <text>
        <r>
          <rPr>
            <sz val="11"/>
            <color theme="1"/>
            <rFont val="Calibri"/>
            <family val="2"/>
            <scheme val="minor"/>
          </rPr>
          <t>Introduzca el código SNIP</t>
        </r>
      </text>
    </comment>
    <comment ref="C1764" authorId="1" shapeId="0" xr:uid="{3D6499CE-8716-415D-87DA-DA33C56D56C5}">
      <text>
        <r>
          <rPr>
            <sz val="11"/>
            <color theme="1"/>
            <rFont val="Calibri"/>
            <family val="2"/>
            <scheme val="minor"/>
          </rPr>
          <t>Introduzca la fecha de inicio del proceso, en formato dd-mm-aaaa</t>
        </r>
      </text>
    </comment>
    <comment ref="F1764" authorId="1" shapeId="0" xr:uid="{461CA737-38FF-4A7B-B5C1-DB741EDAE4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5" authorId="1" shapeId="0" xr:uid="{14CC0B5D-697D-4518-ACA7-40E14B240A94}">
      <text/>
    </comment>
    <comment ref="C1766" authorId="1" shapeId="0" xr:uid="{EFDB9404-7B7D-452B-93F2-731B4FA676A6}">
      <text>
        <r>
          <rPr>
            <sz val="11"/>
            <color theme="1"/>
            <rFont val="Calibri"/>
            <family val="2"/>
            <scheme val="minor"/>
          </rPr>
          <t>Introduzca la fecha prevista de adjudicación, en formato dd-mm-aaaa</t>
        </r>
      </text>
    </comment>
    <comment ref="F1766" authorId="1" shapeId="0" xr:uid="{6332AEB9-41E7-4902-B632-71B40B92138E}">
      <text/>
    </comment>
    <comment ref="F1767" authorId="1" shapeId="0" xr:uid="{ADD92643-AFBE-4DA5-9632-54BCFD5336FF}">
      <text/>
    </comment>
    <comment ref="A1769" authorId="1" shapeId="0" xr:uid="{ADEB8076-410C-4F9E-A293-3A5E19899A8F}">
      <text>
        <r>
          <rPr>
            <sz val="11"/>
            <color theme="1"/>
            <rFont val="Calibri"/>
            <family val="2"/>
            <scheme val="minor"/>
          </rPr>
          <t>Introduzca un codigo UNSPSC</t>
        </r>
      </text>
    </comment>
    <comment ref="B1769" authorId="1" shapeId="0" xr:uid="{5A3D8583-41AD-40E0-9EFE-3F83DD55947B}">
      <text>
        <r>
          <rPr>
            <sz val="11"/>
            <color theme="1"/>
            <rFont val="Calibri"/>
            <family val="2"/>
            <scheme val="minor"/>
          </rPr>
          <t>Descripción calculada automáticamente a partir de código del artículo</t>
        </r>
      </text>
    </comment>
    <comment ref="C1769" authorId="1" shapeId="0" xr:uid="{3AC166EA-CD02-4ED9-97B7-ACABCF1FD416}">
      <text>
        <r>
          <rPr>
            <sz val="11"/>
            <color theme="1"/>
            <rFont val="Calibri"/>
            <family val="2"/>
            <scheme val="minor"/>
          </rPr>
          <t>Seleccione un valor de la lista</t>
        </r>
      </text>
    </comment>
    <comment ref="D1769" authorId="1" shapeId="0" xr:uid="{E950B4C3-480E-4F83-A8BB-79613BB58630}">
      <text>
        <r>
          <rPr>
            <sz val="11"/>
            <color theme="1"/>
            <rFont val="Calibri"/>
            <family val="2"/>
            <scheme val="minor"/>
          </rPr>
          <t>Introduzca un número con dos decimales como máximo. Debe ser igual o mayor a la "Cantidad Real Consumida"</t>
        </r>
      </text>
    </comment>
    <comment ref="E1769" authorId="1" shapeId="0" xr:uid="{E66F6EF5-2D9E-45B8-A7DE-1777AFB1C706}">
      <text>
        <r>
          <rPr>
            <sz val="11"/>
            <color theme="1"/>
            <rFont val="Calibri"/>
            <family val="2"/>
            <scheme val="minor"/>
          </rPr>
          <t>Introduzca un número con dos decimales como máximo</t>
        </r>
      </text>
    </comment>
    <comment ref="F1769" authorId="1" shapeId="0" xr:uid="{4EA29FF8-E5C3-470F-9740-178AA8643A49}">
      <text>
        <r>
          <rPr>
            <sz val="11"/>
            <color theme="1"/>
            <rFont val="Calibri"/>
            <family val="2"/>
            <scheme val="minor"/>
          </rPr>
          <t>Monto calculado automáticamente por el sistema</t>
        </r>
      </text>
    </comment>
    <comment ref="A1774" authorId="1" shapeId="0" xr:uid="{9ED970F5-A2AE-4FB4-A580-5B0B1A6D90B3}">
      <text>
        <r>
          <rPr>
            <sz val="11"/>
            <color theme="1"/>
            <rFont val="Calibri"/>
            <family val="2"/>
            <scheme val="minor"/>
          </rPr>
          <t>Introducir un texto con el nombre o referencia de la contratación</t>
        </r>
      </text>
    </comment>
    <comment ref="B1774" authorId="1" shapeId="0" xr:uid="{E8AA150B-68BE-4094-952F-A65C8D5614E1}">
      <text>
        <r>
          <rPr>
            <sz val="11"/>
            <color theme="1"/>
            <rFont val="Calibri"/>
            <family val="2"/>
            <scheme val="minor"/>
          </rPr>
          <t>Introduzca un texto con la finalidad de la contratación</t>
        </r>
      </text>
    </comment>
    <comment ref="C1774" authorId="1" shapeId="0" xr:uid="{039B3768-9B3F-4A21-83B6-EBB4A50FFEE8}">
      <text>
        <r>
          <rPr>
            <sz val="11"/>
            <color theme="1"/>
            <rFont val="Calibri"/>
            <family val="2"/>
            <scheme val="minor"/>
          </rPr>
          <t>Seleccionar un valor del listado</t>
        </r>
      </text>
    </comment>
    <comment ref="D1774" authorId="1" shapeId="0" xr:uid="{6017ACB1-0916-4AEE-B7D2-14B880B90415}">
      <text>
        <r>
          <rPr>
            <sz val="11"/>
            <color theme="1"/>
            <rFont val="Calibri"/>
            <family val="2"/>
            <scheme val="minor"/>
          </rPr>
          <t>Seleccione el tipo de procedimiento</t>
        </r>
      </text>
    </comment>
    <comment ref="E1774" authorId="1" shapeId="0" xr:uid="{16104B18-78C4-4355-B687-B061DE747B98}">
      <text>
        <r>
          <rPr>
            <sz val="11"/>
            <color theme="1"/>
            <rFont val="Calibri"/>
            <family val="2"/>
            <scheme val="minor"/>
          </rPr>
          <t>Seleccione un valor de la lista</t>
        </r>
      </text>
    </comment>
    <comment ref="F1774" authorId="1" shapeId="0" xr:uid="{F5830819-00EF-4DEF-BD30-6149CF27A2CD}">
      <text>
        <r>
          <rPr>
            <sz val="11"/>
            <color theme="1"/>
            <rFont val="Calibri"/>
            <family val="2"/>
            <scheme val="minor"/>
          </rPr>
          <t>Introduzca el código SNIP</t>
        </r>
      </text>
    </comment>
    <comment ref="C1775" authorId="1" shapeId="0" xr:uid="{62B32916-FDFD-4859-819C-87DFC6852FA1}">
      <text>
        <r>
          <rPr>
            <sz val="11"/>
            <color theme="1"/>
            <rFont val="Calibri"/>
            <family val="2"/>
            <scheme val="minor"/>
          </rPr>
          <t>Introduzca la fecha de inicio del proceso, en formato dd-mm-aaaa</t>
        </r>
      </text>
    </comment>
    <comment ref="F1775" authorId="1" shapeId="0" xr:uid="{DF1DF685-30FE-4DB0-82D7-0EA9D7830E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6" authorId="1" shapeId="0" xr:uid="{5AA4E4D1-8F61-4F1F-BD33-03617675718A}">
      <text/>
    </comment>
    <comment ref="C1777" authorId="1" shapeId="0" xr:uid="{68875ED1-71EB-493E-AFC7-344ECF806704}">
      <text>
        <r>
          <rPr>
            <sz val="11"/>
            <color theme="1"/>
            <rFont val="Calibri"/>
            <family val="2"/>
            <scheme val="minor"/>
          </rPr>
          <t>Introduzca la fecha prevista de adjudicación, en formato dd-mm-aaaa</t>
        </r>
      </text>
    </comment>
    <comment ref="F1777" authorId="1" shapeId="0" xr:uid="{0D9A4A35-1D95-4077-9DD8-8B06B650F627}">
      <text/>
    </comment>
    <comment ref="F1778" authorId="1" shapeId="0" xr:uid="{649301A5-C7D5-4D11-9726-40F26071CA3D}">
      <text/>
    </comment>
    <comment ref="A1780" authorId="1" shapeId="0" xr:uid="{6B100AD0-2EDF-4369-9DA3-FA6A3C3C5CEC}">
      <text>
        <r>
          <rPr>
            <sz val="11"/>
            <color theme="1"/>
            <rFont val="Calibri"/>
            <family val="2"/>
            <scheme val="minor"/>
          </rPr>
          <t>Introduzca un codigo UNSPSC</t>
        </r>
      </text>
    </comment>
    <comment ref="B1780" authorId="1" shapeId="0" xr:uid="{B42C0132-BF40-4A01-ABF1-647DF74F1F44}">
      <text>
        <r>
          <rPr>
            <sz val="11"/>
            <color theme="1"/>
            <rFont val="Calibri"/>
            <family val="2"/>
            <scheme val="minor"/>
          </rPr>
          <t>Descripción calculada automáticamente a partir de código del artículo</t>
        </r>
      </text>
    </comment>
    <comment ref="C1780" authorId="1" shapeId="0" xr:uid="{D5706395-1C10-4BDA-878D-319962DAEC17}">
      <text>
        <r>
          <rPr>
            <sz val="11"/>
            <color theme="1"/>
            <rFont val="Calibri"/>
            <family val="2"/>
            <scheme val="minor"/>
          </rPr>
          <t>Seleccione un valor de la lista</t>
        </r>
      </text>
    </comment>
    <comment ref="D1780" authorId="1" shapeId="0" xr:uid="{81D1EFA9-01B1-4D25-B803-59CFA3FD4651}">
      <text>
        <r>
          <rPr>
            <sz val="11"/>
            <color theme="1"/>
            <rFont val="Calibri"/>
            <family val="2"/>
            <scheme val="minor"/>
          </rPr>
          <t>Introduzca un número con dos decimales como máximo. Debe ser igual o mayor a la "Cantidad Real Consumida"</t>
        </r>
      </text>
    </comment>
    <comment ref="E1780" authorId="1" shapeId="0" xr:uid="{1B406065-806E-47FD-B677-C7B898A239CF}">
      <text>
        <r>
          <rPr>
            <sz val="11"/>
            <color theme="1"/>
            <rFont val="Calibri"/>
            <family val="2"/>
            <scheme val="minor"/>
          </rPr>
          <t>Introduzca un número con dos decimales como máximo</t>
        </r>
      </text>
    </comment>
    <comment ref="F1780" authorId="1" shapeId="0" xr:uid="{6615B401-5E05-48A5-8E43-0E3CE2FE8B10}">
      <text>
        <r>
          <rPr>
            <sz val="11"/>
            <color theme="1"/>
            <rFont val="Calibri"/>
            <family val="2"/>
            <scheme val="minor"/>
          </rPr>
          <t>Monto calculado automáticamente por el sistema</t>
        </r>
      </text>
    </comment>
    <comment ref="A1785" authorId="1" shapeId="0" xr:uid="{2402BAA8-92CF-4B88-9083-1DC77719B7DF}">
      <text>
        <r>
          <rPr>
            <sz val="11"/>
            <color theme="1"/>
            <rFont val="Calibri"/>
            <family val="2"/>
            <scheme val="minor"/>
          </rPr>
          <t>Introducir un texto con el nombre o referencia de la contratación</t>
        </r>
      </text>
    </comment>
    <comment ref="B1785" authorId="1" shapeId="0" xr:uid="{BC9562A7-5FDB-4ABA-B0FA-308210E9D5DC}">
      <text>
        <r>
          <rPr>
            <sz val="11"/>
            <color theme="1"/>
            <rFont val="Calibri"/>
            <family val="2"/>
            <scheme val="minor"/>
          </rPr>
          <t>Introduzca un texto con la finalidad de la contratación</t>
        </r>
      </text>
    </comment>
    <comment ref="C1785" authorId="1" shapeId="0" xr:uid="{00D87E74-227C-4E0A-A449-175B482CBA44}">
      <text>
        <r>
          <rPr>
            <sz val="11"/>
            <color theme="1"/>
            <rFont val="Calibri"/>
            <family val="2"/>
            <scheme val="minor"/>
          </rPr>
          <t>Seleccionar un valor del listado</t>
        </r>
      </text>
    </comment>
    <comment ref="D1785" authorId="1" shapeId="0" xr:uid="{E79F8FEA-C1CC-407B-9AB0-CE390C98292C}">
      <text>
        <r>
          <rPr>
            <sz val="11"/>
            <color theme="1"/>
            <rFont val="Calibri"/>
            <family val="2"/>
            <scheme val="minor"/>
          </rPr>
          <t>Seleccione el tipo de procedimiento</t>
        </r>
      </text>
    </comment>
    <comment ref="E1785" authorId="1" shapeId="0" xr:uid="{C60B4073-3B5A-4530-B5A7-B3DC6E81E552}">
      <text>
        <r>
          <rPr>
            <sz val="11"/>
            <color theme="1"/>
            <rFont val="Calibri"/>
            <family val="2"/>
            <scheme val="minor"/>
          </rPr>
          <t>Seleccione un valor de la lista</t>
        </r>
      </text>
    </comment>
    <comment ref="F1785" authorId="1" shapeId="0" xr:uid="{6769342E-DDA1-4135-A854-D1B66ABB9610}">
      <text>
        <r>
          <rPr>
            <sz val="11"/>
            <color theme="1"/>
            <rFont val="Calibri"/>
            <family val="2"/>
            <scheme val="minor"/>
          </rPr>
          <t>Introduzca el código SNIP</t>
        </r>
      </text>
    </comment>
    <comment ref="C1786" authorId="1" shapeId="0" xr:uid="{70D24FFC-66F6-46C6-A39D-9DE247D0AC0A}">
      <text>
        <r>
          <rPr>
            <sz val="11"/>
            <color theme="1"/>
            <rFont val="Calibri"/>
            <family val="2"/>
            <scheme val="minor"/>
          </rPr>
          <t>Introduzca la fecha de inicio del proceso, en formato dd-mm-aaaa</t>
        </r>
      </text>
    </comment>
    <comment ref="F1786" authorId="1" shapeId="0" xr:uid="{4CC1E524-A480-4515-85E1-BC3892336E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7" authorId="1" shapeId="0" xr:uid="{46F24F23-D306-4DD6-975D-9E76DDD74C3E}">
      <text/>
    </comment>
    <comment ref="C1788" authorId="1" shapeId="0" xr:uid="{0E0BB585-932A-4733-A241-067FF201584F}">
      <text>
        <r>
          <rPr>
            <sz val="11"/>
            <color theme="1"/>
            <rFont val="Calibri"/>
            <family val="2"/>
            <scheme val="minor"/>
          </rPr>
          <t>Introduzca la fecha prevista de adjudicación, en formato dd-mm-aaaa</t>
        </r>
      </text>
    </comment>
    <comment ref="F1788" authorId="1" shapeId="0" xr:uid="{7F1EAD2E-B658-43DB-A8AC-EEC240D94A8C}">
      <text/>
    </comment>
    <comment ref="F1789" authorId="1" shapeId="0" xr:uid="{337422D7-D112-4C0C-B098-24AC79163164}">
      <text/>
    </comment>
    <comment ref="A1791" authorId="1" shapeId="0" xr:uid="{2C53DC44-6FD1-4CCC-A7B7-20A13D94E68E}">
      <text>
        <r>
          <rPr>
            <sz val="11"/>
            <color theme="1"/>
            <rFont val="Calibri"/>
            <family val="2"/>
            <scheme val="minor"/>
          </rPr>
          <t>Introduzca un codigo UNSPSC</t>
        </r>
      </text>
    </comment>
    <comment ref="B1791" authorId="1" shapeId="0" xr:uid="{87278495-80F0-4EED-B217-66780F8A6A3B}">
      <text>
        <r>
          <rPr>
            <sz val="11"/>
            <color theme="1"/>
            <rFont val="Calibri"/>
            <family val="2"/>
            <scheme val="minor"/>
          </rPr>
          <t>Descripción calculada automáticamente a partir de código del artículo</t>
        </r>
      </text>
    </comment>
    <comment ref="C1791" authorId="1" shapeId="0" xr:uid="{59F225C4-9656-43A4-9046-7C8BD74EA525}">
      <text>
        <r>
          <rPr>
            <sz val="11"/>
            <color theme="1"/>
            <rFont val="Calibri"/>
            <family val="2"/>
            <scheme val="minor"/>
          </rPr>
          <t>Seleccione un valor de la lista</t>
        </r>
      </text>
    </comment>
    <comment ref="D1791" authorId="1" shapeId="0" xr:uid="{33F64358-EBCB-4919-AD65-ACBBC0E988ED}">
      <text>
        <r>
          <rPr>
            <sz val="11"/>
            <color theme="1"/>
            <rFont val="Calibri"/>
            <family val="2"/>
            <scheme val="minor"/>
          </rPr>
          <t>Introduzca un número con dos decimales como máximo. Debe ser igual o mayor a la "Cantidad Real Consumida"</t>
        </r>
      </text>
    </comment>
    <comment ref="E1791" authorId="1" shapeId="0" xr:uid="{37069688-D7A2-4DB5-A974-48F0AB0B30CB}">
      <text>
        <r>
          <rPr>
            <sz val="11"/>
            <color theme="1"/>
            <rFont val="Calibri"/>
            <family val="2"/>
            <scheme val="minor"/>
          </rPr>
          <t>Introduzca un número con dos decimales como máximo</t>
        </r>
      </text>
    </comment>
    <comment ref="F1791" authorId="1" shapeId="0" xr:uid="{B8915BF0-332E-4898-8C09-DC5785923BF1}">
      <text>
        <r>
          <rPr>
            <sz val="11"/>
            <color theme="1"/>
            <rFont val="Calibri"/>
            <family val="2"/>
            <scheme val="minor"/>
          </rPr>
          <t>Monto calculado automáticamente por el sistema</t>
        </r>
      </text>
    </comment>
    <comment ref="A1796" authorId="1" shapeId="0" xr:uid="{BCE80C6E-5CF8-430A-91A4-7186A67A82A7}">
      <text>
        <r>
          <rPr>
            <sz val="11"/>
            <color theme="1"/>
            <rFont val="Calibri"/>
            <family val="2"/>
            <scheme val="minor"/>
          </rPr>
          <t>Introducir un texto con el nombre o referencia de la contratación</t>
        </r>
      </text>
    </comment>
    <comment ref="B1796" authorId="1" shapeId="0" xr:uid="{B159BDA3-ABBC-44E1-8DC2-7D1A141E8247}">
      <text>
        <r>
          <rPr>
            <sz val="11"/>
            <color theme="1"/>
            <rFont val="Calibri"/>
            <family val="2"/>
            <scheme val="minor"/>
          </rPr>
          <t>Introduzca un texto con la finalidad de la contratación</t>
        </r>
      </text>
    </comment>
    <comment ref="C1796" authorId="1" shapeId="0" xr:uid="{367F1BBB-F866-40AC-B767-05D484F48AD8}">
      <text>
        <r>
          <rPr>
            <sz val="11"/>
            <color theme="1"/>
            <rFont val="Calibri"/>
            <family val="2"/>
            <scheme val="minor"/>
          </rPr>
          <t>Seleccionar un valor del listado</t>
        </r>
      </text>
    </comment>
    <comment ref="D1796" authorId="1" shapeId="0" xr:uid="{14A40DD5-2305-45D4-AD6A-1183AF9B50B1}">
      <text>
        <r>
          <rPr>
            <sz val="11"/>
            <color theme="1"/>
            <rFont val="Calibri"/>
            <family val="2"/>
            <scheme val="minor"/>
          </rPr>
          <t>Seleccione el tipo de procedimiento</t>
        </r>
      </text>
    </comment>
    <comment ref="E1796" authorId="1" shapeId="0" xr:uid="{A6AD1945-7A06-4704-B4B4-83F37DD20353}">
      <text>
        <r>
          <rPr>
            <sz val="11"/>
            <color theme="1"/>
            <rFont val="Calibri"/>
            <family val="2"/>
            <scheme val="minor"/>
          </rPr>
          <t>Seleccione un valor de la lista</t>
        </r>
      </text>
    </comment>
    <comment ref="F1796" authorId="1" shapeId="0" xr:uid="{E24EDAF7-50B9-4EF1-ACB3-0399EE093934}">
      <text>
        <r>
          <rPr>
            <sz val="11"/>
            <color theme="1"/>
            <rFont val="Calibri"/>
            <family val="2"/>
            <scheme val="minor"/>
          </rPr>
          <t>Introduzca el código SNIP</t>
        </r>
      </text>
    </comment>
    <comment ref="C1797" authorId="1" shapeId="0" xr:uid="{1D9D4F76-335E-49BF-8AB4-A289BE885B00}">
      <text>
        <r>
          <rPr>
            <sz val="11"/>
            <color theme="1"/>
            <rFont val="Calibri"/>
            <family val="2"/>
            <scheme val="minor"/>
          </rPr>
          <t>Introduzca la fecha de inicio del proceso, en formato dd-mm-aaaa</t>
        </r>
      </text>
    </comment>
    <comment ref="F1797" authorId="1" shapeId="0" xr:uid="{640B7A80-3B81-4EC7-9A96-8711F8F2EE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8" authorId="1" shapeId="0" xr:uid="{592BD060-1F79-4D83-B31E-097F576E8E7C}">
      <text/>
    </comment>
    <comment ref="C1799" authorId="1" shapeId="0" xr:uid="{A6C8FF51-18B0-408D-9B5D-50C1671FCBC1}">
      <text>
        <r>
          <rPr>
            <sz val="11"/>
            <color theme="1"/>
            <rFont val="Calibri"/>
            <family val="2"/>
            <scheme val="minor"/>
          </rPr>
          <t>Introduzca la fecha prevista de adjudicación, en formato dd-mm-aaaa</t>
        </r>
      </text>
    </comment>
    <comment ref="F1799" authorId="1" shapeId="0" xr:uid="{F589A08A-A176-4EF1-B37C-3D9CABB54AAC}">
      <text/>
    </comment>
    <comment ref="F1800" authorId="1" shapeId="0" xr:uid="{A7F23926-B47F-4403-9B1E-561A8C15C4DF}">
      <text/>
    </comment>
    <comment ref="A1802" authorId="1" shapeId="0" xr:uid="{056391D2-3DA3-4467-AB90-A723A6FF1DFD}">
      <text>
        <r>
          <rPr>
            <sz val="11"/>
            <color theme="1"/>
            <rFont val="Calibri"/>
            <family val="2"/>
            <scheme val="minor"/>
          </rPr>
          <t>Introduzca un codigo UNSPSC</t>
        </r>
      </text>
    </comment>
    <comment ref="B1802" authorId="1" shapeId="0" xr:uid="{99DE646D-D4DD-455D-8818-F691532E170E}">
      <text>
        <r>
          <rPr>
            <sz val="11"/>
            <color theme="1"/>
            <rFont val="Calibri"/>
            <family val="2"/>
            <scheme val="minor"/>
          </rPr>
          <t>Descripción calculada automáticamente a partir de código del artículo</t>
        </r>
      </text>
    </comment>
    <comment ref="C1802" authorId="1" shapeId="0" xr:uid="{2F2F7BA3-BEE3-486B-A8B3-3E2BF7AB8FB0}">
      <text>
        <r>
          <rPr>
            <sz val="11"/>
            <color theme="1"/>
            <rFont val="Calibri"/>
            <family val="2"/>
            <scheme val="minor"/>
          </rPr>
          <t>Seleccione un valor de la lista</t>
        </r>
      </text>
    </comment>
    <comment ref="D1802" authorId="1" shapeId="0" xr:uid="{0DBF4C32-DFCE-440B-935B-888A4CD70370}">
      <text>
        <r>
          <rPr>
            <sz val="11"/>
            <color theme="1"/>
            <rFont val="Calibri"/>
            <family val="2"/>
            <scheme val="minor"/>
          </rPr>
          <t>Introduzca un número con dos decimales como máximo. Debe ser igual o mayor a la "Cantidad Real Consumida"</t>
        </r>
      </text>
    </comment>
    <comment ref="E1802" authorId="1" shapeId="0" xr:uid="{8FA74A22-C4CB-4DFE-AE81-A6E518018ADB}">
      <text>
        <r>
          <rPr>
            <sz val="11"/>
            <color theme="1"/>
            <rFont val="Calibri"/>
            <family val="2"/>
            <scheme val="minor"/>
          </rPr>
          <t>Introduzca un número con dos decimales como máximo</t>
        </r>
      </text>
    </comment>
    <comment ref="F1802" authorId="1" shapeId="0" xr:uid="{35C8F129-91D5-4AAC-AE70-8EAD23177E71}">
      <text>
        <r>
          <rPr>
            <sz val="11"/>
            <color theme="1"/>
            <rFont val="Calibri"/>
            <family val="2"/>
            <scheme val="minor"/>
          </rPr>
          <t>Monto calculado automáticamente por el sistema</t>
        </r>
      </text>
    </comment>
    <comment ref="A1816" authorId="1" shapeId="0" xr:uid="{B2DFB804-406B-4FB5-BF8C-2FD5AB6A2BEF}">
      <text>
        <r>
          <rPr>
            <sz val="11"/>
            <color theme="1"/>
            <rFont val="Calibri"/>
            <family val="2"/>
            <scheme val="minor"/>
          </rPr>
          <t>Introducir un texto con el nombre o referencia de la contratación</t>
        </r>
      </text>
    </comment>
    <comment ref="B1816" authorId="1" shapeId="0" xr:uid="{E94D50F3-CF4C-4226-932E-68A25B4D1FEA}">
      <text>
        <r>
          <rPr>
            <sz val="11"/>
            <color theme="1"/>
            <rFont val="Calibri"/>
            <family val="2"/>
            <scheme val="minor"/>
          </rPr>
          <t>Introduzca un texto con la finalidad de la contratación</t>
        </r>
      </text>
    </comment>
    <comment ref="C1816" authorId="1" shapeId="0" xr:uid="{CE57910F-E640-4DD7-BFE1-EDFF8FAE8702}">
      <text>
        <r>
          <rPr>
            <sz val="11"/>
            <color theme="1"/>
            <rFont val="Calibri"/>
            <family val="2"/>
            <scheme val="minor"/>
          </rPr>
          <t>Seleccionar un valor del listado</t>
        </r>
      </text>
    </comment>
    <comment ref="D1816" authorId="1" shapeId="0" xr:uid="{9D864EDB-1F65-4F5D-AB85-1213E20E61AB}">
      <text>
        <r>
          <rPr>
            <sz val="11"/>
            <color theme="1"/>
            <rFont val="Calibri"/>
            <family val="2"/>
            <scheme val="minor"/>
          </rPr>
          <t>Seleccione el tipo de procedimiento</t>
        </r>
      </text>
    </comment>
    <comment ref="E1816" authorId="1" shapeId="0" xr:uid="{B05F19BC-516A-427B-81F2-A9F8EE77E11C}">
      <text>
        <r>
          <rPr>
            <sz val="11"/>
            <color theme="1"/>
            <rFont val="Calibri"/>
            <family val="2"/>
            <scheme val="minor"/>
          </rPr>
          <t>Seleccione un valor de la lista</t>
        </r>
      </text>
    </comment>
    <comment ref="F1816" authorId="1" shapeId="0" xr:uid="{9140E8FE-111F-4688-AEFD-B43417F6CB27}">
      <text>
        <r>
          <rPr>
            <sz val="11"/>
            <color theme="1"/>
            <rFont val="Calibri"/>
            <family val="2"/>
            <scheme val="minor"/>
          </rPr>
          <t>Introduzca el código SNIP</t>
        </r>
      </text>
    </comment>
    <comment ref="C1817" authorId="1" shapeId="0" xr:uid="{676FE4BF-9135-424B-BCC6-8FB7F20E478B}">
      <text>
        <r>
          <rPr>
            <sz val="11"/>
            <color theme="1"/>
            <rFont val="Calibri"/>
            <family val="2"/>
            <scheme val="minor"/>
          </rPr>
          <t>Introduzca la fecha de inicio del proceso, en formato dd-mm-aaaa</t>
        </r>
      </text>
    </comment>
    <comment ref="F1817" authorId="1" shapeId="0" xr:uid="{8E584333-0EE1-46B9-A09B-58593F2D8A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8" authorId="1" shapeId="0" xr:uid="{92AA4C96-ECBC-4C4D-9C37-2EF39C5D525F}">
      <text/>
    </comment>
    <comment ref="C1819" authorId="1" shapeId="0" xr:uid="{B9D8141B-8594-4DAC-A06A-306F8E05F6FB}">
      <text>
        <r>
          <rPr>
            <sz val="11"/>
            <color theme="1"/>
            <rFont val="Calibri"/>
            <family val="2"/>
            <scheme val="minor"/>
          </rPr>
          <t>Introduzca la fecha prevista de adjudicación, en formato dd-mm-aaaa</t>
        </r>
      </text>
    </comment>
    <comment ref="F1819" authorId="1" shapeId="0" xr:uid="{80B5B7B4-3662-4590-96AC-D029AC47FC75}">
      <text/>
    </comment>
    <comment ref="F1820" authorId="1" shapeId="0" xr:uid="{5D432F48-EAAE-43D4-A322-74EAE94817AD}">
      <text/>
    </comment>
    <comment ref="A1822" authorId="1" shapeId="0" xr:uid="{00BA174B-9796-407E-A937-1A4DF2FAD689}">
      <text>
        <r>
          <rPr>
            <sz val="11"/>
            <color theme="1"/>
            <rFont val="Calibri"/>
            <family val="2"/>
            <scheme val="minor"/>
          </rPr>
          <t>Introduzca un codigo UNSPSC</t>
        </r>
      </text>
    </comment>
    <comment ref="B1822" authorId="1" shapeId="0" xr:uid="{81E0027D-F715-43F6-B630-731FE93B276C}">
      <text>
        <r>
          <rPr>
            <sz val="11"/>
            <color theme="1"/>
            <rFont val="Calibri"/>
            <family val="2"/>
            <scheme val="minor"/>
          </rPr>
          <t>Descripción calculada automáticamente a partir de código del artículo</t>
        </r>
      </text>
    </comment>
    <comment ref="C1822" authorId="1" shapeId="0" xr:uid="{31121216-BEE7-4FBB-82FE-D46926EDEAB8}">
      <text>
        <r>
          <rPr>
            <sz val="11"/>
            <color theme="1"/>
            <rFont val="Calibri"/>
            <family val="2"/>
            <scheme val="minor"/>
          </rPr>
          <t>Seleccione un valor de la lista</t>
        </r>
      </text>
    </comment>
    <comment ref="D1822" authorId="1" shapeId="0" xr:uid="{7AF2D101-5954-48B3-9591-83144D6A6B28}">
      <text>
        <r>
          <rPr>
            <sz val="11"/>
            <color theme="1"/>
            <rFont val="Calibri"/>
            <family val="2"/>
            <scheme val="minor"/>
          </rPr>
          <t>Introduzca un número con dos decimales como máximo. Debe ser igual o mayor a la "Cantidad Real Consumida"</t>
        </r>
      </text>
    </comment>
    <comment ref="E1822" authorId="1" shapeId="0" xr:uid="{F5EF8567-1620-419B-B427-E29F6F014A18}">
      <text>
        <r>
          <rPr>
            <sz val="11"/>
            <color theme="1"/>
            <rFont val="Calibri"/>
            <family val="2"/>
            <scheme val="minor"/>
          </rPr>
          <t>Introduzca un número con dos decimales como máximo</t>
        </r>
      </text>
    </comment>
    <comment ref="F1822" authorId="1" shapeId="0" xr:uid="{C783A2F8-1A62-421D-9E22-F2720E713334}">
      <text>
        <r>
          <rPr>
            <sz val="11"/>
            <color theme="1"/>
            <rFont val="Calibri"/>
            <family val="2"/>
            <scheme val="minor"/>
          </rPr>
          <t>Monto calculado automáticamente por el sistema</t>
        </r>
      </text>
    </comment>
    <comment ref="A1850" authorId="1" shapeId="0" xr:uid="{5454C389-7734-4A34-B227-0AA9C3C9EDAD}">
      <text>
        <r>
          <rPr>
            <sz val="11"/>
            <color theme="1"/>
            <rFont val="Calibri"/>
            <family val="2"/>
            <scheme val="minor"/>
          </rPr>
          <t>Introducir un texto con el nombre o referencia de la contratación</t>
        </r>
      </text>
    </comment>
    <comment ref="B1850" authorId="1" shapeId="0" xr:uid="{322B9E5B-58D0-480F-9922-53FE0B1B095E}">
      <text>
        <r>
          <rPr>
            <sz val="11"/>
            <color theme="1"/>
            <rFont val="Calibri"/>
            <family val="2"/>
            <scheme val="minor"/>
          </rPr>
          <t>Introduzca un texto con la finalidad de la contratación</t>
        </r>
      </text>
    </comment>
    <comment ref="C1850" authorId="1" shapeId="0" xr:uid="{05B66F3C-74E2-453F-8E75-CA94F1CC6D5B}">
      <text>
        <r>
          <rPr>
            <sz val="11"/>
            <color theme="1"/>
            <rFont val="Calibri"/>
            <family val="2"/>
            <scheme val="minor"/>
          </rPr>
          <t>Seleccionar un valor del listado</t>
        </r>
      </text>
    </comment>
    <comment ref="D1850" authorId="1" shapeId="0" xr:uid="{52202F3A-706C-49AF-B963-D127EF1B6E3B}">
      <text>
        <r>
          <rPr>
            <sz val="11"/>
            <color theme="1"/>
            <rFont val="Calibri"/>
            <family val="2"/>
            <scheme val="minor"/>
          </rPr>
          <t>Seleccione el tipo de procedimiento</t>
        </r>
      </text>
    </comment>
    <comment ref="E1850" authorId="1" shapeId="0" xr:uid="{B021BE8C-5C57-4748-AE06-0363EE4B23FA}">
      <text>
        <r>
          <rPr>
            <sz val="11"/>
            <color theme="1"/>
            <rFont val="Calibri"/>
            <family val="2"/>
            <scheme val="minor"/>
          </rPr>
          <t>Seleccione un valor de la lista</t>
        </r>
      </text>
    </comment>
    <comment ref="F1850" authorId="1" shapeId="0" xr:uid="{E4B68CA2-F9C9-49D8-BC01-5565481121A9}">
      <text>
        <r>
          <rPr>
            <sz val="11"/>
            <color theme="1"/>
            <rFont val="Calibri"/>
            <family val="2"/>
            <scheme val="minor"/>
          </rPr>
          <t>Introduzca el código SNIP</t>
        </r>
      </text>
    </comment>
    <comment ref="C1851" authorId="1" shapeId="0" xr:uid="{E42D6628-1DC4-46E0-AB64-5A5CBD8697AD}">
      <text>
        <r>
          <rPr>
            <sz val="11"/>
            <color theme="1"/>
            <rFont val="Calibri"/>
            <family val="2"/>
            <scheme val="minor"/>
          </rPr>
          <t>Introduzca la fecha de inicio del proceso, en formato dd-mm-aaaa</t>
        </r>
      </text>
    </comment>
    <comment ref="F1851" authorId="1" shapeId="0" xr:uid="{79C8BFB5-6B96-43CF-BBE7-60DFE4DFFB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2" authorId="1" shapeId="0" xr:uid="{EB6DD4B5-3633-439E-86F6-9DC22C954B68}">
      <text/>
    </comment>
    <comment ref="C1853" authorId="1" shapeId="0" xr:uid="{75C11BA5-1E87-4982-9323-CBB3FB2F9EEC}">
      <text>
        <r>
          <rPr>
            <sz val="11"/>
            <color theme="1"/>
            <rFont val="Calibri"/>
            <family val="2"/>
            <scheme val="minor"/>
          </rPr>
          <t>Introduzca la fecha prevista de adjudicación, en formato dd-mm-aaaa</t>
        </r>
      </text>
    </comment>
    <comment ref="F1853" authorId="1" shapeId="0" xr:uid="{1F2C09AD-43F4-4D04-85DC-480837D262B1}">
      <text/>
    </comment>
    <comment ref="F1854" authorId="1" shapeId="0" xr:uid="{4E68F56B-BA0F-4FBF-AB44-FD20E479B717}">
      <text/>
    </comment>
    <comment ref="A1856" authorId="1" shapeId="0" xr:uid="{774F860A-E433-4EE4-B68F-7A3EE985C17A}">
      <text>
        <r>
          <rPr>
            <sz val="11"/>
            <color theme="1"/>
            <rFont val="Calibri"/>
            <family val="2"/>
            <scheme val="minor"/>
          </rPr>
          <t>Introduzca un codigo UNSPSC</t>
        </r>
      </text>
    </comment>
    <comment ref="B1856" authorId="1" shapeId="0" xr:uid="{7CA0E48B-2A34-4902-B798-9BD7E93FF94C}">
      <text>
        <r>
          <rPr>
            <sz val="11"/>
            <color theme="1"/>
            <rFont val="Calibri"/>
            <family val="2"/>
            <scheme val="minor"/>
          </rPr>
          <t>Descripción calculada automáticamente a partir de código del artículo</t>
        </r>
      </text>
    </comment>
    <comment ref="C1856" authorId="1" shapeId="0" xr:uid="{67C6757A-A1C1-44F4-9951-6E26EA05DCED}">
      <text>
        <r>
          <rPr>
            <sz val="11"/>
            <color theme="1"/>
            <rFont val="Calibri"/>
            <family val="2"/>
            <scheme val="minor"/>
          </rPr>
          <t>Seleccione un valor de la lista</t>
        </r>
      </text>
    </comment>
    <comment ref="D1856" authorId="1" shapeId="0" xr:uid="{75A56230-5C68-47E3-AADF-6D32A8279B30}">
      <text>
        <r>
          <rPr>
            <sz val="11"/>
            <color theme="1"/>
            <rFont val="Calibri"/>
            <family val="2"/>
            <scheme val="minor"/>
          </rPr>
          <t>Introduzca un número con dos decimales como máximo. Debe ser igual o mayor a la "Cantidad Real Consumida"</t>
        </r>
      </text>
    </comment>
    <comment ref="E1856" authorId="1" shapeId="0" xr:uid="{2316A617-2CEF-400E-A7CA-CF0EACB6418E}">
      <text>
        <r>
          <rPr>
            <sz val="11"/>
            <color theme="1"/>
            <rFont val="Calibri"/>
            <family val="2"/>
            <scheme val="minor"/>
          </rPr>
          <t>Introduzca un número con dos decimales como máximo</t>
        </r>
      </text>
    </comment>
    <comment ref="F1856" authorId="1" shapeId="0" xr:uid="{60DA58C3-8208-4774-987A-00CD8EE25AB2}">
      <text>
        <r>
          <rPr>
            <sz val="11"/>
            <color theme="1"/>
            <rFont val="Calibri"/>
            <family val="2"/>
            <scheme val="minor"/>
          </rPr>
          <t>Monto calculado automáticamente por el sistema</t>
        </r>
      </text>
    </comment>
    <comment ref="A1865" authorId="1" shapeId="0" xr:uid="{8FC3D171-7AF2-4C95-9763-5605EBDFDB4B}">
      <text>
        <r>
          <rPr>
            <sz val="11"/>
            <color theme="1"/>
            <rFont val="Calibri"/>
            <family val="2"/>
            <scheme val="minor"/>
          </rPr>
          <t>Introducir un texto con el nombre o referencia de la contratación</t>
        </r>
      </text>
    </comment>
    <comment ref="B1865" authorId="1" shapeId="0" xr:uid="{EDF9613C-BEB3-454B-A046-1EEE4D1734D1}">
      <text>
        <r>
          <rPr>
            <sz val="11"/>
            <color theme="1"/>
            <rFont val="Calibri"/>
            <family val="2"/>
            <scheme val="minor"/>
          </rPr>
          <t>Introduzca un texto con la finalidad de la contratación</t>
        </r>
      </text>
    </comment>
    <comment ref="C1865" authorId="1" shapeId="0" xr:uid="{25D9C339-22F8-46C3-854B-DE2DB8584975}">
      <text>
        <r>
          <rPr>
            <sz val="11"/>
            <color theme="1"/>
            <rFont val="Calibri"/>
            <family val="2"/>
            <scheme val="minor"/>
          </rPr>
          <t>Seleccionar un valor del listado</t>
        </r>
      </text>
    </comment>
    <comment ref="D1865" authorId="1" shapeId="0" xr:uid="{C3A533C4-8157-427F-928E-BFFC05136E97}">
      <text>
        <r>
          <rPr>
            <sz val="11"/>
            <color theme="1"/>
            <rFont val="Calibri"/>
            <family val="2"/>
            <scheme val="minor"/>
          </rPr>
          <t>Seleccione el tipo de procedimiento</t>
        </r>
      </text>
    </comment>
    <comment ref="E1865" authorId="1" shapeId="0" xr:uid="{A592E160-38D8-4BA0-9606-3FF7B3EAD931}">
      <text>
        <r>
          <rPr>
            <sz val="11"/>
            <color theme="1"/>
            <rFont val="Calibri"/>
            <family val="2"/>
            <scheme val="minor"/>
          </rPr>
          <t>Seleccione un valor de la lista</t>
        </r>
      </text>
    </comment>
    <comment ref="F1865" authorId="1" shapeId="0" xr:uid="{8A354B90-F5EA-4CEE-875C-D24FF641DFF1}">
      <text>
        <r>
          <rPr>
            <sz val="11"/>
            <color theme="1"/>
            <rFont val="Calibri"/>
            <family val="2"/>
            <scheme val="minor"/>
          </rPr>
          <t>Introduzca el código SNIP</t>
        </r>
      </text>
    </comment>
    <comment ref="C1866" authorId="1" shapeId="0" xr:uid="{D94A2FA6-BA4C-478F-9750-E1F596B9F831}">
      <text>
        <r>
          <rPr>
            <sz val="11"/>
            <color theme="1"/>
            <rFont val="Calibri"/>
            <family val="2"/>
            <scheme val="minor"/>
          </rPr>
          <t>Introduzca la fecha de inicio del proceso, en formato dd-mm-aaaa</t>
        </r>
      </text>
    </comment>
    <comment ref="F1866" authorId="1" shapeId="0" xr:uid="{FA336773-280C-4717-94F3-75CF7C6E3E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7" authorId="1" shapeId="0" xr:uid="{9091AC53-6B92-42CE-ABEE-A7669CB62ADC}">
      <text/>
    </comment>
    <comment ref="C1868" authorId="1" shapeId="0" xr:uid="{9E939657-23BC-4EDF-8C25-391536A50C27}">
      <text>
        <r>
          <rPr>
            <sz val="11"/>
            <color theme="1"/>
            <rFont val="Calibri"/>
            <family val="2"/>
            <scheme val="minor"/>
          </rPr>
          <t>Introduzca la fecha prevista de adjudicación, en formato dd-mm-aaaa</t>
        </r>
      </text>
    </comment>
    <comment ref="F1868" authorId="1" shapeId="0" xr:uid="{38148D7B-7F9A-4F1C-9ED3-3B2B30C0CEDF}">
      <text/>
    </comment>
    <comment ref="F1869" authorId="1" shapeId="0" xr:uid="{2D42A39E-44A4-42AA-9A9E-C0DB89BCB9A4}">
      <text/>
    </comment>
    <comment ref="A1871" authorId="1" shapeId="0" xr:uid="{F8FE4FEB-A0BB-4B94-B34F-86A6E6150BC7}">
      <text>
        <r>
          <rPr>
            <sz val="11"/>
            <color theme="1"/>
            <rFont val="Calibri"/>
            <family val="2"/>
            <scheme val="minor"/>
          </rPr>
          <t>Introduzca un codigo UNSPSC</t>
        </r>
      </text>
    </comment>
    <comment ref="B1871" authorId="1" shapeId="0" xr:uid="{50D89D70-6313-4455-AF9C-410BEEB03089}">
      <text>
        <r>
          <rPr>
            <sz val="11"/>
            <color theme="1"/>
            <rFont val="Calibri"/>
            <family val="2"/>
            <scheme val="minor"/>
          </rPr>
          <t>Descripción calculada automáticamente a partir de código del artículo</t>
        </r>
      </text>
    </comment>
    <comment ref="C1871" authorId="1" shapeId="0" xr:uid="{A895C56A-7996-47B8-9D95-5D2834D4421D}">
      <text>
        <r>
          <rPr>
            <sz val="11"/>
            <color theme="1"/>
            <rFont val="Calibri"/>
            <family val="2"/>
            <scheme val="minor"/>
          </rPr>
          <t>Seleccione un valor de la lista</t>
        </r>
      </text>
    </comment>
    <comment ref="D1871" authorId="1" shapeId="0" xr:uid="{D6B56CBF-DCE7-4336-91AB-3313090035A2}">
      <text>
        <r>
          <rPr>
            <sz val="11"/>
            <color theme="1"/>
            <rFont val="Calibri"/>
            <family val="2"/>
            <scheme val="minor"/>
          </rPr>
          <t>Introduzca un número con dos decimales como máximo. Debe ser igual o mayor a la "Cantidad Real Consumida"</t>
        </r>
      </text>
    </comment>
    <comment ref="E1871" authorId="1" shapeId="0" xr:uid="{113A4D28-4109-4E53-8044-D493A114C29B}">
      <text>
        <r>
          <rPr>
            <sz val="11"/>
            <color theme="1"/>
            <rFont val="Calibri"/>
            <family val="2"/>
            <scheme val="minor"/>
          </rPr>
          <t>Introduzca un número con dos decimales como máximo</t>
        </r>
      </text>
    </comment>
    <comment ref="F1871" authorId="1" shapeId="0" xr:uid="{F361BFE0-B31D-4ABD-872F-D30BBE688920}">
      <text>
        <r>
          <rPr>
            <sz val="11"/>
            <color theme="1"/>
            <rFont val="Calibri"/>
            <family val="2"/>
            <scheme val="minor"/>
          </rPr>
          <t>Monto calculado automáticamente por el sistema</t>
        </r>
      </text>
    </comment>
    <comment ref="A1878" authorId="1" shapeId="0" xr:uid="{DF419461-544B-4885-BA05-B3F86BD1F537}">
      <text>
        <r>
          <rPr>
            <sz val="11"/>
            <color theme="1"/>
            <rFont val="Calibri"/>
            <family val="2"/>
            <scheme val="minor"/>
          </rPr>
          <t>Introducir un texto con el nombre o referencia de la contratación</t>
        </r>
      </text>
    </comment>
    <comment ref="B1878" authorId="1" shapeId="0" xr:uid="{AF1F249B-C578-4A08-9380-6E5F38D9027D}">
      <text>
        <r>
          <rPr>
            <sz val="11"/>
            <color theme="1"/>
            <rFont val="Calibri"/>
            <family val="2"/>
            <scheme val="minor"/>
          </rPr>
          <t>Introduzca un texto con la finalidad de la contratación</t>
        </r>
      </text>
    </comment>
    <comment ref="C1878" authorId="1" shapeId="0" xr:uid="{61A1A833-4B9C-4B46-B911-9AA8269BEC8A}">
      <text>
        <r>
          <rPr>
            <sz val="11"/>
            <color theme="1"/>
            <rFont val="Calibri"/>
            <family val="2"/>
            <scheme val="minor"/>
          </rPr>
          <t>Seleccionar un valor del listado</t>
        </r>
      </text>
    </comment>
    <comment ref="D1878" authorId="1" shapeId="0" xr:uid="{512F614D-F574-4FA0-A4F6-0C4B91CAA89B}">
      <text>
        <r>
          <rPr>
            <sz val="11"/>
            <color theme="1"/>
            <rFont val="Calibri"/>
            <family val="2"/>
            <scheme val="minor"/>
          </rPr>
          <t>Seleccione el tipo de procedimiento</t>
        </r>
      </text>
    </comment>
    <comment ref="E1878" authorId="1" shapeId="0" xr:uid="{05D36338-DAC9-4DD8-A94A-F51B8CB51C6D}">
      <text>
        <r>
          <rPr>
            <sz val="11"/>
            <color theme="1"/>
            <rFont val="Calibri"/>
            <family val="2"/>
            <scheme val="minor"/>
          </rPr>
          <t>Seleccione un valor de la lista</t>
        </r>
      </text>
    </comment>
    <comment ref="F1878" authorId="1" shapeId="0" xr:uid="{47EF2B42-874B-4E37-B073-286203F17D8D}">
      <text>
        <r>
          <rPr>
            <sz val="11"/>
            <color theme="1"/>
            <rFont val="Calibri"/>
            <family val="2"/>
            <scheme val="minor"/>
          </rPr>
          <t>Introduzca el código SNIP</t>
        </r>
      </text>
    </comment>
    <comment ref="C1879" authorId="1" shapeId="0" xr:uid="{685CDD2E-A999-4D3D-A8F5-668A2F7D24C9}">
      <text>
        <r>
          <rPr>
            <sz val="11"/>
            <color theme="1"/>
            <rFont val="Calibri"/>
            <family val="2"/>
            <scheme val="minor"/>
          </rPr>
          <t>Introduzca la fecha de inicio del proceso, en formato dd-mm-aaaa</t>
        </r>
      </text>
    </comment>
    <comment ref="F1879" authorId="1" shapeId="0" xr:uid="{77192196-C013-464B-A75A-07AC719327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0" authorId="1" shapeId="0" xr:uid="{DE9FB138-6212-4BF5-9001-7502CC1E3759}">
      <text/>
    </comment>
    <comment ref="C1881" authorId="1" shapeId="0" xr:uid="{2186EDC5-D9E2-408F-A066-16DEB178E16B}">
      <text>
        <r>
          <rPr>
            <sz val="11"/>
            <color theme="1"/>
            <rFont val="Calibri"/>
            <family val="2"/>
            <scheme val="minor"/>
          </rPr>
          <t>Introduzca la fecha prevista de adjudicación, en formato dd-mm-aaaa</t>
        </r>
      </text>
    </comment>
    <comment ref="F1881" authorId="1" shapeId="0" xr:uid="{147D565C-1FF8-4553-A9D0-E12C58487C36}">
      <text/>
    </comment>
    <comment ref="F1882" authorId="1" shapeId="0" xr:uid="{EC7CE79F-FE33-46C5-9850-49EF91F27B1B}">
      <text/>
    </comment>
    <comment ref="A1884" authorId="1" shapeId="0" xr:uid="{3602C5EC-CC5E-4E1C-A2D0-813071C21E2F}">
      <text>
        <r>
          <rPr>
            <sz val="11"/>
            <color theme="1"/>
            <rFont val="Calibri"/>
            <family val="2"/>
            <scheme val="minor"/>
          </rPr>
          <t>Introduzca un codigo UNSPSC</t>
        </r>
      </text>
    </comment>
    <comment ref="B1884" authorId="1" shapeId="0" xr:uid="{E3E4E538-401B-4C2F-B2CD-C592A2B89A15}">
      <text>
        <r>
          <rPr>
            <sz val="11"/>
            <color theme="1"/>
            <rFont val="Calibri"/>
            <family val="2"/>
            <scheme val="minor"/>
          </rPr>
          <t>Descripción calculada automáticamente a partir de código del artículo</t>
        </r>
      </text>
    </comment>
    <comment ref="C1884" authorId="1" shapeId="0" xr:uid="{7B1D47EC-8F70-4D64-9214-67D30EE478EF}">
      <text>
        <r>
          <rPr>
            <sz val="11"/>
            <color theme="1"/>
            <rFont val="Calibri"/>
            <family val="2"/>
            <scheme val="minor"/>
          </rPr>
          <t>Seleccione un valor de la lista</t>
        </r>
      </text>
    </comment>
    <comment ref="D1884" authorId="1" shapeId="0" xr:uid="{BF894838-0FDC-4457-8CDA-04C01E4BC72E}">
      <text>
        <r>
          <rPr>
            <sz val="11"/>
            <color theme="1"/>
            <rFont val="Calibri"/>
            <family val="2"/>
            <scheme val="minor"/>
          </rPr>
          <t>Introduzca un número con dos decimales como máximo. Debe ser igual o mayor a la "Cantidad Real Consumida"</t>
        </r>
      </text>
    </comment>
    <comment ref="E1884" authorId="1" shapeId="0" xr:uid="{7E835AEA-0875-4623-9E1D-480DA2874922}">
      <text>
        <r>
          <rPr>
            <sz val="11"/>
            <color theme="1"/>
            <rFont val="Calibri"/>
            <family val="2"/>
            <scheme val="minor"/>
          </rPr>
          <t>Introduzca un número con dos decimales como máximo</t>
        </r>
      </text>
    </comment>
    <comment ref="F1884" authorId="1" shapeId="0" xr:uid="{462A8D8C-C06F-4EDC-8C11-7C3F0B5BA936}">
      <text>
        <r>
          <rPr>
            <sz val="11"/>
            <color theme="1"/>
            <rFont val="Calibri"/>
            <family val="2"/>
            <scheme val="minor"/>
          </rPr>
          <t>Monto calculado automáticamente por el sistema</t>
        </r>
      </text>
    </comment>
    <comment ref="A1892" authorId="1" shapeId="0" xr:uid="{8215E70B-78C5-46EC-BEE0-C5F9F7B1E952}">
      <text>
        <r>
          <rPr>
            <sz val="11"/>
            <color theme="1"/>
            <rFont val="Calibri"/>
            <family val="2"/>
            <scheme val="minor"/>
          </rPr>
          <t>Introducir un texto con el nombre o referencia de la contratación</t>
        </r>
      </text>
    </comment>
    <comment ref="B1892" authorId="1" shapeId="0" xr:uid="{87F1E0E9-38C5-48B5-B1F7-4C17004E3404}">
      <text>
        <r>
          <rPr>
            <sz val="11"/>
            <color theme="1"/>
            <rFont val="Calibri"/>
            <family val="2"/>
            <scheme val="minor"/>
          </rPr>
          <t>Introduzca un texto con la finalidad de la contratación</t>
        </r>
      </text>
    </comment>
    <comment ref="C1892" authorId="1" shapeId="0" xr:uid="{53F6C870-44D4-428B-AEF0-238EE426FD3F}">
      <text>
        <r>
          <rPr>
            <sz val="11"/>
            <color theme="1"/>
            <rFont val="Calibri"/>
            <family val="2"/>
            <scheme val="minor"/>
          </rPr>
          <t>Seleccionar un valor del listado</t>
        </r>
      </text>
    </comment>
    <comment ref="D1892" authorId="1" shapeId="0" xr:uid="{FCBDE6BB-31BF-4D08-8F20-3D153D6F2EC1}">
      <text>
        <r>
          <rPr>
            <sz val="11"/>
            <color theme="1"/>
            <rFont val="Calibri"/>
            <family val="2"/>
            <scheme val="minor"/>
          </rPr>
          <t>Seleccione el tipo de procedimiento</t>
        </r>
      </text>
    </comment>
    <comment ref="E1892" authorId="1" shapeId="0" xr:uid="{76FD5CBA-70ED-4E13-B9E9-84D486216E59}">
      <text>
        <r>
          <rPr>
            <sz val="11"/>
            <color theme="1"/>
            <rFont val="Calibri"/>
            <family val="2"/>
            <scheme val="minor"/>
          </rPr>
          <t>Seleccione un valor de la lista</t>
        </r>
      </text>
    </comment>
    <comment ref="F1892" authorId="1" shapeId="0" xr:uid="{1E60EB7C-F1CB-46A1-B775-8371977278E3}">
      <text>
        <r>
          <rPr>
            <sz val="11"/>
            <color theme="1"/>
            <rFont val="Calibri"/>
            <family val="2"/>
            <scheme val="minor"/>
          </rPr>
          <t>Introduzca el código SNIP</t>
        </r>
      </text>
    </comment>
    <comment ref="C1893" authorId="1" shapeId="0" xr:uid="{F21A7D4F-3617-4352-875A-2573579B2548}">
      <text>
        <r>
          <rPr>
            <sz val="11"/>
            <color theme="1"/>
            <rFont val="Calibri"/>
            <family val="2"/>
            <scheme val="minor"/>
          </rPr>
          <t>Introduzca la fecha de inicio del proceso, en formato dd-mm-aaaa</t>
        </r>
      </text>
    </comment>
    <comment ref="F1893" authorId="1" shapeId="0" xr:uid="{93A7B7B8-A7A3-4864-9114-1C8826DD44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4" authorId="1" shapeId="0" xr:uid="{FAC5785B-2997-49F7-B9B4-CDD5B1826D7D}">
      <text/>
    </comment>
    <comment ref="C1895" authorId="1" shapeId="0" xr:uid="{1E5D4107-6021-49AC-AF59-AC33F82E63F2}">
      <text>
        <r>
          <rPr>
            <sz val="11"/>
            <color theme="1"/>
            <rFont val="Calibri"/>
            <family val="2"/>
            <scheme val="minor"/>
          </rPr>
          <t>Introduzca la fecha prevista de adjudicación, en formato dd-mm-aaaa</t>
        </r>
      </text>
    </comment>
    <comment ref="F1895" authorId="1" shapeId="0" xr:uid="{2A0976FE-4E26-47C5-8B0D-79B0F8C00D07}">
      <text/>
    </comment>
    <comment ref="F1896" authorId="1" shapeId="0" xr:uid="{F29A311D-8609-44A3-B4BE-6237A3869ADC}">
      <text/>
    </comment>
    <comment ref="A1898" authorId="1" shapeId="0" xr:uid="{FDC92B41-9CAE-4B2D-B2A0-A8A3A67F240D}">
      <text>
        <r>
          <rPr>
            <sz val="11"/>
            <color theme="1"/>
            <rFont val="Calibri"/>
            <family val="2"/>
            <scheme val="minor"/>
          </rPr>
          <t>Introduzca un codigo UNSPSC</t>
        </r>
      </text>
    </comment>
    <comment ref="B1898" authorId="1" shapeId="0" xr:uid="{B2727BB8-CD11-4A49-8282-498177D0AC40}">
      <text>
        <r>
          <rPr>
            <sz val="11"/>
            <color theme="1"/>
            <rFont val="Calibri"/>
            <family val="2"/>
            <scheme val="minor"/>
          </rPr>
          <t>Descripción calculada automáticamente a partir de código del artículo</t>
        </r>
      </text>
    </comment>
    <comment ref="C1898" authorId="1" shapeId="0" xr:uid="{3106F456-1ABF-4B34-A76F-CD9ACB6C5447}">
      <text>
        <r>
          <rPr>
            <sz val="11"/>
            <color theme="1"/>
            <rFont val="Calibri"/>
            <family val="2"/>
            <scheme val="minor"/>
          </rPr>
          <t>Seleccione un valor de la lista</t>
        </r>
      </text>
    </comment>
    <comment ref="D1898" authorId="1" shapeId="0" xr:uid="{CC79EE17-3614-431F-B7D7-6549FD866296}">
      <text>
        <r>
          <rPr>
            <sz val="11"/>
            <color theme="1"/>
            <rFont val="Calibri"/>
            <family val="2"/>
            <scheme val="minor"/>
          </rPr>
          <t>Introduzca un número con dos decimales como máximo. Debe ser igual o mayor a la "Cantidad Real Consumida"</t>
        </r>
      </text>
    </comment>
    <comment ref="E1898" authorId="1" shapeId="0" xr:uid="{C3B95372-DC6B-4A7B-B4F5-9090A34A6F18}">
      <text>
        <r>
          <rPr>
            <sz val="11"/>
            <color theme="1"/>
            <rFont val="Calibri"/>
            <family val="2"/>
            <scheme val="minor"/>
          </rPr>
          <t>Introduzca un número con dos decimales como máximo</t>
        </r>
      </text>
    </comment>
    <comment ref="F1898" authorId="1" shapeId="0" xr:uid="{55AFAA99-069F-4779-BD62-4E41705D2DAD}">
      <text>
        <r>
          <rPr>
            <sz val="11"/>
            <color theme="1"/>
            <rFont val="Calibri"/>
            <family val="2"/>
            <scheme val="minor"/>
          </rPr>
          <t>Monto calculado automáticamente por el sistema</t>
        </r>
      </text>
    </comment>
    <comment ref="A1903" authorId="1" shapeId="0" xr:uid="{AB910B5C-45AD-49C9-A290-ECC3C40B6858}">
      <text>
        <r>
          <rPr>
            <sz val="11"/>
            <color theme="1"/>
            <rFont val="Calibri"/>
            <family val="2"/>
            <scheme val="minor"/>
          </rPr>
          <t>Introducir un texto con el nombre o referencia de la contratación</t>
        </r>
      </text>
    </comment>
    <comment ref="B1903" authorId="1" shapeId="0" xr:uid="{3C0CDF5C-4040-45C1-A5EB-D38DE8119906}">
      <text>
        <r>
          <rPr>
            <sz val="11"/>
            <color theme="1"/>
            <rFont val="Calibri"/>
            <family val="2"/>
            <scheme val="minor"/>
          </rPr>
          <t>Introduzca un texto con la finalidad de la contratación</t>
        </r>
      </text>
    </comment>
    <comment ref="C1903" authorId="1" shapeId="0" xr:uid="{EFE3EB8E-C519-47F9-A4A1-83E0A7AC190C}">
      <text>
        <r>
          <rPr>
            <sz val="11"/>
            <color theme="1"/>
            <rFont val="Calibri"/>
            <family val="2"/>
            <scheme val="minor"/>
          </rPr>
          <t>Seleccionar un valor del listado</t>
        </r>
      </text>
    </comment>
    <comment ref="D1903" authorId="1" shapeId="0" xr:uid="{7451F08B-E5DD-446E-8C4E-3A974DAF58FF}">
      <text>
        <r>
          <rPr>
            <sz val="11"/>
            <color theme="1"/>
            <rFont val="Calibri"/>
            <family val="2"/>
            <scheme val="minor"/>
          </rPr>
          <t>Seleccione el tipo de procedimiento</t>
        </r>
      </text>
    </comment>
    <comment ref="E1903" authorId="1" shapeId="0" xr:uid="{92EEF04D-377A-46B8-B7F0-D8051F8F154F}">
      <text>
        <r>
          <rPr>
            <sz val="11"/>
            <color theme="1"/>
            <rFont val="Calibri"/>
            <family val="2"/>
            <scheme val="minor"/>
          </rPr>
          <t>Seleccione un valor de la lista</t>
        </r>
      </text>
    </comment>
    <comment ref="F1903" authorId="1" shapeId="0" xr:uid="{F4414E3E-B71F-484F-B6B9-98A83BECEABE}">
      <text>
        <r>
          <rPr>
            <sz val="11"/>
            <color theme="1"/>
            <rFont val="Calibri"/>
            <family val="2"/>
            <scheme val="minor"/>
          </rPr>
          <t>Introduzca el código SNIP</t>
        </r>
      </text>
    </comment>
    <comment ref="C1904" authorId="1" shapeId="0" xr:uid="{4B1131EC-3C16-47B1-9D92-73669393FB25}">
      <text>
        <r>
          <rPr>
            <sz val="11"/>
            <color theme="1"/>
            <rFont val="Calibri"/>
            <family val="2"/>
            <scheme val="minor"/>
          </rPr>
          <t>Introduzca la fecha de inicio del proceso, en formato dd-mm-aaaa</t>
        </r>
      </text>
    </comment>
    <comment ref="F1904" authorId="1" shapeId="0" xr:uid="{982D1F42-2A12-45A8-A52A-0976D73576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5" authorId="1" shapeId="0" xr:uid="{9DB842B9-0BB0-4214-8B47-5A1C3BEF88EE}">
      <text/>
    </comment>
    <comment ref="C1906" authorId="1" shapeId="0" xr:uid="{9793EA99-D147-444E-9D1C-3C719F2E579E}">
      <text>
        <r>
          <rPr>
            <sz val="11"/>
            <color theme="1"/>
            <rFont val="Calibri"/>
            <family val="2"/>
            <scheme val="minor"/>
          </rPr>
          <t>Introduzca la fecha prevista de adjudicación, en formato dd-mm-aaaa</t>
        </r>
      </text>
    </comment>
    <comment ref="F1906" authorId="1" shapeId="0" xr:uid="{0B053530-C382-4EEF-B97E-15A059F14125}">
      <text/>
    </comment>
    <comment ref="F1907" authorId="1" shapeId="0" xr:uid="{A7A8BEB7-09EB-410E-91FB-B2849C262C1A}">
      <text/>
    </comment>
    <comment ref="A1909" authorId="1" shapeId="0" xr:uid="{1E1F7D8D-D525-44FE-B0C7-06BF76BCDD53}">
      <text>
        <r>
          <rPr>
            <sz val="11"/>
            <color theme="1"/>
            <rFont val="Calibri"/>
            <family val="2"/>
            <scheme val="minor"/>
          </rPr>
          <t>Introduzca un codigo UNSPSC</t>
        </r>
      </text>
    </comment>
    <comment ref="B1909" authorId="1" shapeId="0" xr:uid="{716BFEE7-497F-4878-9D93-E55112507AA8}">
      <text>
        <r>
          <rPr>
            <sz val="11"/>
            <color theme="1"/>
            <rFont val="Calibri"/>
            <family val="2"/>
            <scheme val="minor"/>
          </rPr>
          <t>Descripción calculada automáticamente a partir de código del artículo</t>
        </r>
      </text>
    </comment>
    <comment ref="C1909" authorId="1" shapeId="0" xr:uid="{AA0606E3-9049-4EFD-9DD3-D3F950837773}">
      <text>
        <r>
          <rPr>
            <sz val="11"/>
            <color theme="1"/>
            <rFont val="Calibri"/>
            <family val="2"/>
            <scheme val="minor"/>
          </rPr>
          <t>Seleccione un valor de la lista</t>
        </r>
      </text>
    </comment>
    <comment ref="D1909" authorId="1" shapeId="0" xr:uid="{A6DCDBA2-5992-477E-8D7D-6958FEABFBD0}">
      <text>
        <r>
          <rPr>
            <sz val="11"/>
            <color theme="1"/>
            <rFont val="Calibri"/>
            <family val="2"/>
            <scheme val="minor"/>
          </rPr>
          <t>Introduzca un número con dos decimales como máximo. Debe ser igual o mayor a la "Cantidad Real Consumida"</t>
        </r>
      </text>
    </comment>
    <comment ref="E1909" authorId="1" shapeId="0" xr:uid="{BEB9837C-7F82-4084-B27E-F4DE87882CB2}">
      <text>
        <r>
          <rPr>
            <sz val="11"/>
            <color theme="1"/>
            <rFont val="Calibri"/>
            <family val="2"/>
            <scheme val="minor"/>
          </rPr>
          <t>Introduzca un número con dos decimales como máximo</t>
        </r>
      </text>
    </comment>
    <comment ref="F1909" authorId="1" shapeId="0" xr:uid="{EF66D53A-3826-4FE0-BFA1-840469F0D0F6}">
      <text>
        <r>
          <rPr>
            <sz val="11"/>
            <color theme="1"/>
            <rFont val="Calibri"/>
            <family val="2"/>
            <scheme val="minor"/>
          </rPr>
          <t>Monto calculado automáticamente por el sistema</t>
        </r>
      </text>
    </comment>
    <comment ref="A1915" authorId="1" shapeId="0" xr:uid="{C298B867-D218-4D7A-9205-3B6227927502}">
      <text>
        <r>
          <rPr>
            <sz val="11"/>
            <color theme="1"/>
            <rFont val="Calibri"/>
            <family val="2"/>
            <scheme val="minor"/>
          </rPr>
          <t>Introducir un texto con el nombre o referencia de la contratación</t>
        </r>
      </text>
    </comment>
    <comment ref="B1915" authorId="1" shapeId="0" xr:uid="{DD285B47-F0CC-4808-8858-6B36D7A98E1E}">
      <text>
        <r>
          <rPr>
            <sz val="11"/>
            <color theme="1"/>
            <rFont val="Calibri"/>
            <family val="2"/>
            <scheme val="minor"/>
          </rPr>
          <t>Introduzca un texto con la finalidad de la contratación</t>
        </r>
      </text>
    </comment>
    <comment ref="C1915" authorId="1" shapeId="0" xr:uid="{455FB028-27F2-49FE-B81B-B3B7AF8008A7}">
      <text>
        <r>
          <rPr>
            <sz val="11"/>
            <color theme="1"/>
            <rFont val="Calibri"/>
            <family val="2"/>
            <scheme val="minor"/>
          </rPr>
          <t>Seleccionar un valor del listado</t>
        </r>
      </text>
    </comment>
    <comment ref="D1915" authorId="1" shapeId="0" xr:uid="{9958B441-B49C-4BD9-BFA0-4989517B3EE3}">
      <text>
        <r>
          <rPr>
            <sz val="11"/>
            <color theme="1"/>
            <rFont val="Calibri"/>
            <family val="2"/>
            <scheme val="minor"/>
          </rPr>
          <t>Seleccione el tipo de procedimiento</t>
        </r>
      </text>
    </comment>
    <comment ref="E1915" authorId="1" shapeId="0" xr:uid="{B71FCF9F-4DF6-4448-BD86-09A5397420F8}">
      <text>
        <r>
          <rPr>
            <sz val="11"/>
            <color theme="1"/>
            <rFont val="Calibri"/>
            <family val="2"/>
            <scheme val="minor"/>
          </rPr>
          <t>Seleccione un valor de la lista</t>
        </r>
      </text>
    </comment>
    <comment ref="F1915" authorId="1" shapeId="0" xr:uid="{7CAB2F1C-EC2F-42E7-9D31-C600E890FE16}">
      <text>
        <r>
          <rPr>
            <sz val="11"/>
            <color theme="1"/>
            <rFont val="Calibri"/>
            <family val="2"/>
            <scheme val="minor"/>
          </rPr>
          <t>Introduzca el código SNIP</t>
        </r>
      </text>
    </comment>
    <comment ref="C1916" authorId="1" shapeId="0" xr:uid="{DE173E24-9F90-4F27-B7B4-0D02BC905B84}">
      <text>
        <r>
          <rPr>
            <sz val="11"/>
            <color theme="1"/>
            <rFont val="Calibri"/>
            <family val="2"/>
            <scheme val="minor"/>
          </rPr>
          <t>Introduzca la fecha de inicio del proceso, en formato dd-mm-aaaa</t>
        </r>
      </text>
    </comment>
    <comment ref="F1916" authorId="1" shapeId="0" xr:uid="{77DCEDD6-41CC-4C2D-A0D6-CF6B980AF2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7" authorId="1" shapeId="0" xr:uid="{B7A38A33-2478-44A6-9D56-AA0B170483A2}">
      <text/>
    </comment>
    <comment ref="C1918" authorId="1" shapeId="0" xr:uid="{C1C0A9FD-4BF6-4DB3-A918-95A93BD7CDD7}">
      <text>
        <r>
          <rPr>
            <sz val="11"/>
            <color theme="1"/>
            <rFont val="Calibri"/>
            <family val="2"/>
            <scheme val="minor"/>
          </rPr>
          <t>Introduzca la fecha prevista de adjudicación, en formato dd-mm-aaaa</t>
        </r>
      </text>
    </comment>
    <comment ref="F1918" authorId="1" shapeId="0" xr:uid="{DE57DA8E-8A01-4F90-9F1A-65A69B7421AE}">
      <text/>
    </comment>
    <comment ref="F1919" authorId="1" shapeId="0" xr:uid="{A4030336-2BE5-4418-8242-DFFC67E80142}">
      <text/>
    </comment>
    <comment ref="A1921" authorId="1" shapeId="0" xr:uid="{1145F6B2-E42B-4977-A289-30CE319940B6}">
      <text>
        <r>
          <rPr>
            <sz val="11"/>
            <color theme="1"/>
            <rFont val="Calibri"/>
            <family val="2"/>
            <scheme val="minor"/>
          </rPr>
          <t>Introduzca un codigo UNSPSC</t>
        </r>
      </text>
    </comment>
    <comment ref="B1921" authorId="1" shapeId="0" xr:uid="{2AC64A4A-E30A-4777-BEB2-2FEC75634C91}">
      <text>
        <r>
          <rPr>
            <sz val="11"/>
            <color theme="1"/>
            <rFont val="Calibri"/>
            <family val="2"/>
            <scheme val="minor"/>
          </rPr>
          <t>Descripción calculada automáticamente a partir de código del artículo</t>
        </r>
      </text>
    </comment>
    <comment ref="C1921" authorId="1" shapeId="0" xr:uid="{6CD0892C-E974-43D9-B488-9CC2117AC80B}">
      <text>
        <r>
          <rPr>
            <sz val="11"/>
            <color theme="1"/>
            <rFont val="Calibri"/>
            <family val="2"/>
            <scheme val="minor"/>
          </rPr>
          <t>Seleccione un valor de la lista</t>
        </r>
      </text>
    </comment>
    <comment ref="D1921" authorId="1" shapeId="0" xr:uid="{B9F405AB-79F7-45FD-92BA-130D90CF5CDF}">
      <text>
        <r>
          <rPr>
            <sz val="11"/>
            <color theme="1"/>
            <rFont val="Calibri"/>
            <family val="2"/>
            <scheme val="minor"/>
          </rPr>
          <t>Introduzca un número con dos decimales como máximo. Debe ser igual o mayor a la "Cantidad Real Consumida"</t>
        </r>
      </text>
    </comment>
    <comment ref="E1921" authorId="1" shapeId="0" xr:uid="{ED7CF08A-0FAD-42A3-8A18-1BD15C7308D2}">
      <text>
        <r>
          <rPr>
            <sz val="11"/>
            <color theme="1"/>
            <rFont val="Calibri"/>
            <family val="2"/>
            <scheme val="minor"/>
          </rPr>
          <t>Introduzca un número con dos decimales como máximo</t>
        </r>
      </text>
    </comment>
    <comment ref="F1921" authorId="1" shapeId="0" xr:uid="{EF9C1D64-20A7-452A-8A14-4032DC62AA20}">
      <text>
        <r>
          <rPr>
            <sz val="11"/>
            <color theme="1"/>
            <rFont val="Calibri"/>
            <family val="2"/>
            <scheme val="minor"/>
          </rPr>
          <t>Monto calculado automáticamente por el sistema</t>
        </r>
      </text>
    </comment>
    <comment ref="A1928" authorId="1" shapeId="0" xr:uid="{7301E777-A99F-4B78-A55F-9EFE77202AF1}">
      <text>
        <r>
          <rPr>
            <sz val="11"/>
            <color theme="1"/>
            <rFont val="Calibri"/>
            <family val="2"/>
            <scheme val="minor"/>
          </rPr>
          <t>Introducir un texto con el nombre o referencia de la contratación</t>
        </r>
      </text>
    </comment>
    <comment ref="B1928" authorId="1" shapeId="0" xr:uid="{65BE806F-F6FD-4727-9B9B-92E1308F5AD7}">
      <text>
        <r>
          <rPr>
            <sz val="11"/>
            <color theme="1"/>
            <rFont val="Calibri"/>
            <family val="2"/>
            <scheme val="minor"/>
          </rPr>
          <t>Introduzca un texto con la finalidad de la contratación</t>
        </r>
      </text>
    </comment>
    <comment ref="C1928" authorId="1" shapeId="0" xr:uid="{4C607D7B-33A4-4F70-8210-F4F7A0AA3FED}">
      <text>
        <r>
          <rPr>
            <sz val="11"/>
            <color theme="1"/>
            <rFont val="Calibri"/>
            <family val="2"/>
            <scheme val="minor"/>
          </rPr>
          <t>Seleccionar un valor del listado</t>
        </r>
      </text>
    </comment>
    <comment ref="D1928" authorId="1" shapeId="0" xr:uid="{D90CF94D-4CD1-4A27-984E-0BF2355D08A8}">
      <text>
        <r>
          <rPr>
            <sz val="11"/>
            <color theme="1"/>
            <rFont val="Calibri"/>
            <family val="2"/>
            <scheme val="minor"/>
          </rPr>
          <t>Seleccione el tipo de procedimiento</t>
        </r>
      </text>
    </comment>
    <comment ref="E1928" authorId="1" shapeId="0" xr:uid="{4CCF47EE-8E12-4020-A186-67B41413EA1E}">
      <text>
        <r>
          <rPr>
            <sz val="11"/>
            <color theme="1"/>
            <rFont val="Calibri"/>
            <family val="2"/>
            <scheme val="minor"/>
          </rPr>
          <t>Seleccione un valor de la lista</t>
        </r>
      </text>
    </comment>
    <comment ref="F1928" authorId="1" shapeId="0" xr:uid="{7327A2BD-0A8D-48DA-9D8B-DB6185C6D39D}">
      <text>
        <r>
          <rPr>
            <sz val="11"/>
            <color theme="1"/>
            <rFont val="Calibri"/>
            <family val="2"/>
            <scheme val="minor"/>
          </rPr>
          <t>Introduzca el código SNIP</t>
        </r>
      </text>
    </comment>
    <comment ref="C1929" authorId="1" shapeId="0" xr:uid="{A1B0C67A-89AA-468D-872F-0040B5569355}">
      <text>
        <r>
          <rPr>
            <sz val="11"/>
            <color theme="1"/>
            <rFont val="Calibri"/>
            <family val="2"/>
            <scheme val="minor"/>
          </rPr>
          <t>Introduzca la fecha de inicio del proceso, en formato dd-mm-aaaa</t>
        </r>
      </text>
    </comment>
    <comment ref="F1929" authorId="1" shapeId="0" xr:uid="{C982DAF2-493B-4871-9DB2-E2604AE6E4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0" authorId="1" shapeId="0" xr:uid="{722F6BAE-F10E-41BC-BDC6-B38017B10FA1}">
      <text/>
    </comment>
    <comment ref="C1931" authorId="1" shapeId="0" xr:uid="{BDE452A4-0494-439A-BBF5-D8FCFBEB64A1}">
      <text>
        <r>
          <rPr>
            <sz val="11"/>
            <color theme="1"/>
            <rFont val="Calibri"/>
            <family val="2"/>
            <scheme val="minor"/>
          </rPr>
          <t>Introduzca la fecha prevista de adjudicación, en formato dd-mm-aaaa</t>
        </r>
      </text>
    </comment>
    <comment ref="F1931" authorId="1" shapeId="0" xr:uid="{784BED8B-FC8C-496B-8F18-B8EF67383529}">
      <text/>
    </comment>
    <comment ref="F1932" authorId="1" shapeId="0" xr:uid="{4A666BBB-B7E3-43CF-8375-60391222F5BF}">
      <text/>
    </comment>
    <comment ref="A1934" authorId="1" shapeId="0" xr:uid="{2D15438A-1885-4E8A-9945-C8B9BF4E9F8B}">
      <text>
        <r>
          <rPr>
            <sz val="11"/>
            <color theme="1"/>
            <rFont val="Calibri"/>
            <family val="2"/>
            <scheme val="minor"/>
          </rPr>
          <t>Introduzca un codigo UNSPSC</t>
        </r>
      </text>
    </comment>
    <comment ref="B1934" authorId="1" shapeId="0" xr:uid="{52ED0D5D-FF21-4429-92E5-34488D86E504}">
      <text>
        <r>
          <rPr>
            <sz val="11"/>
            <color theme="1"/>
            <rFont val="Calibri"/>
            <family val="2"/>
            <scheme val="minor"/>
          </rPr>
          <t>Descripción calculada automáticamente a partir de código del artículo</t>
        </r>
      </text>
    </comment>
    <comment ref="C1934" authorId="1" shapeId="0" xr:uid="{F02DF182-48B2-40D7-9536-4235D1ABC173}">
      <text>
        <r>
          <rPr>
            <sz val="11"/>
            <color theme="1"/>
            <rFont val="Calibri"/>
            <family val="2"/>
            <scheme val="minor"/>
          </rPr>
          <t>Seleccione un valor de la lista</t>
        </r>
      </text>
    </comment>
    <comment ref="D1934" authorId="1" shapeId="0" xr:uid="{A87A03E5-0F78-46DC-985C-A4BA0785F785}">
      <text>
        <r>
          <rPr>
            <sz val="11"/>
            <color theme="1"/>
            <rFont val="Calibri"/>
            <family val="2"/>
            <scheme val="minor"/>
          </rPr>
          <t>Introduzca un número con dos decimales como máximo. Debe ser igual o mayor a la "Cantidad Real Consumida"</t>
        </r>
      </text>
    </comment>
    <comment ref="E1934" authorId="1" shapeId="0" xr:uid="{03F52B88-3D6D-4540-BB52-BE8EC61FFF25}">
      <text>
        <r>
          <rPr>
            <sz val="11"/>
            <color theme="1"/>
            <rFont val="Calibri"/>
            <family val="2"/>
            <scheme val="minor"/>
          </rPr>
          <t>Introduzca un número con dos decimales como máximo</t>
        </r>
      </text>
    </comment>
    <comment ref="F1934" authorId="1" shapeId="0" xr:uid="{3D3F2D44-B5F5-4F26-ABA3-188F521F7DAD}">
      <text>
        <r>
          <rPr>
            <sz val="11"/>
            <color theme="1"/>
            <rFont val="Calibri"/>
            <family val="2"/>
            <scheme val="minor"/>
          </rPr>
          <t>Monto calculado automáticamente por el sistema</t>
        </r>
      </text>
    </comment>
    <comment ref="A1940" authorId="1" shapeId="0" xr:uid="{F80F6966-A58F-4ADD-B8CA-FD4C4224AF88}">
      <text>
        <r>
          <rPr>
            <sz val="11"/>
            <color theme="1"/>
            <rFont val="Calibri"/>
            <family val="2"/>
            <scheme val="minor"/>
          </rPr>
          <t>Introducir un texto con el nombre o referencia de la contratación</t>
        </r>
      </text>
    </comment>
    <comment ref="B1940" authorId="1" shapeId="0" xr:uid="{2F67890C-0B3F-443D-A26D-C42B5B9F86F7}">
      <text>
        <r>
          <rPr>
            <sz val="11"/>
            <color theme="1"/>
            <rFont val="Calibri"/>
            <family val="2"/>
            <scheme val="minor"/>
          </rPr>
          <t>Introduzca un texto con la finalidad de la contratación</t>
        </r>
      </text>
    </comment>
    <comment ref="C1940" authorId="1" shapeId="0" xr:uid="{9EA58DC7-9814-482D-BDD6-32C5A1DD4CF7}">
      <text>
        <r>
          <rPr>
            <sz val="11"/>
            <color theme="1"/>
            <rFont val="Calibri"/>
            <family val="2"/>
            <scheme val="minor"/>
          </rPr>
          <t>Seleccionar un valor del listado</t>
        </r>
      </text>
    </comment>
    <comment ref="D1940" authorId="1" shapeId="0" xr:uid="{DE0309C4-3CFC-4461-9D9B-918339A69E0D}">
      <text>
        <r>
          <rPr>
            <sz val="11"/>
            <color theme="1"/>
            <rFont val="Calibri"/>
            <family val="2"/>
            <scheme val="minor"/>
          </rPr>
          <t>Seleccione el tipo de procedimiento</t>
        </r>
      </text>
    </comment>
    <comment ref="E1940" authorId="1" shapeId="0" xr:uid="{B6A0C623-0072-4415-8EBB-A8FC67509AD3}">
      <text>
        <r>
          <rPr>
            <sz val="11"/>
            <color theme="1"/>
            <rFont val="Calibri"/>
            <family val="2"/>
            <scheme val="minor"/>
          </rPr>
          <t>Seleccione un valor de la lista</t>
        </r>
      </text>
    </comment>
    <comment ref="F1940" authorId="1" shapeId="0" xr:uid="{D48BF8F6-8509-4621-BDCD-96BE8E9D61EB}">
      <text>
        <r>
          <rPr>
            <sz val="11"/>
            <color theme="1"/>
            <rFont val="Calibri"/>
            <family val="2"/>
            <scheme val="minor"/>
          </rPr>
          <t>Introduzca el código SNIP</t>
        </r>
      </text>
    </comment>
    <comment ref="C1941" authorId="1" shapeId="0" xr:uid="{8A18EF3B-786A-4925-8A16-B39FC2941D43}">
      <text>
        <r>
          <rPr>
            <sz val="11"/>
            <color theme="1"/>
            <rFont val="Calibri"/>
            <family val="2"/>
            <scheme val="minor"/>
          </rPr>
          <t>Introduzca la fecha de inicio del proceso, en formato dd-mm-aaaa</t>
        </r>
      </text>
    </comment>
    <comment ref="F1941" authorId="1" shapeId="0" xr:uid="{46B46B2B-19D2-4DE2-A191-72E6F5855F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2" authorId="1" shapeId="0" xr:uid="{48AFA86B-AB47-49C8-A121-7A385C91F737}">
      <text/>
    </comment>
    <comment ref="C1943" authorId="1" shapeId="0" xr:uid="{7B50C107-3CCE-4BEB-A556-2AD795D4C32E}">
      <text>
        <r>
          <rPr>
            <sz val="11"/>
            <color theme="1"/>
            <rFont val="Calibri"/>
            <family val="2"/>
            <scheme val="minor"/>
          </rPr>
          <t>Introduzca la fecha prevista de adjudicación, en formato dd-mm-aaaa</t>
        </r>
      </text>
    </comment>
    <comment ref="F1943" authorId="1" shapeId="0" xr:uid="{5C269974-CD87-4E69-8CA4-2D759CFC174B}">
      <text/>
    </comment>
    <comment ref="F1944" authorId="1" shapeId="0" xr:uid="{02E28283-FF7F-4721-8F81-BE77FF3BF0BC}">
      <text/>
    </comment>
    <comment ref="A1946" authorId="1" shapeId="0" xr:uid="{3D170446-5E37-4411-AE0A-2B10ABCED76A}">
      <text>
        <r>
          <rPr>
            <sz val="11"/>
            <color theme="1"/>
            <rFont val="Calibri"/>
            <family val="2"/>
            <scheme val="minor"/>
          </rPr>
          <t>Introduzca un codigo UNSPSC</t>
        </r>
      </text>
    </comment>
    <comment ref="B1946" authorId="1" shapeId="0" xr:uid="{27A5E89B-B93B-4DD3-A075-AB11B057D39A}">
      <text>
        <r>
          <rPr>
            <sz val="11"/>
            <color theme="1"/>
            <rFont val="Calibri"/>
            <family val="2"/>
            <scheme val="minor"/>
          </rPr>
          <t>Descripción calculada automáticamente a partir de código del artículo</t>
        </r>
      </text>
    </comment>
    <comment ref="C1946" authorId="1" shapeId="0" xr:uid="{0EBBBF99-E97B-4874-9BFD-25C388E3B5C3}">
      <text>
        <r>
          <rPr>
            <sz val="11"/>
            <color theme="1"/>
            <rFont val="Calibri"/>
            <family val="2"/>
            <scheme val="minor"/>
          </rPr>
          <t>Seleccione un valor de la lista</t>
        </r>
      </text>
    </comment>
    <comment ref="D1946" authorId="1" shapeId="0" xr:uid="{EA761C59-2C4A-4099-99BF-5E38DA8126CB}">
      <text>
        <r>
          <rPr>
            <sz val="11"/>
            <color theme="1"/>
            <rFont val="Calibri"/>
            <family val="2"/>
            <scheme val="minor"/>
          </rPr>
          <t>Introduzca un número con dos decimales como máximo. Debe ser igual o mayor a la "Cantidad Real Consumida"</t>
        </r>
      </text>
    </comment>
    <comment ref="E1946" authorId="1" shapeId="0" xr:uid="{305FA319-07D3-4A6C-AD7B-8A8D68862044}">
      <text>
        <r>
          <rPr>
            <sz val="11"/>
            <color theme="1"/>
            <rFont val="Calibri"/>
            <family val="2"/>
            <scheme val="minor"/>
          </rPr>
          <t>Introduzca un número con dos decimales como máximo</t>
        </r>
      </text>
    </comment>
    <comment ref="F1946" authorId="1" shapeId="0" xr:uid="{A7BA0478-C773-41BF-AF31-567B79632902}">
      <text>
        <r>
          <rPr>
            <sz val="11"/>
            <color theme="1"/>
            <rFont val="Calibri"/>
            <family val="2"/>
            <scheme val="minor"/>
          </rPr>
          <t>Monto calculado automáticamente por el sistema</t>
        </r>
      </text>
    </comment>
    <comment ref="A1952" authorId="1" shapeId="0" xr:uid="{7B2A7433-2BD9-4454-8186-6178BABB8581}">
      <text>
        <r>
          <rPr>
            <sz val="11"/>
            <color theme="1"/>
            <rFont val="Calibri"/>
            <family val="2"/>
            <scheme val="minor"/>
          </rPr>
          <t>Introducir un texto con el nombre o referencia de la contratación</t>
        </r>
      </text>
    </comment>
    <comment ref="B1952" authorId="1" shapeId="0" xr:uid="{D26A4CB6-61F9-4A5A-863B-0DF47DC12A60}">
      <text>
        <r>
          <rPr>
            <sz val="11"/>
            <color theme="1"/>
            <rFont val="Calibri"/>
            <family val="2"/>
            <scheme val="minor"/>
          </rPr>
          <t>Introduzca un texto con la finalidad de la contratación</t>
        </r>
      </text>
    </comment>
    <comment ref="C1952" authorId="1" shapeId="0" xr:uid="{B426142B-C3C9-438B-8161-AE512CC55972}">
      <text>
        <r>
          <rPr>
            <sz val="11"/>
            <color theme="1"/>
            <rFont val="Calibri"/>
            <family val="2"/>
            <scheme val="minor"/>
          </rPr>
          <t>Seleccionar un valor del listado</t>
        </r>
      </text>
    </comment>
    <comment ref="D1952" authorId="1" shapeId="0" xr:uid="{E0BFC341-00DD-4A48-BCF2-9CA26E906549}">
      <text>
        <r>
          <rPr>
            <sz val="11"/>
            <color theme="1"/>
            <rFont val="Calibri"/>
            <family val="2"/>
            <scheme val="minor"/>
          </rPr>
          <t>Seleccione el tipo de procedimiento</t>
        </r>
      </text>
    </comment>
    <comment ref="E1952" authorId="1" shapeId="0" xr:uid="{A0FDF313-434E-4878-928D-798B0E345C31}">
      <text>
        <r>
          <rPr>
            <sz val="11"/>
            <color theme="1"/>
            <rFont val="Calibri"/>
            <family val="2"/>
            <scheme val="minor"/>
          </rPr>
          <t>Seleccione un valor de la lista</t>
        </r>
      </text>
    </comment>
    <comment ref="F1952" authorId="1" shapeId="0" xr:uid="{C12DA96C-7CDD-4C2D-9733-691C5F0EB8DA}">
      <text>
        <r>
          <rPr>
            <sz val="11"/>
            <color theme="1"/>
            <rFont val="Calibri"/>
            <family val="2"/>
            <scheme val="minor"/>
          </rPr>
          <t>Introduzca el código SNIP</t>
        </r>
      </text>
    </comment>
    <comment ref="C1953" authorId="1" shapeId="0" xr:uid="{1BEE2868-5E3E-4389-87EE-9F47FCEDE070}">
      <text>
        <r>
          <rPr>
            <sz val="11"/>
            <color theme="1"/>
            <rFont val="Calibri"/>
            <family val="2"/>
            <scheme val="minor"/>
          </rPr>
          <t>Introduzca la fecha de inicio del proceso, en formato dd-mm-aaaa</t>
        </r>
      </text>
    </comment>
    <comment ref="F1953" authorId="1" shapeId="0" xr:uid="{6C2C7E50-C01C-4461-A374-1F9CC154BF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4" authorId="1" shapeId="0" xr:uid="{80F04491-764A-468C-A884-A714B0C96FA6}">
      <text/>
    </comment>
    <comment ref="C1955" authorId="1" shapeId="0" xr:uid="{B1D0EEC8-A46D-419A-9585-6F016ED55333}">
      <text>
        <r>
          <rPr>
            <sz val="11"/>
            <color theme="1"/>
            <rFont val="Calibri"/>
            <family val="2"/>
            <scheme val="minor"/>
          </rPr>
          <t>Introduzca la fecha prevista de adjudicación, en formato dd-mm-aaaa</t>
        </r>
      </text>
    </comment>
    <comment ref="F1955" authorId="1" shapeId="0" xr:uid="{34BB690D-4E61-46A3-9E4D-245D2653B092}">
      <text/>
    </comment>
    <comment ref="F1956" authorId="1" shapeId="0" xr:uid="{F69D3296-8AEF-4AFD-A997-8E485D340F23}">
      <text/>
    </comment>
    <comment ref="A1958" authorId="1" shapeId="0" xr:uid="{AC9DAE6B-8866-4E72-94F6-21D7DFB10CDA}">
      <text>
        <r>
          <rPr>
            <sz val="11"/>
            <color theme="1"/>
            <rFont val="Calibri"/>
            <family val="2"/>
            <scheme val="minor"/>
          </rPr>
          <t>Introduzca un codigo UNSPSC</t>
        </r>
      </text>
    </comment>
    <comment ref="B1958" authorId="1" shapeId="0" xr:uid="{4596E210-96B1-47AF-BBDC-F671D5243589}">
      <text>
        <r>
          <rPr>
            <sz val="11"/>
            <color theme="1"/>
            <rFont val="Calibri"/>
            <family val="2"/>
            <scheme val="minor"/>
          </rPr>
          <t>Descripción calculada automáticamente a partir de código del artículo</t>
        </r>
      </text>
    </comment>
    <comment ref="C1958" authorId="1" shapeId="0" xr:uid="{955B5CEF-0DA5-4386-9148-E37B869E5AAF}">
      <text>
        <r>
          <rPr>
            <sz val="11"/>
            <color theme="1"/>
            <rFont val="Calibri"/>
            <family val="2"/>
            <scheme val="minor"/>
          </rPr>
          <t>Seleccione un valor de la lista</t>
        </r>
      </text>
    </comment>
    <comment ref="D1958" authorId="1" shapeId="0" xr:uid="{84AE926C-DB08-4841-B8DF-E2D8F7AA46BB}">
      <text>
        <r>
          <rPr>
            <sz val="11"/>
            <color theme="1"/>
            <rFont val="Calibri"/>
            <family val="2"/>
            <scheme val="minor"/>
          </rPr>
          <t>Introduzca un número con dos decimales como máximo. Debe ser igual o mayor a la "Cantidad Real Consumida"</t>
        </r>
      </text>
    </comment>
    <comment ref="E1958" authorId="1" shapeId="0" xr:uid="{CD618C0C-7AC5-4AA4-80D5-2C0D15C5CDD2}">
      <text>
        <r>
          <rPr>
            <sz val="11"/>
            <color theme="1"/>
            <rFont val="Calibri"/>
            <family val="2"/>
            <scheme val="minor"/>
          </rPr>
          <t>Introduzca un número con dos decimales como máximo</t>
        </r>
      </text>
    </comment>
    <comment ref="F1958" authorId="1" shapeId="0" xr:uid="{F6DE99F8-47B0-4055-B94F-D622FB211DA4}">
      <text>
        <r>
          <rPr>
            <sz val="11"/>
            <color theme="1"/>
            <rFont val="Calibri"/>
            <family val="2"/>
            <scheme val="minor"/>
          </rPr>
          <t>Monto calculado automáticamente por el sistema</t>
        </r>
      </text>
    </comment>
    <comment ref="A1968" authorId="1" shapeId="0" xr:uid="{6989A974-DA3A-47E1-82E1-DC7EFAE0CA93}">
      <text>
        <r>
          <rPr>
            <sz val="11"/>
            <color theme="1"/>
            <rFont val="Calibri"/>
            <family val="2"/>
            <scheme val="minor"/>
          </rPr>
          <t>Introducir un texto con el nombre o referencia de la contratación</t>
        </r>
      </text>
    </comment>
    <comment ref="B1968" authorId="1" shapeId="0" xr:uid="{24313997-5EBD-4237-A49C-231A1E9D5537}">
      <text>
        <r>
          <rPr>
            <sz val="11"/>
            <color theme="1"/>
            <rFont val="Calibri"/>
            <family val="2"/>
            <scheme val="minor"/>
          </rPr>
          <t>Introduzca un texto con la finalidad de la contratación</t>
        </r>
      </text>
    </comment>
    <comment ref="C1968" authorId="1" shapeId="0" xr:uid="{B1F4C384-4B71-4C37-B55F-3051DD9E2F78}">
      <text>
        <r>
          <rPr>
            <sz val="11"/>
            <color theme="1"/>
            <rFont val="Calibri"/>
            <family val="2"/>
            <scheme val="minor"/>
          </rPr>
          <t>Seleccionar un valor del listado</t>
        </r>
      </text>
    </comment>
    <comment ref="D1968" authorId="1" shapeId="0" xr:uid="{FEFA4D14-5DFD-4951-9D9B-F6EFDAEBADF6}">
      <text>
        <r>
          <rPr>
            <sz val="11"/>
            <color theme="1"/>
            <rFont val="Calibri"/>
            <family val="2"/>
            <scheme val="minor"/>
          </rPr>
          <t>Seleccione el tipo de procedimiento</t>
        </r>
      </text>
    </comment>
    <comment ref="E1968" authorId="1" shapeId="0" xr:uid="{B061A402-94BB-4F92-887E-82AB9483F440}">
      <text>
        <r>
          <rPr>
            <sz val="11"/>
            <color theme="1"/>
            <rFont val="Calibri"/>
            <family val="2"/>
            <scheme val="minor"/>
          </rPr>
          <t>Seleccione un valor de la lista</t>
        </r>
      </text>
    </comment>
    <comment ref="F1968" authorId="1" shapeId="0" xr:uid="{267933C6-337C-45D5-A8E3-55866B5C833B}">
      <text>
        <r>
          <rPr>
            <sz val="11"/>
            <color theme="1"/>
            <rFont val="Calibri"/>
            <family val="2"/>
            <scheme val="minor"/>
          </rPr>
          <t>Introduzca el código SNIP</t>
        </r>
      </text>
    </comment>
    <comment ref="C1969" authorId="1" shapeId="0" xr:uid="{45B98AD1-DD15-4456-A108-659DFB86FC8D}">
      <text>
        <r>
          <rPr>
            <sz val="11"/>
            <color theme="1"/>
            <rFont val="Calibri"/>
            <family val="2"/>
            <scheme val="minor"/>
          </rPr>
          <t>Introduzca la fecha de inicio del proceso, en formato dd-mm-aaaa</t>
        </r>
      </text>
    </comment>
    <comment ref="F1969" authorId="1" shapeId="0" xr:uid="{E80EFF49-A6A7-4DD5-91A7-36DA36BAD6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0" authorId="1" shapeId="0" xr:uid="{4FDAF010-052F-4201-A70B-8A3AE2ED6EE1}">
      <text/>
    </comment>
    <comment ref="C1971" authorId="1" shapeId="0" xr:uid="{005A1729-48CA-4538-95E4-48D6E26FC6C0}">
      <text>
        <r>
          <rPr>
            <sz val="11"/>
            <color theme="1"/>
            <rFont val="Calibri"/>
            <family val="2"/>
            <scheme val="minor"/>
          </rPr>
          <t>Introduzca la fecha prevista de adjudicación, en formato dd-mm-aaaa</t>
        </r>
      </text>
    </comment>
    <comment ref="F1971" authorId="1" shapeId="0" xr:uid="{10108070-A120-46C7-93A3-512D5D530599}">
      <text/>
    </comment>
    <comment ref="F1972" authorId="1" shapeId="0" xr:uid="{1DAB1833-2140-4EDF-9809-0126006E2764}">
      <text/>
    </comment>
    <comment ref="A1974" authorId="1" shapeId="0" xr:uid="{2E3793CD-1597-48F0-9474-28342EB28BEB}">
      <text>
        <r>
          <rPr>
            <sz val="11"/>
            <color theme="1"/>
            <rFont val="Calibri"/>
            <family val="2"/>
            <scheme val="minor"/>
          </rPr>
          <t>Introduzca un codigo UNSPSC</t>
        </r>
      </text>
    </comment>
    <comment ref="B1974" authorId="1" shapeId="0" xr:uid="{6EF46EB0-74A8-446D-9C08-4301273CC8C0}">
      <text>
        <r>
          <rPr>
            <sz val="11"/>
            <color theme="1"/>
            <rFont val="Calibri"/>
            <family val="2"/>
            <scheme val="minor"/>
          </rPr>
          <t>Descripción calculada automáticamente a partir de código del artículo</t>
        </r>
      </text>
    </comment>
    <comment ref="C1974" authorId="1" shapeId="0" xr:uid="{22093C4A-35E2-430B-A3FB-FA9561F66D9E}">
      <text>
        <r>
          <rPr>
            <sz val="11"/>
            <color theme="1"/>
            <rFont val="Calibri"/>
            <family val="2"/>
            <scheme val="minor"/>
          </rPr>
          <t>Seleccione un valor de la lista</t>
        </r>
      </text>
    </comment>
    <comment ref="D1974" authorId="1" shapeId="0" xr:uid="{99576C76-67CE-4645-8569-CF51E9B612C9}">
      <text>
        <r>
          <rPr>
            <sz val="11"/>
            <color theme="1"/>
            <rFont val="Calibri"/>
            <family val="2"/>
            <scheme val="minor"/>
          </rPr>
          <t>Introduzca un número con dos decimales como máximo. Debe ser igual o mayor a la "Cantidad Real Consumida"</t>
        </r>
      </text>
    </comment>
    <comment ref="E1974" authorId="1" shapeId="0" xr:uid="{DD5C4687-7564-4A51-A8D4-9AAEF20955C5}">
      <text>
        <r>
          <rPr>
            <sz val="11"/>
            <color theme="1"/>
            <rFont val="Calibri"/>
            <family val="2"/>
            <scheme val="minor"/>
          </rPr>
          <t>Introduzca un número con dos decimales como máximo</t>
        </r>
      </text>
    </comment>
    <comment ref="F1974" authorId="1" shapeId="0" xr:uid="{FD08DA93-5790-4635-8EF5-DB82C4BD5C86}">
      <text>
        <r>
          <rPr>
            <sz val="11"/>
            <color theme="1"/>
            <rFont val="Calibri"/>
            <family val="2"/>
            <scheme val="minor"/>
          </rPr>
          <t>Monto calculado automáticamente por el sistema</t>
        </r>
      </text>
    </comment>
    <comment ref="A1982" authorId="1" shapeId="0" xr:uid="{F7ACEC16-73E6-40EA-A9BE-C32DF5051208}">
      <text>
        <r>
          <rPr>
            <sz val="11"/>
            <color theme="1"/>
            <rFont val="Calibri"/>
            <family val="2"/>
            <scheme val="minor"/>
          </rPr>
          <t>Introducir un texto con el nombre o referencia de la contratación</t>
        </r>
      </text>
    </comment>
    <comment ref="B1982" authorId="1" shapeId="0" xr:uid="{97337E02-7B47-4188-AF01-68C192582E50}">
      <text>
        <r>
          <rPr>
            <sz val="11"/>
            <color theme="1"/>
            <rFont val="Calibri"/>
            <family val="2"/>
            <scheme val="minor"/>
          </rPr>
          <t>Introduzca un texto con la finalidad de la contratación</t>
        </r>
      </text>
    </comment>
    <comment ref="C1982" authorId="1" shapeId="0" xr:uid="{D1AE03CA-3BD5-48F2-B25B-AD64D59EA22A}">
      <text>
        <r>
          <rPr>
            <sz val="11"/>
            <color theme="1"/>
            <rFont val="Calibri"/>
            <family val="2"/>
            <scheme val="minor"/>
          </rPr>
          <t>Seleccionar un valor del listado</t>
        </r>
      </text>
    </comment>
    <comment ref="D1982" authorId="1" shapeId="0" xr:uid="{43CFF026-2B11-4390-9B9A-F0D16FEFF935}">
      <text>
        <r>
          <rPr>
            <sz val="11"/>
            <color theme="1"/>
            <rFont val="Calibri"/>
            <family val="2"/>
            <scheme val="minor"/>
          </rPr>
          <t>Seleccione el tipo de procedimiento</t>
        </r>
      </text>
    </comment>
    <comment ref="E1982" authorId="1" shapeId="0" xr:uid="{98DA58CE-6057-4740-B880-286429E5FBFA}">
      <text>
        <r>
          <rPr>
            <sz val="11"/>
            <color theme="1"/>
            <rFont val="Calibri"/>
            <family val="2"/>
            <scheme val="minor"/>
          </rPr>
          <t>Seleccione un valor de la lista</t>
        </r>
      </text>
    </comment>
    <comment ref="F1982" authorId="1" shapeId="0" xr:uid="{82CC2616-DBA4-4DE0-B2C8-68893D305DE5}">
      <text>
        <r>
          <rPr>
            <sz val="11"/>
            <color theme="1"/>
            <rFont val="Calibri"/>
            <family val="2"/>
            <scheme val="minor"/>
          </rPr>
          <t>Introduzca el código SNIP</t>
        </r>
      </text>
    </comment>
    <comment ref="C1983" authorId="1" shapeId="0" xr:uid="{EC667758-9B58-4BEC-BA2E-0C6FB0B49069}">
      <text>
        <r>
          <rPr>
            <sz val="11"/>
            <color theme="1"/>
            <rFont val="Calibri"/>
            <family val="2"/>
            <scheme val="minor"/>
          </rPr>
          <t>Introduzca la fecha de inicio del proceso, en formato dd-mm-aaaa</t>
        </r>
      </text>
    </comment>
    <comment ref="F1983" authorId="1" shapeId="0" xr:uid="{9E96DB35-805B-46FA-A1AA-50DFE76192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4" authorId="1" shapeId="0" xr:uid="{77D6829C-E83C-48F4-9394-4C0EB0C7FC52}">
      <text/>
    </comment>
    <comment ref="C1985" authorId="1" shapeId="0" xr:uid="{953D67DF-4F4A-46FE-B3C7-B8894ED96E8D}">
      <text>
        <r>
          <rPr>
            <sz val="11"/>
            <color theme="1"/>
            <rFont val="Calibri"/>
            <family val="2"/>
            <scheme val="minor"/>
          </rPr>
          <t>Introduzca la fecha prevista de adjudicación, en formato dd-mm-aaaa</t>
        </r>
      </text>
    </comment>
    <comment ref="F1985" authorId="1" shapeId="0" xr:uid="{BF4ADD69-4219-4C3A-BA02-A2E829198508}">
      <text/>
    </comment>
    <comment ref="F1986" authorId="1" shapeId="0" xr:uid="{78359211-021C-407E-9D02-924807F6533A}">
      <text/>
    </comment>
    <comment ref="A1988" authorId="1" shapeId="0" xr:uid="{0B594E97-38C5-4D7D-BDAD-9D835F9E1783}">
      <text>
        <r>
          <rPr>
            <sz val="11"/>
            <color theme="1"/>
            <rFont val="Calibri"/>
            <family val="2"/>
            <scheme val="minor"/>
          </rPr>
          <t>Introduzca un codigo UNSPSC</t>
        </r>
      </text>
    </comment>
    <comment ref="B1988" authorId="1" shapeId="0" xr:uid="{9E40EE37-2A04-4970-999E-5CAD2C8701D6}">
      <text>
        <r>
          <rPr>
            <sz val="11"/>
            <color theme="1"/>
            <rFont val="Calibri"/>
            <family val="2"/>
            <scheme val="minor"/>
          </rPr>
          <t>Descripción calculada automáticamente a partir de código del artículo</t>
        </r>
      </text>
    </comment>
    <comment ref="C1988" authorId="1" shapeId="0" xr:uid="{50275676-5188-4273-82ED-D60BC0E95974}">
      <text>
        <r>
          <rPr>
            <sz val="11"/>
            <color theme="1"/>
            <rFont val="Calibri"/>
            <family val="2"/>
            <scheme val="minor"/>
          </rPr>
          <t>Seleccione un valor de la lista</t>
        </r>
      </text>
    </comment>
    <comment ref="D1988" authorId="1" shapeId="0" xr:uid="{AB31FD8D-7D18-4557-8B72-8EEED215948D}">
      <text>
        <r>
          <rPr>
            <sz val="11"/>
            <color theme="1"/>
            <rFont val="Calibri"/>
            <family val="2"/>
            <scheme val="minor"/>
          </rPr>
          <t>Introduzca un número con dos decimales como máximo. Debe ser igual o mayor a la "Cantidad Real Consumida"</t>
        </r>
      </text>
    </comment>
    <comment ref="E1988" authorId="1" shapeId="0" xr:uid="{9B9965BA-4ABA-4861-8A59-ECEC27F4DB6A}">
      <text>
        <r>
          <rPr>
            <sz val="11"/>
            <color theme="1"/>
            <rFont val="Calibri"/>
            <family val="2"/>
            <scheme val="minor"/>
          </rPr>
          <t>Introduzca un número con dos decimales como máximo</t>
        </r>
      </text>
    </comment>
    <comment ref="F1988" authorId="1" shapeId="0" xr:uid="{25FDC4A4-15FE-4930-8E56-DA673BE33399}">
      <text>
        <r>
          <rPr>
            <sz val="11"/>
            <color theme="1"/>
            <rFont val="Calibri"/>
            <family val="2"/>
            <scheme val="minor"/>
          </rPr>
          <t>Monto calculado automáticamente por el sistema</t>
        </r>
      </text>
    </comment>
    <comment ref="A1994" authorId="1" shapeId="0" xr:uid="{C85520EB-20C8-48AD-BE97-14B142807D7B}">
      <text>
        <r>
          <rPr>
            <sz val="11"/>
            <color theme="1"/>
            <rFont val="Calibri"/>
            <family val="2"/>
            <scheme val="minor"/>
          </rPr>
          <t>Introducir un texto con el nombre o referencia de la contratación</t>
        </r>
      </text>
    </comment>
    <comment ref="B1994" authorId="1" shapeId="0" xr:uid="{2A8B37FF-DE4B-4A2D-B8FE-BB074D3A68EA}">
      <text>
        <r>
          <rPr>
            <sz val="11"/>
            <color theme="1"/>
            <rFont val="Calibri"/>
            <family val="2"/>
            <scheme val="minor"/>
          </rPr>
          <t>Introduzca un texto con la finalidad de la contratación</t>
        </r>
      </text>
    </comment>
    <comment ref="C1994" authorId="1" shapeId="0" xr:uid="{0045AC5B-EF5C-41DA-890D-CED2D1985A96}">
      <text>
        <r>
          <rPr>
            <sz val="11"/>
            <color theme="1"/>
            <rFont val="Calibri"/>
            <family val="2"/>
            <scheme val="minor"/>
          </rPr>
          <t>Seleccionar un valor del listado</t>
        </r>
      </text>
    </comment>
    <comment ref="D1994" authorId="1" shapeId="0" xr:uid="{2EFC4A6A-43EA-4A1E-9A8E-B4F9696CBD7A}">
      <text>
        <r>
          <rPr>
            <sz val="11"/>
            <color theme="1"/>
            <rFont val="Calibri"/>
            <family val="2"/>
            <scheme val="minor"/>
          </rPr>
          <t>Seleccione el tipo de procedimiento</t>
        </r>
      </text>
    </comment>
    <comment ref="E1994" authorId="1" shapeId="0" xr:uid="{12505370-9C29-45C0-9F82-3957ED49660C}">
      <text>
        <r>
          <rPr>
            <sz val="11"/>
            <color theme="1"/>
            <rFont val="Calibri"/>
            <family val="2"/>
            <scheme val="minor"/>
          </rPr>
          <t>Seleccione un valor de la lista</t>
        </r>
      </text>
    </comment>
    <comment ref="F1994" authorId="1" shapeId="0" xr:uid="{AADB61FC-CC00-4B52-9F94-65D4CECAD6A0}">
      <text>
        <r>
          <rPr>
            <sz val="11"/>
            <color theme="1"/>
            <rFont val="Calibri"/>
            <family val="2"/>
            <scheme val="minor"/>
          </rPr>
          <t>Introduzca el código SNIP</t>
        </r>
      </text>
    </comment>
    <comment ref="C1995" authorId="1" shapeId="0" xr:uid="{473C59C1-4548-4902-AF78-0B4BBF4D4497}">
      <text>
        <r>
          <rPr>
            <sz val="11"/>
            <color theme="1"/>
            <rFont val="Calibri"/>
            <family val="2"/>
            <scheme val="minor"/>
          </rPr>
          <t>Introduzca la fecha de inicio del proceso, en formato dd-mm-aaaa</t>
        </r>
      </text>
    </comment>
    <comment ref="F1995" authorId="1" shapeId="0" xr:uid="{FB43C7B7-2A59-4B3E-965F-A39A03155B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6" authorId="1" shapeId="0" xr:uid="{EAD1A230-D350-4823-8037-C8B5B66E77D8}">
      <text/>
    </comment>
    <comment ref="C1997" authorId="1" shapeId="0" xr:uid="{5C618A5F-4B18-4D5F-98AB-C02683AE7931}">
      <text>
        <r>
          <rPr>
            <sz val="11"/>
            <color theme="1"/>
            <rFont val="Calibri"/>
            <family val="2"/>
            <scheme val="minor"/>
          </rPr>
          <t>Introduzca la fecha prevista de adjudicación, en formato dd-mm-aaaa</t>
        </r>
      </text>
    </comment>
    <comment ref="F1997" authorId="1" shapeId="0" xr:uid="{9C21F754-E6F2-4C51-9CE4-054EBE2D2CE0}">
      <text/>
    </comment>
    <comment ref="F1998" authorId="1" shapeId="0" xr:uid="{5D9DC688-C4A7-43AC-9185-07C86B8B60D7}">
      <text/>
    </comment>
    <comment ref="A2000" authorId="1" shapeId="0" xr:uid="{11013045-9485-4FDE-96C9-BF247F96AFD2}">
      <text>
        <r>
          <rPr>
            <sz val="11"/>
            <color theme="1"/>
            <rFont val="Calibri"/>
            <family val="2"/>
            <scheme val="minor"/>
          </rPr>
          <t>Introduzca un codigo UNSPSC</t>
        </r>
      </text>
    </comment>
    <comment ref="B2000" authorId="1" shapeId="0" xr:uid="{A4E59AD1-9FB7-49BF-BD48-B502907C9DC7}">
      <text>
        <r>
          <rPr>
            <sz val="11"/>
            <color theme="1"/>
            <rFont val="Calibri"/>
            <family val="2"/>
            <scheme val="minor"/>
          </rPr>
          <t>Descripción calculada automáticamente a partir de código del artículo</t>
        </r>
      </text>
    </comment>
    <comment ref="C2000" authorId="1" shapeId="0" xr:uid="{6A3D7223-6209-4DEF-BC8A-4BA17AF2BB43}">
      <text>
        <r>
          <rPr>
            <sz val="11"/>
            <color theme="1"/>
            <rFont val="Calibri"/>
            <family val="2"/>
            <scheme val="minor"/>
          </rPr>
          <t>Seleccione un valor de la lista</t>
        </r>
      </text>
    </comment>
    <comment ref="D2000" authorId="1" shapeId="0" xr:uid="{894821E5-A1A9-48E8-94A0-91C51AE00053}">
      <text>
        <r>
          <rPr>
            <sz val="11"/>
            <color theme="1"/>
            <rFont val="Calibri"/>
            <family val="2"/>
            <scheme val="minor"/>
          </rPr>
          <t>Introduzca un número con dos decimales como máximo. Debe ser igual o mayor a la "Cantidad Real Consumida"</t>
        </r>
      </text>
    </comment>
    <comment ref="E2000" authorId="1" shapeId="0" xr:uid="{3AEB5914-FF7F-469E-BCB7-8A2A8760F8D9}">
      <text>
        <r>
          <rPr>
            <sz val="11"/>
            <color theme="1"/>
            <rFont val="Calibri"/>
            <family val="2"/>
            <scheme val="minor"/>
          </rPr>
          <t>Introduzca un número con dos decimales como máximo</t>
        </r>
      </text>
    </comment>
    <comment ref="F2000" authorId="1" shapeId="0" xr:uid="{61B0D4F1-C85A-4925-9815-9C490944D855}">
      <text>
        <r>
          <rPr>
            <sz val="11"/>
            <color theme="1"/>
            <rFont val="Calibri"/>
            <family val="2"/>
            <scheme val="minor"/>
          </rPr>
          <t>Monto calculado automáticamente por el sistema</t>
        </r>
      </text>
    </comment>
    <comment ref="A2009" authorId="1" shapeId="0" xr:uid="{51576A7F-76F2-46A9-B0A3-A50A3E337B85}">
      <text>
        <r>
          <rPr>
            <sz val="11"/>
            <color theme="1"/>
            <rFont val="Calibri"/>
            <family val="2"/>
            <scheme val="minor"/>
          </rPr>
          <t>Introducir un texto con el nombre o referencia de la contratación</t>
        </r>
      </text>
    </comment>
    <comment ref="B2009" authorId="1" shapeId="0" xr:uid="{0E74D819-8224-4E96-BD05-637EE8BA4FE8}">
      <text>
        <r>
          <rPr>
            <sz val="11"/>
            <color theme="1"/>
            <rFont val="Calibri"/>
            <family val="2"/>
            <scheme val="minor"/>
          </rPr>
          <t>Introduzca un texto con la finalidad de la contratación</t>
        </r>
      </text>
    </comment>
    <comment ref="C2009" authorId="1" shapeId="0" xr:uid="{F668D121-BE24-4BAC-9879-7634FDD67F0F}">
      <text>
        <r>
          <rPr>
            <sz val="11"/>
            <color theme="1"/>
            <rFont val="Calibri"/>
            <family val="2"/>
            <scheme val="minor"/>
          </rPr>
          <t>Seleccionar un valor del listado</t>
        </r>
      </text>
    </comment>
    <comment ref="D2009" authorId="1" shapeId="0" xr:uid="{BFCA9BAC-C742-4223-B68A-4CD100E051DC}">
      <text>
        <r>
          <rPr>
            <sz val="11"/>
            <color theme="1"/>
            <rFont val="Calibri"/>
            <family val="2"/>
            <scheme val="minor"/>
          </rPr>
          <t>Seleccione el tipo de procedimiento</t>
        </r>
      </text>
    </comment>
    <comment ref="E2009" authorId="1" shapeId="0" xr:uid="{0263C2EE-1C6F-4D22-934B-D77114543C68}">
      <text>
        <r>
          <rPr>
            <sz val="11"/>
            <color theme="1"/>
            <rFont val="Calibri"/>
            <family val="2"/>
            <scheme val="minor"/>
          </rPr>
          <t>Seleccione un valor de la lista</t>
        </r>
      </text>
    </comment>
    <comment ref="F2009" authorId="1" shapeId="0" xr:uid="{7C676B9E-7977-47AF-AA4C-25B0B19241DC}">
      <text>
        <r>
          <rPr>
            <sz val="11"/>
            <color theme="1"/>
            <rFont val="Calibri"/>
            <family val="2"/>
            <scheme val="minor"/>
          </rPr>
          <t>Introduzca el código SNIP</t>
        </r>
      </text>
    </comment>
    <comment ref="C2010" authorId="1" shapeId="0" xr:uid="{1F24718B-3067-4538-9406-DBE5A51204F8}">
      <text>
        <r>
          <rPr>
            <sz val="11"/>
            <color theme="1"/>
            <rFont val="Calibri"/>
            <family val="2"/>
            <scheme val="minor"/>
          </rPr>
          <t>Introduzca la fecha de inicio del proceso, en formato dd-mm-aaaa</t>
        </r>
      </text>
    </comment>
    <comment ref="F2010" authorId="1" shapeId="0" xr:uid="{4447B2CF-1AF0-4F5E-AE82-FFF6A0EF06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1" authorId="1" shapeId="0" xr:uid="{8D027F24-CCBD-4C8E-A61A-5E6B1A16EED8}">
      <text/>
    </comment>
    <comment ref="C2012" authorId="1" shapeId="0" xr:uid="{192DAD12-2C81-4443-A17C-892791BF5380}">
      <text>
        <r>
          <rPr>
            <sz val="11"/>
            <color theme="1"/>
            <rFont val="Calibri"/>
            <family val="2"/>
            <scheme val="minor"/>
          </rPr>
          <t>Introduzca la fecha prevista de adjudicación, en formato dd-mm-aaaa</t>
        </r>
      </text>
    </comment>
    <comment ref="F2012" authorId="1" shapeId="0" xr:uid="{59934575-C354-45F4-9705-123DBED2003A}">
      <text/>
    </comment>
    <comment ref="F2013" authorId="1" shapeId="0" xr:uid="{FAABB884-BD70-4DFC-BF63-98A91DF97C80}">
      <text/>
    </comment>
    <comment ref="A2015" authorId="1" shapeId="0" xr:uid="{07F67CEE-20E9-43CE-9246-F47ED7BEDF5C}">
      <text>
        <r>
          <rPr>
            <sz val="11"/>
            <color theme="1"/>
            <rFont val="Calibri"/>
            <family val="2"/>
            <scheme val="minor"/>
          </rPr>
          <t>Introduzca un codigo UNSPSC</t>
        </r>
      </text>
    </comment>
    <comment ref="B2015" authorId="1" shapeId="0" xr:uid="{7F403731-235A-47EA-B010-0ED8C3EFCFED}">
      <text>
        <r>
          <rPr>
            <sz val="11"/>
            <color theme="1"/>
            <rFont val="Calibri"/>
            <family val="2"/>
            <scheme val="minor"/>
          </rPr>
          <t>Descripción calculada automáticamente a partir de código del artículo</t>
        </r>
      </text>
    </comment>
    <comment ref="C2015" authorId="1" shapeId="0" xr:uid="{A4FA4486-B475-45A1-B81C-6E6934861DF5}">
      <text>
        <r>
          <rPr>
            <sz val="11"/>
            <color theme="1"/>
            <rFont val="Calibri"/>
            <family val="2"/>
            <scheme val="minor"/>
          </rPr>
          <t>Seleccione un valor de la lista</t>
        </r>
      </text>
    </comment>
    <comment ref="D2015" authorId="1" shapeId="0" xr:uid="{FB0C1530-09F9-48EB-857D-87FAC055170C}">
      <text>
        <r>
          <rPr>
            <sz val="11"/>
            <color theme="1"/>
            <rFont val="Calibri"/>
            <family val="2"/>
            <scheme val="minor"/>
          </rPr>
          <t>Introduzca un número con dos decimales como máximo. Debe ser igual o mayor a la "Cantidad Real Consumida"</t>
        </r>
      </text>
    </comment>
    <comment ref="E2015" authorId="1" shapeId="0" xr:uid="{F74CF390-9398-48CD-BCD1-0FBC1B271BA0}">
      <text>
        <r>
          <rPr>
            <sz val="11"/>
            <color theme="1"/>
            <rFont val="Calibri"/>
            <family val="2"/>
            <scheme val="minor"/>
          </rPr>
          <t>Introduzca un número con dos decimales como máximo</t>
        </r>
      </text>
    </comment>
    <comment ref="F2015" authorId="1" shapeId="0" xr:uid="{A8E1A6E3-A51B-4170-A2BA-C1ABAB076D20}">
      <text>
        <r>
          <rPr>
            <sz val="11"/>
            <color theme="1"/>
            <rFont val="Calibri"/>
            <family val="2"/>
            <scheme val="minor"/>
          </rPr>
          <t>Monto calculado automáticamente por el sistema</t>
        </r>
      </text>
    </comment>
    <comment ref="A2020" authorId="1" shapeId="0" xr:uid="{2F8E6787-B1D5-4F4C-8F72-235A49343E3D}">
      <text>
        <r>
          <rPr>
            <sz val="11"/>
            <color theme="1"/>
            <rFont val="Calibri"/>
            <family val="2"/>
            <scheme val="minor"/>
          </rPr>
          <t>Introducir un texto con el nombre o referencia de la contratación</t>
        </r>
      </text>
    </comment>
    <comment ref="B2020" authorId="1" shapeId="0" xr:uid="{79AB41ED-BFF8-4318-8B16-226809CAFE76}">
      <text>
        <r>
          <rPr>
            <sz val="11"/>
            <color theme="1"/>
            <rFont val="Calibri"/>
            <family val="2"/>
            <scheme val="minor"/>
          </rPr>
          <t>Introduzca un texto con la finalidad de la contratación</t>
        </r>
      </text>
    </comment>
    <comment ref="C2020" authorId="1" shapeId="0" xr:uid="{28E48C68-CD78-4D1E-9965-684513A41AEB}">
      <text>
        <r>
          <rPr>
            <sz val="11"/>
            <color theme="1"/>
            <rFont val="Calibri"/>
            <family val="2"/>
            <scheme val="minor"/>
          </rPr>
          <t>Seleccionar un valor del listado</t>
        </r>
      </text>
    </comment>
    <comment ref="D2020" authorId="1" shapeId="0" xr:uid="{B16B4B11-8E2C-4C3B-9284-B63B38C1175A}">
      <text>
        <r>
          <rPr>
            <sz val="11"/>
            <color theme="1"/>
            <rFont val="Calibri"/>
            <family val="2"/>
            <scheme val="minor"/>
          </rPr>
          <t>Seleccione el tipo de procedimiento</t>
        </r>
      </text>
    </comment>
    <comment ref="E2020" authorId="1" shapeId="0" xr:uid="{37CB1492-008B-4A13-80A1-C160440EF2CE}">
      <text>
        <r>
          <rPr>
            <sz val="11"/>
            <color theme="1"/>
            <rFont val="Calibri"/>
            <family val="2"/>
            <scheme val="minor"/>
          </rPr>
          <t>Seleccione un valor de la lista</t>
        </r>
      </text>
    </comment>
    <comment ref="F2020" authorId="1" shapeId="0" xr:uid="{0981B8C2-1367-485A-8798-09C21DBD8C42}">
      <text>
        <r>
          <rPr>
            <sz val="11"/>
            <color theme="1"/>
            <rFont val="Calibri"/>
            <family val="2"/>
            <scheme val="minor"/>
          </rPr>
          <t>Introduzca el código SNIP</t>
        </r>
      </text>
    </comment>
    <comment ref="C2021" authorId="1" shapeId="0" xr:uid="{F72DAF78-1E55-4878-835E-C28627858969}">
      <text>
        <r>
          <rPr>
            <sz val="11"/>
            <color theme="1"/>
            <rFont val="Calibri"/>
            <family val="2"/>
            <scheme val="minor"/>
          </rPr>
          <t>Introduzca la fecha de inicio del proceso, en formato dd-mm-aaaa</t>
        </r>
      </text>
    </comment>
    <comment ref="F2021" authorId="1" shapeId="0" xr:uid="{3BB64199-6784-4083-B1BF-DF41754CA0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2" authorId="1" shapeId="0" xr:uid="{3F24BBCC-2E4A-4F42-A349-8C82CECDDD06}">
      <text/>
    </comment>
    <comment ref="C2023" authorId="1" shapeId="0" xr:uid="{56C4FA0D-7B32-482C-8EC7-7A50018DF923}">
      <text>
        <r>
          <rPr>
            <sz val="11"/>
            <color theme="1"/>
            <rFont val="Calibri"/>
            <family val="2"/>
            <scheme val="minor"/>
          </rPr>
          <t>Introduzca la fecha prevista de adjudicación, en formato dd-mm-aaaa</t>
        </r>
      </text>
    </comment>
    <comment ref="F2023" authorId="1" shapeId="0" xr:uid="{C35D9A44-9B2B-48D8-993C-5CD75451F81E}">
      <text/>
    </comment>
    <comment ref="F2024" authorId="1" shapeId="0" xr:uid="{BEB0463F-A6AC-44A5-9468-7F05A3C6A666}">
      <text/>
    </comment>
    <comment ref="A2026" authorId="1" shapeId="0" xr:uid="{207F70D7-33EA-4EA0-98CE-8D9F5860F696}">
      <text>
        <r>
          <rPr>
            <sz val="11"/>
            <color theme="1"/>
            <rFont val="Calibri"/>
            <family val="2"/>
            <scheme val="minor"/>
          </rPr>
          <t>Introduzca un codigo UNSPSC</t>
        </r>
      </text>
    </comment>
    <comment ref="B2026" authorId="1" shapeId="0" xr:uid="{E34E2A8C-AFC4-4F3C-ACE3-9DD1D0D29E94}">
      <text>
        <r>
          <rPr>
            <sz val="11"/>
            <color theme="1"/>
            <rFont val="Calibri"/>
            <family val="2"/>
            <scheme val="minor"/>
          </rPr>
          <t>Descripción calculada automáticamente a partir de código del artículo</t>
        </r>
      </text>
    </comment>
    <comment ref="C2026" authorId="1" shapeId="0" xr:uid="{5751F867-E0B5-4A81-B82F-6F480349877A}">
      <text>
        <r>
          <rPr>
            <sz val="11"/>
            <color theme="1"/>
            <rFont val="Calibri"/>
            <family val="2"/>
            <scheme val="minor"/>
          </rPr>
          <t>Seleccione un valor de la lista</t>
        </r>
      </text>
    </comment>
    <comment ref="D2026" authorId="1" shapeId="0" xr:uid="{5B2FB5DC-A8FD-4BA0-9FDD-883980B20BEE}">
      <text>
        <r>
          <rPr>
            <sz val="11"/>
            <color theme="1"/>
            <rFont val="Calibri"/>
            <family val="2"/>
            <scheme val="minor"/>
          </rPr>
          <t>Introduzca un número con dos decimales como máximo. Debe ser igual o mayor a la "Cantidad Real Consumida"</t>
        </r>
      </text>
    </comment>
    <comment ref="E2026" authorId="1" shapeId="0" xr:uid="{6D3732E7-D402-4224-A788-8924608214CF}">
      <text>
        <r>
          <rPr>
            <sz val="11"/>
            <color theme="1"/>
            <rFont val="Calibri"/>
            <family val="2"/>
            <scheme val="minor"/>
          </rPr>
          <t>Introduzca un número con dos decimales como máximo</t>
        </r>
      </text>
    </comment>
    <comment ref="F2026" authorId="1" shapeId="0" xr:uid="{8E84F133-C330-470C-8E4D-68B80C32D58D}">
      <text>
        <r>
          <rPr>
            <sz val="11"/>
            <color theme="1"/>
            <rFont val="Calibri"/>
            <family val="2"/>
            <scheme val="minor"/>
          </rPr>
          <t>Monto calculado automáticamente por el sistema</t>
        </r>
      </text>
    </comment>
    <comment ref="A2034" authorId="1" shapeId="0" xr:uid="{20BBF50B-6506-46BB-909E-4F6C0455AD64}">
      <text>
        <r>
          <rPr>
            <sz val="11"/>
            <color theme="1"/>
            <rFont val="Calibri"/>
            <family val="2"/>
            <scheme val="minor"/>
          </rPr>
          <t>Introducir un texto con el nombre o referencia de la contratación</t>
        </r>
      </text>
    </comment>
    <comment ref="B2034" authorId="1" shapeId="0" xr:uid="{08C5461B-3779-496D-9F78-98C08C43F6E1}">
      <text>
        <r>
          <rPr>
            <sz val="11"/>
            <color theme="1"/>
            <rFont val="Calibri"/>
            <family val="2"/>
            <scheme val="minor"/>
          </rPr>
          <t>Introduzca un texto con la finalidad de la contratación</t>
        </r>
      </text>
    </comment>
    <comment ref="C2034" authorId="1" shapeId="0" xr:uid="{98439D2A-B2F8-45ED-B876-9F2B0C225116}">
      <text>
        <r>
          <rPr>
            <sz val="11"/>
            <color theme="1"/>
            <rFont val="Calibri"/>
            <family val="2"/>
            <scheme val="minor"/>
          </rPr>
          <t>Seleccionar un valor del listado</t>
        </r>
      </text>
    </comment>
    <comment ref="D2034" authorId="1" shapeId="0" xr:uid="{A0211818-FBC8-48F0-A977-6400828DBDB5}">
      <text>
        <r>
          <rPr>
            <sz val="11"/>
            <color theme="1"/>
            <rFont val="Calibri"/>
            <family val="2"/>
            <scheme val="minor"/>
          </rPr>
          <t>Seleccione el tipo de procedimiento</t>
        </r>
      </text>
    </comment>
    <comment ref="E2034" authorId="1" shapeId="0" xr:uid="{30F46B53-4411-4A6D-9CDB-DCD8A0C7DD0E}">
      <text>
        <r>
          <rPr>
            <sz val="11"/>
            <color theme="1"/>
            <rFont val="Calibri"/>
            <family val="2"/>
            <scheme val="minor"/>
          </rPr>
          <t>Seleccione un valor de la lista</t>
        </r>
      </text>
    </comment>
    <comment ref="F2034" authorId="1" shapeId="0" xr:uid="{F5B3ECE4-5E95-4526-956E-1F0FA9607EE2}">
      <text>
        <r>
          <rPr>
            <sz val="11"/>
            <color theme="1"/>
            <rFont val="Calibri"/>
            <family val="2"/>
            <scheme val="minor"/>
          </rPr>
          <t>Introduzca el código SNIP</t>
        </r>
      </text>
    </comment>
    <comment ref="C2035" authorId="1" shapeId="0" xr:uid="{137A8FF9-55DC-402D-BF82-43B6DD1D3B46}">
      <text>
        <r>
          <rPr>
            <sz val="11"/>
            <color theme="1"/>
            <rFont val="Calibri"/>
            <family val="2"/>
            <scheme val="minor"/>
          </rPr>
          <t>Introduzca la fecha de inicio del proceso, en formato dd-mm-aaaa</t>
        </r>
      </text>
    </comment>
    <comment ref="F2035" authorId="1" shapeId="0" xr:uid="{9B4E9BF6-EA2C-421C-82D8-4EC06095F9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6" authorId="1" shapeId="0" xr:uid="{1915FA66-931C-4B07-AE77-6A536F617521}">
      <text/>
    </comment>
    <comment ref="C2037" authorId="1" shapeId="0" xr:uid="{E69AC331-5C11-47BB-97B2-C63B56C78894}">
      <text>
        <r>
          <rPr>
            <sz val="11"/>
            <color theme="1"/>
            <rFont val="Calibri"/>
            <family val="2"/>
            <scheme val="minor"/>
          </rPr>
          <t>Introduzca la fecha prevista de adjudicación, en formato dd-mm-aaaa</t>
        </r>
      </text>
    </comment>
    <comment ref="F2037" authorId="1" shapeId="0" xr:uid="{0846F2EE-B41E-4C0E-BEB0-1D8D79253A44}">
      <text/>
    </comment>
    <comment ref="F2038" authorId="1" shapeId="0" xr:uid="{6EB6A1E9-8FD3-4C5F-B547-879CC82B08FD}">
      <text/>
    </comment>
    <comment ref="A2040" authorId="1" shapeId="0" xr:uid="{85CBBEC7-7E47-4C5E-B0E5-054E90877DD5}">
      <text>
        <r>
          <rPr>
            <sz val="11"/>
            <color theme="1"/>
            <rFont val="Calibri"/>
            <family val="2"/>
            <scheme val="minor"/>
          </rPr>
          <t>Introduzca un codigo UNSPSC</t>
        </r>
      </text>
    </comment>
    <comment ref="B2040" authorId="1" shapeId="0" xr:uid="{F6DAF87D-5100-4B3E-BED9-5A7C191F3024}">
      <text>
        <r>
          <rPr>
            <sz val="11"/>
            <color theme="1"/>
            <rFont val="Calibri"/>
            <family val="2"/>
            <scheme val="minor"/>
          </rPr>
          <t>Descripción calculada automáticamente a partir de código del artículo</t>
        </r>
      </text>
    </comment>
    <comment ref="C2040" authorId="1" shapeId="0" xr:uid="{5DE0895C-3E5F-498F-816E-88446E0E1E33}">
      <text>
        <r>
          <rPr>
            <sz val="11"/>
            <color theme="1"/>
            <rFont val="Calibri"/>
            <family val="2"/>
            <scheme val="minor"/>
          </rPr>
          <t>Seleccione un valor de la lista</t>
        </r>
      </text>
    </comment>
    <comment ref="D2040" authorId="1" shapeId="0" xr:uid="{28254063-EB6C-462F-B206-D9890ACA2D4D}">
      <text>
        <r>
          <rPr>
            <sz val="11"/>
            <color theme="1"/>
            <rFont val="Calibri"/>
            <family val="2"/>
            <scheme val="minor"/>
          </rPr>
          <t>Introduzca un número con dos decimales como máximo. Debe ser igual o mayor a la "Cantidad Real Consumida"</t>
        </r>
      </text>
    </comment>
    <comment ref="E2040" authorId="1" shapeId="0" xr:uid="{678AA346-4F3A-4594-A3D9-5092374F975B}">
      <text>
        <r>
          <rPr>
            <sz val="11"/>
            <color theme="1"/>
            <rFont val="Calibri"/>
            <family val="2"/>
            <scheme val="minor"/>
          </rPr>
          <t>Introduzca un número con dos decimales como máximo</t>
        </r>
      </text>
    </comment>
    <comment ref="F2040" authorId="1" shapeId="0" xr:uid="{CBAE4F0C-0A2D-4265-85B4-BAE5A1747B36}">
      <text>
        <r>
          <rPr>
            <sz val="11"/>
            <color theme="1"/>
            <rFont val="Calibri"/>
            <family val="2"/>
            <scheme val="minor"/>
          </rPr>
          <t>Monto calculado automáticamente por el sistema</t>
        </r>
      </text>
    </comment>
    <comment ref="A2046" authorId="1" shapeId="0" xr:uid="{42A4BB9D-3A29-4AE2-BB37-90A16D3D701A}">
      <text>
        <r>
          <rPr>
            <sz val="11"/>
            <color theme="1"/>
            <rFont val="Calibri"/>
            <family val="2"/>
            <scheme val="minor"/>
          </rPr>
          <t>Introducir un texto con el nombre o referencia de la contratación</t>
        </r>
      </text>
    </comment>
    <comment ref="B2046" authorId="1" shapeId="0" xr:uid="{1D904981-4E33-40ED-8C43-8FAC864BBB0A}">
      <text>
        <r>
          <rPr>
            <sz val="11"/>
            <color theme="1"/>
            <rFont val="Calibri"/>
            <family val="2"/>
            <scheme val="minor"/>
          </rPr>
          <t>Introduzca un texto con la finalidad de la contratación</t>
        </r>
      </text>
    </comment>
    <comment ref="C2046" authorId="1" shapeId="0" xr:uid="{A07A7755-B2A4-4DD9-B980-D3136444AF24}">
      <text>
        <r>
          <rPr>
            <sz val="11"/>
            <color theme="1"/>
            <rFont val="Calibri"/>
            <family val="2"/>
            <scheme val="minor"/>
          </rPr>
          <t>Seleccionar un valor del listado</t>
        </r>
      </text>
    </comment>
    <comment ref="D2046" authorId="1" shapeId="0" xr:uid="{0A6831FA-2A80-4047-B888-6862DDDA2D9A}">
      <text>
        <r>
          <rPr>
            <sz val="11"/>
            <color theme="1"/>
            <rFont val="Calibri"/>
            <family val="2"/>
            <scheme val="minor"/>
          </rPr>
          <t>Seleccione el tipo de procedimiento</t>
        </r>
      </text>
    </comment>
    <comment ref="E2046" authorId="1" shapeId="0" xr:uid="{61ED214F-E756-42EB-9D64-767CFDB308C1}">
      <text>
        <r>
          <rPr>
            <sz val="11"/>
            <color theme="1"/>
            <rFont val="Calibri"/>
            <family val="2"/>
            <scheme val="minor"/>
          </rPr>
          <t>Seleccione un valor de la lista</t>
        </r>
      </text>
    </comment>
    <comment ref="F2046" authorId="1" shapeId="0" xr:uid="{2523806C-522E-4C82-8306-07B1D515CDDB}">
      <text>
        <r>
          <rPr>
            <sz val="11"/>
            <color theme="1"/>
            <rFont val="Calibri"/>
            <family val="2"/>
            <scheme val="minor"/>
          </rPr>
          <t>Introduzca el código SNIP</t>
        </r>
      </text>
    </comment>
    <comment ref="C2047" authorId="1" shapeId="0" xr:uid="{81CA03B5-6A1E-49FA-BA94-20A31D708E14}">
      <text>
        <r>
          <rPr>
            <sz val="11"/>
            <color theme="1"/>
            <rFont val="Calibri"/>
            <family val="2"/>
            <scheme val="minor"/>
          </rPr>
          <t>Introduzca la fecha de inicio del proceso, en formato dd-mm-aaaa</t>
        </r>
      </text>
    </comment>
    <comment ref="F2047" authorId="1" shapeId="0" xr:uid="{674E5E9A-FB17-4700-A307-E7557C3E51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8" authorId="1" shapeId="0" xr:uid="{D7B4F396-5212-4141-91F8-9E404F242F5A}">
      <text/>
    </comment>
    <comment ref="C2049" authorId="1" shapeId="0" xr:uid="{640A5824-A805-408E-8B54-150029D462E8}">
      <text>
        <r>
          <rPr>
            <sz val="11"/>
            <color theme="1"/>
            <rFont val="Calibri"/>
            <family val="2"/>
            <scheme val="minor"/>
          </rPr>
          <t>Introduzca la fecha prevista de adjudicación, en formato dd-mm-aaaa</t>
        </r>
      </text>
    </comment>
    <comment ref="F2049" authorId="1" shapeId="0" xr:uid="{477CA41A-B7F7-45A7-AD8E-BFCDDE03A09E}">
      <text/>
    </comment>
    <comment ref="F2050" authorId="1" shapeId="0" xr:uid="{C765D40A-AFCE-4763-911A-4AACA15336EB}">
      <text/>
    </comment>
    <comment ref="A2052" authorId="1" shapeId="0" xr:uid="{89A295D9-3D34-4486-9208-2277DE1D4051}">
      <text>
        <r>
          <rPr>
            <sz val="11"/>
            <color theme="1"/>
            <rFont val="Calibri"/>
            <family val="2"/>
            <scheme val="minor"/>
          </rPr>
          <t>Introduzca un codigo UNSPSC</t>
        </r>
      </text>
    </comment>
    <comment ref="B2052" authorId="1" shapeId="0" xr:uid="{5AA4C5AE-B4FC-40E0-8C8A-CC6B4A91DA04}">
      <text>
        <r>
          <rPr>
            <sz val="11"/>
            <color theme="1"/>
            <rFont val="Calibri"/>
            <family val="2"/>
            <scheme val="minor"/>
          </rPr>
          <t>Descripción calculada automáticamente a partir de código del artículo</t>
        </r>
      </text>
    </comment>
    <comment ref="C2052" authorId="1" shapeId="0" xr:uid="{5FAFF96B-6A54-4F5A-BD80-A56585E689B7}">
      <text>
        <r>
          <rPr>
            <sz val="11"/>
            <color theme="1"/>
            <rFont val="Calibri"/>
            <family val="2"/>
            <scheme val="minor"/>
          </rPr>
          <t>Seleccione un valor de la lista</t>
        </r>
      </text>
    </comment>
    <comment ref="D2052" authorId="1" shapeId="0" xr:uid="{764C09A4-3556-49ED-838B-3DF32D185651}">
      <text>
        <r>
          <rPr>
            <sz val="11"/>
            <color theme="1"/>
            <rFont val="Calibri"/>
            <family val="2"/>
            <scheme val="minor"/>
          </rPr>
          <t>Introduzca un número con dos decimales como máximo. Debe ser igual o mayor a la "Cantidad Real Consumida"</t>
        </r>
      </text>
    </comment>
    <comment ref="E2052" authorId="1" shapeId="0" xr:uid="{2DE9F141-9A58-46FE-A287-087EFBDD74D5}">
      <text>
        <r>
          <rPr>
            <sz val="11"/>
            <color theme="1"/>
            <rFont val="Calibri"/>
            <family val="2"/>
            <scheme val="minor"/>
          </rPr>
          <t>Introduzca un número con dos decimales como máximo</t>
        </r>
      </text>
    </comment>
    <comment ref="F2052" authorId="1" shapeId="0" xr:uid="{1653EEC2-9B5D-4B0F-98D9-3A5A052D1F80}">
      <text>
        <r>
          <rPr>
            <sz val="11"/>
            <color theme="1"/>
            <rFont val="Calibri"/>
            <family val="2"/>
            <scheme val="minor"/>
          </rPr>
          <t>Monto calculado automáticamente por el sistema</t>
        </r>
      </text>
    </comment>
    <comment ref="A2059" authorId="1" shapeId="0" xr:uid="{F2C782DC-CCC4-450B-B391-F74B53D2F404}">
      <text>
        <r>
          <rPr>
            <sz val="11"/>
            <color theme="1"/>
            <rFont val="Calibri"/>
            <family val="2"/>
            <scheme val="minor"/>
          </rPr>
          <t>Introducir un texto con el nombre o referencia de la contratación</t>
        </r>
      </text>
    </comment>
    <comment ref="B2059" authorId="1" shapeId="0" xr:uid="{4917FFB7-5EDF-4EA0-8F4C-7AA52E563734}">
      <text>
        <r>
          <rPr>
            <sz val="11"/>
            <color theme="1"/>
            <rFont val="Calibri"/>
            <family val="2"/>
            <scheme val="minor"/>
          </rPr>
          <t>Introduzca un texto con la finalidad de la contratación</t>
        </r>
      </text>
    </comment>
    <comment ref="C2059" authorId="1" shapeId="0" xr:uid="{A89FECB6-8537-4F50-A4CA-AFDF146B7A92}">
      <text>
        <r>
          <rPr>
            <sz val="11"/>
            <color theme="1"/>
            <rFont val="Calibri"/>
            <family val="2"/>
            <scheme val="minor"/>
          </rPr>
          <t>Seleccionar un valor del listado</t>
        </r>
      </text>
    </comment>
    <comment ref="D2059" authorId="1" shapeId="0" xr:uid="{55D3ED33-2523-414F-8936-DC859923DBFF}">
      <text>
        <r>
          <rPr>
            <sz val="11"/>
            <color theme="1"/>
            <rFont val="Calibri"/>
            <family val="2"/>
            <scheme val="minor"/>
          </rPr>
          <t>Seleccione el tipo de procedimiento</t>
        </r>
      </text>
    </comment>
    <comment ref="E2059" authorId="1" shapeId="0" xr:uid="{64BC6A42-94DD-4C56-B137-CB836267F2E3}">
      <text>
        <r>
          <rPr>
            <sz val="11"/>
            <color theme="1"/>
            <rFont val="Calibri"/>
            <family val="2"/>
            <scheme val="minor"/>
          </rPr>
          <t>Seleccione un valor de la lista</t>
        </r>
      </text>
    </comment>
    <comment ref="F2059" authorId="1" shapeId="0" xr:uid="{9B4FAC8B-08E5-4002-8415-3045D435FC8F}">
      <text>
        <r>
          <rPr>
            <sz val="11"/>
            <color theme="1"/>
            <rFont val="Calibri"/>
            <family val="2"/>
            <scheme val="minor"/>
          </rPr>
          <t>Introduzca el código SNIP</t>
        </r>
      </text>
    </comment>
    <comment ref="C2060" authorId="1" shapeId="0" xr:uid="{3A2282EC-40ED-43A2-ADE8-D954AEB07ED7}">
      <text>
        <r>
          <rPr>
            <sz val="11"/>
            <color theme="1"/>
            <rFont val="Calibri"/>
            <family val="2"/>
            <scheme val="minor"/>
          </rPr>
          <t>Introduzca la fecha de inicio del proceso, en formato dd-mm-aaaa</t>
        </r>
      </text>
    </comment>
    <comment ref="F2060" authorId="1" shapeId="0" xr:uid="{1FA35EC3-714B-4F15-90B3-1C680DC54B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1" authorId="1" shapeId="0" xr:uid="{79277232-0290-4B47-9E84-86FA5149FC9B}">
      <text/>
    </comment>
    <comment ref="C2062" authorId="1" shapeId="0" xr:uid="{F771C032-EA3B-48BA-BB49-433399FE618E}">
      <text>
        <r>
          <rPr>
            <sz val="11"/>
            <color theme="1"/>
            <rFont val="Calibri"/>
            <family val="2"/>
            <scheme val="minor"/>
          </rPr>
          <t>Introduzca la fecha prevista de adjudicación, en formato dd-mm-aaaa</t>
        </r>
      </text>
    </comment>
    <comment ref="F2062" authorId="1" shapeId="0" xr:uid="{50E195C5-A803-45AE-AC0E-4A4E69B6D79F}">
      <text/>
    </comment>
    <comment ref="F2063" authorId="1" shapeId="0" xr:uid="{5A855F47-CBBF-4F69-BA5D-68F76428EFBB}">
      <text/>
    </comment>
    <comment ref="A2065" authorId="1" shapeId="0" xr:uid="{88A33158-52CB-41AB-B551-4A92A3A85635}">
      <text>
        <r>
          <rPr>
            <sz val="11"/>
            <color theme="1"/>
            <rFont val="Calibri"/>
            <family val="2"/>
            <scheme val="minor"/>
          </rPr>
          <t>Introduzca un codigo UNSPSC</t>
        </r>
      </text>
    </comment>
    <comment ref="B2065" authorId="1" shapeId="0" xr:uid="{4C251ADE-6882-45F8-A187-B5C2EE35C2CD}">
      <text>
        <r>
          <rPr>
            <sz val="11"/>
            <color theme="1"/>
            <rFont val="Calibri"/>
            <family val="2"/>
            <scheme val="minor"/>
          </rPr>
          <t>Descripción calculada automáticamente a partir de código del artículo</t>
        </r>
      </text>
    </comment>
    <comment ref="C2065" authorId="1" shapeId="0" xr:uid="{53EF8EA0-AD86-46DE-8FD0-E06EC0C77D77}">
      <text>
        <r>
          <rPr>
            <sz val="11"/>
            <color theme="1"/>
            <rFont val="Calibri"/>
            <family val="2"/>
            <scheme val="minor"/>
          </rPr>
          <t>Seleccione un valor de la lista</t>
        </r>
      </text>
    </comment>
    <comment ref="D2065" authorId="1" shapeId="0" xr:uid="{89BBF2AD-3552-4B58-9E45-45E94F09D8A8}">
      <text>
        <r>
          <rPr>
            <sz val="11"/>
            <color theme="1"/>
            <rFont val="Calibri"/>
            <family val="2"/>
            <scheme val="minor"/>
          </rPr>
          <t>Introduzca un número con dos decimales como máximo. Debe ser igual o mayor a la "Cantidad Real Consumida"</t>
        </r>
      </text>
    </comment>
    <comment ref="E2065" authorId="1" shapeId="0" xr:uid="{DEAFDAA3-C293-42A2-A99B-B4A738FE6E51}">
      <text>
        <r>
          <rPr>
            <sz val="11"/>
            <color theme="1"/>
            <rFont val="Calibri"/>
            <family val="2"/>
            <scheme val="minor"/>
          </rPr>
          <t>Introduzca un número con dos decimales como máximo</t>
        </r>
      </text>
    </comment>
    <comment ref="F2065" authorId="1" shapeId="0" xr:uid="{AD0EEEDA-63DC-422C-A586-69AAF845F397}">
      <text>
        <r>
          <rPr>
            <sz val="11"/>
            <color theme="1"/>
            <rFont val="Calibri"/>
            <family val="2"/>
            <scheme val="minor"/>
          </rPr>
          <t>Monto calculado automáticamente por el sistema</t>
        </r>
      </text>
    </comment>
    <comment ref="A2072" authorId="1" shapeId="0" xr:uid="{BFEF0462-5CCF-415A-A4EC-C616B36C095D}">
      <text>
        <r>
          <rPr>
            <sz val="11"/>
            <color theme="1"/>
            <rFont val="Calibri"/>
            <family val="2"/>
            <scheme val="minor"/>
          </rPr>
          <t>Introducir un texto con el nombre o referencia de la contratación</t>
        </r>
      </text>
    </comment>
    <comment ref="B2072" authorId="1" shapeId="0" xr:uid="{C6636C1A-90B2-474D-A3C5-0CC9A12A6E60}">
      <text>
        <r>
          <rPr>
            <sz val="11"/>
            <color theme="1"/>
            <rFont val="Calibri"/>
            <family val="2"/>
            <scheme val="minor"/>
          </rPr>
          <t>Introduzca un texto con la finalidad de la contratación</t>
        </r>
      </text>
    </comment>
    <comment ref="C2072" authorId="1" shapeId="0" xr:uid="{3BA84F77-F6F0-4D37-907D-FAC6092F3607}">
      <text>
        <r>
          <rPr>
            <sz val="11"/>
            <color theme="1"/>
            <rFont val="Calibri"/>
            <family val="2"/>
            <scheme val="minor"/>
          </rPr>
          <t>Seleccionar un valor del listado</t>
        </r>
      </text>
    </comment>
    <comment ref="D2072" authorId="1" shapeId="0" xr:uid="{6ADD970D-3C2E-45DE-9FE0-28243313B36A}">
      <text>
        <r>
          <rPr>
            <sz val="11"/>
            <color theme="1"/>
            <rFont val="Calibri"/>
            <family val="2"/>
            <scheme val="minor"/>
          </rPr>
          <t>Seleccione el tipo de procedimiento</t>
        </r>
      </text>
    </comment>
    <comment ref="E2072" authorId="1" shapeId="0" xr:uid="{6B2A97C6-63B6-4C1A-95D2-8926B83F29D5}">
      <text>
        <r>
          <rPr>
            <sz val="11"/>
            <color theme="1"/>
            <rFont val="Calibri"/>
            <family val="2"/>
            <scheme val="minor"/>
          </rPr>
          <t>Seleccione un valor de la lista</t>
        </r>
      </text>
    </comment>
    <comment ref="F2072" authorId="1" shapeId="0" xr:uid="{2F40D49C-13C7-4266-B9B5-62FFAA3A2F81}">
      <text>
        <r>
          <rPr>
            <sz val="11"/>
            <color theme="1"/>
            <rFont val="Calibri"/>
            <family val="2"/>
            <scheme val="minor"/>
          </rPr>
          <t>Introduzca el código SNIP</t>
        </r>
      </text>
    </comment>
    <comment ref="C2073" authorId="1" shapeId="0" xr:uid="{B6354648-67DB-4C71-A8D4-9C1C5778B793}">
      <text>
        <r>
          <rPr>
            <sz val="11"/>
            <color theme="1"/>
            <rFont val="Calibri"/>
            <family val="2"/>
            <scheme val="minor"/>
          </rPr>
          <t>Introduzca la fecha de inicio del proceso, en formato dd-mm-aaaa</t>
        </r>
      </text>
    </comment>
    <comment ref="F2073" authorId="1" shapeId="0" xr:uid="{19DD0608-12F3-4DB4-B056-031C3948E3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4" authorId="1" shapeId="0" xr:uid="{B6D23FE5-2426-4E01-ADC6-DB8FD68CDF86}">
      <text/>
    </comment>
    <comment ref="C2075" authorId="1" shapeId="0" xr:uid="{9D5D5B71-1922-4355-B279-4EACBAE93A3F}">
      <text>
        <r>
          <rPr>
            <sz val="11"/>
            <color theme="1"/>
            <rFont val="Calibri"/>
            <family val="2"/>
            <scheme val="minor"/>
          </rPr>
          <t>Introduzca la fecha prevista de adjudicación, en formato dd-mm-aaaa</t>
        </r>
      </text>
    </comment>
    <comment ref="F2075" authorId="1" shapeId="0" xr:uid="{22912EE1-6359-4889-B64A-8B5AB8A878B8}">
      <text/>
    </comment>
    <comment ref="F2076" authorId="1" shapeId="0" xr:uid="{FE7B0903-1C51-4CA6-857D-375031650510}">
      <text/>
    </comment>
    <comment ref="A2078" authorId="1" shapeId="0" xr:uid="{7A9EF7C5-6B2A-42EA-A235-E3B6302EBCFD}">
      <text>
        <r>
          <rPr>
            <sz val="11"/>
            <color theme="1"/>
            <rFont val="Calibri"/>
            <family val="2"/>
            <scheme val="minor"/>
          </rPr>
          <t>Introduzca un codigo UNSPSC</t>
        </r>
      </text>
    </comment>
    <comment ref="B2078" authorId="1" shapeId="0" xr:uid="{4C6B965F-9FFA-44F4-A90C-B1A70778FB03}">
      <text>
        <r>
          <rPr>
            <sz val="11"/>
            <color theme="1"/>
            <rFont val="Calibri"/>
            <family val="2"/>
            <scheme val="minor"/>
          </rPr>
          <t>Descripción calculada automáticamente a partir de código del artículo</t>
        </r>
      </text>
    </comment>
    <comment ref="C2078" authorId="1" shapeId="0" xr:uid="{31FFC14A-1A90-4D25-9CB5-B5B2265ED32C}">
      <text>
        <r>
          <rPr>
            <sz val="11"/>
            <color theme="1"/>
            <rFont val="Calibri"/>
            <family val="2"/>
            <scheme val="minor"/>
          </rPr>
          <t>Seleccione un valor de la lista</t>
        </r>
      </text>
    </comment>
    <comment ref="D2078" authorId="1" shapeId="0" xr:uid="{BF5F39A3-457D-41E1-A302-8A70C3F128D9}">
      <text>
        <r>
          <rPr>
            <sz val="11"/>
            <color theme="1"/>
            <rFont val="Calibri"/>
            <family val="2"/>
            <scheme val="minor"/>
          </rPr>
          <t>Introduzca un número con dos decimales como máximo. Debe ser igual o mayor a la "Cantidad Real Consumida"</t>
        </r>
      </text>
    </comment>
    <comment ref="E2078" authorId="1" shapeId="0" xr:uid="{7E9F523E-6661-4F5A-8347-272484E30277}">
      <text>
        <r>
          <rPr>
            <sz val="11"/>
            <color theme="1"/>
            <rFont val="Calibri"/>
            <family val="2"/>
            <scheme val="minor"/>
          </rPr>
          <t>Introduzca un número con dos decimales como máximo</t>
        </r>
      </text>
    </comment>
    <comment ref="F2078" authorId="1" shapeId="0" xr:uid="{29FA6AB7-620E-433E-8C8A-ADC01572E5EE}">
      <text>
        <r>
          <rPr>
            <sz val="11"/>
            <color theme="1"/>
            <rFont val="Calibri"/>
            <family val="2"/>
            <scheme val="minor"/>
          </rPr>
          <t>Monto calculado automáticamente por el sistema</t>
        </r>
      </text>
    </comment>
    <comment ref="A2084" authorId="1" shapeId="0" xr:uid="{82F957EA-3165-48D8-BA35-CA1D0FCD2AD8}">
      <text>
        <r>
          <rPr>
            <sz val="11"/>
            <color theme="1"/>
            <rFont val="Calibri"/>
            <family val="2"/>
            <scheme val="minor"/>
          </rPr>
          <t>Introducir un texto con el nombre o referencia de la contratación</t>
        </r>
      </text>
    </comment>
    <comment ref="B2084" authorId="1" shapeId="0" xr:uid="{1DAC0869-E270-46FD-B683-A945D9E3EB18}">
      <text>
        <r>
          <rPr>
            <sz val="11"/>
            <color theme="1"/>
            <rFont val="Calibri"/>
            <family val="2"/>
            <scheme val="minor"/>
          </rPr>
          <t>Introduzca un texto con la finalidad de la contratación</t>
        </r>
      </text>
    </comment>
    <comment ref="C2084" authorId="1" shapeId="0" xr:uid="{1FED8A98-681D-410F-9E0C-86E5B8FC3548}">
      <text>
        <r>
          <rPr>
            <sz val="11"/>
            <color theme="1"/>
            <rFont val="Calibri"/>
            <family val="2"/>
            <scheme val="minor"/>
          </rPr>
          <t>Seleccionar un valor del listado</t>
        </r>
      </text>
    </comment>
    <comment ref="D2084" authorId="1" shapeId="0" xr:uid="{9CBE82E8-5C0A-439D-AA71-B39450E194D4}">
      <text>
        <r>
          <rPr>
            <sz val="11"/>
            <color theme="1"/>
            <rFont val="Calibri"/>
            <family val="2"/>
            <scheme val="minor"/>
          </rPr>
          <t>Seleccione el tipo de procedimiento</t>
        </r>
      </text>
    </comment>
    <comment ref="E2084" authorId="1" shapeId="0" xr:uid="{A5B78F60-EE48-49B1-A389-81F618C9FF66}">
      <text>
        <r>
          <rPr>
            <sz val="11"/>
            <color theme="1"/>
            <rFont val="Calibri"/>
            <family val="2"/>
            <scheme val="minor"/>
          </rPr>
          <t>Seleccione un valor de la lista</t>
        </r>
      </text>
    </comment>
    <comment ref="F2084" authorId="1" shapeId="0" xr:uid="{0AEACF5B-4168-4C85-BAE4-B19A8342C23D}">
      <text>
        <r>
          <rPr>
            <sz val="11"/>
            <color theme="1"/>
            <rFont val="Calibri"/>
            <family val="2"/>
            <scheme val="minor"/>
          </rPr>
          <t>Introduzca el código SNIP</t>
        </r>
      </text>
    </comment>
    <comment ref="C2085" authorId="1" shapeId="0" xr:uid="{DA41922C-7A78-4320-B2CD-A90364803CE1}">
      <text>
        <r>
          <rPr>
            <sz val="11"/>
            <color theme="1"/>
            <rFont val="Calibri"/>
            <family val="2"/>
            <scheme val="minor"/>
          </rPr>
          <t>Introduzca la fecha de inicio del proceso, en formato dd-mm-aaaa</t>
        </r>
      </text>
    </comment>
    <comment ref="F2085" authorId="1" shapeId="0" xr:uid="{7C3DDABD-2D04-4AF9-84E4-1E902484B0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6" authorId="1" shapeId="0" xr:uid="{8866608B-AA17-42CE-84CD-FCA3F7594779}">
      <text/>
    </comment>
    <comment ref="C2087" authorId="1" shapeId="0" xr:uid="{C45865CA-1720-4158-B369-2F2C4F1898C2}">
      <text>
        <r>
          <rPr>
            <sz val="11"/>
            <color theme="1"/>
            <rFont val="Calibri"/>
            <family val="2"/>
            <scheme val="minor"/>
          </rPr>
          <t>Introduzca la fecha prevista de adjudicación, en formato dd-mm-aaaa</t>
        </r>
      </text>
    </comment>
    <comment ref="F2087" authorId="1" shapeId="0" xr:uid="{6804651C-2B00-429F-B75E-72528E6EE200}">
      <text/>
    </comment>
    <comment ref="F2088" authorId="1" shapeId="0" xr:uid="{ED4ED32D-E78D-4F86-86FC-1365CDBD55E3}">
      <text/>
    </comment>
    <comment ref="A2090" authorId="1" shapeId="0" xr:uid="{27C71665-BC5C-45C7-A244-96C110EE4EB6}">
      <text>
        <r>
          <rPr>
            <sz val="11"/>
            <color theme="1"/>
            <rFont val="Calibri"/>
            <family val="2"/>
            <scheme val="minor"/>
          </rPr>
          <t>Introduzca un codigo UNSPSC</t>
        </r>
      </text>
    </comment>
    <comment ref="B2090" authorId="1" shapeId="0" xr:uid="{4844CE91-22EC-4D3B-BD75-0F5B6C8176FB}">
      <text>
        <r>
          <rPr>
            <sz val="11"/>
            <color theme="1"/>
            <rFont val="Calibri"/>
            <family val="2"/>
            <scheme val="minor"/>
          </rPr>
          <t>Descripción calculada automáticamente a partir de código del artículo</t>
        </r>
      </text>
    </comment>
    <comment ref="C2090" authorId="1" shapeId="0" xr:uid="{0AAE3B06-17E8-4865-9CF4-A52435F27F79}">
      <text>
        <r>
          <rPr>
            <sz val="11"/>
            <color theme="1"/>
            <rFont val="Calibri"/>
            <family val="2"/>
            <scheme val="minor"/>
          </rPr>
          <t>Seleccione un valor de la lista</t>
        </r>
      </text>
    </comment>
    <comment ref="D2090" authorId="1" shapeId="0" xr:uid="{89F82B65-026F-43E9-8DE2-E200E57C7DC9}">
      <text>
        <r>
          <rPr>
            <sz val="11"/>
            <color theme="1"/>
            <rFont val="Calibri"/>
            <family val="2"/>
            <scheme val="minor"/>
          </rPr>
          <t>Introduzca un número con dos decimales como máximo. Debe ser igual o mayor a la "Cantidad Real Consumida"</t>
        </r>
      </text>
    </comment>
    <comment ref="E2090" authorId="1" shapeId="0" xr:uid="{4335624F-E5CA-42AE-89D2-C6B41DCC74DE}">
      <text>
        <r>
          <rPr>
            <sz val="11"/>
            <color theme="1"/>
            <rFont val="Calibri"/>
            <family val="2"/>
            <scheme val="minor"/>
          </rPr>
          <t>Introduzca un número con dos decimales como máximo</t>
        </r>
      </text>
    </comment>
    <comment ref="F2090" authorId="1" shapeId="0" xr:uid="{428A1109-B6A7-41A7-9E4B-A410D1E405E8}">
      <text>
        <r>
          <rPr>
            <sz val="11"/>
            <color theme="1"/>
            <rFont val="Calibri"/>
            <family val="2"/>
            <scheme val="minor"/>
          </rPr>
          <t>Monto calculado automáticamente por el sistema</t>
        </r>
      </text>
    </comment>
    <comment ref="A2096" authorId="1" shapeId="0" xr:uid="{3ACA558A-93AA-4FD7-B2D4-E7D3F7156578}">
      <text>
        <r>
          <rPr>
            <sz val="11"/>
            <color theme="1"/>
            <rFont val="Calibri"/>
            <family val="2"/>
            <scheme val="minor"/>
          </rPr>
          <t>Introducir un texto con el nombre o referencia de la contratación</t>
        </r>
      </text>
    </comment>
    <comment ref="B2096" authorId="1" shapeId="0" xr:uid="{A49A0F2F-32F4-4265-B5D7-0C61AF872D06}">
      <text>
        <r>
          <rPr>
            <sz val="11"/>
            <color theme="1"/>
            <rFont val="Calibri"/>
            <family val="2"/>
            <scheme val="minor"/>
          </rPr>
          <t>Introduzca un texto con la finalidad de la contratación</t>
        </r>
      </text>
    </comment>
    <comment ref="C2096" authorId="1" shapeId="0" xr:uid="{CB8B7508-BD8D-4580-8009-ACF2AC8B984C}">
      <text>
        <r>
          <rPr>
            <sz val="11"/>
            <color theme="1"/>
            <rFont val="Calibri"/>
            <family val="2"/>
            <scheme val="minor"/>
          </rPr>
          <t>Seleccionar un valor del listado</t>
        </r>
      </text>
    </comment>
    <comment ref="D2096" authorId="1" shapeId="0" xr:uid="{295FE0DB-A382-47CB-937A-9FD754F5ED0F}">
      <text>
        <r>
          <rPr>
            <sz val="11"/>
            <color theme="1"/>
            <rFont val="Calibri"/>
            <family val="2"/>
            <scheme val="minor"/>
          </rPr>
          <t>Seleccione el tipo de procedimiento</t>
        </r>
      </text>
    </comment>
    <comment ref="E2096" authorId="1" shapeId="0" xr:uid="{BCE30C58-E66B-4EB0-8682-D2604794260E}">
      <text>
        <r>
          <rPr>
            <sz val="11"/>
            <color theme="1"/>
            <rFont val="Calibri"/>
            <family val="2"/>
            <scheme val="minor"/>
          </rPr>
          <t>Seleccione un valor de la lista</t>
        </r>
      </text>
    </comment>
    <comment ref="F2096" authorId="1" shapeId="0" xr:uid="{41F641E8-00B0-42B0-BF2F-8778A6A3D5B1}">
      <text>
        <r>
          <rPr>
            <sz val="11"/>
            <color theme="1"/>
            <rFont val="Calibri"/>
            <family val="2"/>
            <scheme val="minor"/>
          </rPr>
          <t>Introduzca el código SNIP</t>
        </r>
      </text>
    </comment>
    <comment ref="C2097" authorId="1" shapeId="0" xr:uid="{BB3253A5-46CC-4ED2-A7BE-9CDC247E6AE6}">
      <text>
        <r>
          <rPr>
            <sz val="11"/>
            <color theme="1"/>
            <rFont val="Calibri"/>
            <family val="2"/>
            <scheme val="minor"/>
          </rPr>
          <t>Introduzca la fecha de inicio del proceso, en formato dd-mm-aaaa</t>
        </r>
      </text>
    </comment>
    <comment ref="F2097" authorId="1" shapeId="0" xr:uid="{1A6CEC79-2F20-43DC-AE13-AE8023408A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8" authorId="1" shapeId="0" xr:uid="{85FD38C6-57BD-4A7F-BC77-507C641EC19F}">
      <text/>
    </comment>
    <comment ref="C2099" authorId="1" shapeId="0" xr:uid="{E4129B0D-93C6-4983-B985-529FE27D6E35}">
      <text>
        <r>
          <rPr>
            <sz val="11"/>
            <color theme="1"/>
            <rFont val="Calibri"/>
            <family val="2"/>
            <scheme val="minor"/>
          </rPr>
          <t>Introduzca la fecha prevista de adjudicación, en formato dd-mm-aaaa</t>
        </r>
      </text>
    </comment>
    <comment ref="F2099" authorId="1" shapeId="0" xr:uid="{274B229E-1847-4C4F-A0CE-4900C2B90057}">
      <text/>
    </comment>
    <comment ref="F2100" authorId="1" shapeId="0" xr:uid="{F53CF243-E27C-432A-8D83-5E57E83BCE0D}">
      <text/>
    </comment>
    <comment ref="A2102" authorId="1" shapeId="0" xr:uid="{5A89343D-42D4-4B7C-B94F-E1CCD40C865B}">
      <text>
        <r>
          <rPr>
            <sz val="11"/>
            <color theme="1"/>
            <rFont val="Calibri"/>
            <family val="2"/>
            <scheme val="minor"/>
          </rPr>
          <t>Introduzca un codigo UNSPSC</t>
        </r>
      </text>
    </comment>
    <comment ref="B2102" authorId="1" shapeId="0" xr:uid="{5FD7D5A3-4D53-400D-BF3C-74FBF2CBB4DC}">
      <text>
        <r>
          <rPr>
            <sz val="11"/>
            <color theme="1"/>
            <rFont val="Calibri"/>
            <family val="2"/>
            <scheme val="minor"/>
          </rPr>
          <t>Descripción calculada automáticamente a partir de código del artículo</t>
        </r>
      </text>
    </comment>
    <comment ref="C2102" authorId="1" shapeId="0" xr:uid="{279682E7-3AE9-45DD-81E8-FA48192970A7}">
      <text>
        <r>
          <rPr>
            <sz val="11"/>
            <color theme="1"/>
            <rFont val="Calibri"/>
            <family val="2"/>
            <scheme val="minor"/>
          </rPr>
          <t>Seleccione un valor de la lista</t>
        </r>
      </text>
    </comment>
    <comment ref="D2102" authorId="1" shapeId="0" xr:uid="{15FF2BEE-7B36-4CEB-B982-CF425D83480D}">
      <text>
        <r>
          <rPr>
            <sz val="11"/>
            <color theme="1"/>
            <rFont val="Calibri"/>
            <family val="2"/>
            <scheme val="minor"/>
          </rPr>
          <t>Introduzca un número con dos decimales como máximo. Debe ser igual o mayor a la "Cantidad Real Consumida"</t>
        </r>
      </text>
    </comment>
    <comment ref="E2102" authorId="1" shapeId="0" xr:uid="{0D9703E8-C33A-4675-98D9-43C005161AF5}">
      <text>
        <r>
          <rPr>
            <sz val="11"/>
            <color theme="1"/>
            <rFont val="Calibri"/>
            <family val="2"/>
            <scheme val="minor"/>
          </rPr>
          <t>Introduzca un número con dos decimales como máximo</t>
        </r>
      </text>
    </comment>
    <comment ref="F2102" authorId="1" shapeId="0" xr:uid="{E8BB14FB-E0AC-45A1-933C-71B6E0C6AB81}">
      <text>
        <r>
          <rPr>
            <sz val="11"/>
            <color theme="1"/>
            <rFont val="Calibri"/>
            <family val="2"/>
            <scheme val="minor"/>
          </rPr>
          <t>Monto calculado automáticamente por el sistema</t>
        </r>
      </text>
    </comment>
    <comment ref="A2107" authorId="1" shapeId="0" xr:uid="{AF1A7B77-5B30-4AC8-A78E-28247C6864B6}">
      <text>
        <r>
          <rPr>
            <sz val="11"/>
            <color theme="1"/>
            <rFont val="Calibri"/>
            <family val="2"/>
            <scheme val="minor"/>
          </rPr>
          <t>Introducir un texto con el nombre o referencia de la contratación</t>
        </r>
      </text>
    </comment>
    <comment ref="B2107" authorId="1" shapeId="0" xr:uid="{A48844E6-9C6B-48B2-AA4A-54DBE228707D}">
      <text>
        <r>
          <rPr>
            <sz val="11"/>
            <color theme="1"/>
            <rFont val="Calibri"/>
            <family val="2"/>
            <scheme val="minor"/>
          </rPr>
          <t>Introduzca un texto con la finalidad de la contratación</t>
        </r>
      </text>
    </comment>
    <comment ref="C2107" authorId="1" shapeId="0" xr:uid="{366EFA8A-D89D-4244-8C56-D758D1EA57BC}">
      <text>
        <r>
          <rPr>
            <sz val="11"/>
            <color theme="1"/>
            <rFont val="Calibri"/>
            <family val="2"/>
            <scheme val="minor"/>
          </rPr>
          <t>Seleccionar un valor del listado</t>
        </r>
      </text>
    </comment>
    <comment ref="D2107" authorId="1" shapeId="0" xr:uid="{FDD22E3A-3E26-46EF-AD2A-2EC5CA7788A2}">
      <text>
        <r>
          <rPr>
            <sz val="11"/>
            <color theme="1"/>
            <rFont val="Calibri"/>
            <family val="2"/>
            <scheme val="minor"/>
          </rPr>
          <t>Seleccione el tipo de procedimiento</t>
        </r>
      </text>
    </comment>
    <comment ref="E2107" authorId="1" shapeId="0" xr:uid="{1077AC3C-9654-4635-8259-D0DE2AADD036}">
      <text>
        <r>
          <rPr>
            <sz val="11"/>
            <color theme="1"/>
            <rFont val="Calibri"/>
            <family val="2"/>
            <scheme val="minor"/>
          </rPr>
          <t>Seleccione un valor de la lista</t>
        </r>
      </text>
    </comment>
    <comment ref="F2107" authorId="1" shapeId="0" xr:uid="{4C2A52EC-FF28-4603-95FF-8C0BDFF7997A}">
      <text>
        <r>
          <rPr>
            <sz val="11"/>
            <color theme="1"/>
            <rFont val="Calibri"/>
            <family val="2"/>
            <scheme val="minor"/>
          </rPr>
          <t>Introduzca el código SNIP</t>
        </r>
      </text>
    </comment>
    <comment ref="C2108" authorId="1" shapeId="0" xr:uid="{CF1AEB08-F22A-4499-8CA4-3C8A9EA28713}">
      <text>
        <r>
          <rPr>
            <sz val="11"/>
            <color theme="1"/>
            <rFont val="Calibri"/>
            <family val="2"/>
            <scheme val="minor"/>
          </rPr>
          <t>Introduzca la fecha de inicio del proceso, en formato dd-mm-aaaa</t>
        </r>
      </text>
    </comment>
    <comment ref="F2108" authorId="1" shapeId="0" xr:uid="{CE9F6A8C-7908-4CA7-B6F3-16B75A7D5A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9" authorId="1" shapeId="0" xr:uid="{B21111D7-1BBC-4D0C-87C0-F43E6ED0CBB7}">
      <text/>
    </comment>
    <comment ref="C2110" authorId="1" shapeId="0" xr:uid="{9D3FF744-E64D-47C9-8757-93992C7D032F}">
      <text>
        <r>
          <rPr>
            <sz val="11"/>
            <color theme="1"/>
            <rFont val="Calibri"/>
            <family val="2"/>
            <scheme val="minor"/>
          </rPr>
          <t>Introduzca la fecha prevista de adjudicación, en formato dd-mm-aaaa</t>
        </r>
      </text>
    </comment>
    <comment ref="F2110" authorId="1" shapeId="0" xr:uid="{E8C85CE1-BF95-4F25-837E-21BB15E4F292}">
      <text/>
    </comment>
    <comment ref="F2111" authorId="1" shapeId="0" xr:uid="{F81A4462-598E-4041-944E-E14B03522F18}">
      <text/>
    </comment>
    <comment ref="A2113" authorId="1" shapeId="0" xr:uid="{B02C33F3-8805-49FB-9B06-388E1739BC54}">
      <text>
        <r>
          <rPr>
            <sz val="11"/>
            <color theme="1"/>
            <rFont val="Calibri"/>
            <family val="2"/>
            <scheme val="minor"/>
          </rPr>
          <t>Introduzca un codigo UNSPSC</t>
        </r>
      </text>
    </comment>
    <comment ref="B2113" authorId="1" shapeId="0" xr:uid="{AB5E76CF-F97C-4146-8CFC-B1E3C0F6F90F}">
      <text>
        <r>
          <rPr>
            <sz val="11"/>
            <color theme="1"/>
            <rFont val="Calibri"/>
            <family val="2"/>
            <scheme val="minor"/>
          </rPr>
          <t>Descripción calculada automáticamente a partir de código del artículo</t>
        </r>
      </text>
    </comment>
    <comment ref="C2113" authorId="1" shapeId="0" xr:uid="{D865A0F8-6CE7-4906-BDAD-39F38F37F7B0}">
      <text>
        <r>
          <rPr>
            <sz val="11"/>
            <color theme="1"/>
            <rFont val="Calibri"/>
            <family val="2"/>
            <scheme val="minor"/>
          </rPr>
          <t>Seleccione un valor de la lista</t>
        </r>
      </text>
    </comment>
    <comment ref="D2113" authorId="1" shapeId="0" xr:uid="{F2DA6025-BA69-4A69-A95E-33BB28CC1878}">
      <text>
        <r>
          <rPr>
            <sz val="11"/>
            <color theme="1"/>
            <rFont val="Calibri"/>
            <family val="2"/>
            <scheme val="minor"/>
          </rPr>
          <t>Introduzca un número con dos decimales como máximo. Debe ser igual o mayor a la "Cantidad Real Consumida"</t>
        </r>
      </text>
    </comment>
    <comment ref="E2113" authorId="1" shapeId="0" xr:uid="{C8C371F5-ED52-4218-A4BB-6B73B573E29F}">
      <text>
        <r>
          <rPr>
            <sz val="11"/>
            <color theme="1"/>
            <rFont val="Calibri"/>
            <family val="2"/>
            <scheme val="minor"/>
          </rPr>
          <t>Introduzca un número con dos decimales como máximo</t>
        </r>
      </text>
    </comment>
    <comment ref="F2113" authorId="1" shapeId="0" xr:uid="{A5873EB9-EA46-470D-8FA6-F848DAEEC290}">
      <text>
        <r>
          <rPr>
            <sz val="11"/>
            <color theme="1"/>
            <rFont val="Calibri"/>
            <family val="2"/>
            <scheme val="minor"/>
          </rPr>
          <t>Monto calculado automáticamente por el sistema</t>
        </r>
      </text>
    </comment>
    <comment ref="A2118" authorId="1" shapeId="0" xr:uid="{CA7C8B0B-1264-40D0-BE3C-55BAD56E3CFF}">
      <text>
        <r>
          <rPr>
            <sz val="11"/>
            <color theme="1"/>
            <rFont val="Calibri"/>
            <family val="2"/>
            <scheme val="minor"/>
          </rPr>
          <t>Introducir un texto con el nombre o referencia de la contratación</t>
        </r>
      </text>
    </comment>
    <comment ref="B2118" authorId="1" shapeId="0" xr:uid="{D4A85C66-5AD4-4141-B42A-159A9BC3C96B}">
      <text>
        <r>
          <rPr>
            <sz val="11"/>
            <color theme="1"/>
            <rFont val="Calibri"/>
            <family val="2"/>
            <scheme val="minor"/>
          </rPr>
          <t>Introduzca un texto con la finalidad de la contratación</t>
        </r>
      </text>
    </comment>
    <comment ref="C2118" authorId="1" shapeId="0" xr:uid="{ABCCC0D8-C164-4D95-83B6-E8D42F9427F8}">
      <text>
        <r>
          <rPr>
            <sz val="11"/>
            <color theme="1"/>
            <rFont val="Calibri"/>
            <family val="2"/>
            <scheme val="minor"/>
          </rPr>
          <t>Seleccionar un valor del listado</t>
        </r>
      </text>
    </comment>
    <comment ref="D2118" authorId="1" shapeId="0" xr:uid="{73791296-EFEF-4F4B-B692-A25FA989060A}">
      <text>
        <r>
          <rPr>
            <sz val="11"/>
            <color theme="1"/>
            <rFont val="Calibri"/>
            <family val="2"/>
            <scheme val="minor"/>
          </rPr>
          <t>Seleccione el tipo de procedimiento</t>
        </r>
      </text>
    </comment>
    <comment ref="E2118" authorId="1" shapeId="0" xr:uid="{9F98B028-6554-4CE2-83EF-02C1C04DB7B1}">
      <text>
        <r>
          <rPr>
            <sz val="11"/>
            <color theme="1"/>
            <rFont val="Calibri"/>
            <family val="2"/>
            <scheme val="minor"/>
          </rPr>
          <t>Seleccione un valor de la lista</t>
        </r>
      </text>
    </comment>
    <comment ref="F2118" authorId="1" shapeId="0" xr:uid="{DFD1BDF2-ED39-43C1-8309-E32A4593F7A6}">
      <text>
        <r>
          <rPr>
            <sz val="11"/>
            <color theme="1"/>
            <rFont val="Calibri"/>
            <family val="2"/>
            <scheme val="minor"/>
          </rPr>
          <t>Introduzca el código SNIP</t>
        </r>
      </text>
    </comment>
    <comment ref="C2119" authorId="1" shapeId="0" xr:uid="{B71DFFFC-A613-4E20-B62D-792B73918DDD}">
      <text>
        <r>
          <rPr>
            <sz val="11"/>
            <color theme="1"/>
            <rFont val="Calibri"/>
            <family val="2"/>
            <scheme val="minor"/>
          </rPr>
          <t>Introduzca la fecha de inicio del proceso, en formato dd-mm-aaaa</t>
        </r>
      </text>
    </comment>
    <comment ref="F2119" authorId="1" shapeId="0" xr:uid="{16BAB619-8A39-4FA6-A2CB-7933FE7442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0" authorId="1" shapeId="0" xr:uid="{A56B3C05-4A88-407E-8C34-2FA0D0DA2F0A}">
      <text/>
    </comment>
    <comment ref="C2121" authorId="1" shapeId="0" xr:uid="{F1C0F4A6-F0BE-4CEC-8BA6-913373C8CE92}">
      <text>
        <r>
          <rPr>
            <sz val="11"/>
            <color theme="1"/>
            <rFont val="Calibri"/>
            <family val="2"/>
            <scheme val="minor"/>
          </rPr>
          <t>Introduzca la fecha prevista de adjudicación, en formato dd-mm-aaaa</t>
        </r>
      </text>
    </comment>
    <comment ref="F2121" authorId="1" shapeId="0" xr:uid="{C84768B1-9459-4D27-B72E-0D97E166B615}">
      <text/>
    </comment>
    <comment ref="F2122" authorId="1" shapeId="0" xr:uid="{52AA51D5-3703-467E-B30F-5D8A87BB4841}">
      <text/>
    </comment>
    <comment ref="A2124" authorId="1" shapeId="0" xr:uid="{BD00C0D3-6A73-4578-8858-B341F6031761}">
      <text>
        <r>
          <rPr>
            <sz val="11"/>
            <color theme="1"/>
            <rFont val="Calibri"/>
            <family val="2"/>
            <scheme val="minor"/>
          </rPr>
          <t>Introduzca un codigo UNSPSC</t>
        </r>
      </text>
    </comment>
    <comment ref="B2124" authorId="1" shapeId="0" xr:uid="{738EE8A8-CBF4-4D1F-97BB-DDA7A5EE7E5C}">
      <text>
        <r>
          <rPr>
            <sz val="11"/>
            <color theme="1"/>
            <rFont val="Calibri"/>
            <family val="2"/>
            <scheme val="minor"/>
          </rPr>
          <t>Descripción calculada automáticamente a partir de código del artículo</t>
        </r>
      </text>
    </comment>
    <comment ref="C2124" authorId="1" shapeId="0" xr:uid="{2B7E953E-7F8A-4536-A85F-F7BD0FC9BC9A}">
      <text>
        <r>
          <rPr>
            <sz val="11"/>
            <color theme="1"/>
            <rFont val="Calibri"/>
            <family val="2"/>
            <scheme val="minor"/>
          </rPr>
          <t>Seleccione un valor de la lista</t>
        </r>
      </text>
    </comment>
    <comment ref="D2124" authorId="1" shapeId="0" xr:uid="{EA405031-D4C9-4CD6-BB63-AF5357650BEB}">
      <text>
        <r>
          <rPr>
            <sz val="11"/>
            <color theme="1"/>
            <rFont val="Calibri"/>
            <family val="2"/>
            <scheme val="minor"/>
          </rPr>
          <t>Introduzca un número con dos decimales como máximo. Debe ser igual o mayor a la "Cantidad Real Consumida"</t>
        </r>
      </text>
    </comment>
    <comment ref="E2124" authorId="1" shapeId="0" xr:uid="{D2E18172-ED78-4E8F-86F8-EDEAFC7DCD3C}">
      <text>
        <r>
          <rPr>
            <sz val="11"/>
            <color theme="1"/>
            <rFont val="Calibri"/>
            <family val="2"/>
            <scheme val="minor"/>
          </rPr>
          <t>Introduzca un número con dos decimales como máximo</t>
        </r>
      </text>
    </comment>
    <comment ref="F2124" authorId="1" shapeId="0" xr:uid="{D4B793B6-4116-4FB2-91DE-05524E68C355}">
      <text>
        <r>
          <rPr>
            <sz val="11"/>
            <color theme="1"/>
            <rFont val="Calibri"/>
            <family val="2"/>
            <scheme val="minor"/>
          </rPr>
          <t>Monto calculado automáticamente por el sistema</t>
        </r>
      </text>
    </comment>
    <comment ref="A2129" authorId="1" shapeId="0" xr:uid="{4F1B9094-86DE-4418-8067-DCA3C23C2357}">
      <text>
        <r>
          <rPr>
            <sz val="11"/>
            <color theme="1"/>
            <rFont val="Calibri"/>
            <family val="2"/>
            <scheme val="minor"/>
          </rPr>
          <t>Introducir un texto con el nombre o referencia de la contratación</t>
        </r>
      </text>
    </comment>
    <comment ref="B2129" authorId="1" shapeId="0" xr:uid="{12D1F34E-4A08-448B-9749-D8A3F1BBC4D6}">
      <text>
        <r>
          <rPr>
            <sz val="11"/>
            <color theme="1"/>
            <rFont val="Calibri"/>
            <family val="2"/>
            <scheme val="minor"/>
          </rPr>
          <t>Introduzca un texto con la finalidad de la contratación</t>
        </r>
      </text>
    </comment>
    <comment ref="C2129" authorId="1" shapeId="0" xr:uid="{8ABB5ED0-1CFA-4FD0-A5B9-47EFC04B4B62}">
      <text>
        <r>
          <rPr>
            <sz val="11"/>
            <color theme="1"/>
            <rFont val="Calibri"/>
            <family val="2"/>
            <scheme val="minor"/>
          </rPr>
          <t>Seleccionar un valor del listado</t>
        </r>
      </text>
    </comment>
    <comment ref="D2129" authorId="1" shapeId="0" xr:uid="{A81D156D-3AE2-4143-AD67-2518730CF0F0}">
      <text>
        <r>
          <rPr>
            <sz val="11"/>
            <color theme="1"/>
            <rFont val="Calibri"/>
            <family val="2"/>
            <scheme val="minor"/>
          </rPr>
          <t>Seleccione el tipo de procedimiento</t>
        </r>
      </text>
    </comment>
    <comment ref="E2129" authorId="1" shapeId="0" xr:uid="{9B421FDD-4962-4D7B-9770-ED352CD5BDC9}">
      <text>
        <r>
          <rPr>
            <sz val="11"/>
            <color theme="1"/>
            <rFont val="Calibri"/>
            <family val="2"/>
            <scheme val="minor"/>
          </rPr>
          <t>Seleccione un valor de la lista</t>
        </r>
      </text>
    </comment>
    <comment ref="F2129" authorId="1" shapeId="0" xr:uid="{BA54E53F-2814-4214-86B8-CE8B16643C74}">
      <text>
        <r>
          <rPr>
            <sz val="11"/>
            <color theme="1"/>
            <rFont val="Calibri"/>
            <family val="2"/>
            <scheme val="minor"/>
          </rPr>
          <t>Introduzca el código SNIP</t>
        </r>
      </text>
    </comment>
    <comment ref="C2130" authorId="1" shapeId="0" xr:uid="{61ED3BC7-7C5D-488C-B84F-E8977688163A}">
      <text>
        <r>
          <rPr>
            <sz val="11"/>
            <color theme="1"/>
            <rFont val="Calibri"/>
            <family val="2"/>
            <scheme val="minor"/>
          </rPr>
          <t>Introduzca la fecha de inicio del proceso, en formato dd-mm-aaaa</t>
        </r>
      </text>
    </comment>
    <comment ref="F2130" authorId="1" shapeId="0" xr:uid="{1E13C692-ADD3-44E3-B051-238E42AA73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1" authorId="1" shapeId="0" xr:uid="{156BCA1A-9699-4FCD-94D3-C267372DCAEC}">
      <text/>
    </comment>
    <comment ref="C2132" authorId="1" shapeId="0" xr:uid="{A7DA319B-77C8-476E-9372-0A5CABE2A199}">
      <text>
        <r>
          <rPr>
            <sz val="11"/>
            <color theme="1"/>
            <rFont val="Calibri"/>
            <family val="2"/>
            <scheme val="minor"/>
          </rPr>
          <t>Introduzca la fecha prevista de adjudicación, en formato dd-mm-aaaa</t>
        </r>
      </text>
    </comment>
    <comment ref="F2132" authorId="1" shapeId="0" xr:uid="{572DFAB8-1A38-4504-9BB3-1BBB6D7898A2}">
      <text/>
    </comment>
    <comment ref="F2133" authorId="1" shapeId="0" xr:uid="{B63F46B1-1AE3-41DD-8544-CCC63FABD05E}">
      <text/>
    </comment>
    <comment ref="A2135" authorId="1" shapeId="0" xr:uid="{1987842C-DFD8-47DF-8C66-1053866C5545}">
      <text>
        <r>
          <rPr>
            <sz val="11"/>
            <color theme="1"/>
            <rFont val="Calibri"/>
            <family val="2"/>
            <scheme val="minor"/>
          </rPr>
          <t>Introduzca un codigo UNSPSC</t>
        </r>
      </text>
    </comment>
    <comment ref="B2135" authorId="1" shapeId="0" xr:uid="{F3C22C3C-77AB-4AE6-A6AF-5FBAC841AE93}">
      <text>
        <r>
          <rPr>
            <sz val="11"/>
            <color theme="1"/>
            <rFont val="Calibri"/>
            <family val="2"/>
            <scheme val="minor"/>
          </rPr>
          <t>Descripción calculada automáticamente a partir de código del artículo</t>
        </r>
      </text>
    </comment>
    <comment ref="C2135" authorId="1" shapeId="0" xr:uid="{F19AB75E-5014-418B-AA11-899F8CBF2269}">
      <text>
        <r>
          <rPr>
            <sz val="11"/>
            <color theme="1"/>
            <rFont val="Calibri"/>
            <family val="2"/>
            <scheme val="minor"/>
          </rPr>
          <t>Seleccione un valor de la lista</t>
        </r>
      </text>
    </comment>
    <comment ref="D2135" authorId="1" shapeId="0" xr:uid="{6261816C-5F7B-4179-9568-AEBF913FCDE8}">
      <text>
        <r>
          <rPr>
            <sz val="11"/>
            <color theme="1"/>
            <rFont val="Calibri"/>
            <family val="2"/>
            <scheme val="minor"/>
          </rPr>
          <t>Introduzca un número con dos decimales como máximo. Debe ser igual o mayor a la "Cantidad Real Consumida"</t>
        </r>
      </text>
    </comment>
    <comment ref="E2135" authorId="1" shapeId="0" xr:uid="{BAF37F46-91C5-4C20-964D-3B1FF3610177}">
      <text>
        <r>
          <rPr>
            <sz val="11"/>
            <color theme="1"/>
            <rFont val="Calibri"/>
            <family val="2"/>
            <scheme val="minor"/>
          </rPr>
          <t>Introduzca un número con dos decimales como máximo</t>
        </r>
      </text>
    </comment>
    <comment ref="F2135" authorId="1" shapeId="0" xr:uid="{47F9B9C3-4285-4F72-B0D3-35EDE02892DE}">
      <text>
        <r>
          <rPr>
            <sz val="11"/>
            <color theme="1"/>
            <rFont val="Calibri"/>
            <family val="2"/>
            <scheme val="minor"/>
          </rPr>
          <t>Monto calculado automáticamente por el sistema</t>
        </r>
      </text>
    </comment>
    <comment ref="A2147" authorId="1" shapeId="0" xr:uid="{8CCE61D2-4F97-4F48-AA59-07511B6509B7}">
      <text>
        <r>
          <rPr>
            <sz val="11"/>
            <color theme="1"/>
            <rFont val="Calibri"/>
            <family val="2"/>
            <scheme val="minor"/>
          </rPr>
          <t>Introducir un texto con el nombre o referencia de la contratación</t>
        </r>
      </text>
    </comment>
    <comment ref="B2147" authorId="1" shapeId="0" xr:uid="{9ED0CB3A-CB28-4FBB-AF5F-846DE013CDA9}">
      <text>
        <r>
          <rPr>
            <sz val="11"/>
            <color theme="1"/>
            <rFont val="Calibri"/>
            <family val="2"/>
            <scheme val="minor"/>
          </rPr>
          <t>Introduzca un texto con la finalidad de la contratación</t>
        </r>
      </text>
    </comment>
    <comment ref="C2147" authorId="1" shapeId="0" xr:uid="{EB2640B7-3567-48A4-9EC9-C88329EB5F95}">
      <text>
        <r>
          <rPr>
            <sz val="11"/>
            <color theme="1"/>
            <rFont val="Calibri"/>
            <family val="2"/>
            <scheme val="minor"/>
          </rPr>
          <t>Seleccionar un valor del listado</t>
        </r>
      </text>
    </comment>
    <comment ref="D2147" authorId="1" shapeId="0" xr:uid="{7DF62C13-AE6F-454C-91E9-F0F6FA877FC6}">
      <text>
        <r>
          <rPr>
            <sz val="11"/>
            <color theme="1"/>
            <rFont val="Calibri"/>
            <family val="2"/>
            <scheme val="minor"/>
          </rPr>
          <t>Seleccione el tipo de procedimiento</t>
        </r>
      </text>
    </comment>
    <comment ref="E2147" authorId="1" shapeId="0" xr:uid="{EA8BEF52-A14D-46E0-BB87-76C0FCB62DE3}">
      <text>
        <r>
          <rPr>
            <sz val="11"/>
            <color theme="1"/>
            <rFont val="Calibri"/>
            <family val="2"/>
            <scheme val="minor"/>
          </rPr>
          <t>Seleccione un valor de la lista</t>
        </r>
      </text>
    </comment>
    <comment ref="F2147" authorId="1" shapeId="0" xr:uid="{FA0D1993-40FA-436D-8524-12481B2355E5}">
      <text>
        <r>
          <rPr>
            <sz val="11"/>
            <color theme="1"/>
            <rFont val="Calibri"/>
            <family val="2"/>
            <scheme val="minor"/>
          </rPr>
          <t>Introduzca el código SNIP</t>
        </r>
      </text>
    </comment>
    <comment ref="C2148" authorId="1" shapeId="0" xr:uid="{37A3E622-C8C0-4B62-BF80-8A5625B49C9B}">
      <text>
        <r>
          <rPr>
            <sz val="11"/>
            <color theme="1"/>
            <rFont val="Calibri"/>
            <family val="2"/>
            <scheme val="minor"/>
          </rPr>
          <t>Introduzca la fecha de inicio del proceso, en formato dd-mm-aaaa</t>
        </r>
      </text>
    </comment>
    <comment ref="F2148" authorId="1" shapeId="0" xr:uid="{B3C4020F-712C-4EB7-87D9-2976FF49C5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9" authorId="1" shapeId="0" xr:uid="{AB171A6C-3F7D-49D7-9F2E-CA51AC03D4C7}">
      <text/>
    </comment>
    <comment ref="C2150" authorId="1" shapeId="0" xr:uid="{D10D36BF-BD97-4513-BA85-00A109D25EB6}">
      <text>
        <r>
          <rPr>
            <sz val="11"/>
            <color theme="1"/>
            <rFont val="Calibri"/>
            <family val="2"/>
            <scheme val="minor"/>
          </rPr>
          <t>Introduzca la fecha prevista de adjudicación, en formato dd-mm-aaaa</t>
        </r>
      </text>
    </comment>
    <comment ref="F2150" authorId="1" shapeId="0" xr:uid="{0CC0F60A-32E8-4710-AB30-1D9B5E1B0286}">
      <text/>
    </comment>
    <comment ref="F2151" authorId="1" shapeId="0" xr:uid="{627CE51E-DFEA-4D6F-A408-B1D2F2D4A4C4}">
      <text/>
    </comment>
    <comment ref="A2153" authorId="1" shapeId="0" xr:uid="{A5735289-D78C-4969-82C6-B908C6139986}">
      <text>
        <r>
          <rPr>
            <sz val="11"/>
            <color theme="1"/>
            <rFont val="Calibri"/>
            <family val="2"/>
            <scheme val="minor"/>
          </rPr>
          <t>Introduzca un codigo UNSPSC</t>
        </r>
      </text>
    </comment>
    <comment ref="B2153" authorId="1" shapeId="0" xr:uid="{B1D46615-AA69-4574-AF87-DBD898E76E4A}">
      <text>
        <r>
          <rPr>
            <sz val="11"/>
            <color theme="1"/>
            <rFont val="Calibri"/>
            <family val="2"/>
            <scheme val="minor"/>
          </rPr>
          <t>Descripción calculada automáticamente a partir de código del artículo</t>
        </r>
      </text>
    </comment>
    <comment ref="C2153" authorId="1" shapeId="0" xr:uid="{10E917D4-C31D-460D-9B73-C5DEF9978142}">
      <text>
        <r>
          <rPr>
            <sz val="11"/>
            <color theme="1"/>
            <rFont val="Calibri"/>
            <family val="2"/>
            <scheme val="minor"/>
          </rPr>
          <t>Seleccione un valor de la lista</t>
        </r>
      </text>
    </comment>
    <comment ref="D2153" authorId="1" shapeId="0" xr:uid="{76536210-20B7-406E-9309-E11F36A3A582}">
      <text>
        <r>
          <rPr>
            <sz val="11"/>
            <color theme="1"/>
            <rFont val="Calibri"/>
            <family val="2"/>
            <scheme val="minor"/>
          </rPr>
          <t>Introduzca un número con dos decimales como máximo. Debe ser igual o mayor a la "Cantidad Real Consumida"</t>
        </r>
      </text>
    </comment>
    <comment ref="E2153" authorId="1" shapeId="0" xr:uid="{663E238F-B785-4123-B84F-CB0D4AEEFAB3}">
      <text>
        <r>
          <rPr>
            <sz val="11"/>
            <color theme="1"/>
            <rFont val="Calibri"/>
            <family val="2"/>
            <scheme val="minor"/>
          </rPr>
          <t>Introduzca un número con dos decimales como máximo</t>
        </r>
      </text>
    </comment>
    <comment ref="F2153" authorId="1" shapeId="0" xr:uid="{927A8D3A-0D06-4325-8EE4-6E01B3D6B6E9}">
      <text>
        <r>
          <rPr>
            <sz val="11"/>
            <color theme="1"/>
            <rFont val="Calibri"/>
            <family val="2"/>
            <scheme val="minor"/>
          </rPr>
          <t>Monto calculado automáticamente por el sistema</t>
        </r>
      </text>
    </comment>
    <comment ref="A2158" authorId="1" shapeId="0" xr:uid="{6A8DB100-B68B-4C5F-A5C9-6D18181EF205}">
      <text>
        <r>
          <rPr>
            <sz val="11"/>
            <color theme="1"/>
            <rFont val="Calibri"/>
            <family val="2"/>
            <scheme val="minor"/>
          </rPr>
          <t>Introducir un texto con el nombre o referencia de la contratación</t>
        </r>
      </text>
    </comment>
    <comment ref="B2158" authorId="1" shapeId="0" xr:uid="{95069796-DDE3-46F1-A415-FDB64262CA64}">
      <text>
        <r>
          <rPr>
            <sz val="11"/>
            <color theme="1"/>
            <rFont val="Calibri"/>
            <family val="2"/>
            <scheme val="minor"/>
          </rPr>
          <t>Introduzca un texto con la finalidad de la contratación</t>
        </r>
      </text>
    </comment>
    <comment ref="C2158" authorId="1" shapeId="0" xr:uid="{119B743A-5366-455C-AA7E-7978F469C463}">
      <text>
        <r>
          <rPr>
            <sz val="11"/>
            <color theme="1"/>
            <rFont val="Calibri"/>
            <family val="2"/>
            <scheme val="minor"/>
          </rPr>
          <t>Seleccionar un valor del listado</t>
        </r>
      </text>
    </comment>
    <comment ref="D2158" authorId="1" shapeId="0" xr:uid="{7731DED0-6FCE-4542-8C88-EAE948BA7CE9}">
      <text>
        <r>
          <rPr>
            <sz val="11"/>
            <color theme="1"/>
            <rFont val="Calibri"/>
            <family val="2"/>
            <scheme val="minor"/>
          </rPr>
          <t>Seleccione el tipo de procedimiento</t>
        </r>
      </text>
    </comment>
    <comment ref="E2158" authorId="1" shapeId="0" xr:uid="{5A878348-3A7B-4D1E-9F1A-C73416D35E5F}">
      <text>
        <r>
          <rPr>
            <sz val="11"/>
            <color theme="1"/>
            <rFont val="Calibri"/>
            <family val="2"/>
            <scheme val="minor"/>
          </rPr>
          <t>Seleccione un valor de la lista</t>
        </r>
      </text>
    </comment>
    <comment ref="F2158" authorId="1" shapeId="0" xr:uid="{600DA345-EB55-4BF5-87E0-B072A09E61A4}">
      <text>
        <r>
          <rPr>
            <sz val="11"/>
            <color theme="1"/>
            <rFont val="Calibri"/>
            <family val="2"/>
            <scheme val="minor"/>
          </rPr>
          <t>Introduzca el código SNIP</t>
        </r>
      </text>
    </comment>
    <comment ref="C2159" authorId="1" shapeId="0" xr:uid="{339846E6-53B2-441C-A35A-7F6848BA23A0}">
      <text>
        <r>
          <rPr>
            <sz val="11"/>
            <color theme="1"/>
            <rFont val="Calibri"/>
            <family val="2"/>
            <scheme val="minor"/>
          </rPr>
          <t>Introduzca la fecha de inicio del proceso, en formato dd-mm-aaaa</t>
        </r>
      </text>
    </comment>
    <comment ref="F2159" authorId="1" shapeId="0" xr:uid="{93060103-B760-4DF4-9CCC-F401876C70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0" authorId="1" shapeId="0" xr:uid="{FD101623-1759-43A3-8A45-3D09611FD9FD}">
      <text/>
    </comment>
    <comment ref="C2161" authorId="1" shapeId="0" xr:uid="{AC1D005C-3751-452B-8FA4-686B00401507}">
      <text>
        <r>
          <rPr>
            <sz val="11"/>
            <color theme="1"/>
            <rFont val="Calibri"/>
            <family val="2"/>
            <scheme val="minor"/>
          </rPr>
          <t>Introduzca la fecha prevista de adjudicación, en formato dd-mm-aaaa</t>
        </r>
      </text>
    </comment>
    <comment ref="F2161" authorId="1" shapeId="0" xr:uid="{9C62A156-AE66-4EF8-A9AF-CA4CFC0DE9B9}">
      <text/>
    </comment>
    <comment ref="F2162" authorId="1" shapeId="0" xr:uid="{82B2B417-27DB-41FB-B24E-DA96EE7CABFC}">
      <text/>
    </comment>
    <comment ref="A2164" authorId="1" shapeId="0" xr:uid="{38970B65-AD26-4D6A-BC93-99B7FFC0EB20}">
      <text>
        <r>
          <rPr>
            <sz val="11"/>
            <color theme="1"/>
            <rFont val="Calibri"/>
            <family val="2"/>
            <scheme val="minor"/>
          </rPr>
          <t>Introduzca un codigo UNSPSC</t>
        </r>
      </text>
    </comment>
    <comment ref="B2164" authorId="1" shapeId="0" xr:uid="{12039978-9962-427C-B99A-03793CA42176}">
      <text>
        <r>
          <rPr>
            <sz val="11"/>
            <color theme="1"/>
            <rFont val="Calibri"/>
            <family val="2"/>
            <scheme val="minor"/>
          </rPr>
          <t>Descripción calculada automáticamente a partir de código del artículo</t>
        </r>
      </text>
    </comment>
    <comment ref="C2164" authorId="1" shapeId="0" xr:uid="{5D931F09-6E7C-4F98-AE13-7C32B7E123BD}">
      <text>
        <r>
          <rPr>
            <sz val="11"/>
            <color theme="1"/>
            <rFont val="Calibri"/>
            <family val="2"/>
            <scheme val="minor"/>
          </rPr>
          <t>Seleccione un valor de la lista</t>
        </r>
      </text>
    </comment>
    <comment ref="D2164" authorId="1" shapeId="0" xr:uid="{E3B4B32F-29CA-4E62-BFC9-39895335E495}">
      <text>
        <r>
          <rPr>
            <sz val="11"/>
            <color theme="1"/>
            <rFont val="Calibri"/>
            <family val="2"/>
            <scheme val="minor"/>
          </rPr>
          <t>Introduzca un número con dos decimales como máximo. Debe ser igual o mayor a la "Cantidad Real Consumida"</t>
        </r>
      </text>
    </comment>
    <comment ref="E2164" authorId="1" shapeId="0" xr:uid="{D1542FB7-8BDB-4F07-834E-17CE784F6085}">
      <text>
        <r>
          <rPr>
            <sz val="11"/>
            <color theme="1"/>
            <rFont val="Calibri"/>
            <family val="2"/>
            <scheme val="minor"/>
          </rPr>
          <t>Introduzca un número con dos decimales como máximo</t>
        </r>
      </text>
    </comment>
    <comment ref="F2164" authorId="1" shapeId="0" xr:uid="{5039287C-263F-46F1-82BC-DCC10DE0A810}">
      <text>
        <r>
          <rPr>
            <sz val="11"/>
            <color theme="1"/>
            <rFont val="Calibri"/>
            <family val="2"/>
            <scheme val="minor"/>
          </rPr>
          <t>Monto calculado automáticamente por el sistema</t>
        </r>
      </text>
    </comment>
    <comment ref="A2169" authorId="1" shapeId="0" xr:uid="{83FCAD81-E76C-4CA1-BB06-E6C70D070FFF}">
      <text>
        <r>
          <rPr>
            <sz val="11"/>
            <color theme="1"/>
            <rFont val="Calibri"/>
            <family val="2"/>
            <scheme val="minor"/>
          </rPr>
          <t>Introducir un texto con el nombre o referencia de la contratación</t>
        </r>
      </text>
    </comment>
    <comment ref="B2169" authorId="1" shapeId="0" xr:uid="{D4798C28-9B86-4EA1-8102-E2EF9C5B72E2}">
      <text>
        <r>
          <rPr>
            <sz val="11"/>
            <color theme="1"/>
            <rFont val="Calibri"/>
            <family val="2"/>
            <scheme val="minor"/>
          </rPr>
          <t>Introduzca un texto con la finalidad de la contratación</t>
        </r>
      </text>
    </comment>
    <comment ref="C2169" authorId="1" shapeId="0" xr:uid="{6D24B836-F2C2-497C-8975-917FDE3F93C0}">
      <text>
        <r>
          <rPr>
            <sz val="11"/>
            <color theme="1"/>
            <rFont val="Calibri"/>
            <family val="2"/>
            <scheme val="minor"/>
          </rPr>
          <t>Seleccionar un valor del listado</t>
        </r>
      </text>
    </comment>
    <comment ref="D2169" authorId="1" shapeId="0" xr:uid="{2BE7FF41-8059-41FD-A7C9-44102672C531}">
      <text>
        <r>
          <rPr>
            <sz val="11"/>
            <color theme="1"/>
            <rFont val="Calibri"/>
            <family val="2"/>
            <scheme val="minor"/>
          </rPr>
          <t>Seleccione el tipo de procedimiento</t>
        </r>
      </text>
    </comment>
    <comment ref="E2169" authorId="1" shapeId="0" xr:uid="{EBAF009B-F9E7-4442-B5E9-117C2B39A4F6}">
      <text>
        <r>
          <rPr>
            <sz val="11"/>
            <color theme="1"/>
            <rFont val="Calibri"/>
            <family val="2"/>
            <scheme val="minor"/>
          </rPr>
          <t>Seleccione un valor de la lista</t>
        </r>
      </text>
    </comment>
    <comment ref="F2169" authorId="1" shapeId="0" xr:uid="{CDC3D60D-FD8B-49E3-B01B-6521057C9227}">
      <text>
        <r>
          <rPr>
            <sz val="11"/>
            <color theme="1"/>
            <rFont val="Calibri"/>
            <family val="2"/>
            <scheme val="minor"/>
          </rPr>
          <t>Introduzca el código SNIP</t>
        </r>
      </text>
    </comment>
    <comment ref="C2170" authorId="1" shapeId="0" xr:uid="{E9C940E0-5E67-4961-B2DC-1C882C9DF8A6}">
      <text>
        <r>
          <rPr>
            <sz val="11"/>
            <color theme="1"/>
            <rFont val="Calibri"/>
            <family val="2"/>
            <scheme val="minor"/>
          </rPr>
          <t>Introduzca la fecha de inicio del proceso, en formato dd-mm-aaaa</t>
        </r>
      </text>
    </comment>
    <comment ref="F2170" authorId="1" shapeId="0" xr:uid="{D72C861F-5C2F-4DBE-85F2-9510477BAF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1" authorId="1" shapeId="0" xr:uid="{3D1A6B5E-6350-482D-AA6B-6887C1D7D027}">
      <text/>
    </comment>
    <comment ref="C2172" authorId="1" shapeId="0" xr:uid="{672D5EA1-D550-4159-947F-54B5B1774FDB}">
      <text>
        <r>
          <rPr>
            <sz val="11"/>
            <color theme="1"/>
            <rFont val="Calibri"/>
            <family val="2"/>
            <scheme val="minor"/>
          </rPr>
          <t>Introduzca la fecha prevista de adjudicación, en formato dd-mm-aaaa</t>
        </r>
      </text>
    </comment>
    <comment ref="F2172" authorId="1" shapeId="0" xr:uid="{9BEFBCCB-298B-4DDC-9538-0E9B582FACD8}">
      <text/>
    </comment>
    <comment ref="F2173" authorId="1" shapeId="0" xr:uid="{02BDA2F7-3457-4E4D-A614-389550697EA9}">
      <text/>
    </comment>
    <comment ref="A2175" authorId="1" shapeId="0" xr:uid="{E4659567-DBE2-47C9-BCB9-7BF79749E552}">
      <text>
        <r>
          <rPr>
            <sz val="11"/>
            <color theme="1"/>
            <rFont val="Calibri"/>
            <family val="2"/>
            <scheme val="minor"/>
          </rPr>
          <t>Introduzca un codigo UNSPSC</t>
        </r>
      </text>
    </comment>
    <comment ref="B2175" authorId="1" shapeId="0" xr:uid="{A2D56D9B-0511-475E-B94C-F51E1DCD1105}">
      <text>
        <r>
          <rPr>
            <sz val="11"/>
            <color theme="1"/>
            <rFont val="Calibri"/>
            <family val="2"/>
            <scheme val="minor"/>
          </rPr>
          <t>Descripción calculada automáticamente a partir de código del artículo</t>
        </r>
      </text>
    </comment>
    <comment ref="C2175" authorId="1" shapeId="0" xr:uid="{7A9EFC4E-4480-448E-8A56-6ED426EB9CF6}">
      <text>
        <r>
          <rPr>
            <sz val="11"/>
            <color theme="1"/>
            <rFont val="Calibri"/>
            <family val="2"/>
            <scheme val="minor"/>
          </rPr>
          <t>Seleccione un valor de la lista</t>
        </r>
      </text>
    </comment>
    <comment ref="D2175" authorId="1" shapeId="0" xr:uid="{C0E20BC5-44BD-48F6-A753-D1061AEA6AE1}">
      <text>
        <r>
          <rPr>
            <sz val="11"/>
            <color theme="1"/>
            <rFont val="Calibri"/>
            <family val="2"/>
            <scheme val="minor"/>
          </rPr>
          <t>Introduzca un número con dos decimales como máximo. Debe ser igual o mayor a la "Cantidad Real Consumida"</t>
        </r>
      </text>
    </comment>
    <comment ref="E2175" authorId="1" shapeId="0" xr:uid="{93837FE2-A7B5-42F9-BD6D-F14EB01E0AA2}">
      <text>
        <r>
          <rPr>
            <sz val="11"/>
            <color theme="1"/>
            <rFont val="Calibri"/>
            <family val="2"/>
            <scheme val="minor"/>
          </rPr>
          <t>Introduzca un número con dos decimales como máximo</t>
        </r>
      </text>
    </comment>
    <comment ref="F2175" authorId="1" shapeId="0" xr:uid="{BC7D1890-5470-4D33-B66B-30BAD8733275}">
      <text>
        <r>
          <rPr>
            <sz val="11"/>
            <color theme="1"/>
            <rFont val="Calibri"/>
            <family val="2"/>
            <scheme val="minor"/>
          </rPr>
          <t>Monto calculado automáticamente por el sistema</t>
        </r>
      </text>
    </comment>
    <comment ref="A2181" authorId="1" shapeId="0" xr:uid="{8117CD11-9870-4AC5-AE53-1FEAAF35BA50}">
      <text>
        <r>
          <rPr>
            <sz val="11"/>
            <color theme="1"/>
            <rFont val="Calibri"/>
            <family val="2"/>
            <scheme val="minor"/>
          </rPr>
          <t>Introducir un texto con el nombre o referencia de la contratación</t>
        </r>
      </text>
    </comment>
    <comment ref="B2181" authorId="1" shapeId="0" xr:uid="{C30B91C7-5748-4319-9E4D-1610F8EB4B54}">
      <text>
        <r>
          <rPr>
            <sz val="11"/>
            <color theme="1"/>
            <rFont val="Calibri"/>
            <family val="2"/>
            <scheme val="minor"/>
          </rPr>
          <t>Introduzca un texto con la finalidad de la contratación</t>
        </r>
      </text>
    </comment>
    <comment ref="C2181" authorId="1" shapeId="0" xr:uid="{C9689FA7-10AE-4649-AEE9-3AE13A6D7251}">
      <text>
        <r>
          <rPr>
            <sz val="11"/>
            <color theme="1"/>
            <rFont val="Calibri"/>
            <family val="2"/>
            <scheme val="minor"/>
          </rPr>
          <t>Seleccionar un valor del listado</t>
        </r>
      </text>
    </comment>
    <comment ref="D2181" authorId="1" shapeId="0" xr:uid="{C8DD1209-F234-4D6A-8DAA-AB77EE5DAD95}">
      <text>
        <r>
          <rPr>
            <sz val="11"/>
            <color theme="1"/>
            <rFont val="Calibri"/>
            <family val="2"/>
            <scheme val="minor"/>
          </rPr>
          <t>Seleccione el tipo de procedimiento</t>
        </r>
      </text>
    </comment>
    <comment ref="E2181" authorId="1" shapeId="0" xr:uid="{A7210E74-EBF7-4EEC-9127-D81300EB2D60}">
      <text>
        <r>
          <rPr>
            <sz val="11"/>
            <color theme="1"/>
            <rFont val="Calibri"/>
            <family val="2"/>
            <scheme val="minor"/>
          </rPr>
          <t>Seleccione un valor de la lista</t>
        </r>
      </text>
    </comment>
    <comment ref="F2181" authorId="1" shapeId="0" xr:uid="{2077C952-926A-404F-BEB6-F77F114F225E}">
      <text>
        <r>
          <rPr>
            <sz val="11"/>
            <color theme="1"/>
            <rFont val="Calibri"/>
            <family val="2"/>
            <scheme val="minor"/>
          </rPr>
          <t>Introduzca el código SNIP</t>
        </r>
      </text>
    </comment>
    <comment ref="C2182" authorId="1" shapeId="0" xr:uid="{5702A363-6E4A-4D1C-9D89-11F5314DC378}">
      <text>
        <r>
          <rPr>
            <sz val="11"/>
            <color theme="1"/>
            <rFont val="Calibri"/>
            <family val="2"/>
            <scheme val="minor"/>
          </rPr>
          <t>Introduzca la fecha de inicio del proceso, en formato dd-mm-aaaa</t>
        </r>
      </text>
    </comment>
    <comment ref="F2182" authorId="1" shapeId="0" xr:uid="{CF7B22B8-B626-47C7-AC95-90C2A9921F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3" authorId="1" shapeId="0" xr:uid="{93E0706C-D17B-46C6-BAFB-907151CCD4F1}">
      <text/>
    </comment>
    <comment ref="C2184" authorId="1" shapeId="0" xr:uid="{1E153F23-B037-40B0-9C02-6ACA38C48AA6}">
      <text>
        <r>
          <rPr>
            <sz val="11"/>
            <color theme="1"/>
            <rFont val="Calibri"/>
            <family val="2"/>
            <scheme val="minor"/>
          </rPr>
          <t>Introduzca la fecha prevista de adjudicación, en formato dd-mm-aaaa</t>
        </r>
      </text>
    </comment>
    <comment ref="F2184" authorId="1" shapeId="0" xr:uid="{EEB50156-038A-419D-9C10-9481D54DAF35}">
      <text/>
    </comment>
    <comment ref="F2185" authorId="1" shapeId="0" xr:uid="{9D63D5D8-C861-49D3-B4E7-0930090FB8FD}">
      <text/>
    </comment>
    <comment ref="A2187" authorId="1" shapeId="0" xr:uid="{2F74D0BD-F44C-49D2-87BA-561544D3B521}">
      <text>
        <r>
          <rPr>
            <sz val="11"/>
            <color theme="1"/>
            <rFont val="Calibri"/>
            <family val="2"/>
            <scheme val="minor"/>
          </rPr>
          <t>Introduzca un codigo UNSPSC</t>
        </r>
      </text>
    </comment>
    <comment ref="B2187" authorId="1" shapeId="0" xr:uid="{21558299-8849-4A07-81A2-0DDC29A48746}">
      <text>
        <r>
          <rPr>
            <sz val="11"/>
            <color theme="1"/>
            <rFont val="Calibri"/>
            <family val="2"/>
            <scheme val="minor"/>
          </rPr>
          <t>Descripción calculada automáticamente a partir de código del artículo</t>
        </r>
      </text>
    </comment>
    <comment ref="C2187" authorId="1" shapeId="0" xr:uid="{BF2B8783-AE35-416F-9CEC-C84D959D33AC}">
      <text>
        <r>
          <rPr>
            <sz val="11"/>
            <color theme="1"/>
            <rFont val="Calibri"/>
            <family val="2"/>
            <scheme val="minor"/>
          </rPr>
          <t>Seleccione un valor de la lista</t>
        </r>
      </text>
    </comment>
    <comment ref="D2187" authorId="1" shapeId="0" xr:uid="{86D4130B-3CDD-4596-B523-A178A775D310}">
      <text>
        <r>
          <rPr>
            <sz val="11"/>
            <color theme="1"/>
            <rFont val="Calibri"/>
            <family val="2"/>
            <scheme val="minor"/>
          </rPr>
          <t>Introduzca un número con dos decimales como máximo. Debe ser igual o mayor a la "Cantidad Real Consumida"</t>
        </r>
      </text>
    </comment>
    <comment ref="E2187" authorId="1" shapeId="0" xr:uid="{6AB4619D-942C-4C2E-A391-28FA7EA10DFB}">
      <text>
        <r>
          <rPr>
            <sz val="11"/>
            <color theme="1"/>
            <rFont val="Calibri"/>
            <family val="2"/>
            <scheme val="minor"/>
          </rPr>
          <t>Introduzca un número con dos decimales como máximo</t>
        </r>
      </text>
    </comment>
    <comment ref="F2187" authorId="1" shapeId="0" xr:uid="{B667A435-C8F8-4F82-85BF-51C5640255FD}">
      <text>
        <r>
          <rPr>
            <sz val="11"/>
            <color theme="1"/>
            <rFont val="Calibri"/>
            <family val="2"/>
            <scheme val="minor"/>
          </rPr>
          <t>Monto calculado automáticamente por el sistema</t>
        </r>
      </text>
    </comment>
    <comment ref="A2213" authorId="1" shapeId="0" xr:uid="{6BCE7479-37AA-4092-BE12-F5456BA78044}">
      <text>
        <r>
          <rPr>
            <sz val="11"/>
            <color theme="1"/>
            <rFont val="Calibri"/>
            <family val="2"/>
            <scheme val="minor"/>
          </rPr>
          <t>Introducir un texto con el nombre o referencia de la contratación</t>
        </r>
      </text>
    </comment>
    <comment ref="B2213" authorId="1" shapeId="0" xr:uid="{F3ABA4B8-4ACF-4881-8942-CCC9D04D730B}">
      <text>
        <r>
          <rPr>
            <sz val="11"/>
            <color theme="1"/>
            <rFont val="Calibri"/>
            <family val="2"/>
            <scheme val="minor"/>
          </rPr>
          <t>Introduzca un texto con la finalidad de la contratación</t>
        </r>
      </text>
    </comment>
    <comment ref="C2213" authorId="1" shapeId="0" xr:uid="{AB3DAFA8-526B-404D-A374-953CCC1A545C}">
      <text>
        <r>
          <rPr>
            <sz val="11"/>
            <color theme="1"/>
            <rFont val="Calibri"/>
            <family val="2"/>
            <scheme val="minor"/>
          </rPr>
          <t>Seleccionar un valor del listado</t>
        </r>
      </text>
    </comment>
    <comment ref="D2213" authorId="1" shapeId="0" xr:uid="{4B79C561-9CCF-4267-A4CE-C17FEB8A90AF}">
      <text>
        <r>
          <rPr>
            <sz val="11"/>
            <color theme="1"/>
            <rFont val="Calibri"/>
            <family val="2"/>
            <scheme val="minor"/>
          </rPr>
          <t>Seleccione el tipo de procedimiento</t>
        </r>
      </text>
    </comment>
    <comment ref="E2213" authorId="1" shapeId="0" xr:uid="{EF6FAEF6-6F48-457E-A646-394627B8217E}">
      <text>
        <r>
          <rPr>
            <sz val="11"/>
            <color theme="1"/>
            <rFont val="Calibri"/>
            <family val="2"/>
            <scheme val="minor"/>
          </rPr>
          <t>Seleccione un valor de la lista</t>
        </r>
      </text>
    </comment>
    <comment ref="F2213" authorId="1" shapeId="0" xr:uid="{707E2DCF-E9D0-4C18-9E9B-5809E5301925}">
      <text>
        <r>
          <rPr>
            <sz val="11"/>
            <color theme="1"/>
            <rFont val="Calibri"/>
            <family val="2"/>
            <scheme val="minor"/>
          </rPr>
          <t>Introduzca el código SNIP</t>
        </r>
      </text>
    </comment>
    <comment ref="C2214" authorId="1" shapeId="0" xr:uid="{BA234DFD-CDD2-4433-BE81-AF693DC7BB4D}">
      <text>
        <r>
          <rPr>
            <sz val="11"/>
            <color theme="1"/>
            <rFont val="Calibri"/>
            <family val="2"/>
            <scheme val="minor"/>
          </rPr>
          <t>Introduzca la fecha de inicio del proceso, en formato dd-mm-aaaa</t>
        </r>
      </text>
    </comment>
    <comment ref="F2214" authorId="1" shapeId="0" xr:uid="{28889E07-8761-422A-8745-5626B470CC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5" authorId="1" shapeId="0" xr:uid="{E1E96AB5-B0E3-41DE-BDD5-8DFB01E5136E}">
      <text/>
    </comment>
    <comment ref="C2216" authorId="1" shapeId="0" xr:uid="{4848C58D-784B-446D-9647-834CE94BCF32}">
      <text>
        <r>
          <rPr>
            <sz val="11"/>
            <color theme="1"/>
            <rFont val="Calibri"/>
            <family val="2"/>
            <scheme val="minor"/>
          </rPr>
          <t>Introduzca la fecha prevista de adjudicación, en formato dd-mm-aaaa</t>
        </r>
      </text>
    </comment>
    <comment ref="F2216" authorId="1" shapeId="0" xr:uid="{EA3F23D8-5785-4AD4-98C1-98309BF0CD22}">
      <text/>
    </comment>
    <comment ref="F2217" authorId="1" shapeId="0" xr:uid="{363E12E7-5DAB-4B9A-ABF2-DD3756BC54D7}">
      <text/>
    </comment>
    <comment ref="A2219" authorId="1" shapeId="0" xr:uid="{A965DED6-2A41-41D4-A72D-123670F85C46}">
      <text>
        <r>
          <rPr>
            <sz val="11"/>
            <color theme="1"/>
            <rFont val="Calibri"/>
            <family val="2"/>
            <scheme val="minor"/>
          </rPr>
          <t>Introduzca un codigo UNSPSC</t>
        </r>
      </text>
    </comment>
    <comment ref="B2219" authorId="1" shapeId="0" xr:uid="{DFB7F3C7-97A2-455B-B14D-225FB618662E}">
      <text>
        <r>
          <rPr>
            <sz val="11"/>
            <color theme="1"/>
            <rFont val="Calibri"/>
            <family val="2"/>
            <scheme val="minor"/>
          </rPr>
          <t>Descripción calculada automáticamente a partir de código del artículo</t>
        </r>
      </text>
    </comment>
    <comment ref="C2219" authorId="1" shapeId="0" xr:uid="{53861087-18A8-44C8-B6E9-4760E0484B0F}">
      <text>
        <r>
          <rPr>
            <sz val="11"/>
            <color theme="1"/>
            <rFont val="Calibri"/>
            <family val="2"/>
            <scheme val="minor"/>
          </rPr>
          <t>Seleccione un valor de la lista</t>
        </r>
      </text>
    </comment>
    <comment ref="D2219" authorId="1" shapeId="0" xr:uid="{32F212EC-641D-43FE-8166-83CCFA36E5D7}">
      <text>
        <r>
          <rPr>
            <sz val="11"/>
            <color theme="1"/>
            <rFont val="Calibri"/>
            <family val="2"/>
            <scheme val="minor"/>
          </rPr>
          <t>Introduzca un número con dos decimales como máximo. Debe ser igual o mayor a la "Cantidad Real Consumida"</t>
        </r>
      </text>
    </comment>
    <comment ref="E2219" authorId="1" shapeId="0" xr:uid="{2A062B59-FEBD-4565-8D5F-8DA47D699296}">
      <text>
        <r>
          <rPr>
            <sz val="11"/>
            <color theme="1"/>
            <rFont val="Calibri"/>
            <family val="2"/>
            <scheme val="minor"/>
          </rPr>
          <t>Introduzca un número con dos decimales como máximo</t>
        </r>
      </text>
    </comment>
    <comment ref="F2219" authorId="1" shapeId="0" xr:uid="{233A8DFB-0A5D-4AC9-8571-2F4D20538698}">
      <text>
        <r>
          <rPr>
            <sz val="11"/>
            <color theme="1"/>
            <rFont val="Calibri"/>
            <family val="2"/>
            <scheme val="minor"/>
          </rPr>
          <t>Monto calculado automáticamente por el sistema</t>
        </r>
      </text>
    </comment>
    <comment ref="A2228" authorId="1" shapeId="0" xr:uid="{DCC4271A-E408-4250-8B03-3715F4D046C2}">
      <text>
        <r>
          <rPr>
            <sz val="11"/>
            <color theme="1"/>
            <rFont val="Calibri"/>
            <family val="2"/>
            <scheme val="minor"/>
          </rPr>
          <t>Introducir un texto con el nombre o referencia de la contratación</t>
        </r>
      </text>
    </comment>
    <comment ref="B2228" authorId="1" shapeId="0" xr:uid="{2F5E6358-CAA4-4525-9BEA-B3FD72398727}">
      <text>
        <r>
          <rPr>
            <sz val="11"/>
            <color theme="1"/>
            <rFont val="Calibri"/>
            <family val="2"/>
            <scheme val="minor"/>
          </rPr>
          <t>Introduzca un texto con la finalidad de la contratación</t>
        </r>
      </text>
    </comment>
    <comment ref="C2228" authorId="1" shapeId="0" xr:uid="{0030B3EC-C37C-4A65-9E90-C1430C33288C}">
      <text>
        <r>
          <rPr>
            <sz val="11"/>
            <color theme="1"/>
            <rFont val="Calibri"/>
            <family val="2"/>
            <scheme val="minor"/>
          </rPr>
          <t>Seleccionar un valor del listado</t>
        </r>
      </text>
    </comment>
    <comment ref="D2228" authorId="1" shapeId="0" xr:uid="{0D6A15EB-39A6-4803-9C95-61138C071613}">
      <text>
        <r>
          <rPr>
            <sz val="11"/>
            <color theme="1"/>
            <rFont val="Calibri"/>
            <family val="2"/>
            <scheme val="minor"/>
          </rPr>
          <t>Seleccione el tipo de procedimiento</t>
        </r>
      </text>
    </comment>
    <comment ref="E2228" authorId="1" shapeId="0" xr:uid="{E27800AE-2950-4D12-87CB-BC07537743FE}">
      <text>
        <r>
          <rPr>
            <sz val="11"/>
            <color theme="1"/>
            <rFont val="Calibri"/>
            <family val="2"/>
            <scheme val="minor"/>
          </rPr>
          <t>Seleccione un valor de la lista</t>
        </r>
      </text>
    </comment>
    <comment ref="F2228" authorId="1" shapeId="0" xr:uid="{1F4F17DA-D2BB-43AE-9D92-B02D73CCA601}">
      <text>
        <r>
          <rPr>
            <sz val="11"/>
            <color theme="1"/>
            <rFont val="Calibri"/>
            <family val="2"/>
            <scheme val="minor"/>
          </rPr>
          <t>Introduzca el código SNIP</t>
        </r>
      </text>
    </comment>
    <comment ref="C2229" authorId="1" shapeId="0" xr:uid="{24415DD2-4C87-48BA-A0DC-A76162B5C950}">
      <text>
        <r>
          <rPr>
            <sz val="11"/>
            <color theme="1"/>
            <rFont val="Calibri"/>
            <family val="2"/>
            <scheme val="minor"/>
          </rPr>
          <t>Introduzca la fecha de inicio del proceso, en formato dd-mm-aaaa</t>
        </r>
      </text>
    </comment>
    <comment ref="F2229" authorId="1" shapeId="0" xr:uid="{20A72B98-76CF-4D0E-BB5D-56B756379E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0" authorId="1" shapeId="0" xr:uid="{45D9998B-C3FF-4692-8E83-4AEED3D50E8F}">
      <text/>
    </comment>
    <comment ref="C2231" authorId="1" shapeId="0" xr:uid="{FC7B558C-B57E-45A6-9EAC-4E7877DA0BC1}">
      <text>
        <r>
          <rPr>
            <sz val="11"/>
            <color theme="1"/>
            <rFont val="Calibri"/>
            <family val="2"/>
            <scheme val="minor"/>
          </rPr>
          <t>Introduzca la fecha prevista de adjudicación, en formato dd-mm-aaaa</t>
        </r>
      </text>
    </comment>
    <comment ref="F2231" authorId="1" shapeId="0" xr:uid="{863EF582-BA9B-4904-91CD-D17D05380FCC}">
      <text/>
    </comment>
    <comment ref="F2232" authorId="1" shapeId="0" xr:uid="{151F92B3-27C5-45F7-869E-844234A28E00}">
      <text/>
    </comment>
    <comment ref="A2234" authorId="1" shapeId="0" xr:uid="{D0880F52-3DD7-402A-B73B-5C9E68FF775F}">
      <text>
        <r>
          <rPr>
            <sz val="11"/>
            <color theme="1"/>
            <rFont val="Calibri"/>
            <family val="2"/>
            <scheme val="minor"/>
          </rPr>
          <t>Introduzca un codigo UNSPSC</t>
        </r>
      </text>
    </comment>
    <comment ref="B2234" authorId="1" shapeId="0" xr:uid="{BE38867C-C9C0-4BB7-B4F0-78D215D1D193}">
      <text>
        <r>
          <rPr>
            <sz val="11"/>
            <color theme="1"/>
            <rFont val="Calibri"/>
            <family val="2"/>
            <scheme val="minor"/>
          </rPr>
          <t>Descripción calculada automáticamente a partir de código del artículo</t>
        </r>
      </text>
    </comment>
    <comment ref="C2234" authorId="1" shapeId="0" xr:uid="{5CDCDF30-0DF3-4134-988D-F1AF4C29AB34}">
      <text>
        <r>
          <rPr>
            <sz val="11"/>
            <color theme="1"/>
            <rFont val="Calibri"/>
            <family val="2"/>
            <scheme val="minor"/>
          </rPr>
          <t>Seleccione un valor de la lista</t>
        </r>
      </text>
    </comment>
    <comment ref="D2234" authorId="1" shapeId="0" xr:uid="{11EB482D-513D-4A5E-8B1F-5D0A4899DB98}">
      <text>
        <r>
          <rPr>
            <sz val="11"/>
            <color theme="1"/>
            <rFont val="Calibri"/>
            <family val="2"/>
            <scheme val="minor"/>
          </rPr>
          <t>Introduzca un número con dos decimales como máximo. Debe ser igual o mayor a la "Cantidad Real Consumida"</t>
        </r>
      </text>
    </comment>
    <comment ref="E2234" authorId="1" shapeId="0" xr:uid="{59EC1AEA-E88E-4881-8CC2-31C771830E11}">
      <text>
        <r>
          <rPr>
            <sz val="11"/>
            <color theme="1"/>
            <rFont val="Calibri"/>
            <family val="2"/>
            <scheme val="minor"/>
          </rPr>
          <t>Introduzca un número con dos decimales como máximo</t>
        </r>
      </text>
    </comment>
    <comment ref="F2234" authorId="1" shapeId="0" xr:uid="{F91DADCB-F03D-4303-A8DF-D229DBBA96E9}">
      <text>
        <r>
          <rPr>
            <sz val="11"/>
            <color theme="1"/>
            <rFont val="Calibri"/>
            <family val="2"/>
            <scheme val="minor"/>
          </rPr>
          <t>Monto calculado automáticamente por el sistema</t>
        </r>
      </text>
    </comment>
    <comment ref="A2240" authorId="1" shapeId="0" xr:uid="{DCABBA21-EC7B-41D8-81D9-CEABE7F2B46C}">
      <text>
        <r>
          <rPr>
            <sz val="11"/>
            <color theme="1"/>
            <rFont val="Calibri"/>
            <family val="2"/>
            <scheme val="minor"/>
          </rPr>
          <t>Introducir un texto con el nombre o referencia de la contratación</t>
        </r>
      </text>
    </comment>
    <comment ref="B2240" authorId="1" shapeId="0" xr:uid="{E995858D-E68C-4658-B944-1B6A13D9C30B}">
      <text>
        <r>
          <rPr>
            <sz val="11"/>
            <color theme="1"/>
            <rFont val="Calibri"/>
            <family val="2"/>
            <scheme val="minor"/>
          </rPr>
          <t>Introduzca un texto con la finalidad de la contratación</t>
        </r>
      </text>
    </comment>
    <comment ref="C2240" authorId="1" shapeId="0" xr:uid="{9E12ABA8-4C72-40E3-8B82-C5AF2E61D293}">
      <text>
        <r>
          <rPr>
            <sz val="11"/>
            <color theme="1"/>
            <rFont val="Calibri"/>
            <family val="2"/>
            <scheme val="minor"/>
          </rPr>
          <t>Seleccionar un valor del listado</t>
        </r>
      </text>
    </comment>
    <comment ref="D2240" authorId="1" shapeId="0" xr:uid="{148080E5-F76A-4A71-838B-12DDC6F9C9C3}">
      <text>
        <r>
          <rPr>
            <sz val="11"/>
            <color theme="1"/>
            <rFont val="Calibri"/>
            <family val="2"/>
            <scheme val="minor"/>
          </rPr>
          <t>Seleccione el tipo de procedimiento</t>
        </r>
      </text>
    </comment>
    <comment ref="E2240" authorId="1" shapeId="0" xr:uid="{04A8001C-F36D-4156-9B40-52C7D126B29B}">
      <text>
        <r>
          <rPr>
            <sz val="11"/>
            <color theme="1"/>
            <rFont val="Calibri"/>
            <family val="2"/>
            <scheme val="minor"/>
          </rPr>
          <t>Seleccione un valor de la lista</t>
        </r>
      </text>
    </comment>
    <comment ref="F2240" authorId="1" shapeId="0" xr:uid="{91D1AE41-872E-4A91-8F12-3A902A5196ED}">
      <text>
        <r>
          <rPr>
            <sz val="11"/>
            <color theme="1"/>
            <rFont val="Calibri"/>
            <family val="2"/>
            <scheme val="minor"/>
          </rPr>
          <t>Introduzca el código SNIP</t>
        </r>
      </text>
    </comment>
    <comment ref="C2241" authorId="1" shapeId="0" xr:uid="{06EC1B09-489F-4C72-8530-00ED4535652E}">
      <text>
        <r>
          <rPr>
            <sz val="11"/>
            <color theme="1"/>
            <rFont val="Calibri"/>
            <family val="2"/>
            <scheme val="minor"/>
          </rPr>
          <t>Introduzca la fecha de inicio del proceso, en formato dd-mm-aaaa</t>
        </r>
      </text>
    </comment>
    <comment ref="F2241" authorId="1" shapeId="0" xr:uid="{6339CAB9-24EB-4C73-BB2F-BC46DE98E4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2" authorId="1" shapeId="0" xr:uid="{A81E4B00-BE5F-4E28-8F50-7AAA1577834F}">
      <text/>
    </comment>
    <comment ref="C2243" authorId="1" shapeId="0" xr:uid="{B9A5DCDF-EDB6-4906-8A11-E01E9141FEE0}">
      <text>
        <r>
          <rPr>
            <sz val="11"/>
            <color theme="1"/>
            <rFont val="Calibri"/>
            <family val="2"/>
            <scheme val="minor"/>
          </rPr>
          <t>Introduzca la fecha prevista de adjudicación, en formato dd-mm-aaaa</t>
        </r>
      </text>
    </comment>
    <comment ref="F2243" authorId="1" shapeId="0" xr:uid="{D9104EDB-867E-486D-BB33-552AAF3A2806}">
      <text/>
    </comment>
    <comment ref="F2244" authorId="1" shapeId="0" xr:uid="{BB28570D-4556-490E-A92D-C00FD59BC835}">
      <text/>
    </comment>
    <comment ref="A2246" authorId="1" shapeId="0" xr:uid="{B0C200A1-FDDB-4C71-AF04-8E3513340E66}">
      <text>
        <r>
          <rPr>
            <sz val="11"/>
            <color theme="1"/>
            <rFont val="Calibri"/>
            <family val="2"/>
            <scheme val="minor"/>
          </rPr>
          <t>Introduzca un codigo UNSPSC</t>
        </r>
      </text>
    </comment>
    <comment ref="B2246" authorId="1" shapeId="0" xr:uid="{1BB9B2CF-9224-45F3-BD00-B8E692273753}">
      <text>
        <r>
          <rPr>
            <sz val="11"/>
            <color theme="1"/>
            <rFont val="Calibri"/>
            <family val="2"/>
            <scheme val="minor"/>
          </rPr>
          <t>Descripción calculada automáticamente a partir de código del artículo</t>
        </r>
      </text>
    </comment>
    <comment ref="C2246" authorId="1" shapeId="0" xr:uid="{25771555-D595-4658-9236-F77CEACABE93}">
      <text>
        <r>
          <rPr>
            <sz val="11"/>
            <color theme="1"/>
            <rFont val="Calibri"/>
            <family val="2"/>
            <scheme val="minor"/>
          </rPr>
          <t>Seleccione un valor de la lista</t>
        </r>
      </text>
    </comment>
    <comment ref="D2246" authorId="1" shapeId="0" xr:uid="{CB4E16E6-B61F-4BFB-8A1B-1AD8BBC5A684}">
      <text>
        <r>
          <rPr>
            <sz val="11"/>
            <color theme="1"/>
            <rFont val="Calibri"/>
            <family val="2"/>
            <scheme val="minor"/>
          </rPr>
          <t>Introduzca un número con dos decimales como máximo. Debe ser igual o mayor a la "Cantidad Real Consumida"</t>
        </r>
      </text>
    </comment>
    <comment ref="E2246" authorId="1" shapeId="0" xr:uid="{EBCDF5A5-10C4-41BF-9623-039E3A54A8E6}">
      <text>
        <r>
          <rPr>
            <sz val="11"/>
            <color theme="1"/>
            <rFont val="Calibri"/>
            <family val="2"/>
            <scheme val="minor"/>
          </rPr>
          <t>Introduzca un número con dos decimales como máximo</t>
        </r>
      </text>
    </comment>
    <comment ref="F2246" authorId="1" shapeId="0" xr:uid="{7A80D8F0-666C-4FA5-80E1-BBBFB28FEB30}">
      <text>
        <r>
          <rPr>
            <sz val="11"/>
            <color theme="1"/>
            <rFont val="Calibri"/>
            <family val="2"/>
            <scheme val="minor"/>
          </rPr>
          <t>Monto calculado automáticamente por el sistema</t>
        </r>
      </text>
    </comment>
    <comment ref="A2253" authorId="1" shapeId="0" xr:uid="{74FA1573-06EC-4B19-BF3E-0CC9CF274A7B}">
      <text>
        <r>
          <rPr>
            <sz val="11"/>
            <color theme="1"/>
            <rFont val="Calibri"/>
            <family val="2"/>
            <scheme val="minor"/>
          </rPr>
          <t>Introducir un texto con el nombre o referencia de la contratación</t>
        </r>
      </text>
    </comment>
    <comment ref="B2253" authorId="1" shapeId="0" xr:uid="{B5A8D331-6F27-43C1-9307-413FFADC6891}">
      <text>
        <r>
          <rPr>
            <sz val="11"/>
            <color theme="1"/>
            <rFont val="Calibri"/>
            <family val="2"/>
            <scheme val="minor"/>
          </rPr>
          <t>Introduzca un texto con la finalidad de la contratación</t>
        </r>
      </text>
    </comment>
    <comment ref="C2253" authorId="1" shapeId="0" xr:uid="{2D11A5F5-7743-471F-B80A-8F3E72037B6A}">
      <text>
        <r>
          <rPr>
            <sz val="11"/>
            <color theme="1"/>
            <rFont val="Calibri"/>
            <family val="2"/>
            <scheme val="minor"/>
          </rPr>
          <t>Seleccionar un valor del listado</t>
        </r>
      </text>
    </comment>
    <comment ref="D2253" authorId="1" shapeId="0" xr:uid="{F3711E35-8AC0-49E9-8CCB-B01A08E273A9}">
      <text>
        <r>
          <rPr>
            <sz val="11"/>
            <color theme="1"/>
            <rFont val="Calibri"/>
            <family val="2"/>
            <scheme val="minor"/>
          </rPr>
          <t>Seleccione el tipo de procedimiento</t>
        </r>
      </text>
    </comment>
    <comment ref="E2253" authorId="1" shapeId="0" xr:uid="{E362ED9E-06B7-4243-A401-32C461CDD4B2}">
      <text>
        <r>
          <rPr>
            <sz val="11"/>
            <color theme="1"/>
            <rFont val="Calibri"/>
            <family val="2"/>
            <scheme val="minor"/>
          </rPr>
          <t>Seleccione un valor de la lista</t>
        </r>
      </text>
    </comment>
    <comment ref="F2253" authorId="1" shapeId="0" xr:uid="{4C76E2D0-A545-4335-BC74-E4B759D47A50}">
      <text>
        <r>
          <rPr>
            <sz val="11"/>
            <color theme="1"/>
            <rFont val="Calibri"/>
            <family val="2"/>
            <scheme val="minor"/>
          </rPr>
          <t>Introduzca el código SNIP</t>
        </r>
      </text>
    </comment>
    <comment ref="C2254" authorId="1" shapeId="0" xr:uid="{070D79A3-4C87-4A89-9059-356C53063F04}">
      <text>
        <r>
          <rPr>
            <sz val="11"/>
            <color theme="1"/>
            <rFont val="Calibri"/>
            <family val="2"/>
            <scheme val="minor"/>
          </rPr>
          <t>Introduzca la fecha de inicio del proceso, en formato dd-mm-aaaa</t>
        </r>
      </text>
    </comment>
    <comment ref="F2254" authorId="1" shapeId="0" xr:uid="{4499C023-E0E1-480B-8CAA-1C63BC1B0B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5" authorId="1" shapeId="0" xr:uid="{E580EAD6-8AF1-4251-844C-5842D37DC9BF}">
      <text/>
    </comment>
    <comment ref="C2256" authorId="1" shapeId="0" xr:uid="{C7B73AC2-BD65-497F-872C-489ACBEA7B6B}">
      <text>
        <r>
          <rPr>
            <sz val="11"/>
            <color theme="1"/>
            <rFont val="Calibri"/>
            <family val="2"/>
            <scheme val="minor"/>
          </rPr>
          <t>Introduzca la fecha prevista de adjudicación, en formato dd-mm-aaaa</t>
        </r>
      </text>
    </comment>
    <comment ref="F2256" authorId="1" shapeId="0" xr:uid="{E6AF6E45-B805-4E48-A0A2-27E8D3988E5C}">
      <text/>
    </comment>
    <comment ref="F2257" authorId="1" shapeId="0" xr:uid="{F926FF69-5248-4DCA-8C32-4A36C972172B}">
      <text/>
    </comment>
    <comment ref="A2259" authorId="1" shapeId="0" xr:uid="{92079FEC-D9BB-469F-A346-6244819AD197}">
      <text>
        <r>
          <rPr>
            <sz val="11"/>
            <color theme="1"/>
            <rFont val="Calibri"/>
            <family val="2"/>
            <scheme val="minor"/>
          </rPr>
          <t>Introduzca un codigo UNSPSC</t>
        </r>
      </text>
    </comment>
    <comment ref="B2259" authorId="1" shapeId="0" xr:uid="{0959451A-C698-4AAA-9C36-A70A3EF7DDCE}">
      <text>
        <r>
          <rPr>
            <sz val="11"/>
            <color theme="1"/>
            <rFont val="Calibri"/>
            <family val="2"/>
            <scheme val="minor"/>
          </rPr>
          <t>Descripción calculada automáticamente a partir de código del artículo</t>
        </r>
      </text>
    </comment>
    <comment ref="C2259" authorId="1" shapeId="0" xr:uid="{EA2FA14E-42B7-49F3-BC2A-335DA43A6728}">
      <text>
        <r>
          <rPr>
            <sz val="11"/>
            <color theme="1"/>
            <rFont val="Calibri"/>
            <family val="2"/>
            <scheme val="minor"/>
          </rPr>
          <t>Seleccione un valor de la lista</t>
        </r>
      </text>
    </comment>
    <comment ref="D2259" authorId="1" shapeId="0" xr:uid="{0A84E2BE-FE49-480F-8000-0B5A6695AC09}">
      <text>
        <r>
          <rPr>
            <sz val="11"/>
            <color theme="1"/>
            <rFont val="Calibri"/>
            <family val="2"/>
            <scheme val="minor"/>
          </rPr>
          <t>Introduzca un número con dos decimales como máximo. Debe ser igual o mayor a la "Cantidad Real Consumida"</t>
        </r>
      </text>
    </comment>
    <comment ref="E2259" authorId="1" shapeId="0" xr:uid="{B1E7EEEE-C151-40B3-A681-81892C5410B6}">
      <text>
        <r>
          <rPr>
            <sz val="11"/>
            <color theme="1"/>
            <rFont val="Calibri"/>
            <family val="2"/>
            <scheme val="minor"/>
          </rPr>
          <t>Introduzca un número con dos decimales como máximo</t>
        </r>
      </text>
    </comment>
    <comment ref="F2259" authorId="1" shapeId="0" xr:uid="{68A75D76-FEFC-4AF8-ABFB-6CB3146A0DC9}">
      <text>
        <r>
          <rPr>
            <sz val="11"/>
            <color theme="1"/>
            <rFont val="Calibri"/>
            <family val="2"/>
            <scheme val="minor"/>
          </rPr>
          <t>Monto calculado automáticamente por el sistema</t>
        </r>
      </text>
    </comment>
    <comment ref="A2265" authorId="1" shapeId="0" xr:uid="{8F701E59-79C0-4171-947C-BBFC21F648DD}">
      <text>
        <r>
          <rPr>
            <sz val="11"/>
            <color theme="1"/>
            <rFont val="Calibri"/>
            <family val="2"/>
            <scheme val="minor"/>
          </rPr>
          <t>Introducir un texto con el nombre o referencia de la contratación</t>
        </r>
      </text>
    </comment>
    <comment ref="B2265" authorId="1" shapeId="0" xr:uid="{61684925-02EE-4DE2-8AC4-1FD0C080D008}">
      <text>
        <r>
          <rPr>
            <sz val="11"/>
            <color theme="1"/>
            <rFont val="Calibri"/>
            <family val="2"/>
            <scheme val="minor"/>
          </rPr>
          <t>Introduzca un texto con la finalidad de la contratación</t>
        </r>
      </text>
    </comment>
    <comment ref="C2265" authorId="1" shapeId="0" xr:uid="{3BFDB9D0-F7C6-4EB3-869F-C4D4B004D79A}">
      <text>
        <r>
          <rPr>
            <sz val="11"/>
            <color theme="1"/>
            <rFont val="Calibri"/>
            <family val="2"/>
            <scheme val="minor"/>
          </rPr>
          <t>Seleccionar un valor del listado</t>
        </r>
      </text>
    </comment>
    <comment ref="D2265" authorId="1" shapeId="0" xr:uid="{2701C334-3DB1-466D-9591-9DD022266AA4}">
      <text>
        <r>
          <rPr>
            <sz val="11"/>
            <color theme="1"/>
            <rFont val="Calibri"/>
            <family val="2"/>
            <scheme val="minor"/>
          </rPr>
          <t>Seleccione el tipo de procedimiento</t>
        </r>
      </text>
    </comment>
    <comment ref="E2265" authorId="1" shapeId="0" xr:uid="{3B98CC1B-52A3-4219-8F4A-46A4B85F3375}">
      <text>
        <r>
          <rPr>
            <sz val="11"/>
            <color theme="1"/>
            <rFont val="Calibri"/>
            <family val="2"/>
            <scheme val="minor"/>
          </rPr>
          <t>Seleccione un valor de la lista</t>
        </r>
      </text>
    </comment>
    <comment ref="F2265" authorId="1" shapeId="0" xr:uid="{5D008AF6-7466-459D-8665-5FD76E1BF57B}">
      <text>
        <r>
          <rPr>
            <sz val="11"/>
            <color theme="1"/>
            <rFont val="Calibri"/>
            <family val="2"/>
            <scheme val="minor"/>
          </rPr>
          <t>Introduzca el código SNIP</t>
        </r>
      </text>
    </comment>
    <comment ref="C2266" authorId="1" shapeId="0" xr:uid="{7E015ACC-43C9-4ACA-8A32-0F8700416CD2}">
      <text>
        <r>
          <rPr>
            <sz val="11"/>
            <color theme="1"/>
            <rFont val="Calibri"/>
            <family val="2"/>
            <scheme val="minor"/>
          </rPr>
          <t>Introduzca la fecha de inicio del proceso, en formato dd-mm-aaaa</t>
        </r>
      </text>
    </comment>
    <comment ref="F2266" authorId="1" shapeId="0" xr:uid="{2C1B52DB-C9D9-4BEB-B3C7-EEBFA257AA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7" authorId="1" shapeId="0" xr:uid="{81D57BD4-5AB9-4BBD-85B0-82346CBF4FAC}">
      <text/>
    </comment>
    <comment ref="C2268" authorId="1" shapeId="0" xr:uid="{A6FA43B6-54AF-4FA8-9262-D20623A4FBD5}">
      <text>
        <r>
          <rPr>
            <sz val="11"/>
            <color theme="1"/>
            <rFont val="Calibri"/>
            <family val="2"/>
            <scheme val="minor"/>
          </rPr>
          <t>Introduzca la fecha prevista de adjudicación, en formato dd-mm-aaaa</t>
        </r>
      </text>
    </comment>
    <comment ref="F2268" authorId="1" shapeId="0" xr:uid="{DC602EF3-4C50-4970-BDD9-C1AC52998207}">
      <text/>
    </comment>
    <comment ref="F2269" authorId="1" shapeId="0" xr:uid="{A1D3BA3A-D4E0-43C9-87DC-C709FCF04CD0}">
      <text/>
    </comment>
    <comment ref="A2271" authorId="1" shapeId="0" xr:uid="{0C5958AB-2376-415F-BFD4-3F9C28C64281}">
      <text>
        <r>
          <rPr>
            <sz val="11"/>
            <color theme="1"/>
            <rFont val="Calibri"/>
            <family val="2"/>
            <scheme val="minor"/>
          </rPr>
          <t>Introduzca un codigo UNSPSC</t>
        </r>
      </text>
    </comment>
    <comment ref="B2271" authorId="1" shapeId="0" xr:uid="{A5BC9566-6DA9-46A0-A646-0FBCD98D354A}">
      <text>
        <r>
          <rPr>
            <sz val="11"/>
            <color theme="1"/>
            <rFont val="Calibri"/>
            <family val="2"/>
            <scheme val="minor"/>
          </rPr>
          <t>Descripción calculada automáticamente a partir de código del artículo</t>
        </r>
      </text>
    </comment>
    <comment ref="C2271" authorId="1" shapeId="0" xr:uid="{CD6E339B-FBBC-4A63-AA6B-92606211C82C}">
      <text>
        <r>
          <rPr>
            <sz val="11"/>
            <color theme="1"/>
            <rFont val="Calibri"/>
            <family val="2"/>
            <scheme val="minor"/>
          </rPr>
          <t>Seleccione un valor de la lista</t>
        </r>
      </text>
    </comment>
    <comment ref="D2271" authorId="1" shapeId="0" xr:uid="{F594CAE0-D487-4384-991C-C24909E7730C}">
      <text>
        <r>
          <rPr>
            <sz val="11"/>
            <color theme="1"/>
            <rFont val="Calibri"/>
            <family val="2"/>
            <scheme val="minor"/>
          </rPr>
          <t>Introduzca un número con dos decimales como máximo. Debe ser igual o mayor a la "Cantidad Real Consumida"</t>
        </r>
      </text>
    </comment>
    <comment ref="E2271" authorId="1" shapeId="0" xr:uid="{7537272D-8C25-41BF-B933-CA5E61554F9D}">
      <text>
        <r>
          <rPr>
            <sz val="11"/>
            <color theme="1"/>
            <rFont val="Calibri"/>
            <family val="2"/>
            <scheme val="minor"/>
          </rPr>
          <t>Introduzca un número con dos decimales como máximo</t>
        </r>
      </text>
    </comment>
    <comment ref="F2271" authorId="1" shapeId="0" xr:uid="{2D1BBB5C-E092-4053-8293-569ED250F3CB}">
      <text>
        <r>
          <rPr>
            <sz val="11"/>
            <color theme="1"/>
            <rFont val="Calibri"/>
            <family val="2"/>
            <scheme val="minor"/>
          </rPr>
          <t>Monto calculado automáticamente por el sistema</t>
        </r>
      </text>
    </comment>
    <comment ref="A2277" authorId="1" shapeId="0" xr:uid="{AE5FDA24-88AD-45CE-BE5E-ADF51D24DFAE}">
      <text>
        <r>
          <rPr>
            <sz val="11"/>
            <color theme="1"/>
            <rFont val="Calibri"/>
            <family val="2"/>
            <scheme val="minor"/>
          </rPr>
          <t>Introducir un texto con el nombre o referencia de la contratación</t>
        </r>
      </text>
    </comment>
    <comment ref="B2277" authorId="1" shapeId="0" xr:uid="{38537942-8217-4EA8-B214-BA99EE272459}">
      <text>
        <r>
          <rPr>
            <sz val="11"/>
            <color theme="1"/>
            <rFont val="Calibri"/>
            <family val="2"/>
            <scheme val="minor"/>
          </rPr>
          <t>Introduzca un texto con la finalidad de la contratación</t>
        </r>
      </text>
    </comment>
    <comment ref="C2277" authorId="1" shapeId="0" xr:uid="{91655838-A097-4FB6-A0DC-910584F6F0CA}">
      <text>
        <r>
          <rPr>
            <sz val="11"/>
            <color theme="1"/>
            <rFont val="Calibri"/>
            <family val="2"/>
            <scheme val="minor"/>
          </rPr>
          <t>Seleccionar un valor del listado</t>
        </r>
      </text>
    </comment>
    <comment ref="D2277" authorId="1" shapeId="0" xr:uid="{4AB8F6F0-58D8-4BAB-B659-6BB499D787D5}">
      <text>
        <r>
          <rPr>
            <sz val="11"/>
            <color theme="1"/>
            <rFont val="Calibri"/>
            <family val="2"/>
            <scheme val="minor"/>
          </rPr>
          <t>Seleccione el tipo de procedimiento</t>
        </r>
      </text>
    </comment>
    <comment ref="E2277" authorId="1" shapeId="0" xr:uid="{140D4609-9204-47BD-A407-71430FA45DE2}">
      <text>
        <r>
          <rPr>
            <sz val="11"/>
            <color theme="1"/>
            <rFont val="Calibri"/>
            <family val="2"/>
            <scheme val="minor"/>
          </rPr>
          <t>Seleccione un valor de la lista</t>
        </r>
      </text>
    </comment>
    <comment ref="F2277" authorId="1" shapeId="0" xr:uid="{69F68476-AF50-4324-A6B2-79DE2DF9013D}">
      <text>
        <r>
          <rPr>
            <sz val="11"/>
            <color theme="1"/>
            <rFont val="Calibri"/>
            <family val="2"/>
            <scheme val="minor"/>
          </rPr>
          <t>Introduzca el código SNIP</t>
        </r>
      </text>
    </comment>
    <comment ref="C2278" authorId="1" shapeId="0" xr:uid="{55E5FC4F-93B5-4021-9220-90A0EE416469}">
      <text>
        <r>
          <rPr>
            <sz val="11"/>
            <color theme="1"/>
            <rFont val="Calibri"/>
            <family val="2"/>
            <scheme val="minor"/>
          </rPr>
          <t>Introduzca la fecha de inicio del proceso, en formato dd-mm-aaaa</t>
        </r>
      </text>
    </comment>
    <comment ref="F2278" authorId="1" shapeId="0" xr:uid="{86FEB99D-42E0-4070-AF27-DB6CC107B0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9" authorId="1" shapeId="0" xr:uid="{AF4993EE-3A9C-488A-8283-F058432B77D6}">
      <text/>
    </comment>
    <comment ref="C2280" authorId="1" shapeId="0" xr:uid="{28DFB7D4-9397-417F-A068-7D62DB34A7CD}">
      <text>
        <r>
          <rPr>
            <sz val="11"/>
            <color theme="1"/>
            <rFont val="Calibri"/>
            <family val="2"/>
            <scheme val="minor"/>
          </rPr>
          <t>Introduzca la fecha prevista de adjudicación, en formato dd-mm-aaaa</t>
        </r>
      </text>
    </comment>
    <comment ref="F2280" authorId="1" shapeId="0" xr:uid="{240641C2-FA21-4EDD-9E65-00A47CB61F8C}">
      <text/>
    </comment>
    <comment ref="F2281" authorId="1" shapeId="0" xr:uid="{5D9EF238-4EED-49EB-B2A5-3A65C12DDED3}">
      <text/>
    </comment>
    <comment ref="A2283" authorId="1" shapeId="0" xr:uid="{8E70E545-9F46-415D-8BDD-C50B6929BF39}">
      <text>
        <r>
          <rPr>
            <sz val="11"/>
            <color theme="1"/>
            <rFont val="Calibri"/>
            <family val="2"/>
            <scheme val="minor"/>
          </rPr>
          <t>Introduzca un codigo UNSPSC</t>
        </r>
      </text>
    </comment>
    <comment ref="B2283" authorId="1" shapeId="0" xr:uid="{47C59193-8A5F-4FC6-A626-1B1FA0B44E2B}">
      <text>
        <r>
          <rPr>
            <sz val="11"/>
            <color theme="1"/>
            <rFont val="Calibri"/>
            <family val="2"/>
            <scheme val="minor"/>
          </rPr>
          <t>Descripción calculada automáticamente a partir de código del artículo</t>
        </r>
      </text>
    </comment>
    <comment ref="C2283" authorId="1" shapeId="0" xr:uid="{6BEACA16-97D3-4A15-BE3B-1E7EC52A5B06}">
      <text>
        <r>
          <rPr>
            <sz val="11"/>
            <color theme="1"/>
            <rFont val="Calibri"/>
            <family val="2"/>
            <scheme val="minor"/>
          </rPr>
          <t>Seleccione un valor de la lista</t>
        </r>
      </text>
    </comment>
    <comment ref="D2283" authorId="1" shapeId="0" xr:uid="{99F3DF0A-02F0-4C74-AC0F-FDA8A321D532}">
      <text>
        <r>
          <rPr>
            <sz val="11"/>
            <color theme="1"/>
            <rFont val="Calibri"/>
            <family val="2"/>
            <scheme val="minor"/>
          </rPr>
          <t>Introduzca un número con dos decimales como máximo. Debe ser igual o mayor a la "Cantidad Real Consumida"</t>
        </r>
      </text>
    </comment>
    <comment ref="E2283" authorId="1" shapeId="0" xr:uid="{62411DB7-D81F-4525-9948-59696A91A2E3}">
      <text>
        <r>
          <rPr>
            <sz val="11"/>
            <color theme="1"/>
            <rFont val="Calibri"/>
            <family val="2"/>
            <scheme val="minor"/>
          </rPr>
          <t>Introduzca un número con dos decimales como máximo</t>
        </r>
      </text>
    </comment>
    <comment ref="F2283" authorId="1" shapeId="0" xr:uid="{796BCB8D-56FE-43B9-BD68-EEC0E8E52B66}">
      <text>
        <r>
          <rPr>
            <sz val="11"/>
            <color theme="1"/>
            <rFont val="Calibri"/>
            <family val="2"/>
            <scheme val="minor"/>
          </rPr>
          <t>Monto calculado automáticamente por el sistema</t>
        </r>
      </text>
    </comment>
    <comment ref="A2289" authorId="1" shapeId="0" xr:uid="{CD70ECC9-875E-42AF-B1E2-467E7E56386D}">
      <text>
        <r>
          <rPr>
            <sz val="11"/>
            <color theme="1"/>
            <rFont val="Calibri"/>
            <family val="2"/>
            <scheme val="minor"/>
          </rPr>
          <t>Introducir un texto con el nombre o referencia de la contratación</t>
        </r>
      </text>
    </comment>
    <comment ref="B2289" authorId="1" shapeId="0" xr:uid="{A0905AC9-D7E5-41A6-A5AF-DC0B43A3EF8B}">
      <text>
        <r>
          <rPr>
            <sz val="11"/>
            <color theme="1"/>
            <rFont val="Calibri"/>
            <family val="2"/>
            <scheme val="minor"/>
          </rPr>
          <t>Introduzca un texto con la finalidad de la contratación</t>
        </r>
      </text>
    </comment>
    <comment ref="C2289" authorId="1" shapeId="0" xr:uid="{141DB98C-A3E8-4327-B40B-0481E5D5523B}">
      <text>
        <r>
          <rPr>
            <sz val="11"/>
            <color theme="1"/>
            <rFont val="Calibri"/>
            <family val="2"/>
            <scheme val="minor"/>
          </rPr>
          <t>Seleccionar un valor del listado</t>
        </r>
      </text>
    </comment>
    <comment ref="D2289" authorId="1" shapeId="0" xr:uid="{05F5C208-4F25-40A2-B270-3E3DE314BCEB}">
      <text>
        <r>
          <rPr>
            <sz val="11"/>
            <color theme="1"/>
            <rFont val="Calibri"/>
            <family val="2"/>
            <scheme val="minor"/>
          </rPr>
          <t>Seleccione el tipo de procedimiento</t>
        </r>
      </text>
    </comment>
    <comment ref="E2289" authorId="1" shapeId="0" xr:uid="{279E4D8C-F61A-4210-A569-6991C9F38569}">
      <text>
        <r>
          <rPr>
            <sz val="11"/>
            <color theme="1"/>
            <rFont val="Calibri"/>
            <family val="2"/>
            <scheme val="minor"/>
          </rPr>
          <t>Seleccione un valor de la lista</t>
        </r>
      </text>
    </comment>
    <comment ref="F2289" authorId="1" shapeId="0" xr:uid="{E611B76D-91B1-4843-A45E-B58B4FE50238}">
      <text>
        <r>
          <rPr>
            <sz val="11"/>
            <color theme="1"/>
            <rFont val="Calibri"/>
            <family val="2"/>
            <scheme val="minor"/>
          </rPr>
          <t>Introduzca el código SNIP</t>
        </r>
      </text>
    </comment>
    <comment ref="C2290" authorId="1" shapeId="0" xr:uid="{8E80203A-E824-4B57-A47D-1E4B74810176}">
      <text>
        <r>
          <rPr>
            <sz val="11"/>
            <color theme="1"/>
            <rFont val="Calibri"/>
            <family val="2"/>
            <scheme val="minor"/>
          </rPr>
          <t>Introduzca la fecha de inicio del proceso, en formato dd-mm-aaaa</t>
        </r>
      </text>
    </comment>
    <comment ref="F2290" authorId="1" shapeId="0" xr:uid="{6E079658-E637-4164-A6EF-83CD23359F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1" authorId="1" shapeId="0" xr:uid="{1B9E4B06-8B3E-4FE1-8335-B6A636FA8924}">
      <text/>
    </comment>
    <comment ref="C2292" authorId="1" shapeId="0" xr:uid="{D5B4B8C7-C799-4970-A3AB-54F703B190AE}">
      <text>
        <r>
          <rPr>
            <sz val="11"/>
            <color theme="1"/>
            <rFont val="Calibri"/>
            <family val="2"/>
            <scheme val="minor"/>
          </rPr>
          <t>Introduzca la fecha prevista de adjudicación, en formato dd-mm-aaaa</t>
        </r>
      </text>
    </comment>
    <comment ref="F2292" authorId="1" shapeId="0" xr:uid="{16904BD8-8C32-4525-A048-2ED09A3BFDD7}">
      <text/>
    </comment>
    <comment ref="F2293" authorId="1" shapeId="0" xr:uid="{6155D585-9E39-42BA-A150-22AA06E3EE3C}">
      <text/>
    </comment>
    <comment ref="A2295" authorId="1" shapeId="0" xr:uid="{336CE27B-00DB-41B2-9F81-1B5CB5F8AD99}">
      <text>
        <r>
          <rPr>
            <sz val="11"/>
            <color theme="1"/>
            <rFont val="Calibri"/>
            <family val="2"/>
            <scheme val="minor"/>
          </rPr>
          <t>Introduzca un codigo UNSPSC</t>
        </r>
      </text>
    </comment>
    <comment ref="B2295" authorId="1" shapeId="0" xr:uid="{B1434CE8-AAE4-46F0-A521-42699A391510}">
      <text>
        <r>
          <rPr>
            <sz val="11"/>
            <color theme="1"/>
            <rFont val="Calibri"/>
            <family val="2"/>
            <scheme val="minor"/>
          </rPr>
          <t>Descripción calculada automáticamente a partir de código del artículo</t>
        </r>
      </text>
    </comment>
    <comment ref="C2295" authorId="1" shapeId="0" xr:uid="{2482476B-C111-4755-98B0-4574DD6C1572}">
      <text>
        <r>
          <rPr>
            <sz val="11"/>
            <color theme="1"/>
            <rFont val="Calibri"/>
            <family val="2"/>
            <scheme val="minor"/>
          </rPr>
          <t>Seleccione un valor de la lista</t>
        </r>
      </text>
    </comment>
    <comment ref="D2295" authorId="1" shapeId="0" xr:uid="{8CE5B21B-DEE7-4030-9644-A2784DABE42F}">
      <text>
        <r>
          <rPr>
            <sz val="11"/>
            <color theme="1"/>
            <rFont val="Calibri"/>
            <family val="2"/>
            <scheme val="minor"/>
          </rPr>
          <t>Introduzca un número con dos decimales como máximo. Debe ser igual o mayor a la "Cantidad Real Consumida"</t>
        </r>
      </text>
    </comment>
    <comment ref="E2295" authorId="1" shapeId="0" xr:uid="{198544D1-80AD-4307-BFD9-8051E017ABBF}">
      <text>
        <r>
          <rPr>
            <sz val="11"/>
            <color theme="1"/>
            <rFont val="Calibri"/>
            <family val="2"/>
            <scheme val="minor"/>
          </rPr>
          <t>Introduzca un número con dos decimales como máximo</t>
        </r>
      </text>
    </comment>
    <comment ref="F2295" authorId="1" shapeId="0" xr:uid="{3B3F08AF-01F3-465F-8082-F3694CB4B8F8}">
      <text>
        <r>
          <rPr>
            <sz val="11"/>
            <color theme="1"/>
            <rFont val="Calibri"/>
            <family val="2"/>
            <scheme val="minor"/>
          </rPr>
          <t>Monto calculado automáticamente por el sistema</t>
        </r>
      </text>
    </comment>
    <comment ref="A2301" authorId="1" shapeId="0" xr:uid="{4E964AC3-2B06-4FBF-977B-BCE16DC42CA4}">
      <text>
        <r>
          <rPr>
            <sz val="11"/>
            <color theme="1"/>
            <rFont val="Calibri"/>
            <family val="2"/>
            <scheme val="minor"/>
          </rPr>
          <t>Introducir un texto con el nombre o referencia de la contratación</t>
        </r>
      </text>
    </comment>
    <comment ref="B2301" authorId="1" shapeId="0" xr:uid="{2877ED99-F46F-4574-B461-0588F7B194FE}">
      <text>
        <r>
          <rPr>
            <sz val="11"/>
            <color theme="1"/>
            <rFont val="Calibri"/>
            <family val="2"/>
            <scheme val="minor"/>
          </rPr>
          <t>Introduzca un texto con la finalidad de la contratación</t>
        </r>
      </text>
    </comment>
    <comment ref="C2301" authorId="1" shapeId="0" xr:uid="{6057B0A2-21AC-4294-A384-F9B0CC4FD917}">
      <text>
        <r>
          <rPr>
            <sz val="11"/>
            <color theme="1"/>
            <rFont val="Calibri"/>
            <family val="2"/>
            <scheme val="minor"/>
          </rPr>
          <t>Seleccionar un valor del listado</t>
        </r>
      </text>
    </comment>
    <comment ref="D2301" authorId="1" shapeId="0" xr:uid="{2B6DDE2F-BAFF-43BE-8A7A-8597E4C6B462}">
      <text>
        <r>
          <rPr>
            <sz val="11"/>
            <color theme="1"/>
            <rFont val="Calibri"/>
            <family val="2"/>
            <scheme val="minor"/>
          </rPr>
          <t>Seleccione el tipo de procedimiento</t>
        </r>
      </text>
    </comment>
    <comment ref="E2301" authorId="1" shapeId="0" xr:uid="{B4056575-C036-4CF1-87A5-D53C2F8CAC3F}">
      <text>
        <r>
          <rPr>
            <sz val="11"/>
            <color theme="1"/>
            <rFont val="Calibri"/>
            <family val="2"/>
            <scheme val="minor"/>
          </rPr>
          <t>Seleccione un valor de la lista</t>
        </r>
      </text>
    </comment>
    <comment ref="F2301" authorId="1" shapeId="0" xr:uid="{5F5742FC-5557-460F-A746-BAB22FAC1E86}">
      <text>
        <r>
          <rPr>
            <sz val="11"/>
            <color theme="1"/>
            <rFont val="Calibri"/>
            <family val="2"/>
            <scheme val="minor"/>
          </rPr>
          <t>Introduzca el código SNIP</t>
        </r>
      </text>
    </comment>
    <comment ref="C2302" authorId="1" shapeId="0" xr:uid="{AB1C608F-AFB8-4119-AC5A-985A242FFB64}">
      <text>
        <r>
          <rPr>
            <sz val="11"/>
            <color theme="1"/>
            <rFont val="Calibri"/>
            <family val="2"/>
            <scheme val="minor"/>
          </rPr>
          <t>Introduzca la fecha de inicio del proceso, en formato dd-mm-aaaa</t>
        </r>
      </text>
    </comment>
    <comment ref="F2302" authorId="1" shapeId="0" xr:uid="{F5EFD884-B8FC-48FC-A428-30A9F07316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3" authorId="1" shapeId="0" xr:uid="{FC8B8544-0C13-441E-9658-D7807EE49D37}">
      <text/>
    </comment>
    <comment ref="C2304" authorId="1" shapeId="0" xr:uid="{D6B59A08-736F-46FC-A46E-FE520E24E21C}">
      <text>
        <r>
          <rPr>
            <sz val="11"/>
            <color theme="1"/>
            <rFont val="Calibri"/>
            <family val="2"/>
            <scheme val="minor"/>
          </rPr>
          <t>Introduzca la fecha prevista de adjudicación, en formato dd-mm-aaaa</t>
        </r>
      </text>
    </comment>
    <comment ref="F2304" authorId="1" shapeId="0" xr:uid="{1C3F8CB7-E51F-44C0-9186-6459CA0A1F5A}">
      <text/>
    </comment>
    <comment ref="F2305" authorId="1" shapeId="0" xr:uid="{6B2B4DF4-A591-4C14-B222-4EB110495A13}">
      <text/>
    </comment>
    <comment ref="A2307" authorId="1" shapeId="0" xr:uid="{1F8A29E2-EE2F-4F00-BEF0-60ECD7EF785D}">
      <text>
        <r>
          <rPr>
            <sz val="11"/>
            <color theme="1"/>
            <rFont val="Calibri"/>
            <family val="2"/>
            <scheme val="minor"/>
          </rPr>
          <t>Introduzca un codigo UNSPSC</t>
        </r>
      </text>
    </comment>
    <comment ref="B2307" authorId="1" shapeId="0" xr:uid="{E8B3932B-CD65-429C-A195-B72AE717AD38}">
      <text>
        <r>
          <rPr>
            <sz val="11"/>
            <color theme="1"/>
            <rFont val="Calibri"/>
            <family val="2"/>
            <scheme val="minor"/>
          </rPr>
          <t>Descripción calculada automáticamente a partir de código del artículo</t>
        </r>
      </text>
    </comment>
    <comment ref="C2307" authorId="1" shapeId="0" xr:uid="{968C530C-9908-4290-AB01-636B36786D3F}">
      <text>
        <r>
          <rPr>
            <sz val="11"/>
            <color theme="1"/>
            <rFont val="Calibri"/>
            <family val="2"/>
            <scheme val="minor"/>
          </rPr>
          <t>Seleccione un valor de la lista</t>
        </r>
      </text>
    </comment>
    <comment ref="D2307" authorId="1" shapeId="0" xr:uid="{C74BE96C-A50F-47E0-9F48-3F6DE6C3D090}">
      <text>
        <r>
          <rPr>
            <sz val="11"/>
            <color theme="1"/>
            <rFont val="Calibri"/>
            <family val="2"/>
            <scheme val="minor"/>
          </rPr>
          <t>Introduzca un número con dos decimales como máximo. Debe ser igual o mayor a la "Cantidad Real Consumida"</t>
        </r>
      </text>
    </comment>
    <comment ref="E2307" authorId="1" shapeId="0" xr:uid="{50C4A36E-A6E3-4D0B-96BC-04CC31B2BD82}">
      <text>
        <r>
          <rPr>
            <sz val="11"/>
            <color theme="1"/>
            <rFont val="Calibri"/>
            <family val="2"/>
            <scheme val="minor"/>
          </rPr>
          <t>Introduzca un número con dos decimales como máximo</t>
        </r>
      </text>
    </comment>
    <comment ref="F2307" authorId="1" shapeId="0" xr:uid="{2F086B61-D02C-49F0-B084-34C57A879A61}">
      <text>
        <r>
          <rPr>
            <sz val="11"/>
            <color theme="1"/>
            <rFont val="Calibri"/>
            <family val="2"/>
            <scheme val="minor"/>
          </rPr>
          <t>Monto calculado automáticamente por el sistema</t>
        </r>
      </text>
    </comment>
    <comment ref="A2315" authorId="1" shapeId="0" xr:uid="{5717B7AD-8133-407F-AF9C-5F753ACEC2F3}">
      <text>
        <r>
          <rPr>
            <sz val="11"/>
            <color theme="1"/>
            <rFont val="Calibri"/>
            <family val="2"/>
            <scheme val="minor"/>
          </rPr>
          <t>Introducir un texto con el nombre o referencia de la contratación</t>
        </r>
      </text>
    </comment>
    <comment ref="B2315" authorId="1" shapeId="0" xr:uid="{5591C278-8E06-4570-B0DA-97CA50C1B81A}">
      <text>
        <r>
          <rPr>
            <sz val="11"/>
            <color theme="1"/>
            <rFont val="Calibri"/>
            <family val="2"/>
            <scheme val="minor"/>
          </rPr>
          <t>Introduzca un texto con la finalidad de la contratación</t>
        </r>
      </text>
    </comment>
    <comment ref="C2315" authorId="1" shapeId="0" xr:uid="{505B3B2D-5CB3-466E-BC9C-36328EBF954D}">
      <text>
        <r>
          <rPr>
            <sz val="11"/>
            <color theme="1"/>
            <rFont val="Calibri"/>
            <family val="2"/>
            <scheme val="minor"/>
          </rPr>
          <t>Seleccionar un valor del listado</t>
        </r>
      </text>
    </comment>
    <comment ref="D2315" authorId="1" shapeId="0" xr:uid="{2E70CF28-0866-41FB-9F03-51E5A21A7105}">
      <text>
        <r>
          <rPr>
            <sz val="11"/>
            <color theme="1"/>
            <rFont val="Calibri"/>
            <family val="2"/>
            <scheme val="minor"/>
          </rPr>
          <t>Seleccione el tipo de procedimiento</t>
        </r>
      </text>
    </comment>
    <comment ref="E2315" authorId="1" shapeId="0" xr:uid="{6ECE3AEF-1916-45A3-951A-FAA22B88F2E7}">
      <text>
        <r>
          <rPr>
            <sz val="11"/>
            <color theme="1"/>
            <rFont val="Calibri"/>
            <family val="2"/>
            <scheme val="minor"/>
          </rPr>
          <t>Seleccione un valor de la lista</t>
        </r>
      </text>
    </comment>
    <comment ref="F2315" authorId="1" shapeId="0" xr:uid="{66319403-0BAA-484B-B2B6-82C907BC76F2}">
      <text>
        <r>
          <rPr>
            <sz val="11"/>
            <color theme="1"/>
            <rFont val="Calibri"/>
            <family val="2"/>
            <scheme val="minor"/>
          </rPr>
          <t>Introduzca el código SNIP</t>
        </r>
      </text>
    </comment>
    <comment ref="C2316" authorId="1" shapeId="0" xr:uid="{5FB4761F-46BA-4231-A6E2-6A99038DE0CE}">
      <text>
        <r>
          <rPr>
            <sz val="11"/>
            <color theme="1"/>
            <rFont val="Calibri"/>
            <family val="2"/>
            <scheme val="minor"/>
          </rPr>
          <t>Introduzca la fecha de inicio del proceso, en formato dd-mm-aaaa</t>
        </r>
      </text>
    </comment>
    <comment ref="F2316" authorId="1" shapeId="0" xr:uid="{E725B423-E06A-4AFE-8576-FAAC3D08CA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7" authorId="1" shapeId="0" xr:uid="{93EF71E4-1D1E-4EAB-A4F7-6E09B480D9A1}">
      <text/>
    </comment>
    <comment ref="C2318" authorId="1" shapeId="0" xr:uid="{0C9CA30E-13BE-40AF-9A07-A59A53DFEA84}">
      <text>
        <r>
          <rPr>
            <sz val="11"/>
            <color theme="1"/>
            <rFont val="Calibri"/>
            <family val="2"/>
            <scheme val="minor"/>
          </rPr>
          <t>Introduzca la fecha prevista de adjudicación, en formato dd-mm-aaaa</t>
        </r>
      </text>
    </comment>
    <comment ref="F2318" authorId="1" shapeId="0" xr:uid="{F431EFF7-33B2-4F01-8A4B-7753DEACA62A}">
      <text/>
    </comment>
    <comment ref="F2319" authorId="1" shapeId="0" xr:uid="{A3054553-9795-4754-BC88-09538311FDF5}">
      <text/>
    </comment>
    <comment ref="A2321" authorId="1" shapeId="0" xr:uid="{33BEB41C-5C55-45F2-BADD-45BC52BBB89B}">
      <text>
        <r>
          <rPr>
            <sz val="11"/>
            <color theme="1"/>
            <rFont val="Calibri"/>
            <family val="2"/>
            <scheme val="minor"/>
          </rPr>
          <t>Introduzca un codigo UNSPSC</t>
        </r>
      </text>
    </comment>
    <comment ref="B2321" authorId="1" shapeId="0" xr:uid="{AA85B567-F7EB-4598-AE81-7175EB0A4DBA}">
      <text>
        <r>
          <rPr>
            <sz val="11"/>
            <color theme="1"/>
            <rFont val="Calibri"/>
            <family val="2"/>
            <scheme val="minor"/>
          </rPr>
          <t>Descripción calculada automáticamente a partir de código del artículo</t>
        </r>
      </text>
    </comment>
    <comment ref="C2321" authorId="1" shapeId="0" xr:uid="{BD7D0A8A-B26C-40D9-8D96-722B0B444F8D}">
      <text>
        <r>
          <rPr>
            <sz val="11"/>
            <color theme="1"/>
            <rFont val="Calibri"/>
            <family val="2"/>
            <scheme val="minor"/>
          </rPr>
          <t>Seleccione un valor de la lista</t>
        </r>
      </text>
    </comment>
    <comment ref="D2321" authorId="1" shapeId="0" xr:uid="{D5024561-E633-4059-8276-0605118FDE42}">
      <text>
        <r>
          <rPr>
            <sz val="11"/>
            <color theme="1"/>
            <rFont val="Calibri"/>
            <family val="2"/>
            <scheme val="minor"/>
          </rPr>
          <t>Introduzca un número con dos decimales como máximo. Debe ser igual o mayor a la "Cantidad Real Consumida"</t>
        </r>
      </text>
    </comment>
    <comment ref="E2321" authorId="1" shapeId="0" xr:uid="{1912875F-F063-4464-BE89-94F7CF43725E}">
      <text>
        <r>
          <rPr>
            <sz val="11"/>
            <color theme="1"/>
            <rFont val="Calibri"/>
            <family val="2"/>
            <scheme val="minor"/>
          </rPr>
          <t>Introduzca un número con dos decimales como máximo</t>
        </r>
      </text>
    </comment>
    <comment ref="F2321" authorId="1" shapeId="0" xr:uid="{AE744021-75CC-4A20-850A-DCA44F6923D8}">
      <text>
        <r>
          <rPr>
            <sz val="11"/>
            <color theme="1"/>
            <rFont val="Calibri"/>
            <family val="2"/>
            <scheme val="minor"/>
          </rPr>
          <t>Monto calculado automáticamente por el sistema</t>
        </r>
      </text>
    </comment>
    <comment ref="A2326" authorId="1" shapeId="0" xr:uid="{D847A4BF-71B7-453E-8DF0-DABCFD6D3C6A}">
      <text>
        <r>
          <rPr>
            <sz val="11"/>
            <color theme="1"/>
            <rFont val="Calibri"/>
            <family val="2"/>
            <scheme val="minor"/>
          </rPr>
          <t>Introducir un texto con el nombre o referencia de la contratación</t>
        </r>
      </text>
    </comment>
    <comment ref="B2326" authorId="1" shapeId="0" xr:uid="{7C8B9D57-8604-4D13-9154-BC8C5FA530E6}">
      <text>
        <r>
          <rPr>
            <sz val="11"/>
            <color theme="1"/>
            <rFont val="Calibri"/>
            <family val="2"/>
            <scheme val="minor"/>
          </rPr>
          <t>Introduzca un texto con la finalidad de la contratación</t>
        </r>
      </text>
    </comment>
    <comment ref="C2326" authorId="1" shapeId="0" xr:uid="{8168B77D-7493-4FF0-A83D-B025BD41CC0B}">
      <text>
        <r>
          <rPr>
            <sz val="11"/>
            <color theme="1"/>
            <rFont val="Calibri"/>
            <family val="2"/>
            <scheme val="minor"/>
          </rPr>
          <t>Seleccionar un valor del listado</t>
        </r>
      </text>
    </comment>
    <comment ref="D2326" authorId="1" shapeId="0" xr:uid="{3B5F9E6B-0E60-4170-A36E-90383C74FEED}">
      <text>
        <r>
          <rPr>
            <sz val="11"/>
            <color theme="1"/>
            <rFont val="Calibri"/>
            <family val="2"/>
            <scheme val="minor"/>
          </rPr>
          <t>Seleccione el tipo de procedimiento</t>
        </r>
      </text>
    </comment>
    <comment ref="E2326" authorId="1" shapeId="0" xr:uid="{044CC392-8126-4541-B748-85C47E09B3F8}">
      <text>
        <r>
          <rPr>
            <sz val="11"/>
            <color theme="1"/>
            <rFont val="Calibri"/>
            <family val="2"/>
            <scheme val="minor"/>
          </rPr>
          <t>Seleccione un valor de la lista</t>
        </r>
      </text>
    </comment>
    <comment ref="F2326" authorId="1" shapeId="0" xr:uid="{CCD059C1-7C5D-4A80-A715-3F7A5711EC28}">
      <text>
        <r>
          <rPr>
            <sz val="11"/>
            <color theme="1"/>
            <rFont val="Calibri"/>
            <family val="2"/>
            <scheme val="minor"/>
          </rPr>
          <t>Introduzca el código SNIP</t>
        </r>
      </text>
    </comment>
    <comment ref="C2327" authorId="1" shapeId="0" xr:uid="{124939B5-C16A-4B25-B9E4-2B9E04730E2D}">
      <text>
        <r>
          <rPr>
            <sz val="11"/>
            <color theme="1"/>
            <rFont val="Calibri"/>
            <family val="2"/>
            <scheme val="minor"/>
          </rPr>
          <t>Introduzca la fecha de inicio del proceso, en formato dd-mm-aaaa</t>
        </r>
      </text>
    </comment>
    <comment ref="F2327" authorId="1" shapeId="0" xr:uid="{DE6A2F58-248A-467F-8F51-96E4B6131B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8" authorId="1" shapeId="0" xr:uid="{2AE022DC-6C8C-4206-A2F2-A6D84690F100}">
      <text/>
    </comment>
    <comment ref="C2329" authorId="1" shapeId="0" xr:uid="{539550E3-53D2-4F94-85F4-62F17032FD61}">
      <text>
        <r>
          <rPr>
            <sz val="11"/>
            <color theme="1"/>
            <rFont val="Calibri"/>
            <family val="2"/>
            <scheme val="minor"/>
          </rPr>
          <t>Introduzca la fecha prevista de adjudicación, en formato dd-mm-aaaa</t>
        </r>
      </text>
    </comment>
    <comment ref="F2329" authorId="1" shapeId="0" xr:uid="{45BDE716-421B-4324-A3FC-1A41B79E1E47}">
      <text/>
    </comment>
    <comment ref="F2330" authorId="1" shapeId="0" xr:uid="{16339893-3B85-4D92-9E23-5949C1A365B4}">
      <text/>
    </comment>
    <comment ref="A2332" authorId="1" shapeId="0" xr:uid="{9708B415-A24A-404E-BF3F-B87D6D24DF9C}">
      <text>
        <r>
          <rPr>
            <sz val="11"/>
            <color theme="1"/>
            <rFont val="Calibri"/>
            <family val="2"/>
            <scheme val="minor"/>
          </rPr>
          <t>Introduzca un codigo UNSPSC</t>
        </r>
      </text>
    </comment>
    <comment ref="B2332" authorId="1" shapeId="0" xr:uid="{524279AA-CE6D-4A71-A369-58853A0DE24B}">
      <text>
        <r>
          <rPr>
            <sz val="11"/>
            <color theme="1"/>
            <rFont val="Calibri"/>
            <family val="2"/>
            <scheme val="minor"/>
          </rPr>
          <t>Descripción calculada automáticamente a partir de código del artículo</t>
        </r>
      </text>
    </comment>
    <comment ref="C2332" authorId="1" shapeId="0" xr:uid="{B8DEB318-D86F-4938-80B8-737B4DDB25ED}">
      <text>
        <r>
          <rPr>
            <sz val="11"/>
            <color theme="1"/>
            <rFont val="Calibri"/>
            <family val="2"/>
            <scheme val="minor"/>
          </rPr>
          <t>Seleccione un valor de la lista</t>
        </r>
      </text>
    </comment>
    <comment ref="D2332" authorId="1" shapeId="0" xr:uid="{135F91FB-CBAF-4B47-BD93-89A0A276F10E}">
      <text>
        <r>
          <rPr>
            <sz val="11"/>
            <color theme="1"/>
            <rFont val="Calibri"/>
            <family val="2"/>
            <scheme val="minor"/>
          </rPr>
          <t>Introduzca un número con dos decimales como máximo. Debe ser igual o mayor a la "Cantidad Real Consumida"</t>
        </r>
      </text>
    </comment>
    <comment ref="E2332" authorId="1" shapeId="0" xr:uid="{C4C10F6B-193E-4FE9-972C-D4A92985222A}">
      <text>
        <r>
          <rPr>
            <sz val="11"/>
            <color theme="1"/>
            <rFont val="Calibri"/>
            <family val="2"/>
            <scheme val="minor"/>
          </rPr>
          <t>Introduzca un número con dos decimales como máximo</t>
        </r>
      </text>
    </comment>
    <comment ref="F2332" authorId="1" shapeId="0" xr:uid="{ED998180-89B0-4BCB-B311-C18711C1B14E}">
      <text>
        <r>
          <rPr>
            <sz val="11"/>
            <color theme="1"/>
            <rFont val="Calibri"/>
            <family val="2"/>
            <scheme val="minor"/>
          </rPr>
          <t>Monto calculado automáticamente por el sistema</t>
        </r>
      </text>
    </comment>
    <comment ref="A2337" authorId="1" shapeId="0" xr:uid="{559A08E0-5987-42E1-9D2C-B1656225D024}">
      <text>
        <r>
          <rPr>
            <sz val="11"/>
            <color theme="1"/>
            <rFont val="Calibri"/>
            <family val="2"/>
            <scheme val="minor"/>
          </rPr>
          <t>Introducir un texto con el nombre o referencia de la contratación</t>
        </r>
      </text>
    </comment>
    <comment ref="B2337" authorId="1" shapeId="0" xr:uid="{7A665827-86CE-46B0-9931-F5C1B4E00D80}">
      <text>
        <r>
          <rPr>
            <sz val="11"/>
            <color theme="1"/>
            <rFont val="Calibri"/>
            <family val="2"/>
            <scheme val="minor"/>
          </rPr>
          <t>Introduzca un texto con la finalidad de la contratación</t>
        </r>
      </text>
    </comment>
    <comment ref="C2337" authorId="1" shapeId="0" xr:uid="{0878EF26-0D21-492B-9F87-783CC5ACCAB3}">
      <text>
        <r>
          <rPr>
            <sz val="11"/>
            <color theme="1"/>
            <rFont val="Calibri"/>
            <family val="2"/>
            <scheme val="minor"/>
          </rPr>
          <t>Seleccionar un valor del listado</t>
        </r>
      </text>
    </comment>
    <comment ref="D2337" authorId="1" shapeId="0" xr:uid="{74150AE1-45F5-4B9A-AF36-F8AED574E464}">
      <text>
        <r>
          <rPr>
            <sz val="11"/>
            <color theme="1"/>
            <rFont val="Calibri"/>
            <family val="2"/>
            <scheme val="minor"/>
          </rPr>
          <t>Seleccione el tipo de procedimiento</t>
        </r>
      </text>
    </comment>
    <comment ref="E2337" authorId="1" shapeId="0" xr:uid="{3C137D9C-5A45-493A-A847-F0F4F0C839E8}">
      <text>
        <r>
          <rPr>
            <sz val="11"/>
            <color theme="1"/>
            <rFont val="Calibri"/>
            <family val="2"/>
            <scheme val="minor"/>
          </rPr>
          <t>Seleccione un valor de la lista</t>
        </r>
      </text>
    </comment>
    <comment ref="F2337" authorId="1" shapeId="0" xr:uid="{420BFF77-C215-43E7-98F7-F6E817B5C343}">
      <text>
        <r>
          <rPr>
            <sz val="11"/>
            <color theme="1"/>
            <rFont val="Calibri"/>
            <family val="2"/>
            <scheme val="minor"/>
          </rPr>
          <t>Introduzca el código SNIP</t>
        </r>
      </text>
    </comment>
    <comment ref="C2338" authorId="1" shapeId="0" xr:uid="{B678C748-0497-4ABB-8045-EA9A4A0AADDC}">
      <text>
        <r>
          <rPr>
            <sz val="11"/>
            <color theme="1"/>
            <rFont val="Calibri"/>
            <family val="2"/>
            <scheme val="minor"/>
          </rPr>
          <t>Introduzca la fecha de inicio del proceso, en formato dd-mm-aaaa</t>
        </r>
      </text>
    </comment>
    <comment ref="F2338" authorId="1" shapeId="0" xr:uid="{5DA1D58F-3CC6-4BB4-9C5B-A786D55341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9" authorId="1" shapeId="0" xr:uid="{DE689884-82EF-4CB3-A08A-3054C7ECE7B5}">
      <text/>
    </comment>
    <comment ref="C2340" authorId="1" shapeId="0" xr:uid="{CF8F0D98-9A23-4556-B2C9-5EF219A5FD12}">
      <text>
        <r>
          <rPr>
            <sz val="11"/>
            <color theme="1"/>
            <rFont val="Calibri"/>
            <family val="2"/>
            <scheme val="minor"/>
          </rPr>
          <t>Introduzca la fecha prevista de adjudicación, en formato dd-mm-aaaa</t>
        </r>
      </text>
    </comment>
    <comment ref="F2340" authorId="1" shapeId="0" xr:uid="{54DD423D-47DD-402A-80D8-5F93AD999CC6}">
      <text/>
    </comment>
    <comment ref="F2341" authorId="1" shapeId="0" xr:uid="{2553BD99-C3CF-400D-9E10-679C32FB599F}">
      <text/>
    </comment>
    <comment ref="A2343" authorId="1" shapeId="0" xr:uid="{D26E262F-B10A-4FA2-9F3F-610DD4E4812F}">
      <text>
        <r>
          <rPr>
            <sz val="11"/>
            <color theme="1"/>
            <rFont val="Calibri"/>
            <family val="2"/>
            <scheme val="minor"/>
          </rPr>
          <t>Introduzca un codigo UNSPSC</t>
        </r>
      </text>
    </comment>
    <comment ref="B2343" authorId="1" shapeId="0" xr:uid="{682FEAD1-DE32-4C0B-AD22-8E5341365B2B}">
      <text>
        <r>
          <rPr>
            <sz val="11"/>
            <color theme="1"/>
            <rFont val="Calibri"/>
            <family val="2"/>
            <scheme val="minor"/>
          </rPr>
          <t>Descripción calculada automáticamente a partir de código del artículo</t>
        </r>
      </text>
    </comment>
    <comment ref="C2343" authorId="1" shapeId="0" xr:uid="{AE838DD8-9D8C-4690-868E-84E284FFACFE}">
      <text>
        <r>
          <rPr>
            <sz val="11"/>
            <color theme="1"/>
            <rFont val="Calibri"/>
            <family val="2"/>
            <scheme val="minor"/>
          </rPr>
          <t>Seleccione un valor de la lista</t>
        </r>
      </text>
    </comment>
    <comment ref="D2343" authorId="1" shapeId="0" xr:uid="{0214AAF1-80F8-4B95-BA45-A5661090B8B8}">
      <text>
        <r>
          <rPr>
            <sz val="11"/>
            <color theme="1"/>
            <rFont val="Calibri"/>
            <family val="2"/>
            <scheme val="minor"/>
          </rPr>
          <t>Introduzca un número con dos decimales como máximo. Debe ser igual o mayor a la "Cantidad Real Consumida"</t>
        </r>
      </text>
    </comment>
    <comment ref="E2343" authorId="1" shapeId="0" xr:uid="{A91923FB-6242-4757-BA11-F1BD7383853B}">
      <text>
        <r>
          <rPr>
            <sz val="11"/>
            <color theme="1"/>
            <rFont val="Calibri"/>
            <family val="2"/>
            <scheme val="minor"/>
          </rPr>
          <t>Introduzca un número con dos decimales como máximo</t>
        </r>
      </text>
    </comment>
    <comment ref="F2343" authorId="1" shapeId="0" xr:uid="{3316B05E-AD3D-4FD9-A549-1252B1A9CE4D}">
      <text>
        <r>
          <rPr>
            <sz val="11"/>
            <color theme="1"/>
            <rFont val="Calibri"/>
            <family val="2"/>
            <scheme val="minor"/>
          </rPr>
          <t>Monto calculado automáticamente por el sistema</t>
        </r>
      </text>
    </comment>
    <comment ref="A2348" authorId="1" shapeId="0" xr:uid="{CAD07037-4498-412F-9D65-3F9281C06C44}">
      <text>
        <r>
          <rPr>
            <sz val="11"/>
            <color theme="1"/>
            <rFont val="Calibri"/>
            <family val="2"/>
            <scheme val="minor"/>
          </rPr>
          <t>Introducir un texto con el nombre o referencia de la contratación</t>
        </r>
      </text>
    </comment>
    <comment ref="B2348" authorId="1" shapeId="0" xr:uid="{35E93E03-4645-4326-8390-DE4425DB3D51}">
      <text>
        <r>
          <rPr>
            <sz val="11"/>
            <color theme="1"/>
            <rFont val="Calibri"/>
            <family val="2"/>
            <scheme val="minor"/>
          </rPr>
          <t>Introduzca un texto con la finalidad de la contratación</t>
        </r>
      </text>
    </comment>
    <comment ref="C2348" authorId="1" shapeId="0" xr:uid="{D3B830F7-529F-47F0-8013-45B6C48B0118}">
      <text>
        <r>
          <rPr>
            <sz val="11"/>
            <color theme="1"/>
            <rFont val="Calibri"/>
            <family val="2"/>
            <scheme val="minor"/>
          </rPr>
          <t>Seleccionar un valor del listado</t>
        </r>
      </text>
    </comment>
    <comment ref="D2348" authorId="1" shapeId="0" xr:uid="{54DA33E1-62DC-4ED2-9DEA-3F8DBAA2DDA3}">
      <text>
        <r>
          <rPr>
            <sz val="11"/>
            <color theme="1"/>
            <rFont val="Calibri"/>
            <family val="2"/>
            <scheme val="minor"/>
          </rPr>
          <t>Seleccione el tipo de procedimiento</t>
        </r>
      </text>
    </comment>
    <comment ref="E2348" authorId="1" shapeId="0" xr:uid="{6300311C-031B-415F-8833-3E59B6716639}">
      <text>
        <r>
          <rPr>
            <sz val="11"/>
            <color theme="1"/>
            <rFont val="Calibri"/>
            <family val="2"/>
            <scheme val="minor"/>
          </rPr>
          <t>Seleccione un valor de la lista</t>
        </r>
      </text>
    </comment>
    <comment ref="F2348" authorId="1" shapeId="0" xr:uid="{F6B32D96-4AB4-4DBA-8901-DE9ED9B39320}">
      <text>
        <r>
          <rPr>
            <sz val="11"/>
            <color theme="1"/>
            <rFont val="Calibri"/>
            <family val="2"/>
            <scheme val="minor"/>
          </rPr>
          <t>Introduzca el código SNIP</t>
        </r>
      </text>
    </comment>
    <comment ref="C2349" authorId="1" shapeId="0" xr:uid="{32653E10-5799-44EC-8AAC-944A2FF82A64}">
      <text>
        <r>
          <rPr>
            <sz val="11"/>
            <color theme="1"/>
            <rFont val="Calibri"/>
            <family val="2"/>
            <scheme val="minor"/>
          </rPr>
          <t>Introduzca la fecha de inicio del proceso, en formato dd-mm-aaaa</t>
        </r>
      </text>
    </comment>
    <comment ref="F2349" authorId="1" shapeId="0" xr:uid="{98AF7A50-386B-42E1-9BCC-461AC30A05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0" authorId="1" shapeId="0" xr:uid="{6B020CFA-2718-485D-B94E-072A824C3F69}">
      <text/>
    </comment>
    <comment ref="C2351" authorId="1" shapeId="0" xr:uid="{F8DE8FAF-505B-4FC1-9512-6FDD3AE95FCB}">
      <text>
        <r>
          <rPr>
            <sz val="11"/>
            <color theme="1"/>
            <rFont val="Calibri"/>
            <family val="2"/>
            <scheme val="minor"/>
          </rPr>
          <t>Introduzca la fecha prevista de adjudicación, en formato dd-mm-aaaa</t>
        </r>
      </text>
    </comment>
    <comment ref="F2351" authorId="1" shapeId="0" xr:uid="{25DBB010-E39F-46B3-8684-021F7EB543DF}">
      <text/>
    </comment>
    <comment ref="F2352" authorId="1" shapeId="0" xr:uid="{5C858D8F-E4C5-4A25-A485-E1F685C28482}">
      <text/>
    </comment>
    <comment ref="A2354" authorId="1" shapeId="0" xr:uid="{03596B26-2441-4E88-8829-6C5EF0F54EE5}">
      <text>
        <r>
          <rPr>
            <sz val="11"/>
            <color theme="1"/>
            <rFont val="Calibri"/>
            <family val="2"/>
            <scheme val="minor"/>
          </rPr>
          <t>Introduzca un codigo UNSPSC</t>
        </r>
      </text>
    </comment>
    <comment ref="B2354" authorId="1" shapeId="0" xr:uid="{A8E87D84-6C72-4665-83DF-BF74E95BA38F}">
      <text>
        <r>
          <rPr>
            <sz val="11"/>
            <color theme="1"/>
            <rFont val="Calibri"/>
            <family val="2"/>
            <scheme val="minor"/>
          </rPr>
          <t>Descripción calculada automáticamente a partir de código del artículo</t>
        </r>
      </text>
    </comment>
    <comment ref="C2354" authorId="1" shapeId="0" xr:uid="{A1FBD6F9-0EA5-46E5-B0CF-3ECC607F9720}">
      <text>
        <r>
          <rPr>
            <sz val="11"/>
            <color theme="1"/>
            <rFont val="Calibri"/>
            <family val="2"/>
            <scheme val="minor"/>
          </rPr>
          <t>Seleccione un valor de la lista</t>
        </r>
      </text>
    </comment>
    <comment ref="D2354" authorId="1" shapeId="0" xr:uid="{F63D27B6-5939-4DF0-B4DE-686BB0CE2902}">
      <text>
        <r>
          <rPr>
            <sz val="11"/>
            <color theme="1"/>
            <rFont val="Calibri"/>
            <family val="2"/>
            <scheme val="minor"/>
          </rPr>
          <t>Introduzca un número con dos decimales como máximo. Debe ser igual o mayor a la "Cantidad Real Consumida"</t>
        </r>
      </text>
    </comment>
    <comment ref="E2354" authorId="1" shapeId="0" xr:uid="{4EA80728-DB5F-4378-9853-6C0FA79064A0}">
      <text>
        <r>
          <rPr>
            <sz val="11"/>
            <color theme="1"/>
            <rFont val="Calibri"/>
            <family val="2"/>
            <scheme val="minor"/>
          </rPr>
          <t>Introduzca un número con dos decimales como máximo</t>
        </r>
      </text>
    </comment>
    <comment ref="F2354" authorId="1" shapeId="0" xr:uid="{C709DBEF-6229-4875-A36B-24D0962F7B54}">
      <text>
        <r>
          <rPr>
            <sz val="11"/>
            <color theme="1"/>
            <rFont val="Calibri"/>
            <family val="2"/>
            <scheme val="minor"/>
          </rPr>
          <t>Monto calculado automáticamente por el sistema</t>
        </r>
      </text>
    </comment>
    <comment ref="A2359" authorId="1" shapeId="0" xr:uid="{3C3DEA23-AF4C-4654-B454-8E5187D0B6E2}">
      <text>
        <r>
          <rPr>
            <sz val="11"/>
            <color theme="1"/>
            <rFont val="Calibri"/>
            <family val="2"/>
            <scheme val="minor"/>
          </rPr>
          <t>Introducir un texto con el nombre o referencia de la contratación</t>
        </r>
      </text>
    </comment>
    <comment ref="B2359" authorId="1" shapeId="0" xr:uid="{553E9E35-CA4F-45E4-99F6-4BDC1CC43A9F}">
      <text>
        <r>
          <rPr>
            <sz val="11"/>
            <color theme="1"/>
            <rFont val="Calibri"/>
            <family val="2"/>
            <scheme val="minor"/>
          </rPr>
          <t>Introduzca un texto con la finalidad de la contratación</t>
        </r>
      </text>
    </comment>
    <comment ref="C2359" authorId="1" shapeId="0" xr:uid="{D0203CE8-7352-47FA-BAE0-299AF8FA8969}">
      <text>
        <r>
          <rPr>
            <sz val="11"/>
            <color theme="1"/>
            <rFont val="Calibri"/>
            <family val="2"/>
            <scheme val="minor"/>
          </rPr>
          <t>Seleccionar un valor del listado</t>
        </r>
      </text>
    </comment>
    <comment ref="D2359" authorId="1" shapeId="0" xr:uid="{5EAF38E9-C909-4490-A2FE-D42FBF00E9C1}">
      <text>
        <r>
          <rPr>
            <sz val="11"/>
            <color theme="1"/>
            <rFont val="Calibri"/>
            <family val="2"/>
            <scheme val="minor"/>
          </rPr>
          <t>Seleccione el tipo de procedimiento</t>
        </r>
      </text>
    </comment>
    <comment ref="E2359" authorId="1" shapeId="0" xr:uid="{0A91DF2A-C22E-4CF1-A3C3-077841984C59}">
      <text>
        <r>
          <rPr>
            <sz val="11"/>
            <color theme="1"/>
            <rFont val="Calibri"/>
            <family val="2"/>
            <scheme val="minor"/>
          </rPr>
          <t>Seleccione un valor de la lista</t>
        </r>
      </text>
    </comment>
    <comment ref="F2359" authorId="1" shapeId="0" xr:uid="{90A0D2BA-C91B-4FEA-ABB0-4EDF6F805C67}">
      <text>
        <r>
          <rPr>
            <sz val="11"/>
            <color theme="1"/>
            <rFont val="Calibri"/>
            <family val="2"/>
            <scheme val="minor"/>
          </rPr>
          <t>Introduzca el código SNIP</t>
        </r>
      </text>
    </comment>
    <comment ref="C2360" authorId="1" shapeId="0" xr:uid="{DD3B18ED-DDD9-4C8A-A56C-EA751FA66018}">
      <text>
        <r>
          <rPr>
            <sz val="11"/>
            <color theme="1"/>
            <rFont val="Calibri"/>
            <family val="2"/>
            <scheme val="minor"/>
          </rPr>
          <t>Introduzca la fecha de inicio del proceso, en formato dd-mm-aaaa</t>
        </r>
      </text>
    </comment>
    <comment ref="F2360" authorId="1" shapeId="0" xr:uid="{B2202DB4-F8DC-4E54-B0E4-72CC822F6E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1" authorId="1" shapeId="0" xr:uid="{8E0E6440-D37D-4151-B087-375239C86ABE}">
      <text/>
    </comment>
    <comment ref="C2362" authorId="1" shapeId="0" xr:uid="{33ED43FD-B02F-48A9-88D6-FBEF35D989E2}">
      <text>
        <r>
          <rPr>
            <sz val="11"/>
            <color theme="1"/>
            <rFont val="Calibri"/>
            <family val="2"/>
            <scheme val="minor"/>
          </rPr>
          <t>Introduzca la fecha prevista de adjudicación, en formato dd-mm-aaaa</t>
        </r>
      </text>
    </comment>
    <comment ref="F2362" authorId="1" shapeId="0" xr:uid="{C4C5925B-2F64-4C65-B6EE-A4826880D74D}">
      <text/>
    </comment>
    <comment ref="F2363" authorId="1" shapeId="0" xr:uid="{760946C1-2393-4A31-8BD6-C8D0D1C9F47D}">
      <text/>
    </comment>
    <comment ref="A2365" authorId="1" shapeId="0" xr:uid="{B4F6B224-E8BB-4C2D-843F-696E98E75150}">
      <text>
        <r>
          <rPr>
            <sz val="11"/>
            <color theme="1"/>
            <rFont val="Calibri"/>
            <family val="2"/>
            <scheme val="minor"/>
          </rPr>
          <t>Introduzca un codigo UNSPSC</t>
        </r>
      </text>
    </comment>
    <comment ref="B2365" authorId="1" shapeId="0" xr:uid="{2BD1B3C4-3E41-4857-A918-40655A0EC6E6}">
      <text>
        <r>
          <rPr>
            <sz val="11"/>
            <color theme="1"/>
            <rFont val="Calibri"/>
            <family val="2"/>
            <scheme val="minor"/>
          </rPr>
          <t>Descripción calculada automáticamente a partir de código del artículo</t>
        </r>
      </text>
    </comment>
    <comment ref="C2365" authorId="1" shapeId="0" xr:uid="{9B97341B-E415-4838-9B3C-2C55190BBC18}">
      <text>
        <r>
          <rPr>
            <sz val="11"/>
            <color theme="1"/>
            <rFont val="Calibri"/>
            <family val="2"/>
            <scheme val="minor"/>
          </rPr>
          <t>Seleccione un valor de la lista</t>
        </r>
      </text>
    </comment>
    <comment ref="D2365" authorId="1" shapeId="0" xr:uid="{DBD17005-A9FC-4112-93E5-2BAE93BEB7CA}">
      <text>
        <r>
          <rPr>
            <sz val="11"/>
            <color theme="1"/>
            <rFont val="Calibri"/>
            <family val="2"/>
            <scheme val="minor"/>
          </rPr>
          <t>Introduzca un número con dos decimales como máximo. Debe ser igual o mayor a la "Cantidad Real Consumida"</t>
        </r>
      </text>
    </comment>
    <comment ref="E2365" authorId="1" shapeId="0" xr:uid="{7728B00C-DBB6-429C-9D92-B7B11D5692A6}">
      <text>
        <r>
          <rPr>
            <sz val="11"/>
            <color theme="1"/>
            <rFont val="Calibri"/>
            <family val="2"/>
            <scheme val="minor"/>
          </rPr>
          <t>Introduzca un número con dos decimales como máximo</t>
        </r>
      </text>
    </comment>
    <comment ref="F2365" authorId="1" shapeId="0" xr:uid="{64F46285-5FF8-42B2-8080-02AD053754E4}">
      <text>
        <r>
          <rPr>
            <sz val="11"/>
            <color theme="1"/>
            <rFont val="Calibri"/>
            <family val="2"/>
            <scheme val="minor"/>
          </rPr>
          <t>Monto calculado automáticamente por el sistema</t>
        </r>
      </text>
    </comment>
    <comment ref="A2370" authorId="1" shapeId="0" xr:uid="{220C84D9-4D0A-4635-AA74-3C357D1FF601}">
      <text>
        <r>
          <rPr>
            <sz val="11"/>
            <color theme="1"/>
            <rFont val="Calibri"/>
            <family val="2"/>
            <scheme val="minor"/>
          </rPr>
          <t>Introducir un texto con el nombre o referencia de la contratación</t>
        </r>
      </text>
    </comment>
    <comment ref="B2370" authorId="1" shapeId="0" xr:uid="{C07739DB-3766-4EC2-9714-F38B3642FE9C}">
      <text>
        <r>
          <rPr>
            <sz val="11"/>
            <color theme="1"/>
            <rFont val="Calibri"/>
            <family val="2"/>
            <scheme val="minor"/>
          </rPr>
          <t>Introduzca un texto con la finalidad de la contratación</t>
        </r>
      </text>
    </comment>
    <comment ref="C2370" authorId="1" shapeId="0" xr:uid="{86AE202A-88EC-4AA2-A431-AD62BABF7108}">
      <text>
        <r>
          <rPr>
            <sz val="11"/>
            <color theme="1"/>
            <rFont val="Calibri"/>
            <family val="2"/>
            <scheme val="minor"/>
          </rPr>
          <t>Seleccionar un valor del listado</t>
        </r>
      </text>
    </comment>
    <comment ref="D2370" authorId="1" shapeId="0" xr:uid="{8F124350-F73F-4618-8F96-583D6BB3E957}">
      <text>
        <r>
          <rPr>
            <sz val="11"/>
            <color theme="1"/>
            <rFont val="Calibri"/>
            <family val="2"/>
            <scheme val="minor"/>
          </rPr>
          <t>Seleccione el tipo de procedimiento</t>
        </r>
      </text>
    </comment>
    <comment ref="E2370" authorId="1" shapeId="0" xr:uid="{B77964E3-53C5-46B9-86A2-6F26A064E2F0}">
      <text>
        <r>
          <rPr>
            <sz val="11"/>
            <color theme="1"/>
            <rFont val="Calibri"/>
            <family val="2"/>
            <scheme val="minor"/>
          </rPr>
          <t>Seleccione un valor de la lista</t>
        </r>
      </text>
    </comment>
    <comment ref="F2370" authorId="1" shapeId="0" xr:uid="{55855C58-CC32-4401-85FC-1958CF3ABDC4}">
      <text>
        <r>
          <rPr>
            <sz val="11"/>
            <color theme="1"/>
            <rFont val="Calibri"/>
            <family val="2"/>
            <scheme val="minor"/>
          </rPr>
          <t>Introduzca el código SNIP</t>
        </r>
      </text>
    </comment>
    <comment ref="C2371" authorId="1" shapeId="0" xr:uid="{C9612CCD-0D63-41D3-8D11-A28103F082F7}">
      <text>
        <r>
          <rPr>
            <sz val="11"/>
            <color theme="1"/>
            <rFont val="Calibri"/>
            <family val="2"/>
            <scheme val="minor"/>
          </rPr>
          <t>Introduzca la fecha de inicio del proceso, en formato dd-mm-aaaa</t>
        </r>
      </text>
    </comment>
    <comment ref="F2371" authorId="1" shapeId="0" xr:uid="{81DA5800-3032-453A-98CD-CC4A809DBC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2" authorId="1" shapeId="0" xr:uid="{D712438E-12D0-4E11-BE4E-0E3DC4B85676}">
      <text/>
    </comment>
    <comment ref="C2373" authorId="1" shapeId="0" xr:uid="{23E3E792-2E62-4999-AFF1-2CF431C35EA4}">
      <text>
        <r>
          <rPr>
            <sz val="11"/>
            <color theme="1"/>
            <rFont val="Calibri"/>
            <family val="2"/>
            <scheme val="minor"/>
          </rPr>
          <t>Introduzca la fecha prevista de adjudicación, en formato dd-mm-aaaa</t>
        </r>
      </text>
    </comment>
    <comment ref="F2373" authorId="1" shapeId="0" xr:uid="{D42788E8-667A-47AC-88D2-EE54ABC30E53}">
      <text/>
    </comment>
    <comment ref="F2374" authorId="1" shapeId="0" xr:uid="{0943C5D6-0AC5-4643-8657-A6B255BED006}">
      <text/>
    </comment>
    <comment ref="A2376" authorId="1" shapeId="0" xr:uid="{DDADCF2A-45B2-4684-8E08-68C47C07F9DC}">
      <text>
        <r>
          <rPr>
            <sz val="11"/>
            <color theme="1"/>
            <rFont val="Calibri"/>
            <family val="2"/>
            <scheme val="minor"/>
          </rPr>
          <t>Introduzca un codigo UNSPSC</t>
        </r>
      </text>
    </comment>
    <comment ref="B2376" authorId="1" shapeId="0" xr:uid="{96271C6C-94F0-4557-A345-E0932D0DF060}">
      <text>
        <r>
          <rPr>
            <sz val="11"/>
            <color theme="1"/>
            <rFont val="Calibri"/>
            <family val="2"/>
            <scheme val="minor"/>
          </rPr>
          <t>Descripción calculada automáticamente a partir de código del artículo</t>
        </r>
      </text>
    </comment>
    <comment ref="C2376" authorId="1" shapeId="0" xr:uid="{B3BB10E2-A029-4FA5-B3C4-A577419FCBAD}">
      <text>
        <r>
          <rPr>
            <sz val="11"/>
            <color theme="1"/>
            <rFont val="Calibri"/>
            <family val="2"/>
            <scheme val="minor"/>
          </rPr>
          <t>Seleccione un valor de la lista</t>
        </r>
      </text>
    </comment>
    <comment ref="D2376" authorId="1" shapeId="0" xr:uid="{5F5CA6C0-2A86-45E4-9A65-5C3B7FDA5867}">
      <text>
        <r>
          <rPr>
            <sz val="11"/>
            <color theme="1"/>
            <rFont val="Calibri"/>
            <family val="2"/>
            <scheme val="minor"/>
          </rPr>
          <t>Introduzca un número con dos decimales como máximo. Debe ser igual o mayor a la "Cantidad Real Consumida"</t>
        </r>
      </text>
    </comment>
    <comment ref="E2376" authorId="1" shapeId="0" xr:uid="{FA276045-E605-4B58-8523-E8892CE66F3B}">
      <text>
        <r>
          <rPr>
            <sz val="11"/>
            <color theme="1"/>
            <rFont val="Calibri"/>
            <family val="2"/>
            <scheme val="minor"/>
          </rPr>
          <t>Introduzca un número con dos decimales como máximo</t>
        </r>
      </text>
    </comment>
    <comment ref="F2376" authorId="1" shapeId="0" xr:uid="{F2A5DAED-9FFE-492A-BEC4-5ABB699D11D1}">
      <text>
        <r>
          <rPr>
            <sz val="11"/>
            <color theme="1"/>
            <rFont val="Calibri"/>
            <family val="2"/>
            <scheme val="minor"/>
          </rPr>
          <t>Monto calculado automáticamente por el sistema</t>
        </r>
      </text>
    </comment>
    <comment ref="A2381" authorId="1" shapeId="0" xr:uid="{C747DB2C-D6E1-408B-8FCA-E4DE4998B857}">
      <text>
        <r>
          <rPr>
            <sz val="11"/>
            <color theme="1"/>
            <rFont val="Calibri"/>
            <family val="2"/>
            <scheme val="minor"/>
          </rPr>
          <t>Introducir un texto con el nombre o referencia de la contratación</t>
        </r>
      </text>
    </comment>
    <comment ref="B2381" authorId="1" shapeId="0" xr:uid="{99A3A918-3C45-4343-85AF-A38D3951B122}">
      <text>
        <r>
          <rPr>
            <sz val="11"/>
            <color theme="1"/>
            <rFont val="Calibri"/>
            <family val="2"/>
            <scheme val="minor"/>
          </rPr>
          <t>Introduzca un texto con la finalidad de la contratación</t>
        </r>
      </text>
    </comment>
    <comment ref="C2381" authorId="1" shapeId="0" xr:uid="{269D42CF-3E8E-4CA4-AAFA-DCB7D1514D03}">
      <text>
        <r>
          <rPr>
            <sz val="11"/>
            <color theme="1"/>
            <rFont val="Calibri"/>
            <family val="2"/>
            <scheme val="minor"/>
          </rPr>
          <t>Seleccionar un valor del listado</t>
        </r>
      </text>
    </comment>
    <comment ref="D2381" authorId="1" shapeId="0" xr:uid="{63FEBC4E-DF61-47A2-A5EF-6D6FC13817CE}">
      <text>
        <r>
          <rPr>
            <sz val="11"/>
            <color theme="1"/>
            <rFont val="Calibri"/>
            <family val="2"/>
            <scheme val="minor"/>
          </rPr>
          <t>Seleccione el tipo de procedimiento</t>
        </r>
      </text>
    </comment>
    <comment ref="E2381" authorId="1" shapeId="0" xr:uid="{3BA41209-9064-4B9E-A65F-C906687A1D5F}">
      <text>
        <r>
          <rPr>
            <sz val="11"/>
            <color theme="1"/>
            <rFont val="Calibri"/>
            <family val="2"/>
            <scheme val="minor"/>
          </rPr>
          <t>Seleccione un valor de la lista</t>
        </r>
      </text>
    </comment>
    <comment ref="F2381" authorId="1" shapeId="0" xr:uid="{07A3105E-111A-4955-89D2-BDC5AA0A0B37}">
      <text>
        <r>
          <rPr>
            <sz val="11"/>
            <color theme="1"/>
            <rFont val="Calibri"/>
            <family val="2"/>
            <scheme val="minor"/>
          </rPr>
          <t>Introduzca el código SNIP</t>
        </r>
      </text>
    </comment>
    <comment ref="C2382" authorId="1" shapeId="0" xr:uid="{D195540B-084F-4C7B-8C16-DFEC611543B9}">
      <text>
        <r>
          <rPr>
            <sz val="11"/>
            <color theme="1"/>
            <rFont val="Calibri"/>
            <family val="2"/>
            <scheme val="minor"/>
          </rPr>
          <t>Introduzca la fecha de inicio del proceso, en formato dd-mm-aaaa</t>
        </r>
      </text>
    </comment>
    <comment ref="F2382" authorId="1" shapeId="0" xr:uid="{ED25AA08-F830-49FB-B984-74D3DD70BC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3" authorId="1" shapeId="0" xr:uid="{918FE747-72B0-498C-9B7C-4A84DC6EE0CF}">
      <text/>
    </comment>
    <comment ref="C2384" authorId="1" shapeId="0" xr:uid="{70BFDBF1-513D-4D18-98A2-B3510CBE68E1}">
      <text>
        <r>
          <rPr>
            <sz val="11"/>
            <color theme="1"/>
            <rFont val="Calibri"/>
            <family val="2"/>
            <scheme val="minor"/>
          </rPr>
          <t>Introduzca la fecha prevista de adjudicación, en formato dd-mm-aaaa</t>
        </r>
      </text>
    </comment>
    <comment ref="F2384" authorId="1" shapeId="0" xr:uid="{82B040BC-C7DC-4B8B-9567-81FE3A37CF6C}">
      <text/>
    </comment>
    <comment ref="F2385" authorId="1" shapeId="0" xr:uid="{099A4C9B-7F67-467C-A14C-0B9B990DB464}">
      <text/>
    </comment>
    <comment ref="A2387" authorId="1" shapeId="0" xr:uid="{EC09F2CB-1B71-4375-BAB2-9C7A8F7801E6}">
      <text>
        <r>
          <rPr>
            <sz val="11"/>
            <color theme="1"/>
            <rFont val="Calibri"/>
            <family val="2"/>
            <scheme val="minor"/>
          </rPr>
          <t>Introduzca un codigo UNSPSC</t>
        </r>
      </text>
    </comment>
    <comment ref="B2387" authorId="1" shapeId="0" xr:uid="{1EFE29F6-BC57-4DA1-A9EE-5D7E1C6372E8}">
      <text>
        <r>
          <rPr>
            <sz val="11"/>
            <color theme="1"/>
            <rFont val="Calibri"/>
            <family val="2"/>
            <scheme val="minor"/>
          </rPr>
          <t>Descripción calculada automáticamente a partir de código del artículo</t>
        </r>
      </text>
    </comment>
    <comment ref="C2387" authorId="1" shapeId="0" xr:uid="{9C486218-0A09-40C8-96EF-B009AC4197C5}">
      <text>
        <r>
          <rPr>
            <sz val="11"/>
            <color theme="1"/>
            <rFont val="Calibri"/>
            <family val="2"/>
            <scheme val="minor"/>
          </rPr>
          <t>Seleccione un valor de la lista</t>
        </r>
      </text>
    </comment>
    <comment ref="D2387" authorId="1" shapeId="0" xr:uid="{27AA6C1A-DDB8-4219-AFF1-A1BEA057B5A4}">
      <text>
        <r>
          <rPr>
            <sz val="11"/>
            <color theme="1"/>
            <rFont val="Calibri"/>
            <family val="2"/>
            <scheme val="minor"/>
          </rPr>
          <t>Introduzca un número con dos decimales como máximo. Debe ser igual o mayor a la "Cantidad Real Consumida"</t>
        </r>
      </text>
    </comment>
    <comment ref="E2387" authorId="1" shapeId="0" xr:uid="{A6B948D6-A5CA-4F55-860E-8250CB2AD66F}">
      <text>
        <r>
          <rPr>
            <sz val="11"/>
            <color theme="1"/>
            <rFont val="Calibri"/>
            <family val="2"/>
            <scheme val="minor"/>
          </rPr>
          <t>Introduzca un número con dos decimales como máximo</t>
        </r>
      </text>
    </comment>
    <comment ref="F2387" authorId="1" shapeId="0" xr:uid="{EFB57ED6-8FB9-4454-BF07-CD5A4FC0995C}">
      <text>
        <r>
          <rPr>
            <sz val="11"/>
            <color theme="1"/>
            <rFont val="Calibri"/>
            <family val="2"/>
            <scheme val="minor"/>
          </rPr>
          <t>Monto calculado automáticamente por el sistema</t>
        </r>
      </text>
    </comment>
    <comment ref="A2392" authorId="1" shapeId="0" xr:uid="{50B6247D-927B-4646-9BCD-2B3E6BF31DB5}">
      <text>
        <r>
          <rPr>
            <sz val="11"/>
            <color theme="1"/>
            <rFont val="Calibri"/>
            <family val="2"/>
            <scheme val="minor"/>
          </rPr>
          <t>Introducir un texto con el nombre o referencia de la contratación</t>
        </r>
      </text>
    </comment>
    <comment ref="B2392" authorId="1" shapeId="0" xr:uid="{83E07236-8208-4B21-86C2-95989E11A144}">
      <text>
        <r>
          <rPr>
            <sz val="11"/>
            <color theme="1"/>
            <rFont val="Calibri"/>
            <family val="2"/>
            <scheme val="minor"/>
          </rPr>
          <t>Introduzca un texto con la finalidad de la contratación</t>
        </r>
      </text>
    </comment>
    <comment ref="C2392" authorId="1" shapeId="0" xr:uid="{ADA7D253-B244-4F75-A607-67FE7D56097B}">
      <text>
        <r>
          <rPr>
            <sz val="11"/>
            <color theme="1"/>
            <rFont val="Calibri"/>
            <family val="2"/>
            <scheme val="minor"/>
          </rPr>
          <t>Seleccionar un valor del listado</t>
        </r>
      </text>
    </comment>
    <comment ref="D2392" authorId="1" shapeId="0" xr:uid="{7F0F3983-A13F-41CC-B35E-D145265102FD}">
      <text>
        <r>
          <rPr>
            <sz val="11"/>
            <color theme="1"/>
            <rFont val="Calibri"/>
            <family val="2"/>
            <scheme val="minor"/>
          </rPr>
          <t>Seleccione el tipo de procedimiento</t>
        </r>
      </text>
    </comment>
    <comment ref="E2392" authorId="1" shapeId="0" xr:uid="{F5248801-B671-44A4-A7B9-BB5A64F9A90B}">
      <text>
        <r>
          <rPr>
            <sz val="11"/>
            <color theme="1"/>
            <rFont val="Calibri"/>
            <family val="2"/>
            <scheme val="minor"/>
          </rPr>
          <t>Seleccione un valor de la lista</t>
        </r>
      </text>
    </comment>
    <comment ref="F2392" authorId="1" shapeId="0" xr:uid="{DC4E3D11-1C85-4528-A42F-95449259BE10}">
      <text>
        <r>
          <rPr>
            <sz val="11"/>
            <color theme="1"/>
            <rFont val="Calibri"/>
            <family val="2"/>
            <scheme val="minor"/>
          </rPr>
          <t>Introduzca el código SNIP</t>
        </r>
      </text>
    </comment>
    <comment ref="C2393" authorId="1" shapeId="0" xr:uid="{FAC2B1FA-76C2-49B1-BC57-C0F378E23CC2}">
      <text>
        <r>
          <rPr>
            <sz val="11"/>
            <color theme="1"/>
            <rFont val="Calibri"/>
            <family val="2"/>
            <scheme val="minor"/>
          </rPr>
          <t>Introduzca la fecha de inicio del proceso, en formato dd-mm-aaaa</t>
        </r>
      </text>
    </comment>
    <comment ref="F2393" authorId="1" shapeId="0" xr:uid="{D4D4AD63-82A4-414D-8280-68078710E8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4" authorId="1" shapeId="0" xr:uid="{7EAA3F7E-FE74-4AB2-87AC-61F6EF1739B3}">
      <text/>
    </comment>
    <comment ref="C2395" authorId="1" shapeId="0" xr:uid="{B3342B55-B845-472B-ADF0-FBF13CF624FB}">
      <text>
        <r>
          <rPr>
            <sz val="11"/>
            <color theme="1"/>
            <rFont val="Calibri"/>
            <family val="2"/>
            <scheme val="minor"/>
          </rPr>
          <t>Introduzca la fecha prevista de adjudicación, en formato dd-mm-aaaa</t>
        </r>
      </text>
    </comment>
    <comment ref="F2395" authorId="1" shapeId="0" xr:uid="{8E752E73-0E9B-4548-B6FA-26BE41145A65}">
      <text/>
    </comment>
    <comment ref="F2396" authorId="1" shapeId="0" xr:uid="{9B6C93A4-9843-4422-9D84-AD9A0503CCDE}">
      <text/>
    </comment>
    <comment ref="A2398" authorId="1" shapeId="0" xr:uid="{4F90B272-1426-4BE4-8D59-026D38E00FD8}">
      <text>
        <r>
          <rPr>
            <sz val="11"/>
            <color theme="1"/>
            <rFont val="Calibri"/>
            <family val="2"/>
            <scheme val="minor"/>
          </rPr>
          <t>Introduzca un codigo UNSPSC</t>
        </r>
      </text>
    </comment>
    <comment ref="B2398" authorId="1" shapeId="0" xr:uid="{07CE03C5-C4A6-46AE-B66B-764DABD2F751}">
      <text>
        <r>
          <rPr>
            <sz val="11"/>
            <color theme="1"/>
            <rFont val="Calibri"/>
            <family val="2"/>
            <scheme val="minor"/>
          </rPr>
          <t>Descripción calculada automáticamente a partir de código del artículo</t>
        </r>
      </text>
    </comment>
    <comment ref="C2398" authorId="1" shapeId="0" xr:uid="{16DE0C7E-3A7E-4AD9-A2BD-2BD686E0A607}">
      <text>
        <r>
          <rPr>
            <sz val="11"/>
            <color theme="1"/>
            <rFont val="Calibri"/>
            <family val="2"/>
            <scheme val="minor"/>
          </rPr>
          <t>Seleccione un valor de la lista</t>
        </r>
      </text>
    </comment>
    <comment ref="D2398" authorId="1" shapeId="0" xr:uid="{B5FAEBE0-CDD5-4B82-87FE-B9449EBDFFA6}">
      <text>
        <r>
          <rPr>
            <sz val="11"/>
            <color theme="1"/>
            <rFont val="Calibri"/>
            <family val="2"/>
            <scheme val="minor"/>
          </rPr>
          <t>Introduzca un número con dos decimales como máximo. Debe ser igual o mayor a la "Cantidad Real Consumida"</t>
        </r>
      </text>
    </comment>
    <comment ref="E2398" authorId="1" shapeId="0" xr:uid="{8ABA21EB-2254-4A00-81FC-CE6FA795C596}">
      <text>
        <r>
          <rPr>
            <sz val="11"/>
            <color theme="1"/>
            <rFont val="Calibri"/>
            <family val="2"/>
            <scheme val="minor"/>
          </rPr>
          <t>Introduzca un número con dos decimales como máximo</t>
        </r>
      </text>
    </comment>
    <comment ref="F2398" authorId="1" shapeId="0" xr:uid="{8989139C-A27B-4A74-AF6C-D809E3706362}">
      <text>
        <r>
          <rPr>
            <sz val="11"/>
            <color theme="1"/>
            <rFont val="Calibri"/>
            <family val="2"/>
            <scheme val="minor"/>
          </rPr>
          <t>Monto calculado automáticamente por el sistema</t>
        </r>
      </text>
    </comment>
    <comment ref="A2403" authorId="1" shapeId="0" xr:uid="{3149DE97-EF68-4F8C-8D02-AEF173CC12AB}">
      <text>
        <r>
          <rPr>
            <sz val="11"/>
            <color theme="1"/>
            <rFont val="Calibri"/>
            <family val="2"/>
            <scheme val="minor"/>
          </rPr>
          <t>Introducir un texto con el nombre o referencia de la contratación</t>
        </r>
      </text>
    </comment>
    <comment ref="B2403" authorId="1" shapeId="0" xr:uid="{9535B949-8D7F-4500-AA48-DCE042977EFF}">
      <text>
        <r>
          <rPr>
            <sz val="11"/>
            <color theme="1"/>
            <rFont val="Calibri"/>
            <family val="2"/>
            <scheme val="minor"/>
          </rPr>
          <t>Introduzca un texto con la finalidad de la contratación</t>
        </r>
      </text>
    </comment>
    <comment ref="C2403" authorId="1" shapeId="0" xr:uid="{181D20C3-C59F-4753-9C67-ABF52214D079}">
      <text>
        <r>
          <rPr>
            <sz val="11"/>
            <color theme="1"/>
            <rFont val="Calibri"/>
            <family val="2"/>
            <scheme val="minor"/>
          </rPr>
          <t>Seleccionar un valor del listado</t>
        </r>
      </text>
    </comment>
    <comment ref="D2403" authorId="1" shapeId="0" xr:uid="{E76DCC5B-47AE-4BB3-BCC8-0D73DFB39C8D}">
      <text>
        <r>
          <rPr>
            <sz val="11"/>
            <color theme="1"/>
            <rFont val="Calibri"/>
            <family val="2"/>
            <scheme val="minor"/>
          </rPr>
          <t>Seleccione el tipo de procedimiento</t>
        </r>
      </text>
    </comment>
    <comment ref="E2403" authorId="1" shapeId="0" xr:uid="{6EFD4C05-FD2D-422A-A811-6C899FC33B65}">
      <text>
        <r>
          <rPr>
            <sz val="11"/>
            <color theme="1"/>
            <rFont val="Calibri"/>
            <family val="2"/>
            <scheme val="minor"/>
          </rPr>
          <t>Seleccione un valor de la lista</t>
        </r>
      </text>
    </comment>
    <comment ref="F2403" authorId="1" shapeId="0" xr:uid="{5C7354CF-FD7C-4F01-B01B-50ACD6A9DDDE}">
      <text>
        <r>
          <rPr>
            <sz val="11"/>
            <color theme="1"/>
            <rFont val="Calibri"/>
            <family val="2"/>
            <scheme val="minor"/>
          </rPr>
          <t>Introduzca el código SNIP</t>
        </r>
      </text>
    </comment>
    <comment ref="C2404" authorId="1" shapeId="0" xr:uid="{15A33E7D-38B5-4E59-A702-F9268500EB4D}">
      <text>
        <r>
          <rPr>
            <sz val="11"/>
            <color theme="1"/>
            <rFont val="Calibri"/>
            <family val="2"/>
            <scheme val="minor"/>
          </rPr>
          <t>Introduzca la fecha de inicio del proceso, en formato dd-mm-aaaa</t>
        </r>
      </text>
    </comment>
    <comment ref="F2404" authorId="1" shapeId="0" xr:uid="{B843145A-EF73-48DF-BAFC-6E9589BD70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5" authorId="1" shapeId="0" xr:uid="{1A673563-585A-4564-A892-8E843CE764C5}">
      <text/>
    </comment>
    <comment ref="C2406" authorId="1" shapeId="0" xr:uid="{6596F19E-6470-4757-B716-83A1B40D156D}">
      <text>
        <r>
          <rPr>
            <sz val="11"/>
            <color theme="1"/>
            <rFont val="Calibri"/>
            <family val="2"/>
            <scheme val="minor"/>
          </rPr>
          <t>Introduzca la fecha prevista de adjudicación, en formato dd-mm-aaaa</t>
        </r>
      </text>
    </comment>
    <comment ref="F2406" authorId="1" shapeId="0" xr:uid="{D5BA4780-7B87-487C-A84D-850B46845CB1}">
      <text/>
    </comment>
    <comment ref="F2407" authorId="1" shapeId="0" xr:uid="{8E4D60B9-1661-419A-A5D8-FFACA18BF3BB}">
      <text/>
    </comment>
    <comment ref="A2409" authorId="1" shapeId="0" xr:uid="{743A8844-BA1D-4C3E-A7DE-66FCA73DCDC4}">
      <text>
        <r>
          <rPr>
            <sz val="11"/>
            <color theme="1"/>
            <rFont val="Calibri"/>
            <family val="2"/>
            <scheme val="minor"/>
          </rPr>
          <t>Introduzca un codigo UNSPSC</t>
        </r>
      </text>
    </comment>
    <comment ref="B2409" authorId="1" shapeId="0" xr:uid="{3BBB5CA3-6B97-4054-8341-7E8E25B4AB86}">
      <text>
        <r>
          <rPr>
            <sz val="11"/>
            <color theme="1"/>
            <rFont val="Calibri"/>
            <family val="2"/>
            <scheme val="minor"/>
          </rPr>
          <t>Descripción calculada automáticamente a partir de código del artículo</t>
        </r>
      </text>
    </comment>
    <comment ref="C2409" authorId="1" shapeId="0" xr:uid="{9DDF35EC-7075-4A8B-8FA0-7452D75F6067}">
      <text>
        <r>
          <rPr>
            <sz val="11"/>
            <color theme="1"/>
            <rFont val="Calibri"/>
            <family val="2"/>
            <scheme val="minor"/>
          </rPr>
          <t>Seleccione un valor de la lista</t>
        </r>
      </text>
    </comment>
    <comment ref="D2409" authorId="1" shapeId="0" xr:uid="{8E14CDB4-56AA-481A-BF47-0420BDCBB384}">
      <text>
        <r>
          <rPr>
            <sz val="11"/>
            <color theme="1"/>
            <rFont val="Calibri"/>
            <family val="2"/>
            <scheme val="minor"/>
          </rPr>
          <t>Introduzca un número con dos decimales como máximo. Debe ser igual o mayor a la "Cantidad Real Consumida"</t>
        </r>
      </text>
    </comment>
    <comment ref="E2409" authorId="1" shapeId="0" xr:uid="{FD665211-DF24-4E04-9655-AF42AEE359AA}">
      <text>
        <r>
          <rPr>
            <sz val="11"/>
            <color theme="1"/>
            <rFont val="Calibri"/>
            <family val="2"/>
            <scheme val="minor"/>
          </rPr>
          <t>Introduzca un número con dos decimales como máximo</t>
        </r>
      </text>
    </comment>
    <comment ref="F2409" authorId="1" shapeId="0" xr:uid="{C4E983C0-5A4F-469F-B7AC-DC163F373A79}">
      <text>
        <r>
          <rPr>
            <sz val="11"/>
            <color theme="1"/>
            <rFont val="Calibri"/>
            <family val="2"/>
            <scheme val="minor"/>
          </rPr>
          <t>Monto calculado automáticamente por el sistema</t>
        </r>
      </text>
    </comment>
    <comment ref="A2414" authorId="1" shapeId="0" xr:uid="{A02007A3-A85D-4073-A8A3-17B5BC060144}">
      <text>
        <r>
          <rPr>
            <sz val="11"/>
            <color theme="1"/>
            <rFont val="Calibri"/>
            <family val="2"/>
            <scheme val="minor"/>
          </rPr>
          <t>Introducir un texto con el nombre o referencia de la contratación</t>
        </r>
      </text>
    </comment>
    <comment ref="B2414" authorId="1" shapeId="0" xr:uid="{74C95898-096E-4F57-8326-1FA49D118D98}">
      <text>
        <r>
          <rPr>
            <sz val="11"/>
            <color theme="1"/>
            <rFont val="Calibri"/>
            <family val="2"/>
            <scheme val="minor"/>
          </rPr>
          <t>Introduzca un texto con la finalidad de la contratación</t>
        </r>
      </text>
    </comment>
    <comment ref="C2414" authorId="1" shapeId="0" xr:uid="{5725C029-9491-498F-BC17-C1DE7D949632}">
      <text>
        <r>
          <rPr>
            <sz val="11"/>
            <color theme="1"/>
            <rFont val="Calibri"/>
            <family val="2"/>
            <scheme val="minor"/>
          </rPr>
          <t>Seleccionar un valor del listado</t>
        </r>
      </text>
    </comment>
    <comment ref="D2414" authorId="1" shapeId="0" xr:uid="{5010E4F6-4403-4F83-A980-55849CC57874}">
      <text>
        <r>
          <rPr>
            <sz val="11"/>
            <color theme="1"/>
            <rFont val="Calibri"/>
            <family val="2"/>
            <scheme val="minor"/>
          </rPr>
          <t>Seleccione el tipo de procedimiento</t>
        </r>
      </text>
    </comment>
    <comment ref="E2414" authorId="1" shapeId="0" xr:uid="{67E0A8F3-DE98-41B9-9BBC-81AA4F95B9E3}">
      <text>
        <r>
          <rPr>
            <sz val="11"/>
            <color theme="1"/>
            <rFont val="Calibri"/>
            <family val="2"/>
            <scheme val="minor"/>
          </rPr>
          <t>Seleccione un valor de la lista</t>
        </r>
      </text>
    </comment>
    <comment ref="F2414" authorId="1" shapeId="0" xr:uid="{5286A613-25F6-4E81-86A2-E07E6A3F9AE6}">
      <text>
        <r>
          <rPr>
            <sz val="11"/>
            <color theme="1"/>
            <rFont val="Calibri"/>
            <family val="2"/>
            <scheme val="minor"/>
          </rPr>
          <t>Introduzca el código SNIP</t>
        </r>
      </text>
    </comment>
    <comment ref="C2415" authorId="1" shapeId="0" xr:uid="{EFEFB2F0-DE5B-4CAF-A8BB-84D89B451FDB}">
      <text>
        <r>
          <rPr>
            <sz val="11"/>
            <color theme="1"/>
            <rFont val="Calibri"/>
            <family val="2"/>
            <scheme val="minor"/>
          </rPr>
          <t>Introduzca la fecha de inicio del proceso, en formato dd-mm-aaaa</t>
        </r>
      </text>
    </comment>
    <comment ref="F2415" authorId="1" shapeId="0" xr:uid="{8FF330D5-579B-4A8B-87C9-B857AC7892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6" authorId="1" shapeId="0" xr:uid="{09EE61FC-4C74-470A-83C4-AA4AF572859F}">
      <text/>
    </comment>
    <comment ref="C2417" authorId="1" shapeId="0" xr:uid="{6082DFCB-0FA0-4CCD-AB1E-7392E02B916F}">
      <text>
        <r>
          <rPr>
            <sz val="11"/>
            <color theme="1"/>
            <rFont val="Calibri"/>
            <family val="2"/>
            <scheme val="minor"/>
          </rPr>
          <t>Introduzca la fecha prevista de adjudicación, en formato dd-mm-aaaa</t>
        </r>
      </text>
    </comment>
    <comment ref="F2417" authorId="1" shapeId="0" xr:uid="{93589EC2-26E9-4C3D-B68A-668951E756CF}">
      <text/>
    </comment>
    <comment ref="F2418" authorId="1" shapeId="0" xr:uid="{9544268F-30B8-4885-AFC2-49C9F23FA402}">
      <text/>
    </comment>
    <comment ref="A2420" authorId="1" shapeId="0" xr:uid="{59789AA0-1D4C-4A6C-A1B4-F2354300AE3C}">
      <text>
        <r>
          <rPr>
            <sz val="11"/>
            <color theme="1"/>
            <rFont val="Calibri"/>
            <family val="2"/>
            <scheme val="minor"/>
          </rPr>
          <t>Introduzca un codigo UNSPSC</t>
        </r>
      </text>
    </comment>
    <comment ref="B2420" authorId="1" shapeId="0" xr:uid="{E05ED8C2-5707-47CD-AB6B-09243F7ACBC0}">
      <text>
        <r>
          <rPr>
            <sz val="11"/>
            <color theme="1"/>
            <rFont val="Calibri"/>
            <family val="2"/>
            <scheme val="minor"/>
          </rPr>
          <t>Descripción calculada automáticamente a partir de código del artículo</t>
        </r>
      </text>
    </comment>
    <comment ref="C2420" authorId="1" shapeId="0" xr:uid="{DD7619DA-62B8-4C56-831E-5AB0A7C6E7C1}">
      <text>
        <r>
          <rPr>
            <sz val="11"/>
            <color theme="1"/>
            <rFont val="Calibri"/>
            <family val="2"/>
            <scheme val="minor"/>
          </rPr>
          <t>Seleccione un valor de la lista</t>
        </r>
      </text>
    </comment>
    <comment ref="D2420" authorId="1" shapeId="0" xr:uid="{B7C327B2-3EC5-4A75-B8C6-06C483B0E53F}">
      <text>
        <r>
          <rPr>
            <sz val="11"/>
            <color theme="1"/>
            <rFont val="Calibri"/>
            <family val="2"/>
            <scheme val="minor"/>
          </rPr>
          <t>Introduzca un número con dos decimales como máximo. Debe ser igual o mayor a la "Cantidad Real Consumida"</t>
        </r>
      </text>
    </comment>
    <comment ref="E2420" authorId="1" shapeId="0" xr:uid="{A9B0B606-6C30-4408-BD2B-55DDCC51445C}">
      <text>
        <r>
          <rPr>
            <sz val="11"/>
            <color theme="1"/>
            <rFont val="Calibri"/>
            <family val="2"/>
            <scheme val="minor"/>
          </rPr>
          <t>Introduzca un número con dos decimales como máximo</t>
        </r>
      </text>
    </comment>
    <comment ref="F2420" authorId="1" shapeId="0" xr:uid="{CEDC7C84-DA26-4BAE-987F-E406A83ED193}">
      <text>
        <r>
          <rPr>
            <sz val="11"/>
            <color theme="1"/>
            <rFont val="Calibri"/>
            <family val="2"/>
            <scheme val="minor"/>
          </rPr>
          <t>Monto calculado automáticamente por el sistema</t>
        </r>
      </text>
    </comment>
    <comment ref="A2425" authorId="1" shapeId="0" xr:uid="{98A0F3B6-DA76-449E-A281-B755A0339163}">
      <text>
        <r>
          <rPr>
            <sz val="11"/>
            <color theme="1"/>
            <rFont val="Calibri"/>
            <family val="2"/>
            <scheme val="minor"/>
          </rPr>
          <t>Introducir un texto con el nombre o referencia de la contratación</t>
        </r>
      </text>
    </comment>
    <comment ref="B2425" authorId="1" shapeId="0" xr:uid="{4C4E3C2D-2196-493B-BF01-A6B60F2E4492}">
      <text>
        <r>
          <rPr>
            <sz val="11"/>
            <color theme="1"/>
            <rFont val="Calibri"/>
            <family val="2"/>
            <scheme val="minor"/>
          </rPr>
          <t>Introduzca un texto con la finalidad de la contratación</t>
        </r>
      </text>
    </comment>
    <comment ref="C2425" authorId="1" shapeId="0" xr:uid="{BA639716-E16B-43C2-98BB-30D0F4BA4AF7}">
      <text>
        <r>
          <rPr>
            <sz val="11"/>
            <color theme="1"/>
            <rFont val="Calibri"/>
            <family val="2"/>
            <scheme val="minor"/>
          </rPr>
          <t>Seleccionar un valor del listado</t>
        </r>
      </text>
    </comment>
    <comment ref="D2425" authorId="1" shapeId="0" xr:uid="{6596FB5E-EF24-4407-BA7D-90D7010BC404}">
      <text>
        <r>
          <rPr>
            <sz val="11"/>
            <color theme="1"/>
            <rFont val="Calibri"/>
            <family val="2"/>
            <scheme val="minor"/>
          </rPr>
          <t>Seleccione el tipo de procedimiento</t>
        </r>
      </text>
    </comment>
    <comment ref="E2425" authorId="1" shapeId="0" xr:uid="{7DE220F3-2E73-4174-8DD6-A81573274B1B}">
      <text>
        <r>
          <rPr>
            <sz val="11"/>
            <color theme="1"/>
            <rFont val="Calibri"/>
            <family val="2"/>
            <scheme val="minor"/>
          </rPr>
          <t>Seleccione un valor de la lista</t>
        </r>
      </text>
    </comment>
    <comment ref="F2425" authorId="1" shapeId="0" xr:uid="{E7873F79-D0CB-4803-94A1-BB14E168878C}">
      <text>
        <r>
          <rPr>
            <sz val="11"/>
            <color theme="1"/>
            <rFont val="Calibri"/>
            <family val="2"/>
            <scheme val="minor"/>
          </rPr>
          <t>Introduzca el código SNIP</t>
        </r>
      </text>
    </comment>
    <comment ref="C2426" authorId="1" shapeId="0" xr:uid="{CA12F35E-FE24-4229-80F8-4DC0A0106B29}">
      <text>
        <r>
          <rPr>
            <sz val="11"/>
            <color theme="1"/>
            <rFont val="Calibri"/>
            <family val="2"/>
            <scheme val="minor"/>
          </rPr>
          <t>Introduzca la fecha de inicio del proceso, en formato dd-mm-aaaa</t>
        </r>
      </text>
    </comment>
    <comment ref="F2426" authorId="1" shapeId="0" xr:uid="{1F1CA463-EE80-4C09-8088-577D0AD90B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7" authorId="1" shapeId="0" xr:uid="{A6A97EB5-F7A3-4542-9BC8-171143BC3776}">
      <text/>
    </comment>
    <comment ref="C2428" authorId="1" shapeId="0" xr:uid="{74BB72B2-3045-4787-B4B7-4B558BFB87A3}">
      <text>
        <r>
          <rPr>
            <sz val="11"/>
            <color theme="1"/>
            <rFont val="Calibri"/>
            <family val="2"/>
            <scheme val="minor"/>
          </rPr>
          <t>Introduzca la fecha prevista de adjudicación, en formato dd-mm-aaaa</t>
        </r>
      </text>
    </comment>
    <comment ref="F2428" authorId="1" shapeId="0" xr:uid="{CCBF8A79-0435-4C46-8DCA-F701864107B5}">
      <text/>
    </comment>
    <comment ref="F2429" authorId="1" shapeId="0" xr:uid="{7AE513FA-1217-47C5-8926-A79AF6DD389C}">
      <text/>
    </comment>
    <comment ref="A2431" authorId="1" shapeId="0" xr:uid="{1D50E557-5332-462B-88C4-4897E3E379BA}">
      <text>
        <r>
          <rPr>
            <sz val="11"/>
            <color theme="1"/>
            <rFont val="Calibri"/>
            <family val="2"/>
            <scheme val="minor"/>
          </rPr>
          <t>Introduzca un codigo UNSPSC</t>
        </r>
      </text>
    </comment>
    <comment ref="B2431" authorId="1" shapeId="0" xr:uid="{8FB86830-B4EF-4BE1-AEF2-CB6F66A53512}">
      <text>
        <r>
          <rPr>
            <sz val="11"/>
            <color theme="1"/>
            <rFont val="Calibri"/>
            <family val="2"/>
            <scheme val="minor"/>
          </rPr>
          <t>Descripción calculada automáticamente a partir de código del artículo</t>
        </r>
      </text>
    </comment>
    <comment ref="C2431" authorId="1" shapeId="0" xr:uid="{3DB17641-4D6E-4230-A8F9-47A484902680}">
      <text>
        <r>
          <rPr>
            <sz val="11"/>
            <color theme="1"/>
            <rFont val="Calibri"/>
            <family val="2"/>
            <scheme val="minor"/>
          </rPr>
          <t>Seleccione un valor de la lista</t>
        </r>
      </text>
    </comment>
    <comment ref="D2431" authorId="1" shapeId="0" xr:uid="{75A7DE23-4D6D-4E07-9958-CFD52EA9BF54}">
      <text>
        <r>
          <rPr>
            <sz val="11"/>
            <color theme="1"/>
            <rFont val="Calibri"/>
            <family val="2"/>
            <scheme val="minor"/>
          </rPr>
          <t>Introduzca un número con dos decimales como máximo. Debe ser igual o mayor a la "Cantidad Real Consumida"</t>
        </r>
      </text>
    </comment>
    <comment ref="E2431" authorId="1" shapeId="0" xr:uid="{4766DE30-A28C-4311-8100-2CB0AF07CA97}">
      <text>
        <r>
          <rPr>
            <sz val="11"/>
            <color theme="1"/>
            <rFont val="Calibri"/>
            <family val="2"/>
            <scheme val="minor"/>
          </rPr>
          <t>Introduzca un número con dos decimales como máximo</t>
        </r>
      </text>
    </comment>
    <comment ref="F2431" authorId="1" shapeId="0" xr:uid="{9DE1BABE-CF7A-4644-AAD9-F33B06EAE162}">
      <text>
        <r>
          <rPr>
            <sz val="11"/>
            <color theme="1"/>
            <rFont val="Calibri"/>
            <family val="2"/>
            <scheme val="minor"/>
          </rPr>
          <t>Monto calculado automáticamente por el sistema</t>
        </r>
      </text>
    </comment>
    <comment ref="A2437" authorId="1" shapeId="0" xr:uid="{01389371-83AA-467D-B096-E80CD4B57F61}">
      <text>
        <r>
          <rPr>
            <sz val="11"/>
            <color theme="1"/>
            <rFont val="Calibri"/>
            <family val="2"/>
            <scheme val="minor"/>
          </rPr>
          <t>Introducir un texto con el nombre o referencia de la contratación</t>
        </r>
      </text>
    </comment>
    <comment ref="B2437" authorId="1" shapeId="0" xr:uid="{9BB334D1-4245-4361-A969-EB05463949FF}">
      <text>
        <r>
          <rPr>
            <sz val="11"/>
            <color theme="1"/>
            <rFont val="Calibri"/>
            <family val="2"/>
            <scheme val="minor"/>
          </rPr>
          <t>Introduzca un texto con la finalidad de la contratación</t>
        </r>
      </text>
    </comment>
    <comment ref="C2437" authorId="1" shapeId="0" xr:uid="{CB8F8D9A-CE24-47B2-9BE1-339F5743694E}">
      <text>
        <r>
          <rPr>
            <sz val="11"/>
            <color theme="1"/>
            <rFont val="Calibri"/>
            <family val="2"/>
            <scheme val="minor"/>
          </rPr>
          <t>Seleccionar un valor del listado</t>
        </r>
      </text>
    </comment>
    <comment ref="D2437" authorId="1" shapeId="0" xr:uid="{BDC9342E-DF31-4A70-9213-761E2517BCFC}">
      <text>
        <r>
          <rPr>
            <sz val="11"/>
            <color theme="1"/>
            <rFont val="Calibri"/>
            <family val="2"/>
            <scheme val="minor"/>
          </rPr>
          <t>Seleccione el tipo de procedimiento</t>
        </r>
      </text>
    </comment>
    <comment ref="E2437" authorId="1" shapeId="0" xr:uid="{7FB36900-BB87-46FD-ABC3-6CCB88E5566A}">
      <text>
        <r>
          <rPr>
            <sz val="11"/>
            <color theme="1"/>
            <rFont val="Calibri"/>
            <family val="2"/>
            <scheme val="minor"/>
          </rPr>
          <t>Seleccione un valor de la lista</t>
        </r>
      </text>
    </comment>
    <comment ref="F2437" authorId="1" shapeId="0" xr:uid="{3B9D234F-C2DA-4FB9-96D0-868F080BBAAB}">
      <text>
        <r>
          <rPr>
            <sz val="11"/>
            <color theme="1"/>
            <rFont val="Calibri"/>
            <family val="2"/>
            <scheme val="minor"/>
          </rPr>
          <t>Introduzca el código SNIP</t>
        </r>
      </text>
    </comment>
    <comment ref="C2438" authorId="1" shapeId="0" xr:uid="{09E811E5-AB37-4CC7-B97B-B5940BF5E833}">
      <text>
        <r>
          <rPr>
            <sz val="11"/>
            <color theme="1"/>
            <rFont val="Calibri"/>
            <family val="2"/>
            <scheme val="minor"/>
          </rPr>
          <t>Introduzca la fecha de inicio del proceso, en formato dd-mm-aaaa</t>
        </r>
      </text>
    </comment>
    <comment ref="F2438" authorId="1" shapeId="0" xr:uid="{F682C92A-2B1A-49CF-82B6-D13628A836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9" authorId="1" shapeId="0" xr:uid="{05D7A317-4011-43B2-97B8-D7BBC69D14FF}">
      <text/>
    </comment>
    <comment ref="C2440" authorId="1" shapeId="0" xr:uid="{EDFB90B9-3E57-47CA-8C66-ABFFF10ECB23}">
      <text>
        <r>
          <rPr>
            <sz val="11"/>
            <color theme="1"/>
            <rFont val="Calibri"/>
            <family val="2"/>
            <scheme val="minor"/>
          </rPr>
          <t>Introduzca la fecha prevista de adjudicación, en formato dd-mm-aaaa</t>
        </r>
      </text>
    </comment>
    <comment ref="F2440" authorId="1" shapeId="0" xr:uid="{15AC7183-E143-42D0-B5BB-BBEC026DC32D}">
      <text/>
    </comment>
    <comment ref="F2441" authorId="1" shapeId="0" xr:uid="{C6772FC4-8CDB-4F28-B092-B47740319D95}">
      <text/>
    </comment>
    <comment ref="A2443" authorId="1" shapeId="0" xr:uid="{28EA3A40-D774-4934-8B9F-899C8C623DD5}">
      <text>
        <r>
          <rPr>
            <sz val="11"/>
            <color theme="1"/>
            <rFont val="Calibri"/>
            <family val="2"/>
            <scheme val="minor"/>
          </rPr>
          <t>Introduzca un codigo UNSPSC</t>
        </r>
      </text>
    </comment>
    <comment ref="B2443" authorId="1" shapeId="0" xr:uid="{6BAA5AEF-A2BD-414C-B1CB-C682530A54E0}">
      <text>
        <r>
          <rPr>
            <sz val="11"/>
            <color theme="1"/>
            <rFont val="Calibri"/>
            <family val="2"/>
            <scheme val="minor"/>
          </rPr>
          <t>Descripción calculada automáticamente a partir de código del artículo</t>
        </r>
      </text>
    </comment>
    <comment ref="C2443" authorId="1" shapeId="0" xr:uid="{ACE79D9F-B2F6-42B1-B719-13A9EED6D739}">
      <text>
        <r>
          <rPr>
            <sz val="11"/>
            <color theme="1"/>
            <rFont val="Calibri"/>
            <family val="2"/>
            <scheme val="minor"/>
          </rPr>
          <t>Seleccione un valor de la lista</t>
        </r>
      </text>
    </comment>
    <comment ref="D2443" authorId="1" shapeId="0" xr:uid="{5D8AE657-355E-4974-AE85-5AB7370425D0}">
      <text>
        <r>
          <rPr>
            <sz val="11"/>
            <color theme="1"/>
            <rFont val="Calibri"/>
            <family val="2"/>
            <scheme val="minor"/>
          </rPr>
          <t>Introduzca un número con dos decimales como máximo. Debe ser igual o mayor a la "Cantidad Real Consumida"</t>
        </r>
      </text>
    </comment>
    <comment ref="E2443" authorId="1" shapeId="0" xr:uid="{BB8F3707-C814-416A-B6F6-4FDE3ED9A73F}">
      <text>
        <r>
          <rPr>
            <sz val="11"/>
            <color theme="1"/>
            <rFont val="Calibri"/>
            <family val="2"/>
            <scheme val="minor"/>
          </rPr>
          <t>Introduzca un número con dos decimales como máximo</t>
        </r>
      </text>
    </comment>
    <comment ref="F2443" authorId="1" shapeId="0" xr:uid="{71CF22A7-31AB-48BF-9FEE-9667C6DDAADD}">
      <text>
        <r>
          <rPr>
            <sz val="11"/>
            <color theme="1"/>
            <rFont val="Calibri"/>
            <family val="2"/>
            <scheme val="minor"/>
          </rPr>
          <t>Monto calculado automáticamente por el sistema</t>
        </r>
      </text>
    </comment>
    <comment ref="A2448" authorId="1" shapeId="0" xr:uid="{62C56295-7774-482E-A253-6A9004529933}">
      <text>
        <r>
          <rPr>
            <sz val="11"/>
            <color theme="1"/>
            <rFont val="Calibri"/>
            <family val="2"/>
            <scheme val="minor"/>
          </rPr>
          <t>Introducir un texto con el nombre o referencia de la contratación</t>
        </r>
      </text>
    </comment>
    <comment ref="B2448" authorId="1" shapeId="0" xr:uid="{4747EAAE-5519-44CF-AA65-18F9D29B428B}">
      <text>
        <r>
          <rPr>
            <sz val="11"/>
            <color theme="1"/>
            <rFont val="Calibri"/>
            <family val="2"/>
            <scheme val="minor"/>
          </rPr>
          <t>Introduzca un texto con la finalidad de la contratación</t>
        </r>
      </text>
    </comment>
    <comment ref="C2448" authorId="1" shapeId="0" xr:uid="{210EBC75-7A1B-41A8-943A-8AF155D0CD1B}">
      <text>
        <r>
          <rPr>
            <sz val="11"/>
            <color theme="1"/>
            <rFont val="Calibri"/>
            <family val="2"/>
            <scheme val="minor"/>
          </rPr>
          <t>Seleccionar un valor del listado</t>
        </r>
      </text>
    </comment>
    <comment ref="D2448" authorId="1" shapeId="0" xr:uid="{C000B5F6-C3D9-47E1-A882-B98E22884AD4}">
      <text>
        <r>
          <rPr>
            <sz val="11"/>
            <color theme="1"/>
            <rFont val="Calibri"/>
            <family val="2"/>
            <scheme val="minor"/>
          </rPr>
          <t>Seleccione el tipo de procedimiento</t>
        </r>
      </text>
    </comment>
    <comment ref="E2448" authorId="1" shapeId="0" xr:uid="{48587D70-96C4-4C46-A369-3DE61C18CD62}">
      <text>
        <r>
          <rPr>
            <sz val="11"/>
            <color theme="1"/>
            <rFont val="Calibri"/>
            <family val="2"/>
            <scheme val="minor"/>
          </rPr>
          <t>Seleccione un valor de la lista</t>
        </r>
      </text>
    </comment>
    <comment ref="F2448" authorId="1" shapeId="0" xr:uid="{EACF0203-08F7-499E-BDE0-66A65DB390E6}">
      <text>
        <r>
          <rPr>
            <sz val="11"/>
            <color theme="1"/>
            <rFont val="Calibri"/>
            <family val="2"/>
            <scheme val="minor"/>
          </rPr>
          <t>Introduzca el código SNIP</t>
        </r>
      </text>
    </comment>
    <comment ref="C2449" authorId="1" shapeId="0" xr:uid="{CEA31C13-D6E5-4407-9D9B-49AD8DC9B7AC}">
      <text>
        <r>
          <rPr>
            <sz val="11"/>
            <color theme="1"/>
            <rFont val="Calibri"/>
            <family val="2"/>
            <scheme val="minor"/>
          </rPr>
          <t>Introduzca la fecha de inicio del proceso, en formato dd-mm-aaaa</t>
        </r>
      </text>
    </comment>
    <comment ref="F2449" authorId="1" shapeId="0" xr:uid="{2E82CC27-9F95-42BE-B9BA-81986BFD23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0" authorId="1" shapeId="0" xr:uid="{6D3EA9F5-7D18-49E3-B3C5-5D5618C7B45A}">
      <text/>
    </comment>
    <comment ref="C2451" authorId="1" shapeId="0" xr:uid="{6B859379-2C87-4340-8726-DA0F6F0E5B8D}">
      <text>
        <r>
          <rPr>
            <sz val="11"/>
            <color theme="1"/>
            <rFont val="Calibri"/>
            <family val="2"/>
            <scheme val="minor"/>
          </rPr>
          <t>Introduzca la fecha prevista de adjudicación, en formato dd-mm-aaaa</t>
        </r>
      </text>
    </comment>
    <comment ref="F2451" authorId="1" shapeId="0" xr:uid="{57163DB0-8F78-442B-AD2A-F01DABE9050F}">
      <text/>
    </comment>
    <comment ref="F2452" authorId="1" shapeId="0" xr:uid="{A818176E-B53D-49E1-B04D-45EE87A08F0A}">
      <text/>
    </comment>
    <comment ref="A2454" authorId="1" shapeId="0" xr:uid="{17B60DCF-08F7-4875-AB67-2809CF73A32E}">
      <text>
        <r>
          <rPr>
            <sz val="11"/>
            <color theme="1"/>
            <rFont val="Calibri"/>
            <family val="2"/>
            <scheme val="minor"/>
          </rPr>
          <t>Introduzca un codigo UNSPSC</t>
        </r>
      </text>
    </comment>
    <comment ref="B2454" authorId="1" shapeId="0" xr:uid="{A689B609-A305-4C7B-9514-FA362330570E}">
      <text>
        <r>
          <rPr>
            <sz val="11"/>
            <color theme="1"/>
            <rFont val="Calibri"/>
            <family val="2"/>
            <scheme val="minor"/>
          </rPr>
          <t>Descripción calculada automáticamente a partir de código del artículo</t>
        </r>
      </text>
    </comment>
    <comment ref="C2454" authorId="1" shapeId="0" xr:uid="{AF509702-FC11-4E95-B05A-467DA545658B}">
      <text>
        <r>
          <rPr>
            <sz val="11"/>
            <color theme="1"/>
            <rFont val="Calibri"/>
            <family val="2"/>
            <scheme val="minor"/>
          </rPr>
          <t>Seleccione un valor de la lista</t>
        </r>
      </text>
    </comment>
    <comment ref="D2454" authorId="1" shapeId="0" xr:uid="{032B374C-1F13-4336-805D-6AB1F5EB6FA4}">
      <text>
        <r>
          <rPr>
            <sz val="11"/>
            <color theme="1"/>
            <rFont val="Calibri"/>
            <family val="2"/>
            <scheme val="minor"/>
          </rPr>
          <t>Introduzca un número con dos decimales como máximo. Debe ser igual o mayor a la "Cantidad Real Consumida"</t>
        </r>
      </text>
    </comment>
    <comment ref="E2454" authorId="1" shapeId="0" xr:uid="{1137903C-A6A0-4CD5-8969-F516B43DB9A8}">
      <text>
        <r>
          <rPr>
            <sz val="11"/>
            <color theme="1"/>
            <rFont val="Calibri"/>
            <family val="2"/>
            <scheme val="minor"/>
          </rPr>
          <t>Introduzca un número con dos decimales como máximo</t>
        </r>
      </text>
    </comment>
    <comment ref="F2454" authorId="1" shapeId="0" xr:uid="{C906F5DB-6D0F-4EFF-B7DA-154A16DED294}">
      <text>
        <r>
          <rPr>
            <sz val="11"/>
            <color theme="1"/>
            <rFont val="Calibri"/>
            <family val="2"/>
            <scheme val="minor"/>
          </rPr>
          <t>Monto calculado automáticamente por el sistema</t>
        </r>
      </text>
    </comment>
    <comment ref="A2459" authorId="1" shapeId="0" xr:uid="{C00C1AA7-0A9A-4145-9C4D-EBF136B87BFD}">
      <text>
        <r>
          <rPr>
            <sz val="11"/>
            <color theme="1"/>
            <rFont val="Calibri"/>
            <family val="2"/>
            <scheme val="minor"/>
          </rPr>
          <t>Introducir un texto con el nombre o referencia de la contratación</t>
        </r>
      </text>
    </comment>
    <comment ref="B2459" authorId="1" shapeId="0" xr:uid="{994E07F4-FF87-43F9-91B1-929C08DBF220}">
      <text>
        <r>
          <rPr>
            <sz val="11"/>
            <color theme="1"/>
            <rFont val="Calibri"/>
            <family val="2"/>
            <scheme val="minor"/>
          </rPr>
          <t>Introduzca un texto con la finalidad de la contratación</t>
        </r>
      </text>
    </comment>
    <comment ref="C2459" authorId="1" shapeId="0" xr:uid="{3EF35A79-318E-4AE8-BCE1-4B3F8158A7EC}">
      <text>
        <r>
          <rPr>
            <sz val="11"/>
            <color theme="1"/>
            <rFont val="Calibri"/>
            <family val="2"/>
            <scheme val="minor"/>
          </rPr>
          <t>Seleccionar un valor del listado</t>
        </r>
      </text>
    </comment>
    <comment ref="D2459" authorId="1" shapeId="0" xr:uid="{0BC33DD9-4CB9-44F1-89EA-B290B047E6EC}">
      <text>
        <r>
          <rPr>
            <sz val="11"/>
            <color theme="1"/>
            <rFont val="Calibri"/>
            <family val="2"/>
            <scheme val="minor"/>
          </rPr>
          <t>Seleccione el tipo de procedimiento</t>
        </r>
      </text>
    </comment>
    <comment ref="E2459" authorId="1" shapeId="0" xr:uid="{E41CE1CB-F5A4-4F96-91F0-6957AB6DF21F}">
      <text>
        <r>
          <rPr>
            <sz val="11"/>
            <color theme="1"/>
            <rFont val="Calibri"/>
            <family val="2"/>
            <scheme val="minor"/>
          </rPr>
          <t>Seleccione un valor de la lista</t>
        </r>
      </text>
    </comment>
    <comment ref="F2459" authorId="1" shapeId="0" xr:uid="{5E2DD8B4-C7AD-403E-882A-B0E201F5E675}">
      <text>
        <r>
          <rPr>
            <sz val="11"/>
            <color theme="1"/>
            <rFont val="Calibri"/>
            <family val="2"/>
            <scheme val="minor"/>
          </rPr>
          <t>Introduzca el código SNIP</t>
        </r>
      </text>
    </comment>
    <comment ref="C2460" authorId="1" shapeId="0" xr:uid="{47709A0D-88F1-4FCA-A57E-007F2B8C51A1}">
      <text>
        <r>
          <rPr>
            <sz val="11"/>
            <color theme="1"/>
            <rFont val="Calibri"/>
            <family val="2"/>
            <scheme val="minor"/>
          </rPr>
          <t>Introduzca la fecha de inicio del proceso, en formato dd-mm-aaaa</t>
        </r>
      </text>
    </comment>
    <comment ref="F2460" authorId="1" shapeId="0" xr:uid="{6C8AD348-7FC9-49CD-B79A-CE0435209E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1" authorId="1" shapeId="0" xr:uid="{D6381564-DC18-4F12-B513-D97AD17CE328}">
      <text/>
    </comment>
    <comment ref="C2462" authorId="1" shapeId="0" xr:uid="{35F32C05-079C-4F96-9C16-EC08C690CDB1}">
      <text>
        <r>
          <rPr>
            <sz val="11"/>
            <color theme="1"/>
            <rFont val="Calibri"/>
            <family val="2"/>
            <scheme val="minor"/>
          </rPr>
          <t>Introduzca la fecha prevista de adjudicación, en formato dd-mm-aaaa</t>
        </r>
      </text>
    </comment>
    <comment ref="F2462" authorId="1" shapeId="0" xr:uid="{FE796153-661E-46F0-9616-861AD0F0B755}">
      <text/>
    </comment>
    <comment ref="F2463" authorId="1" shapeId="0" xr:uid="{31A1843F-8D26-4E20-8651-ADB37BEE3ED3}">
      <text/>
    </comment>
    <comment ref="A2465" authorId="1" shapeId="0" xr:uid="{C06454D7-7234-473E-B816-1D92025A77C9}">
      <text>
        <r>
          <rPr>
            <sz val="11"/>
            <color theme="1"/>
            <rFont val="Calibri"/>
            <family val="2"/>
            <scheme val="minor"/>
          </rPr>
          <t>Introduzca un codigo UNSPSC</t>
        </r>
      </text>
    </comment>
    <comment ref="B2465" authorId="1" shapeId="0" xr:uid="{62CEA1B0-4963-433D-A908-5199E77097F4}">
      <text>
        <r>
          <rPr>
            <sz val="11"/>
            <color theme="1"/>
            <rFont val="Calibri"/>
            <family val="2"/>
            <scheme val="minor"/>
          </rPr>
          <t>Descripción calculada automáticamente a partir de código del artículo</t>
        </r>
      </text>
    </comment>
    <comment ref="C2465" authorId="1" shapeId="0" xr:uid="{98D40687-604E-4ED3-B3C8-A8AEA82F0515}">
      <text>
        <r>
          <rPr>
            <sz val="11"/>
            <color theme="1"/>
            <rFont val="Calibri"/>
            <family val="2"/>
            <scheme val="minor"/>
          </rPr>
          <t>Seleccione un valor de la lista</t>
        </r>
      </text>
    </comment>
    <comment ref="D2465" authorId="1" shapeId="0" xr:uid="{B8C8D9AB-88B2-4565-98CB-A07069776547}">
      <text>
        <r>
          <rPr>
            <sz val="11"/>
            <color theme="1"/>
            <rFont val="Calibri"/>
            <family val="2"/>
            <scheme val="minor"/>
          </rPr>
          <t>Introduzca un número con dos decimales como máximo. Debe ser igual o mayor a la "Cantidad Real Consumida"</t>
        </r>
      </text>
    </comment>
    <comment ref="E2465" authorId="1" shapeId="0" xr:uid="{2F44D55E-E340-418A-8FB6-E05A80172CB1}">
      <text>
        <r>
          <rPr>
            <sz val="11"/>
            <color theme="1"/>
            <rFont val="Calibri"/>
            <family val="2"/>
            <scheme val="minor"/>
          </rPr>
          <t>Introduzca un número con dos decimales como máximo</t>
        </r>
      </text>
    </comment>
    <comment ref="F2465" authorId="1" shapeId="0" xr:uid="{BD10E35C-F245-4A99-9FBA-FD8A174B8136}">
      <text>
        <r>
          <rPr>
            <sz val="11"/>
            <color theme="1"/>
            <rFont val="Calibri"/>
            <family val="2"/>
            <scheme val="minor"/>
          </rPr>
          <t>Monto calculado automáticamente por el sistema</t>
        </r>
      </text>
    </comment>
    <comment ref="A2470" authorId="1" shapeId="0" xr:uid="{2F26FDF1-4AA3-43C6-8DC9-91FE4CDD5653}">
      <text>
        <r>
          <rPr>
            <sz val="11"/>
            <color theme="1"/>
            <rFont val="Calibri"/>
            <family val="2"/>
            <scheme val="minor"/>
          </rPr>
          <t>Introducir un texto con el nombre o referencia de la contratación</t>
        </r>
      </text>
    </comment>
    <comment ref="B2470" authorId="1" shapeId="0" xr:uid="{FDAC5119-2BA2-45B9-8977-DA03511B24D3}">
      <text>
        <r>
          <rPr>
            <sz val="11"/>
            <color theme="1"/>
            <rFont val="Calibri"/>
            <family val="2"/>
            <scheme val="minor"/>
          </rPr>
          <t>Introduzca un texto con la finalidad de la contratación</t>
        </r>
      </text>
    </comment>
    <comment ref="C2470" authorId="1" shapeId="0" xr:uid="{036A5EEA-2034-42E3-8E4E-CF745405A517}">
      <text>
        <r>
          <rPr>
            <sz val="11"/>
            <color theme="1"/>
            <rFont val="Calibri"/>
            <family val="2"/>
            <scheme val="minor"/>
          </rPr>
          <t>Seleccionar un valor del listado</t>
        </r>
      </text>
    </comment>
    <comment ref="D2470" authorId="1" shapeId="0" xr:uid="{3174014C-5CA7-4D11-A9CA-20F8725336B1}">
      <text>
        <r>
          <rPr>
            <sz val="11"/>
            <color theme="1"/>
            <rFont val="Calibri"/>
            <family val="2"/>
            <scheme val="minor"/>
          </rPr>
          <t>Seleccione el tipo de procedimiento</t>
        </r>
      </text>
    </comment>
    <comment ref="E2470" authorId="1" shapeId="0" xr:uid="{D0C8FD80-4976-44A8-9C0D-7250A6A334C5}">
      <text>
        <r>
          <rPr>
            <sz val="11"/>
            <color theme="1"/>
            <rFont val="Calibri"/>
            <family val="2"/>
            <scheme val="minor"/>
          </rPr>
          <t>Seleccione un valor de la lista</t>
        </r>
      </text>
    </comment>
    <comment ref="F2470" authorId="1" shapeId="0" xr:uid="{26E691FF-1F46-481F-A2B2-4171BA640558}">
      <text>
        <r>
          <rPr>
            <sz val="11"/>
            <color theme="1"/>
            <rFont val="Calibri"/>
            <family val="2"/>
            <scheme val="minor"/>
          </rPr>
          <t>Introduzca el código SNIP</t>
        </r>
      </text>
    </comment>
    <comment ref="C2471" authorId="1" shapeId="0" xr:uid="{80B03CB5-AB1A-46E0-AD0C-BD4540BCD8D5}">
      <text>
        <r>
          <rPr>
            <sz val="11"/>
            <color theme="1"/>
            <rFont val="Calibri"/>
            <family val="2"/>
            <scheme val="minor"/>
          </rPr>
          <t>Introduzca la fecha de inicio del proceso, en formato dd-mm-aaaa</t>
        </r>
      </text>
    </comment>
    <comment ref="F2471" authorId="1" shapeId="0" xr:uid="{EC7D1BF9-21C1-4C9F-8CE2-A054B8D19B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2" authorId="1" shapeId="0" xr:uid="{D66FF495-1293-40CD-BFD7-2BF4CCD16335}">
      <text/>
    </comment>
    <comment ref="C2473" authorId="1" shapeId="0" xr:uid="{EDB75E71-FACD-4DC3-98BE-AB98A8595A7F}">
      <text>
        <r>
          <rPr>
            <sz val="11"/>
            <color theme="1"/>
            <rFont val="Calibri"/>
            <family val="2"/>
            <scheme val="minor"/>
          </rPr>
          <t>Introduzca la fecha prevista de adjudicación, en formato dd-mm-aaaa</t>
        </r>
      </text>
    </comment>
    <comment ref="F2473" authorId="1" shapeId="0" xr:uid="{FA4A4583-450C-4760-B278-9EDBE3DA47B5}">
      <text/>
    </comment>
    <comment ref="F2474" authorId="1" shapeId="0" xr:uid="{A6708A5D-88BE-41E7-834A-B757752074EE}">
      <text/>
    </comment>
    <comment ref="A2476" authorId="1" shapeId="0" xr:uid="{B126037B-170A-47DD-88CB-74B035654328}">
      <text>
        <r>
          <rPr>
            <sz val="11"/>
            <color theme="1"/>
            <rFont val="Calibri"/>
            <family val="2"/>
            <scheme val="minor"/>
          </rPr>
          <t>Introduzca un codigo UNSPSC</t>
        </r>
      </text>
    </comment>
    <comment ref="B2476" authorId="1" shapeId="0" xr:uid="{D7C4C851-D2B8-4623-BECA-95FAFCB4CDBC}">
      <text>
        <r>
          <rPr>
            <sz val="11"/>
            <color theme="1"/>
            <rFont val="Calibri"/>
            <family val="2"/>
            <scheme val="minor"/>
          </rPr>
          <t>Descripción calculada automáticamente a partir de código del artículo</t>
        </r>
      </text>
    </comment>
    <comment ref="C2476" authorId="1" shapeId="0" xr:uid="{59CB4D00-CD63-4DDD-B941-3BB0857C0B41}">
      <text>
        <r>
          <rPr>
            <sz val="11"/>
            <color theme="1"/>
            <rFont val="Calibri"/>
            <family val="2"/>
            <scheme val="minor"/>
          </rPr>
          <t>Seleccione un valor de la lista</t>
        </r>
      </text>
    </comment>
    <comment ref="D2476" authorId="1" shapeId="0" xr:uid="{1E4916A1-A4A2-4999-B5F8-9530D9CB1141}">
      <text>
        <r>
          <rPr>
            <sz val="11"/>
            <color theme="1"/>
            <rFont val="Calibri"/>
            <family val="2"/>
            <scheme val="minor"/>
          </rPr>
          <t>Introduzca un número con dos decimales como máximo. Debe ser igual o mayor a la "Cantidad Real Consumida"</t>
        </r>
      </text>
    </comment>
    <comment ref="E2476" authorId="1" shapeId="0" xr:uid="{7B6D0237-A148-4FF5-9849-58E00E288285}">
      <text>
        <r>
          <rPr>
            <sz val="11"/>
            <color theme="1"/>
            <rFont val="Calibri"/>
            <family val="2"/>
            <scheme val="minor"/>
          </rPr>
          <t>Introduzca un número con dos decimales como máximo</t>
        </r>
      </text>
    </comment>
    <comment ref="F2476" authorId="1" shapeId="0" xr:uid="{A14A7300-4814-42AD-A186-E9819E6D852D}">
      <text>
        <r>
          <rPr>
            <sz val="11"/>
            <color theme="1"/>
            <rFont val="Calibri"/>
            <family val="2"/>
            <scheme val="minor"/>
          </rPr>
          <t>Monto calculado automáticamente por el sistema</t>
        </r>
      </text>
    </comment>
    <comment ref="A2481" authorId="1" shapeId="0" xr:uid="{3C241560-A7F7-4113-847A-6869BD9272FF}">
      <text>
        <r>
          <rPr>
            <sz val="11"/>
            <color theme="1"/>
            <rFont val="Calibri"/>
            <family val="2"/>
            <scheme val="minor"/>
          </rPr>
          <t>Introducir un texto con el nombre o referencia de la contratación</t>
        </r>
      </text>
    </comment>
    <comment ref="B2481" authorId="1" shapeId="0" xr:uid="{558DAA8A-670F-4274-AA17-97451EBB7953}">
      <text>
        <r>
          <rPr>
            <sz val="11"/>
            <color theme="1"/>
            <rFont val="Calibri"/>
            <family val="2"/>
            <scheme val="minor"/>
          </rPr>
          <t>Introduzca un texto con la finalidad de la contratación</t>
        </r>
      </text>
    </comment>
    <comment ref="C2481" authorId="1" shapeId="0" xr:uid="{B22BC7B0-F375-431D-88EA-9F307C5ECD42}">
      <text>
        <r>
          <rPr>
            <sz val="11"/>
            <color theme="1"/>
            <rFont val="Calibri"/>
            <family val="2"/>
            <scheme val="minor"/>
          </rPr>
          <t>Seleccionar un valor del listado</t>
        </r>
      </text>
    </comment>
    <comment ref="D2481" authorId="1" shapeId="0" xr:uid="{B19A0ECE-C04E-4FC8-B3B3-27B29969C979}">
      <text>
        <r>
          <rPr>
            <sz val="11"/>
            <color theme="1"/>
            <rFont val="Calibri"/>
            <family val="2"/>
            <scheme val="minor"/>
          </rPr>
          <t>Seleccione el tipo de procedimiento</t>
        </r>
      </text>
    </comment>
    <comment ref="E2481" authorId="1" shapeId="0" xr:uid="{2AB8A8C7-4A1F-4B4E-9369-B0874CD7D35D}">
      <text>
        <r>
          <rPr>
            <sz val="11"/>
            <color theme="1"/>
            <rFont val="Calibri"/>
            <family val="2"/>
            <scheme val="minor"/>
          </rPr>
          <t>Seleccione un valor de la lista</t>
        </r>
      </text>
    </comment>
    <comment ref="F2481" authorId="1" shapeId="0" xr:uid="{AF7E5B08-E88F-496B-AA18-DF576928AC5F}">
      <text>
        <r>
          <rPr>
            <sz val="11"/>
            <color theme="1"/>
            <rFont val="Calibri"/>
            <family val="2"/>
            <scheme val="minor"/>
          </rPr>
          <t>Introduzca el código SNIP</t>
        </r>
      </text>
    </comment>
    <comment ref="C2482" authorId="1" shapeId="0" xr:uid="{0670F281-4522-4F82-B681-8A1A1129D340}">
      <text>
        <r>
          <rPr>
            <sz val="11"/>
            <color theme="1"/>
            <rFont val="Calibri"/>
            <family val="2"/>
            <scheme val="minor"/>
          </rPr>
          <t>Introduzca la fecha de inicio del proceso, en formato dd-mm-aaaa</t>
        </r>
      </text>
    </comment>
    <comment ref="F2482" authorId="1" shapeId="0" xr:uid="{CE13B1EE-0D32-41F0-9D35-61E9773474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3" authorId="1" shapeId="0" xr:uid="{19DE06E7-619A-4913-97CB-A989CA596A7D}">
      <text/>
    </comment>
    <comment ref="C2484" authorId="1" shapeId="0" xr:uid="{6C29957B-A1F1-4882-A950-E60E53BF284D}">
      <text>
        <r>
          <rPr>
            <sz val="11"/>
            <color theme="1"/>
            <rFont val="Calibri"/>
            <family val="2"/>
            <scheme val="minor"/>
          </rPr>
          <t>Introduzca la fecha prevista de adjudicación, en formato dd-mm-aaaa</t>
        </r>
      </text>
    </comment>
    <comment ref="F2484" authorId="1" shapeId="0" xr:uid="{7A7AF6A7-AA83-4838-A50B-8418D1023441}">
      <text/>
    </comment>
    <comment ref="F2485" authorId="1" shapeId="0" xr:uid="{FBFE54EE-D8A5-488E-95CA-D428D5E669FC}">
      <text/>
    </comment>
    <comment ref="A2487" authorId="1" shapeId="0" xr:uid="{EF2D1571-6DE6-4629-B447-EE31ECC4C923}">
      <text>
        <r>
          <rPr>
            <sz val="11"/>
            <color theme="1"/>
            <rFont val="Calibri"/>
            <family val="2"/>
            <scheme val="minor"/>
          </rPr>
          <t>Introduzca un codigo UNSPSC</t>
        </r>
      </text>
    </comment>
    <comment ref="B2487" authorId="1" shapeId="0" xr:uid="{55AD556B-8844-4764-BC03-38081BC23E19}">
      <text>
        <r>
          <rPr>
            <sz val="11"/>
            <color theme="1"/>
            <rFont val="Calibri"/>
            <family val="2"/>
            <scheme val="minor"/>
          </rPr>
          <t>Descripción calculada automáticamente a partir de código del artículo</t>
        </r>
      </text>
    </comment>
    <comment ref="C2487" authorId="1" shapeId="0" xr:uid="{DF1E1A46-DFB6-4615-B3E1-89F924CBC5DD}">
      <text>
        <r>
          <rPr>
            <sz val="11"/>
            <color theme="1"/>
            <rFont val="Calibri"/>
            <family val="2"/>
            <scheme val="minor"/>
          </rPr>
          <t>Seleccione un valor de la lista</t>
        </r>
      </text>
    </comment>
    <comment ref="D2487" authorId="1" shapeId="0" xr:uid="{31289BFC-6AC6-4326-82BC-154DD3395567}">
      <text>
        <r>
          <rPr>
            <sz val="11"/>
            <color theme="1"/>
            <rFont val="Calibri"/>
            <family val="2"/>
            <scheme val="minor"/>
          </rPr>
          <t>Introduzca un número con dos decimales como máximo. Debe ser igual o mayor a la "Cantidad Real Consumida"</t>
        </r>
      </text>
    </comment>
    <comment ref="E2487" authorId="1" shapeId="0" xr:uid="{C1FD541C-C583-4BDB-9A1C-89C202907E4E}">
      <text>
        <r>
          <rPr>
            <sz val="11"/>
            <color theme="1"/>
            <rFont val="Calibri"/>
            <family val="2"/>
            <scheme val="minor"/>
          </rPr>
          <t>Introduzca un número con dos decimales como máximo</t>
        </r>
      </text>
    </comment>
    <comment ref="F2487" authorId="1" shapeId="0" xr:uid="{526A96FC-BB61-420B-9381-155959B239D9}">
      <text>
        <r>
          <rPr>
            <sz val="11"/>
            <color theme="1"/>
            <rFont val="Calibri"/>
            <family val="2"/>
            <scheme val="minor"/>
          </rPr>
          <t>Monto calculado automáticamente por el sistema</t>
        </r>
      </text>
    </comment>
    <comment ref="A2493" authorId="1" shapeId="0" xr:uid="{AED03AEA-D39C-4A08-840D-EB4F1A241C17}">
      <text>
        <r>
          <rPr>
            <sz val="11"/>
            <color theme="1"/>
            <rFont val="Calibri"/>
            <family val="2"/>
            <scheme val="minor"/>
          </rPr>
          <t>Introducir un texto con el nombre o referencia de la contratación</t>
        </r>
      </text>
    </comment>
    <comment ref="B2493" authorId="1" shapeId="0" xr:uid="{548022EB-CF1D-4BCF-B2B0-7744AEB96586}">
      <text>
        <r>
          <rPr>
            <sz val="11"/>
            <color theme="1"/>
            <rFont val="Calibri"/>
            <family val="2"/>
            <scheme val="minor"/>
          </rPr>
          <t>Introduzca un texto con la finalidad de la contratación</t>
        </r>
      </text>
    </comment>
    <comment ref="C2493" authorId="1" shapeId="0" xr:uid="{180C72EC-5B1C-4F39-A26F-072EC45D6138}">
      <text>
        <r>
          <rPr>
            <sz val="11"/>
            <color theme="1"/>
            <rFont val="Calibri"/>
            <family val="2"/>
            <scheme val="minor"/>
          </rPr>
          <t>Seleccionar un valor del listado</t>
        </r>
      </text>
    </comment>
    <comment ref="D2493" authorId="1" shapeId="0" xr:uid="{6624A56D-EF9C-4EF0-9A0B-CBE80A95D8FD}">
      <text>
        <r>
          <rPr>
            <sz val="11"/>
            <color theme="1"/>
            <rFont val="Calibri"/>
            <family val="2"/>
            <scheme val="minor"/>
          </rPr>
          <t>Seleccione el tipo de procedimiento</t>
        </r>
      </text>
    </comment>
    <comment ref="E2493" authorId="1" shapeId="0" xr:uid="{7EAEBD10-E7E6-41FB-A377-4B95ED5DA748}">
      <text>
        <r>
          <rPr>
            <sz val="11"/>
            <color theme="1"/>
            <rFont val="Calibri"/>
            <family val="2"/>
            <scheme val="minor"/>
          </rPr>
          <t>Seleccione un valor de la lista</t>
        </r>
      </text>
    </comment>
    <comment ref="F2493" authorId="1" shapeId="0" xr:uid="{68821812-9D7D-40D3-BAAB-DFFA1AEACCBB}">
      <text>
        <r>
          <rPr>
            <sz val="11"/>
            <color theme="1"/>
            <rFont val="Calibri"/>
            <family val="2"/>
            <scheme val="minor"/>
          </rPr>
          <t>Introduzca el código SNIP</t>
        </r>
      </text>
    </comment>
    <comment ref="C2494" authorId="1" shapeId="0" xr:uid="{474D4F4D-2615-4EC8-90A5-DA5A5E9B74A3}">
      <text>
        <r>
          <rPr>
            <sz val="11"/>
            <color theme="1"/>
            <rFont val="Calibri"/>
            <family val="2"/>
            <scheme val="minor"/>
          </rPr>
          <t>Introduzca la fecha de inicio del proceso, en formato dd-mm-aaaa</t>
        </r>
      </text>
    </comment>
    <comment ref="F2494" authorId="1" shapeId="0" xr:uid="{263AF4DD-5393-43B1-B956-94A98E1096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5" authorId="1" shapeId="0" xr:uid="{4D874BFB-E5F7-42B3-B8F6-39CA7001A0A4}">
      <text/>
    </comment>
    <comment ref="C2496" authorId="1" shapeId="0" xr:uid="{B607277B-61A4-4333-96F9-BC2EBBAF0B7C}">
      <text>
        <r>
          <rPr>
            <sz val="11"/>
            <color theme="1"/>
            <rFont val="Calibri"/>
            <family val="2"/>
            <scheme val="minor"/>
          </rPr>
          <t>Introduzca la fecha prevista de adjudicación, en formato dd-mm-aaaa</t>
        </r>
      </text>
    </comment>
    <comment ref="F2496" authorId="1" shapeId="0" xr:uid="{EA32C0BA-7612-4BC3-AB2C-526D5132BE16}">
      <text/>
    </comment>
    <comment ref="F2497" authorId="1" shapeId="0" xr:uid="{6C286DB8-2308-4AC7-8F9C-E9572CCFAD2F}">
      <text/>
    </comment>
    <comment ref="A2499" authorId="1" shapeId="0" xr:uid="{442963C3-A963-4303-93A3-F7BB650EDD53}">
      <text>
        <r>
          <rPr>
            <sz val="11"/>
            <color theme="1"/>
            <rFont val="Calibri"/>
            <family val="2"/>
            <scheme val="minor"/>
          </rPr>
          <t>Introduzca un codigo UNSPSC</t>
        </r>
      </text>
    </comment>
    <comment ref="B2499" authorId="1" shapeId="0" xr:uid="{7A7F097A-59DF-4C5A-862B-917E21A17905}">
      <text>
        <r>
          <rPr>
            <sz val="11"/>
            <color theme="1"/>
            <rFont val="Calibri"/>
            <family val="2"/>
            <scheme val="minor"/>
          </rPr>
          <t>Descripción calculada automáticamente a partir de código del artículo</t>
        </r>
      </text>
    </comment>
    <comment ref="C2499" authorId="1" shapeId="0" xr:uid="{B5D1C873-8F2C-40B7-9834-00DCF7BD930D}">
      <text>
        <r>
          <rPr>
            <sz val="11"/>
            <color theme="1"/>
            <rFont val="Calibri"/>
            <family val="2"/>
            <scheme val="minor"/>
          </rPr>
          <t>Seleccione un valor de la lista</t>
        </r>
      </text>
    </comment>
    <comment ref="D2499" authorId="1" shapeId="0" xr:uid="{1E6D4BB3-0734-4C6E-9D54-86F229ED20BE}">
      <text>
        <r>
          <rPr>
            <sz val="11"/>
            <color theme="1"/>
            <rFont val="Calibri"/>
            <family val="2"/>
            <scheme val="minor"/>
          </rPr>
          <t>Introduzca un número con dos decimales como máximo. Debe ser igual o mayor a la "Cantidad Real Consumida"</t>
        </r>
      </text>
    </comment>
    <comment ref="E2499" authorId="1" shapeId="0" xr:uid="{C2EC0A4C-6756-419A-A679-42A4DB503B7F}">
      <text>
        <r>
          <rPr>
            <sz val="11"/>
            <color theme="1"/>
            <rFont val="Calibri"/>
            <family val="2"/>
            <scheme val="minor"/>
          </rPr>
          <t>Introduzca un número con dos decimales como máximo</t>
        </r>
      </text>
    </comment>
    <comment ref="F2499" authorId="1" shapeId="0" xr:uid="{3402A0FE-2816-4B61-AB47-623580897EA1}">
      <text>
        <r>
          <rPr>
            <sz val="11"/>
            <color theme="1"/>
            <rFont val="Calibri"/>
            <family val="2"/>
            <scheme val="minor"/>
          </rPr>
          <t>Monto calculado automáticamente por el sistema</t>
        </r>
      </text>
    </comment>
    <comment ref="A2504" authorId="1" shapeId="0" xr:uid="{9600269E-4CF8-4DAC-9E05-BBB7E9D98DCB}">
      <text>
        <r>
          <rPr>
            <sz val="11"/>
            <color theme="1"/>
            <rFont val="Calibri"/>
            <family val="2"/>
            <scheme val="minor"/>
          </rPr>
          <t>Introducir un texto con el nombre o referencia de la contratación</t>
        </r>
      </text>
    </comment>
    <comment ref="B2504" authorId="1" shapeId="0" xr:uid="{077FF687-ADB9-48ED-874E-6F7CCEBC5CD1}">
      <text>
        <r>
          <rPr>
            <sz val="11"/>
            <color theme="1"/>
            <rFont val="Calibri"/>
            <family val="2"/>
            <scheme val="minor"/>
          </rPr>
          <t>Introduzca un texto con la finalidad de la contratación</t>
        </r>
      </text>
    </comment>
    <comment ref="C2504" authorId="1" shapeId="0" xr:uid="{C3D7F728-CFDB-49B9-B3D4-508CB4C337AB}">
      <text>
        <r>
          <rPr>
            <sz val="11"/>
            <color theme="1"/>
            <rFont val="Calibri"/>
            <family val="2"/>
            <scheme val="minor"/>
          </rPr>
          <t>Seleccionar un valor del listado</t>
        </r>
      </text>
    </comment>
    <comment ref="D2504" authorId="1" shapeId="0" xr:uid="{21707928-8AC7-4F0B-AA09-10E92132266A}">
      <text>
        <r>
          <rPr>
            <sz val="11"/>
            <color theme="1"/>
            <rFont val="Calibri"/>
            <family val="2"/>
            <scheme val="minor"/>
          </rPr>
          <t>Seleccione el tipo de procedimiento</t>
        </r>
      </text>
    </comment>
    <comment ref="E2504" authorId="1" shapeId="0" xr:uid="{DFEB30C1-8179-442C-9192-352011FF2BF0}">
      <text>
        <r>
          <rPr>
            <sz val="11"/>
            <color theme="1"/>
            <rFont val="Calibri"/>
            <family val="2"/>
            <scheme val="minor"/>
          </rPr>
          <t>Seleccione un valor de la lista</t>
        </r>
      </text>
    </comment>
    <comment ref="F2504" authorId="1" shapeId="0" xr:uid="{5DD0FFC2-9328-49FB-B456-CED026DAB683}">
      <text>
        <r>
          <rPr>
            <sz val="11"/>
            <color theme="1"/>
            <rFont val="Calibri"/>
            <family val="2"/>
            <scheme val="minor"/>
          </rPr>
          <t>Introduzca el código SNIP</t>
        </r>
      </text>
    </comment>
    <comment ref="C2505" authorId="1" shapeId="0" xr:uid="{CF420A65-FEA5-4441-95EA-00E7098E75EC}">
      <text>
        <r>
          <rPr>
            <sz val="11"/>
            <color theme="1"/>
            <rFont val="Calibri"/>
            <family val="2"/>
            <scheme val="minor"/>
          </rPr>
          <t>Introduzca la fecha de inicio del proceso, en formato dd-mm-aaaa</t>
        </r>
      </text>
    </comment>
    <comment ref="F2505" authorId="1" shapeId="0" xr:uid="{E618DDED-7504-4594-808D-D9B6D0B79E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6" authorId="1" shapeId="0" xr:uid="{AB3208F2-E0C6-4AD7-81A5-9DB860DB1677}">
      <text/>
    </comment>
    <comment ref="C2507" authorId="1" shapeId="0" xr:uid="{59C58D84-9315-4733-B6F1-B41117EF3959}">
      <text>
        <r>
          <rPr>
            <sz val="11"/>
            <color theme="1"/>
            <rFont val="Calibri"/>
            <family val="2"/>
            <scheme val="minor"/>
          </rPr>
          <t>Introduzca la fecha prevista de adjudicación, en formato dd-mm-aaaa</t>
        </r>
      </text>
    </comment>
    <comment ref="F2507" authorId="1" shapeId="0" xr:uid="{192069C4-DBDE-44A3-80CA-72933143890B}">
      <text/>
    </comment>
    <comment ref="F2508" authorId="1" shapeId="0" xr:uid="{595AF43B-F731-4699-8F36-2BA80C383000}">
      <text/>
    </comment>
    <comment ref="A2510" authorId="1" shapeId="0" xr:uid="{B1D79195-F2DC-4527-9E82-AA3079506F59}">
      <text>
        <r>
          <rPr>
            <sz val="11"/>
            <color theme="1"/>
            <rFont val="Calibri"/>
            <family val="2"/>
            <scheme val="minor"/>
          </rPr>
          <t>Introduzca un codigo UNSPSC</t>
        </r>
      </text>
    </comment>
    <comment ref="B2510" authorId="1" shapeId="0" xr:uid="{BAC9CBC7-B600-4581-9C94-3A4794BE600C}">
      <text>
        <r>
          <rPr>
            <sz val="11"/>
            <color theme="1"/>
            <rFont val="Calibri"/>
            <family val="2"/>
            <scheme val="minor"/>
          </rPr>
          <t>Descripción calculada automáticamente a partir de código del artículo</t>
        </r>
      </text>
    </comment>
    <comment ref="C2510" authorId="1" shapeId="0" xr:uid="{8B3F3A0D-00D9-44B5-8D6A-1C0B122F9CDB}">
      <text>
        <r>
          <rPr>
            <sz val="11"/>
            <color theme="1"/>
            <rFont val="Calibri"/>
            <family val="2"/>
            <scheme val="minor"/>
          </rPr>
          <t>Seleccione un valor de la lista</t>
        </r>
      </text>
    </comment>
    <comment ref="D2510" authorId="1" shapeId="0" xr:uid="{53CE5A95-36BE-4958-B80A-EFE7DBD0D4D3}">
      <text>
        <r>
          <rPr>
            <sz val="11"/>
            <color theme="1"/>
            <rFont val="Calibri"/>
            <family val="2"/>
            <scheme val="minor"/>
          </rPr>
          <t>Introduzca un número con dos decimales como máximo. Debe ser igual o mayor a la "Cantidad Real Consumida"</t>
        </r>
      </text>
    </comment>
    <comment ref="E2510" authorId="1" shapeId="0" xr:uid="{2D5EE0AE-BC07-4168-B160-918E7197A38F}">
      <text>
        <r>
          <rPr>
            <sz val="11"/>
            <color theme="1"/>
            <rFont val="Calibri"/>
            <family val="2"/>
            <scheme val="minor"/>
          </rPr>
          <t>Introduzca un número con dos decimales como máximo</t>
        </r>
      </text>
    </comment>
    <comment ref="F2510" authorId="1" shapeId="0" xr:uid="{F400567E-93E9-45BE-B2DE-CC3F5075CBFD}">
      <text>
        <r>
          <rPr>
            <sz val="11"/>
            <color theme="1"/>
            <rFont val="Calibri"/>
            <family val="2"/>
            <scheme val="minor"/>
          </rPr>
          <t>Monto calculado automáticamente por el sistema</t>
        </r>
      </text>
    </comment>
    <comment ref="A2516" authorId="1" shapeId="0" xr:uid="{B20DB92A-41C8-4FCE-8766-6310FFC2A0C9}">
      <text>
        <r>
          <rPr>
            <sz val="11"/>
            <color theme="1"/>
            <rFont val="Calibri"/>
            <family val="2"/>
            <scheme val="minor"/>
          </rPr>
          <t>Introducir un texto con el nombre o referencia de la contratación</t>
        </r>
      </text>
    </comment>
    <comment ref="B2516" authorId="1" shapeId="0" xr:uid="{E610D612-324D-4DD8-B7A9-272118B1BB51}">
      <text>
        <r>
          <rPr>
            <sz val="11"/>
            <color theme="1"/>
            <rFont val="Calibri"/>
            <family val="2"/>
            <scheme val="minor"/>
          </rPr>
          <t>Introduzca un texto con la finalidad de la contratación</t>
        </r>
      </text>
    </comment>
    <comment ref="C2516" authorId="1" shapeId="0" xr:uid="{BF50B26C-E0FB-464A-92F7-7AB5E4495944}">
      <text>
        <r>
          <rPr>
            <sz val="11"/>
            <color theme="1"/>
            <rFont val="Calibri"/>
            <family val="2"/>
            <scheme val="minor"/>
          </rPr>
          <t>Seleccionar un valor del listado</t>
        </r>
      </text>
    </comment>
    <comment ref="D2516" authorId="1" shapeId="0" xr:uid="{57392BD1-1E07-4489-9A7A-A3FA47D7D8B1}">
      <text>
        <r>
          <rPr>
            <sz val="11"/>
            <color theme="1"/>
            <rFont val="Calibri"/>
            <family val="2"/>
            <scheme val="minor"/>
          </rPr>
          <t>Seleccione el tipo de procedimiento</t>
        </r>
      </text>
    </comment>
    <comment ref="E2516" authorId="1" shapeId="0" xr:uid="{79F0DBF8-3772-4C23-8469-77252D0934DE}">
      <text>
        <r>
          <rPr>
            <sz val="11"/>
            <color theme="1"/>
            <rFont val="Calibri"/>
            <family val="2"/>
            <scheme val="minor"/>
          </rPr>
          <t>Seleccione un valor de la lista</t>
        </r>
      </text>
    </comment>
    <comment ref="F2516" authorId="1" shapeId="0" xr:uid="{1970D589-E7CD-4BA7-BB2D-8272E9E57BCD}">
      <text>
        <r>
          <rPr>
            <sz val="11"/>
            <color theme="1"/>
            <rFont val="Calibri"/>
            <family val="2"/>
            <scheme val="minor"/>
          </rPr>
          <t>Introduzca el código SNIP</t>
        </r>
      </text>
    </comment>
    <comment ref="C2517" authorId="1" shapeId="0" xr:uid="{957864AE-8398-445D-9074-F559777E0E5C}">
      <text>
        <r>
          <rPr>
            <sz val="11"/>
            <color theme="1"/>
            <rFont val="Calibri"/>
            <family val="2"/>
            <scheme val="minor"/>
          </rPr>
          <t>Introduzca la fecha de inicio del proceso, en formato dd-mm-aaaa</t>
        </r>
      </text>
    </comment>
    <comment ref="F2517" authorId="1" shapeId="0" xr:uid="{FC9566BF-3117-4876-B7AD-B3C3A88B5D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8" authorId="1" shapeId="0" xr:uid="{A463E1E6-C9EE-4A8B-B191-7BD52F23F896}">
      <text/>
    </comment>
    <comment ref="C2519" authorId="1" shapeId="0" xr:uid="{CD240A03-20BE-4CB8-ACF1-1EDE94E393C7}">
      <text>
        <r>
          <rPr>
            <sz val="11"/>
            <color theme="1"/>
            <rFont val="Calibri"/>
            <family val="2"/>
            <scheme val="minor"/>
          </rPr>
          <t>Introduzca la fecha prevista de adjudicación, en formato dd-mm-aaaa</t>
        </r>
      </text>
    </comment>
    <comment ref="F2519" authorId="1" shapeId="0" xr:uid="{F4EA3740-911C-4A04-B131-DFA4CD722542}">
      <text/>
    </comment>
    <comment ref="F2520" authorId="1" shapeId="0" xr:uid="{2B86C2D3-B5CE-402E-93EA-DC84F0490F03}">
      <text/>
    </comment>
    <comment ref="A2522" authorId="1" shapeId="0" xr:uid="{2F8DF2AF-243E-4468-8316-DA74F92CFA81}">
      <text>
        <r>
          <rPr>
            <sz val="11"/>
            <color theme="1"/>
            <rFont val="Calibri"/>
            <family val="2"/>
            <scheme val="minor"/>
          </rPr>
          <t>Introduzca un codigo UNSPSC</t>
        </r>
      </text>
    </comment>
    <comment ref="B2522" authorId="1" shapeId="0" xr:uid="{4FAD182D-6D5A-4EC5-A93D-B56013CCC522}">
      <text>
        <r>
          <rPr>
            <sz val="11"/>
            <color theme="1"/>
            <rFont val="Calibri"/>
            <family val="2"/>
            <scheme val="minor"/>
          </rPr>
          <t>Descripción calculada automáticamente a partir de código del artículo</t>
        </r>
      </text>
    </comment>
    <comment ref="C2522" authorId="1" shapeId="0" xr:uid="{3DE6049A-ED26-43FA-BA8B-B5FAD40C1A95}">
      <text>
        <r>
          <rPr>
            <sz val="11"/>
            <color theme="1"/>
            <rFont val="Calibri"/>
            <family val="2"/>
            <scheme val="minor"/>
          </rPr>
          <t>Seleccione un valor de la lista</t>
        </r>
      </text>
    </comment>
    <comment ref="D2522" authorId="1" shapeId="0" xr:uid="{23C7524A-A24E-491C-B3CD-22EA537E292B}">
      <text>
        <r>
          <rPr>
            <sz val="11"/>
            <color theme="1"/>
            <rFont val="Calibri"/>
            <family val="2"/>
            <scheme val="minor"/>
          </rPr>
          <t>Introduzca un número con dos decimales como máximo. Debe ser igual o mayor a la "Cantidad Real Consumida"</t>
        </r>
      </text>
    </comment>
    <comment ref="E2522" authorId="1" shapeId="0" xr:uid="{8564600A-EBC8-4F4D-8236-C1B187C9DA93}">
      <text>
        <r>
          <rPr>
            <sz val="11"/>
            <color theme="1"/>
            <rFont val="Calibri"/>
            <family val="2"/>
            <scheme val="minor"/>
          </rPr>
          <t>Introduzca un número con dos decimales como máximo</t>
        </r>
      </text>
    </comment>
    <comment ref="F2522" authorId="1" shapeId="0" xr:uid="{0EB3F61A-15FB-4E34-A5F2-7A3DDA0A124E}">
      <text>
        <r>
          <rPr>
            <sz val="11"/>
            <color theme="1"/>
            <rFont val="Calibri"/>
            <family val="2"/>
            <scheme val="minor"/>
          </rPr>
          <t>Monto calculado automáticamente por el sistema</t>
        </r>
      </text>
    </comment>
    <comment ref="A2528" authorId="1" shapeId="0" xr:uid="{6307ED51-68A9-43EB-BF80-4AA3D1F321E5}">
      <text>
        <r>
          <rPr>
            <sz val="11"/>
            <color theme="1"/>
            <rFont val="Calibri"/>
            <family val="2"/>
            <scheme val="minor"/>
          </rPr>
          <t>Introducir un texto con el nombre o referencia de la contratación</t>
        </r>
      </text>
    </comment>
    <comment ref="B2528" authorId="1" shapeId="0" xr:uid="{CD7F5FF9-695B-4B16-B4D0-3A0A282E3216}">
      <text>
        <r>
          <rPr>
            <sz val="11"/>
            <color theme="1"/>
            <rFont val="Calibri"/>
            <family val="2"/>
            <scheme val="minor"/>
          </rPr>
          <t>Introduzca un texto con la finalidad de la contratación</t>
        </r>
      </text>
    </comment>
    <comment ref="C2528" authorId="1" shapeId="0" xr:uid="{44A5F7BC-7D54-4D0E-A987-C72668420399}">
      <text>
        <r>
          <rPr>
            <sz val="11"/>
            <color theme="1"/>
            <rFont val="Calibri"/>
            <family val="2"/>
            <scheme val="minor"/>
          </rPr>
          <t>Seleccionar un valor del listado</t>
        </r>
      </text>
    </comment>
    <comment ref="D2528" authorId="1" shapeId="0" xr:uid="{7E044369-578B-4740-828E-78B0F265300F}">
      <text>
        <r>
          <rPr>
            <sz val="11"/>
            <color theme="1"/>
            <rFont val="Calibri"/>
            <family val="2"/>
            <scheme val="minor"/>
          </rPr>
          <t>Seleccione el tipo de procedimiento</t>
        </r>
      </text>
    </comment>
    <comment ref="E2528" authorId="1" shapeId="0" xr:uid="{0A1073C9-577C-4B76-B45A-B1F5E061404C}">
      <text>
        <r>
          <rPr>
            <sz val="11"/>
            <color theme="1"/>
            <rFont val="Calibri"/>
            <family val="2"/>
            <scheme val="minor"/>
          </rPr>
          <t>Seleccione un valor de la lista</t>
        </r>
      </text>
    </comment>
    <comment ref="F2528" authorId="1" shapeId="0" xr:uid="{C8A21A8B-D9B6-408E-A602-4C69A50A01B1}">
      <text>
        <r>
          <rPr>
            <sz val="11"/>
            <color theme="1"/>
            <rFont val="Calibri"/>
            <family val="2"/>
            <scheme val="minor"/>
          </rPr>
          <t>Introduzca el código SNIP</t>
        </r>
      </text>
    </comment>
    <comment ref="C2529" authorId="1" shapeId="0" xr:uid="{EF3B0F3A-1DA4-4701-A022-A344820289FA}">
      <text>
        <r>
          <rPr>
            <sz val="11"/>
            <color theme="1"/>
            <rFont val="Calibri"/>
            <family val="2"/>
            <scheme val="minor"/>
          </rPr>
          <t>Introduzca la fecha de inicio del proceso, en formato dd-mm-aaaa</t>
        </r>
      </text>
    </comment>
    <comment ref="F2529" authorId="1" shapeId="0" xr:uid="{AD2CDB18-1E8D-4FD8-8EAA-6BE826FC57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0" authorId="1" shapeId="0" xr:uid="{642EB0DD-002D-4B3D-9425-48F96DA0155E}">
      <text/>
    </comment>
    <comment ref="C2531" authorId="1" shapeId="0" xr:uid="{5F6C11FA-1BF9-4AB7-9211-2E726694450F}">
      <text>
        <r>
          <rPr>
            <sz val="11"/>
            <color theme="1"/>
            <rFont val="Calibri"/>
            <family val="2"/>
            <scheme val="minor"/>
          </rPr>
          <t>Introduzca la fecha prevista de adjudicación, en formato dd-mm-aaaa</t>
        </r>
      </text>
    </comment>
    <comment ref="F2531" authorId="1" shapeId="0" xr:uid="{E946C9FB-59FD-4B62-988F-E3329C7B35E4}">
      <text/>
    </comment>
    <comment ref="F2532" authorId="1" shapeId="0" xr:uid="{6069D650-2D26-47B8-B453-6296BAFEC042}">
      <text/>
    </comment>
    <comment ref="A2534" authorId="1" shapeId="0" xr:uid="{2D0B932E-2F3A-484B-B319-3452EAE0167E}">
      <text>
        <r>
          <rPr>
            <sz val="11"/>
            <color theme="1"/>
            <rFont val="Calibri"/>
            <family val="2"/>
            <scheme val="minor"/>
          </rPr>
          <t>Introduzca un codigo UNSPSC</t>
        </r>
      </text>
    </comment>
    <comment ref="B2534" authorId="1" shapeId="0" xr:uid="{B73CA852-B020-4CD5-AD65-A80625465B26}">
      <text>
        <r>
          <rPr>
            <sz val="11"/>
            <color theme="1"/>
            <rFont val="Calibri"/>
            <family val="2"/>
            <scheme val="minor"/>
          </rPr>
          <t>Descripción calculada automáticamente a partir de código del artículo</t>
        </r>
      </text>
    </comment>
    <comment ref="C2534" authorId="1" shapeId="0" xr:uid="{F1E43167-FA4D-4D21-A96F-0CA1481E66BD}">
      <text>
        <r>
          <rPr>
            <sz val="11"/>
            <color theme="1"/>
            <rFont val="Calibri"/>
            <family val="2"/>
            <scheme val="minor"/>
          </rPr>
          <t>Seleccione un valor de la lista</t>
        </r>
      </text>
    </comment>
    <comment ref="D2534" authorId="1" shapeId="0" xr:uid="{CE48C6A4-7695-49A6-BA84-0F154A0D44AC}">
      <text>
        <r>
          <rPr>
            <sz val="11"/>
            <color theme="1"/>
            <rFont val="Calibri"/>
            <family val="2"/>
            <scheme val="minor"/>
          </rPr>
          <t>Introduzca un número con dos decimales como máximo. Debe ser igual o mayor a la "Cantidad Real Consumida"</t>
        </r>
      </text>
    </comment>
    <comment ref="E2534" authorId="1" shapeId="0" xr:uid="{D133318B-3886-4EDB-B2EA-EE15C09AC3DA}">
      <text>
        <r>
          <rPr>
            <sz val="11"/>
            <color theme="1"/>
            <rFont val="Calibri"/>
            <family val="2"/>
            <scheme val="minor"/>
          </rPr>
          <t>Introduzca un número con dos decimales como máximo</t>
        </r>
      </text>
    </comment>
    <comment ref="F2534" authorId="1" shapeId="0" xr:uid="{7134B848-5964-404A-9ACB-A04BDBF7EF9C}">
      <text>
        <r>
          <rPr>
            <sz val="11"/>
            <color theme="1"/>
            <rFont val="Calibri"/>
            <family val="2"/>
            <scheme val="minor"/>
          </rPr>
          <t>Monto calculado automáticamente por el sistema</t>
        </r>
      </text>
    </comment>
    <comment ref="A2539" authorId="1" shapeId="0" xr:uid="{AD4F1E55-468D-4955-9604-C52BBF4C0908}">
      <text>
        <r>
          <rPr>
            <sz val="11"/>
            <color theme="1"/>
            <rFont val="Calibri"/>
            <family val="2"/>
            <scheme val="minor"/>
          </rPr>
          <t>Introducir un texto con el nombre o referencia de la contratación</t>
        </r>
      </text>
    </comment>
    <comment ref="B2539" authorId="1" shapeId="0" xr:uid="{189A8304-CB46-43D7-B8EE-403844A33A06}">
      <text>
        <r>
          <rPr>
            <sz val="11"/>
            <color theme="1"/>
            <rFont val="Calibri"/>
            <family val="2"/>
            <scheme val="minor"/>
          </rPr>
          <t>Introduzca un texto con la finalidad de la contratación</t>
        </r>
      </text>
    </comment>
    <comment ref="C2539" authorId="1" shapeId="0" xr:uid="{CD482F62-CA87-4D36-80E8-4C15984EDEBB}">
      <text>
        <r>
          <rPr>
            <sz val="11"/>
            <color theme="1"/>
            <rFont val="Calibri"/>
            <family val="2"/>
            <scheme val="minor"/>
          </rPr>
          <t>Seleccionar un valor del listado</t>
        </r>
      </text>
    </comment>
    <comment ref="D2539" authorId="1" shapeId="0" xr:uid="{71E5286C-30A6-41A2-A39E-58DCAD8E6A12}">
      <text>
        <r>
          <rPr>
            <sz val="11"/>
            <color theme="1"/>
            <rFont val="Calibri"/>
            <family val="2"/>
            <scheme val="minor"/>
          </rPr>
          <t>Seleccione el tipo de procedimiento</t>
        </r>
      </text>
    </comment>
    <comment ref="E2539" authorId="1" shapeId="0" xr:uid="{7EC0FD82-458E-4D46-BD16-B740C3A8D830}">
      <text>
        <r>
          <rPr>
            <sz val="11"/>
            <color theme="1"/>
            <rFont val="Calibri"/>
            <family val="2"/>
            <scheme val="minor"/>
          </rPr>
          <t>Seleccione un valor de la lista</t>
        </r>
      </text>
    </comment>
    <comment ref="F2539" authorId="1" shapeId="0" xr:uid="{F496F02A-0B4E-4199-B27B-89B396340420}">
      <text>
        <r>
          <rPr>
            <sz val="11"/>
            <color theme="1"/>
            <rFont val="Calibri"/>
            <family val="2"/>
            <scheme val="minor"/>
          </rPr>
          <t>Introduzca el código SNIP</t>
        </r>
      </text>
    </comment>
    <comment ref="C2540" authorId="1" shapeId="0" xr:uid="{06D09967-CCD9-4F49-9BB8-9E7380FAD1C9}">
      <text>
        <r>
          <rPr>
            <sz val="11"/>
            <color theme="1"/>
            <rFont val="Calibri"/>
            <family val="2"/>
            <scheme val="minor"/>
          </rPr>
          <t>Introduzca la fecha de inicio del proceso, en formato dd-mm-aaaa</t>
        </r>
      </text>
    </comment>
    <comment ref="F2540" authorId="1" shapeId="0" xr:uid="{22E26BD0-B428-4D41-BA9E-89E5354C9A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1" authorId="1" shapeId="0" xr:uid="{72205A49-3A23-4FF5-85D7-8FB5A7201F30}">
      <text/>
    </comment>
    <comment ref="C2542" authorId="1" shapeId="0" xr:uid="{4E34AE10-1A7F-4066-941B-2377C3E4F0F6}">
      <text>
        <r>
          <rPr>
            <sz val="11"/>
            <color theme="1"/>
            <rFont val="Calibri"/>
            <family val="2"/>
            <scheme val="minor"/>
          </rPr>
          <t>Introduzca la fecha prevista de adjudicación, en formato dd-mm-aaaa</t>
        </r>
      </text>
    </comment>
    <comment ref="F2542" authorId="1" shapeId="0" xr:uid="{332B45F7-C6CE-469B-864C-FA048AED4B49}">
      <text/>
    </comment>
    <comment ref="F2543" authorId="1" shapeId="0" xr:uid="{3D408BF8-77D3-42FE-AAB7-61875B44B464}">
      <text/>
    </comment>
    <comment ref="A2545" authorId="1" shapeId="0" xr:uid="{FF969EA5-62BF-4032-A4A6-3C83438FA205}">
      <text>
        <r>
          <rPr>
            <sz val="11"/>
            <color theme="1"/>
            <rFont val="Calibri"/>
            <family val="2"/>
            <scheme val="minor"/>
          </rPr>
          <t>Introduzca un codigo UNSPSC</t>
        </r>
      </text>
    </comment>
    <comment ref="B2545" authorId="1" shapeId="0" xr:uid="{7B122A56-C836-4338-B32C-D63221EEFBAD}">
      <text>
        <r>
          <rPr>
            <sz val="11"/>
            <color theme="1"/>
            <rFont val="Calibri"/>
            <family val="2"/>
            <scheme val="minor"/>
          </rPr>
          <t>Descripción calculada automáticamente a partir de código del artículo</t>
        </r>
      </text>
    </comment>
    <comment ref="C2545" authorId="1" shapeId="0" xr:uid="{D6E1A7B0-6AD8-4AFA-A40C-FBA33E9963EF}">
      <text>
        <r>
          <rPr>
            <sz val="11"/>
            <color theme="1"/>
            <rFont val="Calibri"/>
            <family val="2"/>
            <scheme val="minor"/>
          </rPr>
          <t>Seleccione un valor de la lista</t>
        </r>
      </text>
    </comment>
    <comment ref="D2545" authorId="1" shapeId="0" xr:uid="{5FA7B284-3133-4151-997A-1CEB78A657A2}">
      <text>
        <r>
          <rPr>
            <sz val="11"/>
            <color theme="1"/>
            <rFont val="Calibri"/>
            <family val="2"/>
            <scheme val="minor"/>
          </rPr>
          <t>Introduzca un número con dos decimales como máximo. Debe ser igual o mayor a la "Cantidad Real Consumida"</t>
        </r>
      </text>
    </comment>
    <comment ref="E2545" authorId="1" shapeId="0" xr:uid="{256BF84C-D0B7-4D89-9E2A-704399EEF5FA}">
      <text>
        <r>
          <rPr>
            <sz val="11"/>
            <color theme="1"/>
            <rFont val="Calibri"/>
            <family val="2"/>
            <scheme val="minor"/>
          </rPr>
          <t>Introduzca un número con dos decimales como máximo</t>
        </r>
      </text>
    </comment>
    <comment ref="F2545" authorId="1" shapeId="0" xr:uid="{3A5908D5-765A-4284-A992-F302D6DDEC47}">
      <text>
        <r>
          <rPr>
            <sz val="11"/>
            <color theme="1"/>
            <rFont val="Calibri"/>
            <family val="2"/>
            <scheme val="minor"/>
          </rPr>
          <t>Monto calculado automáticamente por el sistema</t>
        </r>
      </text>
    </comment>
    <comment ref="A2551" authorId="1" shapeId="0" xr:uid="{B4CC5B1B-C185-43D6-9385-A1770114CFB8}">
      <text>
        <r>
          <rPr>
            <sz val="11"/>
            <color theme="1"/>
            <rFont val="Calibri"/>
            <family val="2"/>
            <scheme val="minor"/>
          </rPr>
          <t>Introducir un texto con el nombre o referencia de la contratación</t>
        </r>
      </text>
    </comment>
    <comment ref="B2551" authorId="1" shapeId="0" xr:uid="{7E82B348-B051-4647-944D-E2B2CE67DE5B}">
      <text>
        <r>
          <rPr>
            <sz val="11"/>
            <color theme="1"/>
            <rFont val="Calibri"/>
            <family val="2"/>
            <scheme val="minor"/>
          </rPr>
          <t>Introduzca un texto con la finalidad de la contratación</t>
        </r>
      </text>
    </comment>
    <comment ref="C2551" authorId="1" shapeId="0" xr:uid="{8B3A4C7D-8DD2-437C-A8EB-73B21941FA71}">
      <text>
        <r>
          <rPr>
            <sz val="11"/>
            <color theme="1"/>
            <rFont val="Calibri"/>
            <family val="2"/>
            <scheme val="minor"/>
          </rPr>
          <t>Seleccionar un valor del listado</t>
        </r>
      </text>
    </comment>
    <comment ref="D2551" authorId="1" shapeId="0" xr:uid="{74925873-96DA-40D8-8FEA-08B6710522E8}">
      <text>
        <r>
          <rPr>
            <sz val="11"/>
            <color theme="1"/>
            <rFont val="Calibri"/>
            <family val="2"/>
            <scheme val="minor"/>
          </rPr>
          <t>Seleccione el tipo de procedimiento</t>
        </r>
      </text>
    </comment>
    <comment ref="E2551" authorId="1" shapeId="0" xr:uid="{1E793667-C91B-49FA-B60D-7D8ABA9B0FB3}">
      <text>
        <r>
          <rPr>
            <sz val="11"/>
            <color theme="1"/>
            <rFont val="Calibri"/>
            <family val="2"/>
            <scheme val="minor"/>
          </rPr>
          <t>Seleccione un valor de la lista</t>
        </r>
      </text>
    </comment>
    <comment ref="F2551" authorId="1" shapeId="0" xr:uid="{4D9F28FD-6BF1-479A-9543-08FF259B6710}">
      <text>
        <r>
          <rPr>
            <sz val="11"/>
            <color theme="1"/>
            <rFont val="Calibri"/>
            <family val="2"/>
            <scheme val="minor"/>
          </rPr>
          <t>Introduzca el código SNIP</t>
        </r>
      </text>
    </comment>
    <comment ref="C2552" authorId="1" shapeId="0" xr:uid="{0B60E1F5-8D9E-410D-8FE1-20E6C1D9A145}">
      <text>
        <r>
          <rPr>
            <sz val="11"/>
            <color theme="1"/>
            <rFont val="Calibri"/>
            <family val="2"/>
            <scheme val="minor"/>
          </rPr>
          <t>Introduzca la fecha de inicio del proceso, en formato dd-mm-aaaa</t>
        </r>
      </text>
    </comment>
    <comment ref="F2552" authorId="1" shapeId="0" xr:uid="{EFDCAEE1-3664-4A59-9E68-02A474E683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3" authorId="1" shapeId="0" xr:uid="{FB57E2B7-5FFB-4DE6-A1CE-0101D5FCB621}">
      <text/>
    </comment>
    <comment ref="C2554" authorId="1" shapeId="0" xr:uid="{C6A94739-4FC5-41E6-840C-5CF544AB3F9B}">
      <text>
        <r>
          <rPr>
            <sz val="11"/>
            <color theme="1"/>
            <rFont val="Calibri"/>
            <family val="2"/>
            <scheme val="minor"/>
          </rPr>
          <t>Introduzca la fecha prevista de adjudicación, en formato dd-mm-aaaa</t>
        </r>
      </text>
    </comment>
    <comment ref="F2554" authorId="1" shapeId="0" xr:uid="{A4374EC6-913C-4332-85B6-AB79E8B8CC17}">
      <text/>
    </comment>
    <comment ref="F2555" authorId="1" shapeId="0" xr:uid="{BB09F920-E981-469B-9288-432CF9AFD44F}">
      <text/>
    </comment>
    <comment ref="A2557" authorId="1" shapeId="0" xr:uid="{2EDDD901-40E4-4709-8B2F-15FF40837240}">
      <text>
        <r>
          <rPr>
            <sz val="11"/>
            <color theme="1"/>
            <rFont val="Calibri"/>
            <family val="2"/>
            <scheme val="minor"/>
          </rPr>
          <t>Introduzca un codigo UNSPSC</t>
        </r>
      </text>
    </comment>
    <comment ref="B2557" authorId="1" shapeId="0" xr:uid="{DD2F0547-14E7-4191-9A4F-898E11712071}">
      <text>
        <r>
          <rPr>
            <sz val="11"/>
            <color theme="1"/>
            <rFont val="Calibri"/>
            <family val="2"/>
            <scheme val="minor"/>
          </rPr>
          <t>Descripción calculada automáticamente a partir de código del artículo</t>
        </r>
      </text>
    </comment>
    <comment ref="C2557" authorId="1" shapeId="0" xr:uid="{A984852D-A2E5-4052-B281-7105D74B6627}">
      <text>
        <r>
          <rPr>
            <sz val="11"/>
            <color theme="1"/>
            <rFont val="Calibri"/>
            <family val="2"/>
            <scheme val="minor"/>
          </rPr>
          <t>Seleccione un valor de la lista</t>
        </r>
      </text>
    </comment>
    <comment ref="D2557" authorId="1" shapeId="0" xr:uid="{C33C67B4-3937-4991-8024-0FB61672DEE0}">
      <text>
        <r>
          <rPr>
            <sz val="11"/>
            <color theme="1"/>
            <rFont val="Calibri"/>
            <family val="2"/>
            <scheme val="minor"/>
          </rPr>
          <t>Introduzca un número con dos decimales como máximo. Debe ser igual o mayor a la "Cantidad Real Consumida"</t>
        </r>
      </text>
    </comment>
    <comment ref="E2557" authorId="1" shapeId="0" xr:uid="{9DAC977A-E250-416F-BB01-8157CD484E36}">
      <text>
        <r>
          <rPr>
            <sz val="11"/>
            <color theme="1"/>
            <rFont val="Calibri"/>
            <family val="2"/>
            <scheme val="minor"/>
          </rPr>
          <t>Introduzca un número con dos decimales como máximo</t>
        </r>
      </text>
    </comment>
    <comment ref="F2557" authorId="1" shapeId="0" xr:uid="{53F02540-427D-436B-8F83-B6CF32303A90}">
      <text>
        <r>
          <rPr>
            <sz val="11"/>
            <color theme="1"/>
            <rFont val="Calibri"/>
            <family val="2"/>
            <scheme val="minor"/>
          </rPr>
          <t>Monto calculado automáticamente por el sistema</t>
        </r>
      </text>
    </comment>
    <comment ref="A2562" authorId="1" shapeId="0" xr:uid="{E77EDE19-C662-4192-AE8F-485ADCC805D3}">
      <text>
        <r>
          <rPr>
            <sz val="11"/>
            <color theme="1"/>
            <rFont val="Calibri"/>
            <family val="2"/>
            <scheme val="minor"/>
          </rPr>
          <t>Introducir un texto con el nombre o referencia de la contratación</t>
        </r>
      </text>
    </comment>
    <comment ref="B2562" authorId="1" shapeId="0" xr:uid="{0B19CCF6-E38C-4205-8AC0-F06E9513D233}">
      <text>
        <r>
          <rPr>
            <sz val="11"/>
            <color theme="1"/>
            <rFont val="Calibri"/>
            <family val="2"/>
            <scheme val="minor"/>
          </rPr>
          <t>Introduzca un texto con la finalidad de la contratación</t>
        </r>
      </text>
    </comment>
    <comment ref="C2562" authorId="1" shapeId="0" xr:uid="{C1DF3DFC-215D-4DDC-8760-03896A19470D}">
      <text>
        <r>
          <rPr>
            <sz val="11"/>
            <color theme="1"/>
            <rFont val="Calibri"/>
            <family val="2"/>
            <scheme val="minor"/>
          </rPr>
          <t>Seleccionar un valor del listado</t>
        </r>
      </text>
    </comment>
    <comment ref="D2562" authorId="1" shapeId="0" xr:uid="{A25782F2-9625-4E37-A8BB-654A64F9F973}">
      <text>
        <r>
          <rPr>
            <sz val="11"/>
            <color theme="1"/>
            <rFont val="Calibri"/>
            <family val="2"/>
            <scheme val="minor"/>
          </rPr>
          <t>Seleccione el tipo de procedimiento</t>
        </r>
      </text>
    </comment>
    <comment ref="E2562" authorId="1" shapeId="0" xr:uid="{D0045B90-2867-4FDA-9BD8-57D93FF40666}">
      <text>
        <r>
          <rPr>
            <sz val="11"/>
            <color theme="1"/>
            <rFont val="Calibri"/>
            <family val="2"/>
            <scheme val="minor"/>
          </rPr>
          <t>Seleccione un valor de la lista</t>
        </r>
      </text>
    </comment>
    <comment ref="F2562" authorId="1" shapeId="0" xr:uid="{92BE6E86-4BF4-43A7-ABA9-091C9BD32CE6}">
      <text>
        <r>
          <rPr>
            <sz val="11"/>
            <color theme="1"/>
            <rFont val="Calibri"/>
            <family val="2"/>
            <scheme val="minor"/>
          </rPr>
          <t>Introduzca el código SNIP</t>
        </r>
      </text>
    </comment>
    <comment ref="C2563" authorId="1" shapeId="0" xr:uid="{80AEE405-6ED7-4474-8315-F4BBAE1D52B5}">
      <text>
        <r>
          <rPr>
            <sz val="11"/>
            <color theme="1"/>
            <rFont val="Calibri"/>
            <family val="2"/>
            <scheme val="minor"/>
          </rPr>
          <t>Introduzca la fecha de inicio del proceso, en formato dd-mm-aaaa</t>
        </r>
      </text>
    </comment>
    <comment ref="F2563" authorId="1" shapeId="0" xr:uid="{56A87E22-F399-497D-AB92-BFBCA82948F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4" authorId="1" shapeId="0" xr:uid="{CAC692D8-1EDC-43ED-B166-EEEA498BDD25}">
      <text/>
    </comment>
    <comment ref="C2565" authorId="1" shapeId="0" xr:uid="{95ED429F-06E6-4F96-9377-8C217A21CD6D}">
      <text>
        <r>
          <rPr>
            <sz val="11"/>
            <color theme="1"/>
            <rFont val="Calibri"/>
            <family val="2"/>
            <scheme val="minor"/>
          </rPr>
          <t>Introduzca la fecha prevista de adjudicación, en formato dd-mm-aaaa</t>
        </r>
      </text>
    </comment>
    <comment ref="F2565" authorId="1" shapeId="0" xr:uid="{0CB6CDCA-53C9-45E4-98BB-A8A204D56C08}">
      <text/>
    </comment>
    <comment ref="F2566" authorId="1" shapeId="0" xr:uid="{AC45F3FC-D473-4CB1-B787-75F85DEA0632}">
      <text/>
    </comment>
    <comment ref="A2568" authorId="1" shapeId="0" xr:uid="{1215AA6F-471A-4FF1-A015-1D03913EA5F4}">
      <text>
        <r>
          <rPr>
            <sz val="11"/>
            <color theme="1"/>
            <rFont val="Calibri"/>
            <family val="2"/>
            <scheme val="minor"/>
          </rPr>
          <t>Introduzca un codigo UNSPSC</t>
        </r>
      </text>
    </comment>
    <comment ref="B2568" authorId="1" shapeId="0" xr:uid="{55E23474-4C2A-4992-9220-8A4B8D159A6E}">
      <text>
        <r>
          <rPr>
            <sz val="11"/>
            <color theme="1"/>
            <rFont val="Calibri"/>
            <family val="2"/>
            <scheme val="minor"/>
          </rPr>
          <t>Descripción calculada automáticamente a partir de código del artículo</t>
        </r>
      </text>
    </comment>
    <comment ref="C2568" authorId="1" shapeId="0" xr:uid="{11C084C8-29A4-4E72-8A8B-14477019C944}">
      <text>
        <r>
          <rPr>
            <sz val="11"/>
            <color theme="1"/>
            <rFont val="Calibri"/>
            <family val="2"/>
            <scheme val="minor"/>
          </rPr>
          <t>Seleccione un valor de la lista</t>
        </r>
      </text>
    </comment>
    <comment ref="D2568" authorId="1" shapeId="0" xr:uid="{18528A7D-24FF-4588-9253-BF6BC9C22AED}">
      <text>
        <r>
          <rPr>
            <sz val="11"/>
            <color theme="1"/>
            <rFont val="Calibri"/>
            <family val="2"/>
            <scheme val="minor"/>
          </rPr>
          <t>Introduzca un número con dos decimales como máximo. Debe ser igual o mayor a la "Cantidad Real Consumida"</t>
        </r>
      </text>
    </comment>
    <comment ref="E2568" authorId="1" shapeId="0" xr:uid="{E2AE088F-29DE-45C9-ABBF-B640C7CBC4F9}">
      <text>
        <r>
          <rPr>
            <sz val="11"/>
            <color theme="1"/>
            <rFont val="Calibri"/>
            <family val="2"/>
            <scheme val="minor"/>
          </rPr>
          <t>Introduzca un número con dos decimales como máximo</t>
        </r>
      </text>
    </comment>
    <comment ref="F2568" authorId="1" shapeId="0" xr:uid="{58B5F6CD-5B0D-41B6-942E-49C4841C4B8E}">
      <text>
        <r>
          <rPr>
            <sz val="11"/>
            <color theme="1"/>
            <rFont val="Calibri"/>
            <family val="2"/>
            <scheme val="minor"/>
          </rPr>
          <t>Monto calculado automáticamente por el sistema</t>
        </r>
      </text>
    </comment>
    <comment ref="A2573" authorId="1" shapeId="0" xr:uid="{9E7D931E-08E2-4393-A119-8EF6400D332E}">
      <text>
        <r>
          <rPr>
            <sz val="11"/>
            <color theme="1"/>
            <rFont val="Calibri"/>
            <family val="2"/>
            <scheme val="minor"/>
          </rPr>
          <t>Introducir un texto con el nombre o referencia de la contratación</t>
        </r>
      </text>
    </comment>
    <comment ref="B2573" authorId="1" shapeId="0" xr:uid="{AEC0CF41-5F81-4F87-99B1-4FC7A4F52552}">
      <text>
        <r>
          <rPr>
            <sz val="11"/>
            <color theme="1"/>
            <rFont val="Calibri"/>
            <family val="2"/>
            <scheme val="minor"/>
          </rPr>
          <t>Introduzca un texto con la finalidad de la contratación</t>
        </r>
      </text>
    </comment>
    <comment ref="C2573" authorId="1" shapeId="0" xr:uid="{BF982528-3A59-4237-A9C5-2C8CF6EFBB19}">
      <text>
        <r>
          <rPr>
            <sz val="11"/>
            <color theme="1"/>
            <rFont val="Calibri"/>
            <family val="2"/>
            <scheme val="minor"/>
          </rPr>
          <t>Seleccionar un valor del listado</t>
        </r>
      </text>
    </comment>
    <comment ref="D2573" authorId="1" shapeId="0" xr:uid="{0DAE2A9A-557F-421D-8053-EA93CF40D2E6}">
      <text>
        <r>
          <rPr>
            <sz val="11"/>
            <color theme="1"/>
            <rFont val="Calibri"/>
            <family val="2"/>
            <scheme val="minor"/>
          </rPr>
          <t>Seleccione el tipo de procedimiento</t>
        </r>
      </text>
    </comment>
    <comment ref="E2573" authorId="1" shapeId="0" xr:uid="{BC87DDE2-4477-4A74-B63B-B19340E8E0C8}">
      <text>
        <r>
          <rPr>
            <sz val="11"/>
            <color theme="1"/>
            <rFont val="Calibri"/>
            <family val="2"/>
            <scheme val="minor"/>
          </rPr>
          <t>Seleccione un valor de la lista</t>
        </r>
      </text>
    </comment>
    <comment ref="F2573" authorId="1" shapeId="0" xr:uid="{634D642A-109B-461F-99DE-E16D4F81D682}">
      <text>
        <r>
          <rPr>
            <sz val="11"/>
            <color theme="1"/>
            <rFont val="Calibri"/>
            <family val="2"/>
            <scheme val="minor"/>
          </rPr>
          <t>Introduzca el código SNIP</t>
        </r>
      </text>
    </comment>
    <comment ref="C2574" authorId="1" shapeId="0" xr:uid="{0796FF76-3744-4E86-B6A7-4F27B4D39F52}">
      <text>
        <r>
          <rPr>
            <sz val="11"/>
            <color theme="1"/>
            <rFont val="Calibri"/>
            <family val="2"/>
            <scheme val="minor"/>
          </rPr>
          <t>Introduzca la fecha de inicio del proceso, en formato dd-mm-aaaa</t>
        </r>
      </text>
    </comment>
    <comment ref="F2574" authorId="1" shapeId="0" xr:uid="{AA21AF06-68AF-46FE-8F70-2D379D4005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5" authorId="1" shapeId="0" xr:uid="{4DF9F263-E4EA-43A1-943B-9F7B111809C3}">
      <text/>
    </comment>
    <comment ref="C2576" authorId="1" shapeId="0" xr:uid="{C776EA9D-1E14-4B24-9A82-3414B5FE7B95}">
      <text>
        <r>
          <rPr>
            <sz val="11"/>
            <color theme="1"/>
            <rFont val="Calibri"/>
            <family val="2"/>
            <scheme val="minor"/>
          </rPr>
          <t>Introduzca la fecha prevista de adjudicación, en formato dd-mm-aaaa</t>
        </r>
      </text>
    </comment>
    <comment ref="F2576" authorId="1" shapeId="0" xr:uid="{4C7A87CD-5BCE-4F30-BF34-A24AA4503FEF}">
      <text/>
    </comment>
    <comment ref="F2577" authorId="1" shapeId="0" xr:uid="{8A96B6FA-C578-4D6A-A9BF-D37C0F6BD8DC}">
      <text/>
    </comment>
    <comment ref="A2579" authorId="1" shapeId="0" xr:uid="{E866E56E-C2B0-456D-BA58-EA94A72AF0E2}">
      <text>
        <r>
          <rPr>
            <sz val="11"/>
            <color theme="1"/>
            <rFont val="Calibri"/>
            <family val="2"/>
            <scheme val="minor"/>
          </rPr>
          <t>Introduzca un codigo UNSPSC</t>
        </r>
      </text>
    </comment>
    <comment ref="B2579" authorId="1" shapeId="0" xr:uid="{C92B8B71-A64B-4108-83DB-1ACD3B9FA960}">
      <text>
        <r>
          <rPr>
            <sz val="11"/>
            <color theme="1"/>
            <rFont val="Calibri"/>
            <family val="2"/>
            <scheme val="minor"/>
          </rPr>
          <t>Descripción calculada automáticamente a partir de código del artículo</t>
        </r>
      </text>
    </comment>
    <comment ref="C2579" authorId="1" shapeId="0" xr:uid="{F4D13995-84DC-46AE-A42C-FED67B320E1A}">
      <text>
        <r>
          <rPr>
            <sz val="11"/>
            <color theme="1"/>
            <rFont val="Calibri"/>
            <family val="2"/>
            <scheme val="minor"/>
          </rPr>
          <t>Seleccione un valor de la lista</t>
        </r>
      </text>
    </comment>
    <comment ref="D2579" authorId="1" shapeId="0" xr:uid="{278DF92D-8F7A-436C-A3E4-EE4296A75A15}">
      <text>
        <r>
          <rPr>
            <sz val="11"/>
            <color theme="1"/>
            <rFont val="Calibri"/>
            <family val="2"/>
            <scheme val="minor"/>
          </rPr>
          <t>Introduzca un número con dos decimales como máximo. Debe ser igual o mayor a la "Cantidad Real Consumida"</t>
        </r>
      </text>
    </comment>
    <comment ref="E2579" authorId="1" shapeId="0" xr:uid="{34EC53C2-03A2-4E94-81F9-C14EF6BDB483}">
      <text>
        <r>
          <rPr>
            <sz val="11"/>
            <color theme="1"/>
            <rFont val="Calibri"/>
            <family val="2"/>
            <scheme val="minor"/>
          </rPr>
          <t>Introduzca un número con dos decimales como máximo</t>
        </r>
      </text>
    </comment>
    <comment ref="F2579" authorId="1" shapeId="0" xr:uid="{38DF4B79-2E6C-4260-B6C2-F17E3294BBCD}">
      <text>
        <r>
          <rPr>
            <sz val="11"/>
            <color theme="1"/>
            <rFont val="Calibri"/>
            <family val="2"/>
            <scheme val="minor"/>
          </rPr>
          <t>Monto calculado automáticamente por el sistema</t>
        </r>
      </text>
    </comment>
    <comment ref="A2584" authorId="1" shapeId="0" xr:uid="{DE992B42-EDAA-46D7-8196-7AAE935D4D59}">
      <text>
        <r>
          <rPr>
            <sz val="11"/>
            <color theme="1"/>
            <rFont val="Calibri"/>
            <family val="2"/>
            <scheme val="minor"/>
          </rPr>
          <t>Introducir un texto con el nombre o referencia de la contratación</t>
        </r>
      </text>
    </comment>
    <comment ref="B2584" authorId="1" shapeId="0" xr:uid="{1539DBA4-E1EE-437F-A664-90C5CCD30A5E}">
      <text>
        <r>
          <rPr>
            <sz val="11"/>
            <color theme="1"/>
            <rFont val="Calibri"/>
            <family val="2"/>
            <scheme val="minor"/>
          </rPr>
          <t>Introduzca un texto con la finalidad de la contratación</t>
        </r>
      </text>
    </comment>
    <comment ref="C2584" authorId="1" shapeId="0" xr:uid="{9AC2A5F9-1718-4A89-8A61-FD7B616643CD}">
      <text>
        <r>
          <rPr>
            <sz val="11"/>
            <color theme="1"/>
            <rFont val="Calibri"/>
            <family val="2"/>
            <scheme val="minor"/>
          </rPr>
          <t>Seleccionar un valor del listado</t>
        </r>
      </text>
    </comment>
    <comment ref="D2584" authorId="1" shapeId="0" xr:uid="{938E9659-ADAB-4039-8BAE-3A66F544D808}">
      <text>
        <r>
          <rPr>
            <sz val="11"/>
            <color theme="1"/>
            <rFont val="Calibri"/>
            <family val="2"/>
            <scheme val="minor"/>
          </rPr>
          <t>Seleccione el tipo de procedimiento</t>
        </r>
      </text>
    </comment>
    <comment ref="E2584" authorId="1" shapeId="0" xr:uid="{D21B4D85-711C-4C60-948E-967AE856956D}">
      <text>
        <r>
          <rPr>
            <sz val="11"/>
            <color theme="1"/>
            <rFont val="Calibri"/>
            <family val="2"/>
            <scheme val="minor"/>
          </rPr>
          <t>Seleccione un valor de la lista</t>
        </r>
      </text>
    </comment>
    <comment ref="F2584" authorId="1" shapeId="0" xr:uid="{B7CFB825-AE4C-4B99-9B16-D85743FF2085}">
      <text>
        <r>
          <rPr>
            <sz val="11"/>
            <color theme="1"/>
            <rFont val="Calibri"/>
            <family val="2"/>
            <scheme val="minor"/>
          </rPr>
          <t>Introduzca el código SNIP</t>
        </r>
      </text>
    </comment>
    <comment ref="C2585" authorId="1" shapeId="0" xr:uid="{8BD3F207-D89D-4520-92C2-8B68966EB89D}">
      <text>
        <r>
          <rPr>
            <sz val="11"/>
            <color theme="1"/>
            <rFont val="Calibri"/>
            <family val="2"/>
            <scheme val="minor"/>
          </rPr>
          <t>Introduzca la fecha de inicio del proceso, en formato dd-mm-aaaa</t>
        </r>
      </text>
    </comment>
    <comment ref="F2585" authorId="1" shapeId="0" xr:uid="{168F1841-3CD5-493D-B82F-5C3668FB0C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6" authorId="1" shapeId="0" xr:uid="{F5FC72D2-0A48-48B9-8AA9-C37DE3BAF424}">
      <text/>
    </comment>
    <comment ref="C2587" authorId="1" shapeId="0" xr:uid="{71D96DC6-C549-42D0-9C27-237167C377FF}">
      <text>
        <r>
          <rPr>
            <sz val="11"/>
            <color theme="1"/>
            <rFont val="Calibri"/>
            <family val="2"/>
            <scheme val="minor"/>
          </rPr>
          <t>Introduzca la fecha prevista de adjudicación, en formato dd-mm-aaaa</t>
        </r>
      </text>
    </comment>
    <comment ref="F2587" authorId="1" shapeId="0" xr:uid="{09206D17-B74D-47BB-A3B9-6D0220503271}">
      <text/>
    </comment>
    <comment ref="F2588" authorId="1" shapeId="0" xr:uid="{9CA77165-9C2B-43A8-BA8E-6C0E2E0861FE}">
      <text/>
    </comment>
    <comment ref="A2590" authorId="1" shapeId="0" xr:uid="{869799A3-0794-47E8-9169-13C5EBEB21A3}">
      <text>
        <r>
          <rPr>
            <sz val="11"/>
            <color theme="1"/>
            <rFont val="Calibri"/>
            <family val="2"/>
            <scheme val="minor"/>
          </rPr>
          <t>Introduzca un codigo UNSPSC</t>
        </r>
      </text>
    </comment>
    <comment ref="B2590" authorId="1" shapeId="0" xr:uid="{88E0E5CE-FD59-45A1-8046-5B91C143CC9F}">
      <text>
        <r>
          <rPr>
            <sz val="11"/>
            <color theme="1"/>
            <rFont val="Calibri"/>
            <family val="2"/>
            <scheme val="minor"/>
          </rPr>
          <t>Descripción calculada automáticamente a partir de código del artículo</t>
        </r>
      </text>
    </comment>
    <comment ref="C2590" authorId="1" shapeId="0" xr:uid="{CEF11D3F-22DA-44DE-8C4E-7E2B4B7560D9}">
      <text>
        <r>
          <rPr>
            <sz val="11"/>
            <color theme="1"/>
            <rFont val="Calibri"/>
            <family val="2"/>
            <scheme val="minor"/>
          </rPr>
          <t>Seleccione un valor de la lista</t>
        </r>
      </text>
    </comment>
    <comment ref="D2590" authorId="1" shapeId="0" xr:uid="{F4F4D364-D1D9-4186-9B55-3B63901D27B8}">
      <text>
        <r>
          <rPr>
            <sz val="11"/>
            <color theme="1"/>
            <rFont val="Calibri"/>
            <family val="2"/>
            <scheme val="minor"/>
          </rPr>
          <t>Introduzca un número con dos decimales como máximo. Debe ser igual o mayor a la "Cantidad Real Consumida"</t>
        </r>
      </text>
    </comment>
    <comment ref="E2590" authorId="1" shapeId="0" xr:uid="{22976F1E-A1CA-45F3-B452-0731C55F412E}">
      <text>
        <r>
          <rPr>
            <sz val="11"/>
            <color theme="1"/>
            <rFont val="Calibri"/>
            <family val="2"/>
            <scheme val="minor"/>
          </rPr>
          <t>Introduzca un número con dos decimales como máximo</t>
        </r>
      </text>
    </comment>
    <comment ref="F2590" authorId="1" shapeId="0" xr:uid="{3D6B9D47-5893-40B1-B127-F465B26A7D24}">
      <text>
        <r>
          <rPr>
            <sz val="11"/>
            <color theme="1"/>
            <rFont val="Calibri"/>
            <family val="2"/>
            <scheme val="minor"/>
          </rPr>
          <t>Monto calculado automáticamente por el sistema</t>
        </r>
      </text>
    </comment>
    <comment ref="A2601" authorId="1" shapeId="0" xr:uid="{88DC82C8-75FE-4986-86FF-2AD4C23F5DCE}">
      <text>
        <r>
          <rPr>
            <sz val="11"/>
            <color theme="1"/>
            <rFont val="Calibri"/>
            <family val="2"/>
            <scheme val="minor"/>
          </rPr>
          <t>Introducir un texto con el nombre o referencia de la contratación</t>
        </r>
      </text>
    </comment>
    <comment ref="B2601" authorId="1" shapeId="0" xr:uid="{6DB404AF-0BB8-4844-A394-E5FB6F1208D1}">
      <text>
        <r>
          <rPr>
            <sz val="11"/>
            <color theme="1"/>
            <rFont val="Calibri"/>
            <family val="2"/>
            <scheme val="minor"/>
          </rPr>
          <t>Introduzca un texto con la finalidad de la contratación</t>
        </r>
      </text>
    </comment>
    <comment ref="C2601" authorId="1" shapeId="0" xr:uid="{F877DF08-25FA-412A-AC0F-744820518CB5}">
      <text>
        <r>
          <rPr>
            <sz val="11"/>
            <color theme="1"/>
            <rFont val="Calibri"/>
            <family val="2"/>
            <scheme val="minor"/>
          </rPr>
          <t>Seleccionar un valor del listado</t>
        </r>
      </text>
    </comment>
    <comment ref="D2601" authorId="1" shapeId="0" xr:uid="{32D06D4F-A51F-40F6-920B-DF0B3CE58B89}">
      <text>
        <r>
          <rPr>
            <sz val="11"/>
            <color theme="1"/>
            <rFont val="Calibri"/>
            <family val="2"/>
            <scheme val="minor"/>
          </rPr>
          <t>Seleccione el tipo de procedimiento</t>
        </r>
      </text>
    </comment>
    <comment ref="E2601" authorId="1" shapeId="0" xr:uid="{7840E256-447F-4F9C-A488-2A887B66F053}">
      <text>
        <r>
          <rPr>
            <sz val="11"/>
            <color theme="1"/>
            <rFont val="Calibri"/>
            <family val="2"/>
            <scheme val="minor"/>
          </rPr>
          <t>Seleccione un valor de la lista</t>
        </r>
      </text>
    </comment>
    <comment ref="F2601" authorId="1" shapeId="0" xr:uid="{97ED66E1-9474-4E66-90B5-76CC2F701B27}">
      <text>
        <r>
          <rPr>
            <sz val="11"/>
            <color theme="1"/>
            <rFont val="Calibri"/>
            <family val="2"/>
            <scheme val="minor"/>
          </rPr>
          <t>Introduzca el código SNIP</t>
        </r>
      </text>
    </comment>
    <comment ref="C2602" authorId="1" shapeId="0" xr:uid="{DDF5E7CC-8C12-4F6B-A2D8-ADDCD2DBFFE8}">
      <text>
        <r>
          <rPr>
            <sz val="11"/>
            <color theme="1"/>
            <rFont val="Calibri"/>
            <family val="2"/>
            <scheme val="minor"/>
          </rPr>
          <t>Introduzca la fecha de inicio del proceso, en formato dd-mm-aaaa</t>
        </r>
      </text>
    </comment>
    <comment ref="F2602" authorId="1" shapeId="0" xr:uid="{660C0ECF-33E1-4A5A-B08E-CE28AD5050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3" authorId="1" shapeId="0" xr:uid="{6842C21E-7F9A-4125-82DC-2111D2EB692D}">
      <text/>
    </comment>
    <comment ref="C2604" authorId="1" shapeId="0" xr:uid="{28FE55EF-3B90-44D9-A524-F1A34A60F99B}">
      <text>
        <r>
          <rPr>
            <sz val="11"/>
            <color theme="1"/>
            <rFont val="Calibri"/>
            <family val="2"/>
            <scheme val="minor"/>
          </rPr>
          <t>Introduzca la fecha prevista de adjudicación, en formato dd-mm-aaaa</t>
        </r>
      </text>
    </comment>
    <comment ref="F2604" authorId="1" shapeId="0" xr:uid="{5D478B4F-1D19-4535-9AA3-33228A92C841}">
      <text/>
    </comment>
    <comment ref="F2605" authorId="1" shapeId="0" xr:uid="{0A738B4B-98EE-4DAB-9B6D-E3BC89BF2C44}">
      <text/>
    </comment>
    <comment ref="A2607" authorId="1" shapeId="0" xr:uid="{DC7C2EC3-FA69-47BD-8596-1584F4326580}">
      <text>
        <r>
          <rPr>
            <sz val="11"/>
            <color theme="1"/>
            <rFont val="Calibri"/>
            <family val="2"/>
            <scheme val="minor"/>
          </rPr>
          <t>Introduzca un codigo UNSPSC</t>
        </r>
      </text>
    </comment>
    <comment ref="B2607" authorId="1" shapeId="0" xr:uid="{D2EB54AB-32E5-4294-87BA-75ACB4D52871}">
      <text>
        <r>
          <rPr>
            <sz val="11"/>
            <color theme="1"/>
            <rFont val="Calibri"/>
            <family val="2"/>
            <scheme val="minor"/>
          </rPr>
          <t>Descripción calculada automáticamente a partir de código del artículo</t>
        </r>
      </text>
    </comment>
    <comment ref="C2607" authorId="1" shapeId="0" xr:uid="{D5EB210E-EB92-4BF0-859F-6F27E3CDEEEA}">
      <text>
        <r>
          <rPr>
            <sz val="11"/>
            <color theme="1"/>
            <rFont val="Calibri"/>
            <family val="2"/>
            <scheme val="minor"/>
          </rPr>
          <t>Seleccione un valor de la lista</t>
        </r>
      </text>
    </comment>
    <comment ref="D2607" authorId="1" shapeId="0" xr:uid="{36B22C74-D828-41C1-AE4D-60F5B9834274}">
      <text>
        <r>
          <rPr>
            <sz val="11"/>
            <color theme="1"/>
            <rFont val="Calibri"/>
            <family val="2"/>
            <scheme val="minor"/>
          </rPr>
          <t>Introduzca un número con dos decimales como máximo. Debe ser igual o mayor a la "Cantidad Real Consumida"</t>
        </r>
      </text>
    </comment>
    <comment ref="E2607" authorId="1" shapeId="0" xr:uid="{3E44F585-043E-4705-B8A9-113D6FAA50C0}">
      <text>
        <r>
          <rPr>
            <sz val="11"/>
            <color theme="1"/>
            <rFont val="Calibri"/>
            <family val="2"/>
            <scheme val="minor"/>
          </rPr>
          <t>Introduzca un número con dos decimales como máximo</t>
        </r>
      </text>
    </comment>
    <comment ref="F2607" authorId="1" shapeId="0" xr:uid="{F857A7D5-F1C8-40AB-93CA-009D8F58E2A8}">
      <text>
        <r>
          <rPr>
            <sz val="11"/>
            <color theme="1"/>
            <rFont val="Calibri"/>
            <family val="2"/>
            <scheme val="minor"/>
          </rPr>
          <t>Monto calculado automáticamente por el sistema</t>
        </r>
      </text>
    </comment>
    <comment ref="A2615" authorId="1" shapeId="0" xr:uid="{A2547544-920A-4596-ADA8-C881A10988D9}">
      <text>
        <r>
          <rPr>
            <sz val="11"/>
            <color theme="1"/>
            <rFont val="Calibri"/>
            <family val="2"/>
            <scheme val="minor"/>
          </rPr>
          <t>Introducir un texto con el nombre o referencia de la contratación</t>
        </r>
      </text>
    </comment>
    <comment ref="B2615" authorId="1" shapeId="0" xr:uid="{7829D323-7A7E-4D2E-A08C-DDEB7C12DD26}">
      <text>
        <r>
          <rPr>
            <sz val="11"/>
            <color theme="1"/>
            <rFont val="Calibri"/>
            <family val="2"/>
            <scheme val="minor"/>
          </rPr>
          <t>Introduzca un texto con la finalidad de la contratación</t>
        </r>
      </text>
    </comment>
    <comment ref="C2615" authorId="1" shapeId="0" xr:uid="{06F24D1F-8022-41BD-932E-4C123E6EC4CA}">
      <text>
        <r>
          <rPr>
            <sz val="11"/>
            <color theme="1"/>
            <rFont val="Calibri"/>
            <family val="2"/>
            <scheme val="minor"/>
          </rPr>
          <t>Seleccionar un valor del listado</t>
        </r>
      </text>
    </comment>
    <comment ref="D2615" authorId="1" shapeId="0" xr:uid="{994E3EBE-F953-42D8-9EB8-038C5AC61F40}">
      <text>
        <r>
          <rPr>
            <sz val="11"/>
            <color theme="1"/>
            <rFont val="Calibri"/>
            <family val="2"/>
            <scheme val="minor"/>
          </rPr>
          <t>Seleccione el tipo de procedimiento</t>
        </r>
      </text>
    </comment>
    <comment ref="E2615" authorId="1" shapeId="0" xr:uid="{AEE660D6-2635-46A0-9B62-8AFF600A01A7}">
      <text>
        <r>
          <rPr>
            <sz val="11"/>
            <color theme="1"/>
            <rFont val="Calibri"/>
            <family val="2"/>
            <scheme val="minor"/>
          </rPr>
          <t>Seleccione un valor de la lista</t>
        </r>
      </text>
    </comment>
    <comment ref="F2615" authorId="1" shapeId="0" xr:uid="{9141A6C6-86E2-4020-8122-6639A77B437E}">
      <text>
        <r>
          <rPr>
            <sz val="11"/>
            <color theme="1"/>
            <rFont val="Calibri"/>
            <family val="2"/>
            <scheme val="minor"/>
          </rPr>
          <t>Introduzca el código SNIP</t>
        </r>
      </text>
    </comment>
    <comment ref="C2616" authorId="1" shapeId="0" xr:uid="{88676BBA-88FC-4407-B554-48EDE9E9C29E}">
      <text>
        <r>
          <rPr>
            <sz val="11"/>
            <color theme="1"/>
            <rFont val="Calibri"/>
            <family val="2"/>
            <scheme val="minor"/>
          </rPr>
          <t>Introduzca la fecha de inicio del proceso, en formato dd-mm-aaaa</t>
        </r>
      </text>
    </comment>
    <comment ref="F2616" authorId="1" shapeId="0" xr:uid="{79C50B50-52DA-447E-A4FF-C5D30983D1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7" authorId="1" shapeId="0" xr:uid="{5AC43637-D763-4477-91EA-B15664F26279}">
      <text/>
    </comment>
    <comment ref="C2618" authorId="1" shapeId="0" xr:uid="{48F84BA2-1DE3-44A8-ACB1-CF56089C452F}">
      <text>
        <r>
          <rPr>
            <sz val="11"/>
            <color theme="1"/>
            <rFont val="Calibri"/>
            <family val="2"/>
            <scheme val="minor"/>
          </rPr>
          <t>Introduzca la fecha prevista de adjudicación, en formato dd-mm-aaaa</t>
        </r>
      </text>
    </comment>
    <comment ref="F2618" authorId="1" shapeId="0" xr:uid="{A4881D97-74DD-414C-89B9-83A649E62AF9}">
      <text/>
    </comment>
    <comment ref="F2619" authorId="1" shapeId="0" xr:uid="{F26779E3-08D2-4ED0-B970-B104EDCDD2C4}">
      <text/>
    </comment>
    <comment ref="A2621" authorId="1" shapeId="0" xr:uid="{60DB61BB-713A-4252-8894-AC3C27CDD9F3}">
      <text>
        <r>
          <rPr>
            <sz val="11"/>
            <color theme="1"/>
            <rFont val="Calibri"/>
            <family val="2"/>
            <scheme val="minor"/>
          </rPr>
          <t>Introduzca un codigo UNSPSC</t>
        </r>
      </text>
    </comment>
    <comment ref="B2621" authorId="1" shapeId="0" xr:uid="{40415E91-F31D-4EC8-BD4E-378F14384AD2}">
      <text>
        <r>
          <rPr>
            <sz val="11"/>
            <color theme="1"/>
            <rFont val="Calibri"/>
            <family val="2"/>
            <scheme val="minor"/>
          </rPr>
          <t>Descripción calculada automáticamente a partir de código del artículo</t>
        </r>
      </text>
    </comment>
    <comment ref="C2621" authorId="1" shapeId="0" xr:uid="{33EDDCDE-907E-4078-8BD6-033FBB67FB58}">
      <text>
        <r>
          <rPr>
            <sz val="11"/>
            <color theme="1"/>
            <rFont val="Calibri"/>
            <family val="2"/>
            <scheme val="minor"/>
          </rPr>
          <t>Seleccione un valor de la lista</t>
        </r>
      </text>
    </comment>
    <comment ref="D2621" authorId="1" shapeId="0" xr:uid="{C81A66D3-0D36-4F5E-9AF0-A1F885B7C917}">
      <text>
        <r>
          <rPr>
            <sz val="11"/>
            <color theme="1"/>
            <rFont val="Calibri"/>
            <family val="2"/>
            <scheme val="minor"/>
          </rPr>
          <t>Introduzca un número con dos decimales como máximo. Debe ser igual o mayor a la "Cantidad Real Consumida"</t>
        </r>
      </text>
    </comment>
    <comment ref="E2621" authorId="1" shapeId="0" xr:uid="{6F4CCF5C-A181-473E-9869-5C1B4F528367}">
      <text>
        <r>
          <rPr>
            <sz val="11"/>
            <color theme="1"/>
            <rFont val="Calibri"/>
            <family val="2"/>
            <scheme val="minor"/>
          </rPr>
          <t>Introduzca un número con dos decimales como máximo</t>
        </r>
      </text>
    </comment>
    <comment ref="F2621" authorId="1" shapeId="0" xr:uid="{ADC0E496-4FD4-4426-8135-8B8D0B244A86}">
      <text>
        <r>
          <rPr>
            <sz val="11"/>
            <color theme="1"/>
            <rFont val="Calibri"/>
            <family val="2"/>
            <scheme val="minor"/>
          </rPr>
          <t>Monto calculado automáticamente por el sistema</t>
        </r>
      </text>
    </comment>
    <comment ref="A2626" authorId="1" shapeId="0" xr:uid="{B0A50F93-BA2B-4445-9775-67CE72033457}">
      <text>
        <r>
          <rPr>
            <sz val="11"/>
            <color theme="1"/>
            <rFont val="Calibri"/>
            <family val="2"/>
            <scheme val="minor"/>
          </rPr>
          <t>Introducir un texto con el nombre o referencia de la contratación</t>
        </r>
      </text>
    </comment>
    <comment ref="B2626" authorId="1" shapeId="0" xr:uid="{0594FA6B-5C51-4746-AF89-0676392CB8B3}">
      <text>
        <r>
          <rPr>
            <sz val="11"/>
            <color theme="1"/>
            <rFont val="Calibri"/>
            <family val="2"/>
            <scheme val="minor"/>
          </rPr>
          <t>Introduzca un texto con la finalidad de la contratación</t>
        </r>
      </text>
    </comment>
    <comment ref="C2626" authorId="1" shapeId="0" xr:uid="{725793E1-3433-41F3-AA88-171EF49E6568}">
      <text>
        <r>
          <rPr>
            <sz val="11"/>
            <color theme="1"/>
            <rFont val="Calibri"/>
            <family val="2"/>
            <scheme val="minor"/>
          </rPr>
          <t>Seleccionar un valor del listado</t>
        </r>
      </text>
    </comment>
    <comment ref="D2626" authorId="1" shapeId="0" xr:uid="{F94EB45C-110D-4BE2-ACFF-8FE73A7129E4}">
      <text>
        <r>
          <rPr>
            <sz val="11"/>
            <color theme="1"/>
            <rFont val="Calibri"/>
            <family val="2"/>
            <scheme val="minor"/>
          </rPr>
          <t>Seleccione el tipo de procedimiento</t>
        </r>
      </text>
    </comment>
    <comment ref="E2626" authorId="1" shapeId="0" xr:uid="{A4E93DE9-7519-4F57-A0B7-2F8F51CE2251}">
      <text>
        <r>
          <rPr>
            <sz val="11"/>
            <color theme="1"/>
            <rFont val="Calibri"/>
            <family val="2"/>
            <scheme val="minor"/>
          </rPr>
          <t>Seleccione un valor de la lista</t>
        </r>
      </text>
    </comment>
    <comment ref="F2626" authorId="1" shapeId="0" xr:uid="{1D14A558-397E-4430-8D62-939D21D551C7}">
      <text>
        <r>
          <rPr>
            <sz val="11"/>
            <color theme="1"/>
            <rFont val="Calibri"/>
            <family val="2"/>
            <scheme val="minor"/>
          </rPr>
          <t>Introduzca el código SNIP</t>
        </r>
      </text>
    </comment>
    <comment ref="C2627" authorId="1" shapeId="0" xr:uid="{F73C2D10-44E0-4EB6-A0B9-535348F6E1D4}">
      <text>
        <r>
          <rPr>
            <sz val="11"/>
            <color theme="1"/>
            <rFont val="Calibri"/>
            <family val="2"/>
            <scheme val="minor"/>
          </rPr>
          <t>Introduzca la fecha de inicio del proceso, en formato dd-mm-aaaa</t>
        </r>
      </text>
    </comment>
    <comment ref="F2627" authorId="1" shapeId="0" xr:uid="{D35B6E30-A782-47BC-A311-015594DCFB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8" authorId="1" shapeId="0" xr:uid="{1FB154D8-74CF-4855-A5E2-8A935126D4FB}">
      <text/>
    </comment>
    <comment ref="C2629" authorId="1" shapeId="0" xr:uid="{035DB116-34A1-4FEF-A79F-04960C39E86F}">
      <text>
        <r>
          <rPr>
            <sz val="11"/>
            <color theme="1"/>
            <rFont val="Calibri"/>
            <family val="2"/>
            <scheme val="minor"/>
          </rPr>
          <t>Introduzca la fecha prevista de adjudicación, en formato dd-mm-aaaa</t>
        </r>
      </text>
    </comment>
    <comment ref="F2629" authorId="1" shapeId="0" xr:uid="{4EAD8C03-7D44-45CB-8EB8-248A6B845756}">
      <text/>
    </comment>
    <comment ref="F2630" authorId="1" shapeId="0" xr:uid="{971BFE33-A438-4B81-BEF0-F65E54EC92D3}">
      <text/>
    </comment>
    <comment ref="A2632" authorId="1" shapeId="0" xr:uid="{11B60C32-B7C3-4957-8CD3-B0F95B1DA3DB}">
      <text>
        <r>
          <rPr>
            <sz val="11"/>
            <color theme="1"/>
            <rFont val="Calibri"/>
            <family val="2"/>
            <scheme val="minor"/>
          </rPr>
          <t>Introduzca un codigo UNSPSC</t>
        </r>
      </text>
    </comment>
    <comment ref="B2632" authorId="1" shapeId="0" xr:uid="{C519B3DE-263D-400F-A7C8-BF17CE8B3B55}">
      <text>
        <r>
          <rPr>
            <sz val="11"/>
            <color theme="1"/>
            <rFont val="Calibri"/>
            <family val="2"/>
            <scheme val="minor"/>
          </rPr>
          <t>Descripción calculada automáticamente a partir de código del artículo</t>
        </r>
      </text>
    </comment>
    <comment ref="C2632" authorId="1" shapeId="0" xr:uid="{EEE6BDFC-8782-460E-B894-B51F509F5D6A}">
      <text>
        <r>
          <rPr>
            <sz val="11"/>
            <color theme="1"/>
            <rFont val="Calibri"/>
            <family val="2"/>
            <scheme val="minor"/>
          </rPr>
          <t>Seleccione un valor de la lista</t>
        </r>
      </text>
    </comment>
    <comment ref="D2632" authorId="1" shapeId="0" xr:uid="{74F5C519-4B07-41C8-BFEA-84047769624D}">
      <text>
        <r>
          <rPr>
            <sz val="11"/>
            <color theme="1"/>
            <rFont val="Calibri"/>
            <family val="2"/>
            <scheme val="minor"/>
          </rPr>
          <t>Introduzca un número con dos decimales como máximo. Debe ser igual o mayor a la "Cantidad Real Consumida"</t>
        </r>
      </text>
    </comment>
    <comment ref="E2632" authorId="1" shapeId="0" xr:uid="{6968AEC3-45E9-456E-96A8-19C52A38C2D1}">
      <text>
        <r>
          <rPr>
            <sz val="11"/>
            <color theme="1"/>
            <rFont val="Calibri"/>
            <family val="2"/>
            <scheme val="minor"/>
          </rPr>
          <t>Introduzca un número con dos decimales como máximo</t>
        </r>
      </text>
    </comment>
    <comment ref="F2632" authorId="1" shapeId="0" xr:uid="{4AF26C17-BCEF-45F9-A03F-68E61F15A6D6}">
      <text>
        <r>
          <rPr>
            <sz val="11"/>
            <color theme="1"/>
            <rFont val="Calibri"/>
            <family val="2"/>
            <scheme val="minor"/>
          </rPr>
          <t>Monto calculado automáticamente por el sistema</t>
        </r>
      </text>
    </comment>
    <comment ref="A2641" authorId="1" shapeId="0" xr:uid="{7D3800C4-3606-48A2-A431-8EB91A3D4ABA}">
      <text>
        <r>
          <rPr>
            <sz val="11"/>
            <color theme="1"/>
            <rFont val="Calibri"/>
            <family val="2"/>
            <scheme val="minor"/>
          </rPr>
          <t>Introducir un texto con el nombre o referencia de la contratación</t>
        </r>
      </text>
    </comment>
    <comment ref="B2641" authorId="1" shapeId="0" xr:uid="{64522F25-AC61-4782-829A-10EF417798F5}">
      <text>
        <r>
          <rPr>
            <sz val="11"/>
            <color theme="1"/>
            <rFont val="Calibri"/>
            <family val="2"/>
            <scheme val="minor"/>
          </rPr>
          <t>Introduzca un texto con la finalidad de la contratación</t>
        </r>
      </text>
    </comment>
    <comment ref="C2641" authorId="1" shapeId="0" xr:uid="{0F802C0E-B443-4A1E-B467-594CBDFA1CEC}">
      <text>
        <r>
          <rPr>
            <sz val="11"/>
            <color theme="1"/>
            <rFont val="Calibri"/>
            <family val="2"/>
            <scheme val="minor"/>
          </rPr>
          <t>Seleccionar un valor del listado</t>
        </r>
      </text>
    </comment>
    <comment ref="D2641" authorId="1" shapeId="0" xr:uid="{0C08C86B-1077-4BE6-A5BB-77CDBFF4A1B3}">
      <text>
        <r>
          <rPr>
            <sz val="11"/>
            <color theme="1"/>
            <rFont val="Calibri"/>
            <family val="2"/>
            <scheme val="minor"/>
          </rPr>
          <t>Seleccione el tipo de procedimiento</t>
        </r>
      </text>
    </comment>
    <comment ref="E2641" authorId="1" shapeId="0" xr:uid="{6C68795E-96FF-4B28-950B-F84000E325E6}">
      <text>
        <r>
          <rPr>
            <sz val="11"/>
            <color theme="1"/>
            <rFont val="Calibri"/>
            <family val="2"/>
            <scheme val="minor"/>
          </rPr>
          <t>Seleccione un valor de la lista</t>
        </r>
      </text>
    </comment>
    <comment ref="F2641" authorId="1" shapeId="0" xr:uid="{AACE557E-C706-4D6D-B39E-A40AC7554CF0}">
      <text>
        <r>
          <rPr>
            <sz val="11"/>
            <color theme="1"/>
            <rFont val="Calibri"/>
            <family val="2"/>
            <scheme val="minor"/>
          </rPr>
          <t>Introduzca el código SNIP</t>
        </r>
      </text>
    </comment>
    <comment ref="C2642" authorId="1" shapeId="0" xr:uid="{8A9172C2-9851-457A-B0D9-E94DE13C0C89}">
      <text>
        <r>
          <rPr>
            <sz val="11"/>
            <color theme="1"/>
            <rFont val="Calibri"/>
            <family val="2"/>
            <scheme val="minor"/>
          </rPr>
          <t>Introduzca la fecha de inicio del proceso, en formato dd-mm-aaaa</t>
        </r>
      </text>
    </comment>
    <comment ref="F2642" authorId="1" shapeId="0" xr:uid="{646B2714-476E-492A-8938-1B35EEF2C9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3" authorId="1" shapeId="0" xr:uid="{329E4173-1BA6-4055-BC5C-9023E9B05DCA}">
      <text/>
    </comment>
    <comment ref="C2644" authorId="1" shapeId="0" xr:uid="{501BDA11-9EEF-40AE-94A0-8275D0C7DC14}">
      <text>
        <r>
          <rPr>
            <sz val="11"/>
            <color theme="1"/>
            <rFont val="Calibri"/>
            <family val="2"/>
            <scheme val="minor"/>
          </rPr>
          <t>Introduzca la fecha prevista de adjudicación, en formato dd-mm-aaaa</t>
        </r>
      </text>
    </comment>
    <comment ref="F2644" authorId="1" shapeId="0" xr:uid="{3E7C0F45-5D7A-4542-82E1-917FCAAEA9AA}">
      <text/>
    </comment>
    <comment ref="F2645" authorId="1" shapeId="0" xr:uid="{3CD2CD97-2D5F-44D7-A1E4-9A91258A282E}">
      <text/>
    </comment>
    <comment ref="A2647" authorId="1" shapeId="0" xr:uid="{604C14EF-A9C5-4C69-8BA8-183FC2B63315}">
      <text>
        <r>
          <rPr>
            <sz val="11"/>
            <color theme="1"/>
            <rFont val="Calibri"/>
            <family val="2"/>
            <scheme val="minor"/>
          </rPr>
          <t>Introduzca un codigo UNSPSC</t>
        </r>
      </text>
    </comment>
    <comment ref="B2647" authorId="1" shapeId="0" xr:uid="{675CD8DB-791E-4A7D-921F-06F7BF74593D}">
      <text>
        <r>
          <rPr>
            <sz val="11"/>
            <color theme="1"/>
            <rFont val="Calibri"/>
            <family val="2"/>
            <scheme val="minor"/>
          </rPr>
          <t>Descripción calculada automáticamente a partir de código del artículo</t>
        </r>
      </text>
    </comment>
    <comment ref="C2647" authorId="1" shapeId="0" xr:uid="{C10450BC-04A0-4E76-B0A7-E7E3459B6A0E}">
      <text>
        <r>
          <rPr>
            <sz val="11"/>
            <color theme="1"/>
            <rFont val="Calibri"/>
            <family val="2"/>
            <scheme val="minor"/>
          </rPr>
          <t>Seleccione un valor de la lista</t>
        </r>
      </text>
    </comment>
    <comment ref="D2647" authorId="1" shapeId="0" xr:uid="{18C76BBE-188B-4461-B127-BB912FF09FA5}">
      <text>
        <r>
          <rPr>
            <sz val="11"/>
            <color theme="1"/>
            <rFont val="Calibri"/>
            <family val="2"/>
            <scheme val="minor"/>
          </rPr>
          <t>Introduzca un número con dos decimales como máximo. Debe ser igual o mayor a la "Cantidad Real Consumida"</t>
        </r>
      </text>
    </comment>
    <comment ref="E2647" authorId="1" shapeId="0" xr:uid="{5219F106-A965-4F7F-AA86-526F8A310861}">
      <text>
        <r>
          <rPr>
            <sz val="11"/>
            <color theme="1"/>
            <rFont val="Calibri"/>
            <family val="2"/>
            <scheme val="minor"/>
          </rPr>
          <t>Introduzca un número con dos decimales como máximo</t>
        </r>
      </text>
    </comment>
    <comment ref="F2647" authorId="1" shapeId="0" xr:uid="{FBAF0C6D-50CA-4C46-A2E6-D1FC1FB27B8B}">
      <text>
        <r>
          <rPr>
            <sz val="11"/>
            <color theme="1"/>
            <rFont val="Calibri"/>
            <family val="2"/>
            <scheme val="minor"/>
          </rPr>
          <t>Monto calculado automáticamente por el sistema</t>
        </r>
      </text>
    </comment>
    <comment ref="A2652" authorId="1" shapeId="0" xr:uid="{B72EF850-D70C-4B33-913C-0A63361B6EBB}">
      <text>
        <r>
          <rPr>
            <sz val="11"/>
            <color theme="1"/>
            <rFont val="Calibri"/>
            <family val="2"/>
            <scheme val="minor"/>
          </rPr>
          <t>Introducir un texto con el nombre o referencia de la contratación</t>
        </r>
      </text>
    </comment>
    <comment ref="B2652" authorId="1" shapeId="0" xr:uid="{299C87B6-6B3B-474D-A06E-1ED411133315}">
      <text>
        <r>
          <rPr>
            <sz val="11"/>
            <color theme="1"/>
            <rFont val="Calibri"/>
            <family val="2"/>
            <scheme val="minor"/>
          </rPr>
          <t>Introduzca un texto con la finalidad de la contratación</t>
        </r>
      </text>
    </comment>
    <comment ref="C2652" authorId="1" shapeId="0" xr:uid="{85559D1A-A94F-4F0A-9C90-00B7508308A5}">
      <text>
        <r>
          <rPr>
            <sz val="11"/>
            <color theme="1"/>
            <rFont val="Calibri"/>
            <family val="2"/>
            <scheme val="minor"/>
          </rPr>
          <t>Seleccionar un valor del listado</t>
        </r>
      </text>
    </comment>
    <comment ref="D2652" authorId="1" shapeId="0" xr:uid="{F8197197-69D3-4224-B8EE-05CC493C3951}">
      <text>
        <r>
          <rPr>
            <sz val="11"/>
            <color theme="1"/>
            <rFont val="Calibri"/>
            <family val="2"/>
            <scheme val="minor"/>
          </rPr>
          <t>Seleccione el tipo de procedimiento</t>
        </r>
      </text>
    </comment>
    <comment ref="E2652" authorId="1" shapeId="0" xr:uid="{52CD68CE-FB8C-4FDA-B1EC-537FC62721E0}">
      <text>
        <r>
          <rPr>
            <sz val="11"/>
            <color theme="1"/>
            <rFont val="Calibri"/>
            <family val="2"/>
            <scheme val="minor"/>
          </rPr>
          <t>Seleccione un valor de la lista</t>
        </r>
      </text>
    </comment>
    <comment ref="F2652" authorId="1" shapeId="0" xr:uid="{9778FF93-A54F-43D8-9A49-86FCE69CE903}">
      <text>
        <r>
          <rPr>
            <sz val="11"/>
            <color theme="1"/>
            <rFont val="Calibri"/>
            <family val="2"/>
            <scheme val="minor"/>
          </rPr>
          <t>Introduzca el código SNIP</t>
        </r>
      </text>
    </comment>
    <comment ref="C2653" authorId="1" shapeId="0" xr:uid="{0986CF7E-89BB-4F77-B94F-2108155F2C5E}">
      <text>
        <r>
          <rPr>
            <sz val="11"/>
            <color theme="1"/>
            <rFont val="Calibri"/>
            <family val="2"/>
            <scheme val="minor"/>
          </rPr>
          <t>Introduzca la fecha de inicio del proceso, en formato dd-mm-aaaa</t>
        </r>
      </text>
    </comment>
    <comment ref="F2653" authorId="1" shapeId="0" xr:uid="{088B37BD-6798-49B0-943E-75AFCDA72A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4" authorId="1" shapeId="0" xr:uid="{60542B56-3967-40C5-A278-872422B488AD}">
      <text/>
    </comment>
    <comment ref="C2655" authorId="1" shapeId="0" xr:uid="{BE117967-3BB3-4821-8064-53AC6407C10C}">
      <text>
        <r>
          <rPr>
            <sz val="11"/>
            <color theme="1"/>
            <rFont val="Calibri"/>
            <family val="2"/>
            <scheme val="minor"/>
          </rPr>
          <t>Introduzca la fecha prevista de adjudicación, en formato dd-mm-aaaa</t>
        </r>
      </text>
    </comment>
    <comment ref="F2655" authorId="1" shapeId="0" xr:uid="{11BF4709-ED08-4A0B-88A3-AF3BCACD6844}">
      <text/>
    </comment>
    <comment ref="F2656" authorId="1" shapeId="0" xr:uid="{0683B0A4-BEB3-49D7-A848-5DB6C2C7E630}">
      <text/>
    </comment>
    <comment ref="A2658" authorId="1" shapeId="0" xr:uid="{1DC7EDB0-2690-4C80-BB7D-9E6C34E57724}">
      <text>
        <r>
          <rPr>
            <sz val="11"/>
            <color theme="1"/>
            <rFont val="Calibri"/>
            <family val="2"/>
            <scheme val="minor"/>
          </rPr>
          <t>Introduzca un codigo UNSPSC</t>
        </r>
      </text>
    </comment>
    <comment ref="B2658" authorId="1" shapeId="0" xr:uid="{FAE0520E-6580-4F2B-94A5-01200E2A8614}">
      <text>
        <r>
          <rPr>
            <sz val="11"/>
            <color theme="1"/>
            <rFont val="Calibri"/>
            <family val="2"/>
            <scheme val="minor"/>
          </rPr>
          <t>Descripción calculada automáticamente a partir de código del artículo</t>
        </r>
      </text>
    </comment>
    <comment ref="C2658" authorId="1" shapeId="0" xr:uid="{52B3D38C-31FD-42AB-B903-E2CE22A3337F}">
      <text>
        <r>
          <rPr>
            <sz val="11"/>
            <color theme="1"/>
            <rFont val="Calibri"/>
            <family val="2"/>
            <scheme val="minor"/>
          </rPr>
          <t>Seleccione un valor de la lista</t>
        </r>
      </text>
    </comment>
    <comment ref="D2658" authorId="1" shapeId="0" xr:uid="{8F00ADF9-6E77-453A-98B1-C65726090D20}">
      <text>
        <r>
          <rPr>
            <sz val="11"/>
            <color theme="1"/>
            <rFont val="Calibri"/>
            <family val="2"/>
            <scheme val="minor"/>
          </rPr>
          <t>Introduzca un número con dos decimales como máximo. Debe ser igual o mayor a la "Cantidad Real Consumida"</t>
        </r>
      </text>
    </comment>
    <comment ref="E2658" authorId="1" shapeId="0" xr:uid="{1BF2E813-D79A-4327-824B-5FBAEECA42BC}">
      <text>
        <r>
          <rPr>
            <sz val="11"/>
            <color theme="1"/>
            <rFont val="Calibri"/>
            <family val="2"/>
            <scheme val="minor"/>
          </rPr>
          <t>Introduzca un número con dos decimales como máximo</t>
        </r>
      </text>
    </comment>
    <comment ref="F2658" authorId="1" shapeId="0" xr:uid="{1BF2A7CF-F555-4A51-A599-A9FDFFAA9D45}">
      <text>
        <r>
          <rPr>
            <sz val="11"/>
            <color theme="1"/>
            <rFont val="Calibri"/>
            <family val="2"/>
            <scheme val="minor"/>
          </rPr>
          <t>Monto calculado automáticamente por el sistema</t>
        </r>
      </text>
    </comment>
    <comment ref="A2663" authorId="1" shapeId="0" xr:uid="{AFAB2989-2D33-43D8-908D-6E7370FF1BD4}">
      <text>
        <r>
          <rPr>
            <sz val="11"/>
            <color theme="1"/>
            <rFont val="Calibri"/>
            <family val="2"/>
            <scheme val="minor"/>
          </rPr>
          <t>Introducir un texto con el nombre o referencia de la contratación</t>
        </r>
      </text>
    </comment>
    <comment ref="B2663" authorId="1" shapeId="0" xr:uid="{839CFDF4-CD90-4479-9DD1-D86086E08DD1}">
      <text>
        <r>
          <rPr>
            <sz val="11"/>
            <color theme="1"/>
            <rFont val="Calibri"/>
            <family val="2"/>
            <scheme val="minor"/>
          </rPr>
          <t>Introduzca un texto con la finalidad de la contratación</t>
        </r>
      </text>
    </comment>
    <comment ref="C2663" authorId="1" shapeId="0" xr:uid="{0DC588B4-24FF-4D74-8EB7-FA1E70AD6CA5}">
      <text>
        <r>
          <rPr>
            <sz val="11"/>
            <color theme="1"/>
            <rFont val="Calibri"/>
            <family val="2"/>
            <scheme val="minor"/>
          </rPr>
          <t>Seleccionar un valor del listado</t>
        </r>
      </text>
    </comment>
    <comment ref="D2663" authorId="1" shapeId="0" xr:uid="{7B79FBB1-0030-40FE-97A6-95F7B8601597}">
      <text>
        <r>
          <rPr>
            <sz val="11"/>
            <color theme="1"/>
            <rFont val="Calibri"/>
            <family val="2"/>
            <scheme val="minor"/>
          </rPr>
          <t>Seleccione el tipo de procedimiento</t>
        </r>
      </text>
    </comment>
    <comment ref="E2663" authorId="1" shapeId="0" xr:uid="{4F742889-3455-4749-8966-1021E9C6DED9}">
      <text>
        <r>
          <rPr>
            <sz val="11"/>
            <color theme="1"/>
            <rFont val="Calibri"/>
            <family val="2"/>
            <scheme val="minor"/>
          </rPr>
          <t>Seleccione un valor de la lista</t>
        </r>
      </text>
    </comment>
    <comment ref="F2663" authorId="1" shapeId="0" xr:uid="{D34068C7-0BAE-4A63-8922-453ED650409E}">
      <text>
        <r>
          <rPr>
            <sz val="11"/>
            <color theme="1"/>
            <rFont val="Calibri"/>
            <family val="2"/>
            <scheme val="minor"/>
          </rPr>
          <t>Introduzca el código SNIP</t>
        </r>
      </text>
    </comment>
    <comment ref="C2664" authorId="1" shapeId="0" xr:uid="{EA9BC39E-90D6-4432-8232-A11376E2A6C3}">
      <text>
        <r>
          <rPr>
            <sz val="11"/>
            <color theme="1"/>
            <rFont val="Calibri"/>
            <family val="2"/>
            <scheme val="minor"/>
          </rPr>
          <t>Introduzca la fecha de inicio del proceso, en formato dd-mm-aaaa</t>
        </r>
      </text>
    </comment>
    <comment ref="F2664" authorId="1" shapeId="0" xr:uid="{5956AD2E-24A5-4A28-8BF2-1338B3AF9B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5" authorId="1" shapeId="0" xr:uid="{161AE47A-B7DB-4EC0-ACF4-E6AD2ED86C18}">
      <text/>
    </comment>
    <comment ref="C2666" authorId="1" shapeId="0" xr:uid="{4FE1D22F-F058-4D9F-852A-96B9C47797A9}">
      <text>
        <r>
          <rPr>
            <sz val="11"/>
            <color theme="1"/>
            <rFont val="Calibri"/>
            <family val="2"/>
            <scheme val="minor"/>
          </rPr>
          <t>Introduzca la fecha prevista de adjudicación, en formato dd-mm-aaaa</t>
        </r>
      </text>
    </comment>
    <comment ref="F2666" authorId="1" shapeId="0" xr:uid="{79DFFFAA-422C-45A5-B272-8980B901A9DE}">
      <text/>
    </comment>
    <comment ref="F2667" authorId="1" shapeId="0" xr:uid="{ABEDC4F0-92BA-438B-849E-5E32D002003B}">
      <text/>
    </comment>
    <comment ref="A2669" authorId="1" shapeId="0" xr:uid="{7E08D3CE-7B92-4DC2-B430-6C7364014FA1}">
      <text>
        <r>
          <rPr>
            <sz val="11"/>
            <color theme="1"/>
            <rFont val="Calibri"/>
            <family val="2"/>
            <scheme val="minor"/>
          </rPr>
          <t>Introduzca un codigo UNSPSC</t>
        </r>
      </text>
    </comment>
    <comment ref="B2669" authorId="1" shapeId="0" xr:uid="{D908B066-21A1-4BC3-B08D-94029D5F0647}">
      <text>
        <r>
          <rPr>
            <sz val="11"/>
            <color theme="1"/>
            <rFont val="Calibri"/>
            <family val="2"/>
            <scheme val="minor"/>
          </rPr>
          <t>Descripción calculada automáticamente a partir de código del artículo</t>
        </r>
      </text>
    </comment>
    <comment ref="C2669" authorId="1" shapeId="0" xr:uid="{72833E1A-99C1-407C-B1F6-22B5ED8A5D17}">
      <text>
        <r>
          <rPr>
            <sz val="11"/>
            <color theme="1"/>
            <rFont val="Calibri"/>
            <family val="2"/>
            <scheme val="minor"/>
          </rPr>
          <t>Seleccione un valor de la lista</t>
        </r>
      </text>
    </comment>
    <comment ref="D2669" authorId="1" shapeId="0" xr:uid="{0C984478-8085-421C-8C4C-E87AE7D635AB}">
      <text>
        <r>
          <rPr>
            <sz val="11"/>
            <color theme="1"/>
            <rFont val="Calibri"/>
            <family val="2"/>
            <scheme val="minor"/>
          </rPr>
          <t>Introduzca un número con dos decimales como máximo. Debe ser igual o mayor a la "Cantidad Real Consumida"</t>
        </r>
      </text>
    </comment>
    <comment ref="E2669" authorId="1" shapeId="0" xr:uid="{FBC0D666-DCE9-4FAA-A6C8-97EDB0C652E3}">
      <text>
        <r>
          <rPr>
            <sz val="11"/>
            <color theme="1"/>
            <rFont val="Calibri"/>
            <family val="2"/>
            <scheme val="minor"/>
          </rPr>
          <t>Introduzca un número con dos decimales como máximo</t>
        </r>
      </text>
    </comment>
    <comment ref="F2669" authorId="1" shapeId="0" xr:uid="{EDC2C2CA-D15A-4A2C-82A3-62CDB776C9AB}">
      <text>
        <r>
          <rPr>
            <sz val="11"/>
            <color theme="1"/>
            <rFont val="Calibri"/>
            <family val="2"/>
            <scheme val="minor"/>
          </rPr>
          <t>Monto calculado automáticamente por el sistema</t>
        </r>
      </text>
    </comment>
    <comment ref="A2675" authorId="1" shapeId="0" xr:uid="{88075089-A14B-4F8C-887D-EF88D9A552CF}">
      <text>
        <r>
          <rPr>
            <sz val="11"/>
            <color theme="1"/>
            <rFont val="Calibri"/>
            <family val="2"/>
            <scheme val="minor"/>
          </rPr>
          <t>Introducir un texto con el nombre o referencia de la contratación</t>
        </r>
      </text>
    </comment>
    <comment ref="B2675" authorId="1" shapeId="0" xr:uid="{A1BED231-CD65-4D1F-A926-B88806EF621D}">
      <text>
        <r>
          <rPr>
            <sz val="11"/>
            <color theme="1"/>
            <rFont val="Calibri"/>
            <family val="2"/>
            <scheme val="minor"/>
          </rPr>
          <t>Introduzca un texto con la finalidad de la contratación</t>
        </r>
      </text>
    </comment>
    <comment ref="C2675" authorId="1" shapeId="0" xr:uid="{0A6A10B4-191A-47C0-ACCD-BB72AC3027A2}">
      <text>
        <r>
          <rPr>
            <sz val="11"/>
            <color theme="1"/>
            <rFont val="Calibri"/>
            <family val="2"/>
            <scheme val="minor"/>
          </rPr>
          <t>Seleccionar un valor del listado</t>
        </r>
      </text>
    </comment>
    <comment ref="D2675" authorId="1" shapeId="0" xr:uid="{7311F79A-4755-49E6-8C56-D1F283F2A08A}">
      <text>
        <r>
          <rPr>
            <sz val="11"/>
            <color theme="1"/>
            <rFont val="Calibri"/>
            <family val="2"/>
            <scheme val="minor"/>
          </rPr>
          <t>Seleccione el tipo de procedimiento</t>
        </r>
      </text>
    </comment>
    <comment ref="E2675" authorId="1" shapeId="0" xr:uid="{9362C93C-5921-49B2-9988-14C2B53E6113}">
      <text>
        <r>
          <rPr>
            <sz val="11"/>
            <color theme="1"/>
            <rFont val="Calibri"/>
            <family val="2"/>
            <scheme val="minor"/>
          </rPr>
          <t>Seleccione un valor de la lista</t>
        </r>
      </text>
    </comment>
    <comment ref="F2675" authorId="1" shapeId="0" xr:uid="{4890017D-AF01-4897-BD9A-E960EE599AC9}">
      <text>
        <r>
          <rPr>
            <sz val="11"/>
            <color theme="1"/>
            <rFont val="Calibri"/>
            <family val="2"/>
            <scheme val="minor"/>
          </rPr>
          <t>Introduzca el código SNIP</t>
        </r>
      </text>
    </comment>
    <comment ref="C2676" authorId="1" shapeId="0" xr:uid="{C15FBBDE-A127-426F-85BE-9C30C6D4181F}">
      <text>
        <r>
          <rPr>
            <sz val="11"/>
            <color theme="1"/>
            <rFont val="Calibri"/>
            <family val="2"/>
            <scheme val="minor"/>
          </rPr>
          <t>Introduzca la fecha de inicio del proceso, en formato dd-mm-aaaa</t>
        </r>
      </text>
    </comment>
    <comment ref="F2676" authorId="1" shapeId="0" xr:uid="{9A2E426B-FFA3-4E18-B04F-2A7379C598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7" authorId="1" shapeId="0" xr:uid="{2D5D9A8F-A87B-4755-97C6-32B40266879F}">
      <text/>
    </comment>
    <comment ref="C2678" authorId="1" shapeId="0" xr:uid="{AD3B294F-0FFE-49FA-894E-DA705566F3B1}">
      <text>
        <r>
          <rPr>
            <sz val="11"/>
            <color theme="1"/>
            <rFont val="Calibri"/>
            <family val="2"/>
            <scheme val="minor"/>
          </rPr>
          <t>Introduzca la fecha prevista de adjudicación, en formato dd-mm-aaaa</t>
        </r>
      </text>
    </comment>
    <comment ref="F2678" authorId="1" shapeId="0" xr:uid="{607C5593-3E4E-47F8-9E06-58EB643BD378}">
      <text/>
    </comment>
    <comment ref="F2679" authorId="1" shapeId="0" xr:uid="{43207171-01A1-4377-92C2-04850479FFE4}">
      <text/>
    </comment>
    <comment ref="A2681" authorId="1" shapeId="0" xr:uid="{3D8A19A4-5B68-4E2C-A2DE-814DB1862B3A}">
      <text>
        <r>
          <rPr>
            <sz val="11"/>
            <color theme="1"/>
            <rFont val="Calibri"/>
            <family val="2"/>
            <scheme val="minor"/>
          </rPr>
          <t>Introduzca un codigo UNSPSC</t>
        </r>
      </text>
    </comment>
    <comment ref="B2681" authorId="1" shapeId="0" xr:uid="{A27AA1AC-F5D2-4367-9E06-568F61D6AF32}">
      <text>
        <r>
          <rPr>
            <sz val="11"/>
            <color theme="1"/>
            <rFont val="Calibri"/>
            <family val="2"/>
            <scheme val="minor"/>
          </rPr>
          <t>Descripción calculada automáticamente a partir de código del artículo</t>
        </r>
      </text>
    </comment>
    <comment ref="C2681" authorId="1" shapeId="0" xr:uid="{B8823176-6B28-436A-B6F1-5B0F07EDC56C}">
      <text>
        <r>
          <rPr>
            <sz val="11"/>
            <color theme="1"/>
            <rFont val="Calibri"/>
            <family val="2"/>
            <scheme val="minor"/>
          </rPr>
          <t>Seleccione un valor de la lista</t>
        </r>
      </text>
    </comment>
    <comment ref="D2681" authorId="1" shapeId="0" xr:uid="{4F64C3E4-CFA0-4F8B-98F4-973A541D921A}">
      <text>
        <r>
          <rPr>
            <sz val="11"/>
            <color theme="1"/>
            <rFont val="Calibri"/>
            <family val="2"/>
            <scheme val="minor"/>
          </rPr>
          <t>Introduzca un número con dos decimales como máximo. Debe ser igual o mayor a la "Cantidad Real Consumida"</t>
        </r>
      </text>
    </comment>
    <comment ref="E2681" authorId="1" shapeId="0" xr:uid="{B38D0359-5D1C-40DD-98BE-3F20E14D5D63}">
      <text>
        <r>
          <rPr>
            <sz val="11"/>
            <color theme="1"/>
            <rFont val="Calibri"/>
            <family val="2"/>
            <scheme val="minor"/>
          </rPr>
          <t>Introduzca un número con dos decimales como máximo</t>
        </r>
      </text>
    </comment>
    <comment ref="F2681" authorId="1" shapeId="0" xr:uid="{F5E38D60-1236-4802-874E-51E6A27A3C45}">
      <text>
        <r>
          <rPr>
            <sz val="11"/>
            <color theme="1"/>
            <rFont val="Calibri"/>
            <family val="2"/>
            <scheme val="minor"/>
          </rPr>
          <t>Monto calculado automáticamente por el sistema</t>
        </r>
      </text>
    </comment>
    <comment ref="A2686" authorId="1" shapeId="0" xr:uid="{CB8C097B-356E-4BFF-8ECB-A43451B74FC9}">
      <text>
        <r>
          <rPr>
            <sz val="11"/>
            <color theme="1"/>
            <rFont val="Calibri"/>
            <family val="2"/>
            <scheme val="minor"/>
          </rPr>
          <t>Introducir un texto con el nombre o referencia de la contratación</t>
        </r>
      </text>
    </comment>
    <comment ref="B2686" authorId="1" shapeId="0" xr:uid="{C858AE54-9C48-4419-B4C7-224274E3DF77}">
      <text>
        <r>
          <rPr>
            <sz val="11"/>
            <color theme="1"/>
            <rFont val="Calibri"/>
            <family val="2"/>
            <scheme val="minor"/>
          </rPr>
          <t>Introduzca un texto con la finalidad de la contratación</t>
        </r>
      </text>
    </comment>
    <comment ref="C2686" authorId="1" shapeId="0" xr:uid="{69E56AAF-8C04-4C03-92D1-F00FD3B06CC9}">
      <text>
        <r>
          <rPr>
            <sz val="11"/>
            <color theme="1"/>
            <rFont val="Calibri"/>
            <family val="2"/>
            <scheme val="minor"/>
          </rPr>
          <t>Seleccionar un valor del listado</t>
        </r>
      </text>
    </comment>
    <comment ref="D2686" authorId="1" shapeId="0" xr:uid="{8D29564A-2947-4166-9DB5-2B4E7CD46110}">
      <text>
        <r>
          <rPr>
            <sz val="11"/>
            <color theme="1"/>
            <rFont val="Calibri"/>
            <family val="2"/>
            <scheme val="minor"/>
          </rPr>
          <t>Seleccione el tipo de procedimiento</t>
        </r>
      </text>
    </comment>
    <comment ref="E2686" authorId="1" shapeId="0" xr:uid="{214FB656-6546-4D57-B9E3-73119BDA2626}">
      <text>
        <r>
          <rPr>
            <sz val="11"/>
            <color theme="1"/>
            <rFont val="Calibri"/>
            <family val="2"/>
            <scheme val="minor"/>
          </rPr>
          <t>Seleccione un valor de la lista</t>
        </r>
      </text>
    </comment>
    <comment ref="F2686" authorId="1" shapeId="0" xr:uid="{FC879A51-4EF4-495E-A979-A3D3BB0AC92A}">
      <text>
        <r>
          <rPr>
            <sz val="11"/>
            <color theme="1"/>
            <rFont val="Calibri"/>
            <family val="2"/>
            <scheme val="minor"/>
          </rPr>
          <t>Introduzca el código SNIP</t>
        </r>
      </text>
    </comment>
    <comment ref="C2687" authorId="1" shapeId="0" xr:uid="{84D726DD-AA56-45E2-AD6A-493AD7D5E359}">
      <text>
        <r>
          <rPr>
            <sz val="11"/>
            <color theme="1"/>
            <rFont val="Calibri"/>
            <family val="2"/>
            <scheme val="minor"/>
          </rPr>
          <t>Introduzca la fecha de inicio del proceso, en formato dd-mm-aaaa</t>
        </r>
      </text>
    </comment>
    <comment ref="F2687" authorId="1" shapeId="0" xr:uid="{75A87EDF-0252-4EEF-927D-7F8954D941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8" authorId="1" shapeId="0" xr:uid="{FE1257D8-6860-49A3-9E43-3BD824C03D7B}">
      <text/>
    </comment>
    <comment ref="C2689" authorId="1" shapeId="0" xr:uid="{86B97A9C-7552-4869-AE8F-C862C9F6B377}">
      <text>
        <r>
          <rPr>
            <sz val="11"/>
            <color theme="1"/>
            <rFont val="Calibri"/>
            <family val="2"/>
            <scheme val="minor"/>
          </rPr>
          <t>Introduzca la fecha prevista de adjudicación, en formato dd-mm-aaaa</t>
        </r>
      </text>
    </comment>
    <comment ref="F2689" authorId="1" shapeId="0" xr:uid="{CA9EE2B9-575C-4F67-A9D6-6717C44AFDE5}">
      <text/>
    </comment>
    <comment ref="F2690" authorId="1" shapeId="0" xr:uid="{6368071F-AA22-472C-A456-8FE9F48E0D53}">
      <text/>
    </comment>
    <comment ref="A2692" authorId="1" shapeId="0" xr:uid="{6DB95B1B-5BE9-4F41-8461-61CEF1B59D7E}">
      <text>
        <r>
          <rPr>
            <sz val="11"/>
            <color theme="1"/>
            <rFont val="Calibri"/>
            <family val="2"/>
            <scheme val="minor"/>
          </rPr>
          <t>Introduzca un codigo UNSPSC</t>
        </r>
      </text>
    </comment>
    <comment ref="B2692" authorId="1" shapeId="0" xr:uid="{3D980739-964D-44E6-9161-52DBD355BED9}">
      <text>
        <r>
          <rPr>
            <sz val="11"/>
            <color theme="1"/>
            <rFont val="Calibri"/>
            <family val="2"/>
            <scheme val="minor"/>
          </rPr>
          <t>Descripción calculada automáticamente a partir de código del artículo</t>
        </r>
      </text>
    </comment>
    <comment ref="C2692" authorId="1" shapeId="0" xr:uid="{D2B17EF8-00DC-4C3E-91B8-2A18FF1D8341}">
      <text>
        <r>
          <rPr>
            <sz val="11"/>
            <color theme="1"/>
            <rFont val="Calibri"/>
            <family val="2"/>
            <scheme val="minor"/>
          </rPr>
          <t>Seleccione un valor de la lista</t>
        </r>
      </text>
    </comment>
    <comment ref="D2692" authorId="1" shapeId="0" xr:uid="{E9F45B20-58E1-4FE6-9D17-5E2668B99838}">
      <text>
        <r>
          <rPr>
            <sz val="11"/>
            <color theme="1"/>
            <rFont val="Calibri"/>
            <family val="2"/>
            <scheme val="minor"/>
          </rPr>
          <t>Introduzca un número con dos decimales como máximo. Debe ser igual o mayor a la "Cantidad Real Consumida"</t>
        </r>
      </text>
    </comment>
    <comment ref="E2692" authorId="1" shapeId="0" xr:uid="{F4B5609F-8CCB-4C13-86A5-FB12926BCA48}">
      <text>
        <r>
          <rPr>
            <sz val="11"/>
            <color theme="1"/>
            <rFont val="Calibri"/>
            <family val="2"/>
            <scheme val="minor"/>
          </rPr>
          <t>Introduzca un número con dos decimales como máximo</t>
        </r>
      </text>
    </comment>
    <comment ref="F2692" authorId="1" shapeId="0" xr:uid="{ECFB9B7C-3FB0-416A-B0B2-61AB542145E5}">
      <text>
        <r>
          <rPr>
            <sz val="11"/>
            <color theme="1"/>
            <rFont val="Calibri"/>
            <family val="2"/>
            <scheme val="minor"/>
          </rPr>
          <t>Monto calculado automáticamente por el sistema</t>
        </r>
      </text>
    </comment>
    <comment ref="A2697" authorId="1" shapeId="0" xr:uid="{C959F220-8AF2-4898-B265-04F6D1175CAA}">
      <text>
        <r>
          <rPr>
            <sz val="11"/>
            <color theme="1"/>
            <rFont val="Calibri"/>
            <family val="2"/>
            <scheme val="minor"/>
          </rPr>
          <t>Introducir un texto con el nombre o referencia de la contratación</t>
        </r>
      </text>
    </comment>
    <comment ref="B2697" authorId="1" shapeId="0" xr:uid="{0A046A91-A210-4A91-9F1B-81D20C09A90C}">
      <text>
        <r>
          <rPr>
            <sz val="11"/>
            <color theme="1"/>
            <rFont val="Calibri"/>
            <family val="2"/>
            <scheme val="minor"/>
          </rPr>
          <t>Introduzca un texto con la finalidad de la contratación</t>
        </r>
      </text>
    </comment>
    <comment ref="C2697" authorId="1" shapeId="0" xr:uid="{144000A3-EDB3-4CED-A1C4-7377DBD92777}">
      <text>
        <r>
          <rPr>
            <sz val="11"/>
            <color theme="1"/>
            <rFont val="Calibri"/>
            <family val="2"/>
            <scheme val="minor"/>
          </rPr>
          <t>Seleccionar un valor del listado</t>
        </r>
      </text>
    </comment>
    <comment ref="D2697" authorId="1" shapeId="0" xr:uid="{BCCF75DF-A9C3-4DCF-AB0D-9C4978128CB3}">
      <text>
        <r>
          <rPr>
            <sz val="11"/>
            <color theme="1"/>
            <rFont val="Calibri"/>
            <family val="2"/>
            <scheme val="minor"/>
          </rPr>
          <t>Seleccione el tipo de procedimiento</t>
        </r>
      </text>
    </comment>
    <comment ref="E2697" authorId="1" shapeId="0" xr:uid="{A7A638BA-7698-43BC-9059-995B98D63033}">
      <text>
        <r>
          <rPr>
            <sz val="11"/>
            <color theme="1"/>
            <rFont val="Calibri"/>
            <family val="2"/>
            <scheme val="minor"/>
          </rPr>
          <t>Seleccione un valor de la lista</t>
        </r>
      </text>
    </comment>
    <comment ref="F2697" authorId="1" shapeId="0" xr:uid="{C930AEE0-D5CA-455F-8A26-12D8D2305868}">
      <text>
        <r>
          <rPr>
            <sz val="11"/>
            <color theme="1"/>
            <rFont val="Calibri"/>
            <family val="2"/>
            <scheme val="minor"/>
          </rPr>
          <t>Introduzca el código SNIP</t>
        </r>
      </text>
    </comment>
    <comment ref="C2698" authorId="1" shapeId="0" xr:uid="{8E029452-E6CA-4CF3-B701-E0F903098489}">
      <text>
        <r>
          <rPr>
            <sz val="11"/>
            <color theme="1"/>
            <rFont val="Calibri"/>
            <family val="2"/>
            <scheme val="minor"/>
          </rPr>
          <t>Introduzca la fecha de inicio del proceso, en formato dd-mm-aaaa</t>
        </r>
      </text>
    </comment>
    <comment ref="F2698" authorId="1" shapeId="0" xr:uid="{F51FD480-CD37-4F3E-8480-0282805549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9" authorId="1" shapeId="0" xr:uid="{D1DCA7E0-08A7-45D8-98BB-F3BA7FA48F35}">
      <text/>
    </comment>
    <comment ref="C2700" authorId="1" shapeId="0" xr:uid="{A4B9A4BD-FEA8-400E-9AD4-EC60746BD914}">
      <text>
        <r>
          <rPr>
            <sz val="11"/>
            <color theme="1"/>
            <rFont val="Calibri"/>
            <family val="2"/>
            <scheme val="minor"/>
          </rPr>
          <t>Introduzca la fecha prevista de adjudicación, en formato dd-mm-aaaa</t>
        </r>
      </text>
    </comment>
    <comment ref="F2700" authorId="1" shapeId="0" xr:uid="{5E79E7B9-7271-4F08-AD40-6D00D226A166}">
      <text/>
    </comment>
    <comment ref="F2701" authorId="1" shapeId="0" xr:uid="{1E4129D2-1955-4183-8E68-569388884357}">
      <text/>
    </comment>
    <comment ref="A2703" authorId="1" shapeId="0" xr:uid="{0B86B861-7232-4FAE-AACD-F22FB02ADFCE}">
      <text>
        <r>
          <rPr>
            <sz val="11"/>
            <color theme="1"/>
            <rFont val="Calibri"/>
            <family val="2"/>
            <scheme val="minor"/>
          </rPr>
          <t>Introduzca un codigo UNSPSC</t>
        </r>
      </text>
    </comment>
    <comment ref="B2703" authorId="1" shapeId="0" xr:uid="{238C4883-120D-4513-95A3-FDDF931CF55E}">
      <text>
        <r>
          <rPr>
            <sz val="11"/>
            <color theme="1"/>
            <rFont val="Calibri"/>
            <family val="2"/>
            <scheme val="minor"/>
          </rPr>
          <t>Descripción calculada automáticamente a partir de código del artículo</t>
        </r>
      </text>
    </comment>
    <comment ref="C2703" authorId="1" shapeId="0" xr:uid="{4E8BECC1-B4A3-48FB-B192-F094FCBB7E77}">
      <text>
        <r>
          <rPr>
            <sz val="11"/>
            <color theme="1"/>
            <rFont val="Calibri"/>
            <family val="2"/>
            <scheme val="minor"/>
          </rPr>
          <t>Seleccione un valor de la lista</t>
        </r>
      </text>
    </comment>
    <comment ref="D2703" authorId="1" shapeId="0" xr:uid="{539AA470-E501-4267-AF7F-4CA2FD0FC0D9}">
      <text>
        <r>
          <rPr>
            <sz val="11"/>
            <color theme="1"/>
            <rFont val="Calibri"/>
            <family val="2"/>
            <scheme val="minor"/>
          </rPr>
          <t>Introduzca un número con dos decimales como máximo. Debe ser igual o mayor a la "Cantidad Real Consumida"</t>
        </r>
      </text>
    </comment>
    <comment ref="E2703" authorId="1" shapeId="0" xr:uid="{8B9851DB-C910-4CAB-AB64-F3EAD85B4F62}">
      <text>
        <r>
          <rPr>
            <sz val="11"/>
            <color theme="1"/>
            <rFont val="Calibri"/>
            <family val="2"/>
            <scheme val="minor"/>
          </rPr>
          <t>Introduzca un número con dos decimales como máximo</t>
        </r>
      </text>
    </comment>
    <comment ref="F2703" authorId="1" shapeId="0" xr:uid="{891C55D9-BFB0-4E69-ACDC-B9C09AE13E89}">
      <text>
        <r>
          <rPr>
            <sz val="11"/>
            <color theme="1"/>
            <rFont val="Calibri"/>
            <family val="2"/>
            <scheme val="minor"/>
          </rPr>
          <t>Monto calculado automáticamente por el sistema</t>
        </r>
      </text>
    </comment>
    <comment ref="A2708" authorId="1" shapeId="0" xr:uid="{C6A3DCEA-B146-40F9-BFCD-C097CDD6D34C}">
      <text>
        <r>
          <rPr>
            <sz val="11"/>
            <color theme="1"/>
            <rFont val="Calibri"/>
            <family val="2"/>
            <scheme val="minor"/>
          </rPr>
          <t>Introducir un texto con el nombre o referencia de la contratación</t>
        </r>
      </text>
    </comment>
    <comment ref="B2708" authorId="1" shapeId="0" xr:uid="{FF51A9E4-FCCC-4288-A7F8-B0D82BB82DD3}">
      <text>
        <r>
          <rPr>
            <sz val="11"/>
            <color theme="1"/>
            <rFont val="Calibri"/>
            <family val="2"/>
            <scheme val="minor"/>
          </rPr>
          <t>Introduzca un texto con la finalidad de la contratación</t>
        </r>
      </text>
    </comment>
    <comment ref="C2708" authorId="1" shapeId="0" xr:uid="{CC1E043D-1A52-420F-A64A-793857FDD3C7}">
      <text>
        <r>
          <rPr>
            <sz val="11"/>
            <color theme="1"/>
            <rFont val="Calibri"/>
            <family val="2"/>
            <scheme val="minor"/>
          </rPr>
          <t>Seleccionar un valor del listado</t>
        </r>
      </text>
    </comment>
    <comment ref="D2708" authorId="1" shapeId="0" xr:uid="{878E9CCB-9F9F-41AB-9D09-908FF0CDEE19}">
      <text>
        <r>
          <rPr>
            <sz val="11"/>
            <color theme="1"/>
            <rFont val="Calibri"/>
            <family val="2"/>
            <scheme val="minor"/>
          </rPr>
          <t>Seleccione el tipo de procedimiento</t>
        </r>
      </text>
    </comment>
    <comment ref="E2708" authorId="1" shapeId="0" xr:uid="{790589DB-FD21-4231-912A-DCC35F5AEDE5}">
      <text>
        <r>
          <rPr>
            <sz val="11"/>
            <color theme="1"/>
            <rFont val="Calibri"/>
            <family val="2"/>
            <scheme val="minor"/>
          </rPr>
          <t>Seleccione un valor de la lista</t>
        </r>
      </text>
    </comment>
    <comment ref="F2708" authorId="1" shapeId="0" xr:uid="{8E5EDA98-A743-486C-A16F-32116AC3F765}">
      <text>
        <r>
          <rPr>
            <sz val="11"/>
            <color theme="1"/>
            <rFont val="Calibri"/>
            <family val="2"/>
            <scheme val="minor"/>
          </rPr>
          <t>Introduzca el código SNIP</t>
        </r>
      </text>
    </comment>
    <comment ref="C2709" authorId="1" shapeId="0" xr:uid="{4B33C1BF-7FA9-44D1-89E9-7E9430846BCB}">
      <text>
        <r>
          <rPr>
            <sz val="11"/>
            <color theme="1"/>
            <rFont val="Calibri"/>
            <family val="2"/>
            <scheme val="minor"/>
          </rPr>
          <t>Introduzca la fecha de inicio del proceso, en formato dd-mm-aaaa</t>
        </r>
      </text>
    </comment>
    <comment ref="F2709" authorId="1" shapeId="0" xr:uid="{48A6940F-B969-4718-B2D9-9285374B97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0" authorId="1" shapeId="0" xr:uid="{EE9AE24A-71CD-495F-AA99-0031ADF21989}">
      <text/>
    </comment>
    <comment ref="C2711" authorId="1" shapeId="0" xr:uid="{4F7E1CE1-B79F-4313-8C81-127385E0E895}">
      <text>
        <r>
          <rPr>
            <sz val="11"/>
            <color theme="1"/>
            <rFont val="Calibri"/>
            <family val="2"/>
            <scheme val="minor"/>
          </rPr>
          <t>Introduzca la fecha prevista de adjudicación, en formato dd-mm-aaaa</t>
        </r>
      </text>
    </comment>
    <comment ref="F2711" authorId="1" shapeId="0" xr:uid="{39A69DC7-6653-49B9-8D05-C4FA3564238A}">
      <text/>
    </comment>
    <comment ref="F2712" authorId="1" shapeId="0" xr:uid="{051441EB-4368-4796-A661-EE2DB919C71F}">
      <text/>
    </comment>
    <comment ref="A2714" authorId="1" shapeId="0" xr:uid="{AC139B77-F66F-4837-A79E-5FAADDCBD826}">
      <text>
        <r>
          <rPr>
            <sz val="11"/>
            <color theme="1"/>
            <rFont val="Calibri"/>
            <family val="2"/>
            <scheme val="minor"/>
          </rPr>
          <t>Introduzca un codigo UNSPSC</t>
        </r>
      </text>
    </comment>
    <comment ref="B2714" authorId="1" shapeId="0" xr:uid="{6762CF62-71CC-48C0-A262-76B1B8DFCC15}">
      <text>
        <r>
          <rPr>
            <sz val="11"/>
            <color theme="1"/>
            <rFont val="Calibri"/>
            <family val="2"/>
            <scheme val="minor"/>
          </rPr>
          <t>Descripción calculada automáticamente a partir de código del artículo</t>
        </r>
      </text>
    </comment>
    <comment ref="C2714" authorId="1" shapeId="0" xr:uid="{6F429495-7C80-45C3-B2BC-E79C07C681A2}">
      <text>
        <r>
          <rPr>
            <sz val="11"/>
            <color theme="1"/>
            <rFont val="Calibri"/>
            <family val="2"/>
            <scheme val="minor"/>
          </rPr>
          <t>Seleccione un valor de la lista</t>
        </r>
      </text>
    </comment>
    <comment ref="D2714" authorId="1" shapeId="0" xr:uid="{F5992ECF-4317-4A61-B3D2-CB42913FC172}">
      <text>
        <r>
          <rPr>
            <sz val="11"/>
            <color theme="1"/>
            <rFont val="Calibri"/>
            <family val="2"/>
            <scheme val="minor"/>
          </rPr>
          <t>Introduzca un número con dos decimales como máximo. Debe ser igual o mayor a la "Cantidad Real Consumida"</t>
        </r>
      </text>
    </comment>
    <comment ref="E2714" authorId="1" shapeId="0" xr:uid="{10CD65AF-8C73-433C-9C24-63AD16C684C8}">
      <text>
        <r>
          <rPr>
            <sz val="11"/>
            <color theme="1"/>
            <rFont val="Calibri"/>
            <family val="2"/>
            <scheme val="minor"/>
          </rPr>
          <t>Introduzca un número con dos decimales como máximo</t>
        </r>
      </text>
    </comment>
    <comment ref="F2714" authorId="1" shapeId="0" xr:uid="{3F753313-6E02-44BF-8A12-98039349295A}">
      <text>
        <r>
          <rPr>
            <sz val="11"/>
            <color theme="1"/>
            <rFont val="Calibri"/>
            <family val="2"/>
            <scheme val="minor"/>
          </rPr>
          <t>Monto calculado automáticamente por el sistema</t>
        </r>
      </text>
    </comment>
    <comment ref="A2729" authorId="1" shapeId="0" xr:uid="{895E2083-4C83-49B3-B0F4-5D6A31F0A230}">
      <text>
        <r>
          <rPr>
            <sz val="11"/>
            <color theme="1"/>
            <rFont val="Calibri"/>
            <family val="2"/>
            <scheme val="minor"/>
          </rPr>
          <t>Introducir un texto con el nombre o referencia de la contratación</t>
        </r>
      </text>
    </comment>
    <comment ref="B2729" authorId="1" shapeId="0" xr:uid="{4B5C35F6-7DE1-4127-9BC8-CE4435EC88F1}">
      <text>
        <r>
          <rPr>
            <sz val="11"/>
            <color theme="1"/>
            <rFont val="Calibri"/>
            <family val="2"/>
            <scheme val="minor"/>
          </rPr>
          <t>Introduzca un texto con la finalidad de la contratación</t>
        </r>
      </text>
    </comment>
    <comment ref="C2729" authorId="1" shapeId="0" xr:uid="{5B47DEE6-8EE8-4E5A-94B6-E7507C279EC5}">
      <text>
        <r>
          <rPr>
            <sz val="11"/>
            <color theme="1"/>
            <rFont val="Calibri"/>
            <family val="2"/>
            <scheme val="minor"/>
          </rPr>
          <t>Seleccionar un valor del listado</t>
        </r>
      </text>
    </comment>
    <comment ref="D2729" authorId="1" shapeId="0" xr:uid="{71B8FF33-84EB-45C0-BFEC-21CD85888958}">
      <text>
        <r>
          <rPr>
            <sz val="11"/>
            <color theme="1"/>
            <rFont val="Calibri"/>
            <family val="2"/>
            <scheme val="minor"/>
          </rPr>
          <t>Seleccione el tipo de procedimiento</t>
        </r>
      </text>
    </comment>
    <comment ref="E2729" authorId="1" shapeId="0" xr:uid="{9DF0407D-A41C-4B27-8CBC-0A4C7569360B}">
      <text>
        <r>
          <rPr>
            <sz val="11"/>
            <color theme="1"/>
            <rFont val="Calibri"/>
            <family val="2"/>
            <scheme val="minor"/>
          </rPr>
          <t>Seleccione un valor de la lista</t>
        </r>
      </text>
    </comment>
    <comment ref="F2729" authorId="1" shapeId="0" xr:uid="{BF2D785F-2EDA-4EEB-B839-E43F24EBB447}">
      <text>
        <r>
          <rPr>
            <sz val="11"/>
            <color theme="1"/>
            <rFont val="Calibri"/>
            <family val="2"/>
            <scheme val="minor"/>
          </rPr>
          <t>Introduzca el código SNIP</t>
        </r>
      </text>
    </comment>
    <comment ref="C2730" authorId="1" shapeId="0" xr:uid="{B13294CE-F880-4600-9D50-A8D15A89AE06}">
      <text>
        <r>
          <rPr>
            <sz val="11"/>
            <color theme="1"/>
            <rFont val="Calibri"/>
            <family val="2"/>
            <scheme val="minor"/>
          </rPr>
          <t>Introduzca la fecha de inicio del proceso, en formato dd-mm-aaaa</t>
        </r>
      </text>
    </comment>
    <comment ref="F2730" authorId="1" shapeId="0" xr:uid="{611D55A3-7067-442F-8586-863A1F1EF7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1" authorId="1" shapeId="0" xr:uid="{D5182013-4F7B-48D0-8785-4D0BFE3A401D}">
      <text/>
    </comment>
    <comment ref="C2732" authorId="1" shapeId="0" xr:uid="{4A46722C-E67D-401E-BD87-931696F99BB3}">
      <text>
        <r>
          <rPr>
            <sz val="11"/>
            <color theme="1"/>
            <rFont val="Calibri"/>
            <family val="2"/>
            <scheme val="minor"/>
          </rPr>
          <t>Introduzca la fecha prevista de adjudicación, en formato dd-mm-aaaa</t>
        </r>
      </text>
    </comment>
    <comment ref="F2732" authorId="1" shapeId="0" xr:uid="{49C717F1-3E8D-459F-A088-A972D79188E2}">
      <text/>
    </comment>
    <comment ref="F2733" authorId="1" shapeId="0" xr:uid="{F699E356-41CC-408B-94DA-00CECFEB5777}">
      <text/>
    </comment>
    <comment ref="A2735" authorId="1" shapeId="0" xr:uid="{FCA6AEBF-7823-4963-A505-F011CBECF470}">
      <text>
        <r>
          <rPr>
            <sz val="11"/>
            <color theme="1"/>
            <rFont val="Calibri"/>
            <family val="2"/>
            <scheme val="minor"/>
          </rPr>
          <t>Introduzca un codigo UNSPSC</t>
        </r>
      </text>
    </comment>
    <comment ref="B2735" authorId="1" shapeId="0" xr:uid="{17BD419C-2886-4AAA-A510-E7163C553991}">
      <text>
        <r>
          <rPr>
            <sz val="11"/>
            <color theme="1"/>
            <rFont val="Calibri"/>
            <family val="2"/>
            <scheme val="minor"/>
          </rPr>
          <t>Descripción calculada automáticamente a partir de código del artículo</t>
        </r>
      </text>
    </comment>
    <comment ref="C2735" authorId="1" shapeId="0" xr:uid="{5D49A643-3B6D-4950-B68F-2ACF9E1F830E}">
      <text>
        <r>
          <rPr>
            <sz val="11"/>
            <color theme="1"/>
            <rFont val="Calibri"/>
            <family val="2"/>
            <scheme val="minor"/>
          </rPr>
          <t>Seleccione un valor de la lista</t>
        </r>
      </text>
    </comment>
    <comment ref="D2735" authorId="1" shapeId="0" xr:uid="{4A4612C9-4D87-4827-9FC5-2E1F53685122}">
      <text>
        <r>
          <rPr>
            <sz val="11"/>
            <color theme="1"/>
            <rFont val="Calibri"/>
            <family val="2"/>
            <scheme val="minor"/>
          </rPr>
          <t>Introduzca un número con dos decimales como máximo. Debe ser igual o mayor a la "Cantidad Real Consumida"</t>
        </r>
      </text>
    </comment>
    <comment ref="E2735" authorId="1" shapeId="0" xr:uid="{FA6A37D2-9680-4438-B620-ED1A784FB1CA}">
      <text>
        <r>
          <rPr>
            <sz val="11"/>
            <color theme="1"/>
            <rFont val="Calibri"/>
            <family val="2"/>
            <scheme val="minor"/>
          </rPr>
          <t>Introduzca un número con dos decimales como máximo</t>
        </r>
      </text>
    </comment>
    <comment ref="F2735" authorId="1" shapeId="0" xr:uid="{F5B08CC5-CD7D-4981-96A7-700FBD2CBCF1}">
      <text>
        <r>
          <rPr>
            <sz val="11"/>
            <color theme="1"/>
            <rFont val="Calibri"/>
            <family val="2"/>
            <scheme val="minor"/>
          </rPr>
          <t>Monto calculado automáticamente por el sistema</t>
        </r>
      </text>
    </comment>
    <comment ref="A2740" authorId="1" shapeId="0" xr:uid="{2F17AFD5-2974-419F-96AB-96D952E78893}">
      <text>
        <r>
          <rPr>
            <sz val="11"/>
            <color theme="1"/>
            <rFont val="Calibri"/>
            <family val="2"/>
            <scheme val="minor"/>
          </rPr>
          <t>Introducir un texto con el nombre o referencia de la contratación</t>
        </r>
      </text>
    </comment>
    <comment ref="B2740" authorId="1" shapeId="0" xr:uid="{E8351C44-94DF-4683-958F-4C7C94203ED1}">
      <text>
        <r>
          <rPr>
            <sz val="11"/>
            <color theme="1"/>
            <rFont val="Calibri"/>
            <family val="2"/>
            <scheme val="minor"/>
          </rPr>
          <t>Introduzca un texto con la finalidad de la contratación</t>
        </r>
      </text>
    </comment>
    <comment ref="C2740" authorId="1" shapeId="0" xr:uid="{8C67E6DF-6892-4D27-A868-1A3148ED2938}">
      <text>
        <r>
          <rPr>
            <sz val="11"/>
            <color theme="1"/>
            <rFont val="Calibri"/>
            <family val="2"/>
            <scheme val="minor"/>
          </rPr>
          <t>Seleccionar un valor del listado</t>
        </r>
      </text>
    </comment>
    <comment ref="D2740" authorId="1" shapeId="0" xr:uid="{034FB886-C948-4DB0-A54C-DC39B8D1C953}">
      <text>
        <r>
          <rPr>
            <sz val="11"/>
            <color theme="1"/>
            <rFont val="Calibri"/>
            <family val="2"/>
            <scheme val="minor"/>
          </rPr>
          <t>Seleccione el tipo de procedimiento</t>
        </r>
      </text>
    </comment>
    <comment ref="E2740" authorId="1" shapeId="0" xr:uid="{A9508E4D-50A1-4405-AE05-CC204D77569C}">
      <text>
        <r>
          <rPr>
            <sz val="11"/>
            <color theme="1"/>
            <rFont val="Calibri"/>
            <family val="2"/>
            <scheme val="minor"/>
          </rPr>
          <t>Seleccione un valor de la lista</t>
        </r>
      </text>
    </comment>
    <comment ref="F2740" authorId="1" shapeId="0" xr:uid="{D03C6A50-9AFE-4C60-8239-730B4061EB04}">
      <text>
        <r>
          <rPr>
            <sz val="11"/>
            <color theme="1"/>
            <rFont val="Calibri"/>
            <family val="2"/>
            <scheme val="minor"/>
          </rPr>
          <t>Introduzca el código SNIP</t>
        </r>
      </text>
    </comment>
    <comment ref="C2741" authorId="1" shapeId="0" xr:uid="{B3960E3F-8A5D-48DC-AC0C-A5A8A04C40A7}">
      <text>
        <r>
          <rPr>
            <sz val="11"/>
            <color theme="1"/>
            <rFont val="Calibri"/>
            <family val="2"/>
            <scheme val="minor"/>
          </rPr>
          <t>Introduzca la fecha de inicio del proceso, en formato dd-mm-aaaa</t>
        </r>
      </text>
    </comment>
    <comment ref="F2741" authorId="1" shapeId="0" xr:uid="{0BDCA808-22DC-4644-8881-5D67244279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2" authorId="1" shapeId="0" xr:uid="{5BE91490-D3E3-4856-B32C-530EBD27A6EC}">
      <text/>
    </comment>
    <comment ref="C2743" authorId="1" shapeId="0" xr:uid="{52ADD279-A2B7-4514-8BA7-AB86C7ED3192}">
      <text>
        <r>
          <rPr>
            <sz val="11"/>
            <color theme="1"/>
            <rFont val="Calibri"/>
            <family val="2"/>
            <scheme val="minor"/>
          </rPr>
          <t>Introduzca la fecha prevista de adjudicación, en formato dd-mm-aaaa</t>
        </r>
      </text>
    </comment>
    <comment ref="F2743" authorId="1" shapeId="0" xr:uid="{9236729D-F2E3-495C-A36D-EFFFCF94DA09}">
      <text/>
    </comment>
    <comment ref="F2744" authorId="1" shapeId="0" xr:uid="{3ABC638B-0A76-4896-9503-BE558B26F139}">
      <text/>
    </comment>
    <comment ref="A2746" authorId="1" shapeId="0" xr:uid="{D25BC870-0B5A-4EBE-B008-B150AD3448D3}">
      <text>
        <r>
          <rPr>
            <sz val="11"/>
            <color theme="1"/>
            <rFont val="Calibri"/>
            <family val="2"/>
            <scheme val="minor"/>
          </rPr>
          <t>Introduzca un codigo UNSPSC</t>
        </r>
      </text>
    </comment>
    <comment ref="B2746" authorId="1" shapeId="0" xr:uid="{B78B9CAE-E92B-4D38-8406-515825B5FBA2}">
      <text>
        <r>
          <rPr>
            <sz val="11"/>
            <color theme="1"/>
            <rFont val="Calibri"/>
            <family val="2"/>
            <scheme val="minor"/>
          </rPr>
          <t>Descripción calculada automáticamente a partir de código del artículo</t>
        </r>
      </text>
    </comment>
    <comment ref="C2746" authorId="1" shapeId="0" xr:uid="{7E559A7D-BB54-410C-9134-695FE531B931}">
      <text>
        <r>
          <rPr>
            <sz val="11"/>
            <color theme="1"/>
            <rFont val="Calibri"/>
            <family val="2"/>
            <scheme val="minor"/>
          </rPr>
          <t>Seleccione un valor de la lista</t>
        </r>
      </text>
    </comment>
    <comment ref="D2746" authorId="1" shapeId="0" xr:uid="{D69BED69-591A-4F6D-BBC5-6C6A3D46FFF7}">
      <text>
        <r>
          <rPr>
            <sz val="11"/>
            <color theme="1"/>
            <rFont val="Calibri"/>
            <family val="2"/>
            <scheme val="minor"/>
          </rPr>
          <t>Introduzca un número con dos decimales como máximo. Debe ser igual o mayor a la "Cantidad Real Consumida"</t>
        </r>
      </text>
    </comment>
    <comment ref="E2746" authorId="1" shapeId="0" xr:uid="{9B9B9236-238B-497E-A1C6-D83D89874E4D}">
      <text>
        <r>
          <rPr>
            <sz val="11"/>
            <color theme="1"/>
            <rFont val="Calibri"/>
            <family val="2"/>
            <scheme val="minor"/>
          </rPr>
          <t>Introduzca un número con dos decimales como máximo</t>
        </r>
      </text>
    </comment>
    <comment ref="F2746" authorId="1" shapeId="0" xr:uid="{DBF09D93-6A8C-4E40-AB67-5920C3496FFB}">
      <text>
        <r>
          <rPr>
            <sz val="11"/>
            <color theme="1"/>
            <rFont val="Calibri"/>
            <family val="2"/>
            <scheme val="minor"/>
          </rPr>
          <t>Monto calculado automáticamente por el sistema</t>
        </r>
      </text>
    </comment>
    <comment ref="A2751" authorId="1" shapeId="0" xr:uid="{D993A70D-2C8A-43F1-BEA6-2DCDD2D57981}">
      <text>
        <r>
          <rPr>
            <sz val="11"/>
            <color theme="1"/>
            <rFont val="Calibri"/>
            <family val="2"/>
            <scheme val="minor"/>
          </rPr>
          <t>Introducir un texto con el nombre o referencia de la contratación</t>
        </r>
      </text>
    </comment>
    <comment ref="B2751" authorId="1" shapeId="0" xr:uid="{D0B8A28F-C722-4DFB-8C0C-91386312E257}">
      <text>
        <r>
          <rPr>
            <sz val="11"/>
            <color theme="1"/>
            <rFont val="Calibri"/>
            <family val="2"/>
            <scheme val="minor"/>
          </rPr>
          <t>Introduzca un texto con la finalidad de la contratación</t>
        </r>
      </text>
    </comment>
    <comment ref="C2751" authorId="1" shapeId="0" xr:uid="{7B2EFF80-C6EA-4192-A693-1FEFD09C69CC}">
      <text>
        <r>
          <rPr>
            <sz val="11"/>
            <color theme="1"/>
            <rFont val="Calibri"/>
            <family val="2"/>
            <scheme val="minor"/>
          </rPr>
          <t>Seleccionar un valor del listado</t>
        </r>
      </text>
    </comment>
    <comment ref="D2751" authorId="1" shapeId="0" xr:uid="{A230DB81-E746-4541-8A57-725EAA34F475}">
      <text>
        <r>
          <rPr>
            <sz val="11"/>
            <color theme="1"/>
            <rFont val="Calibri"/>
            <family val="2"/>
            <scheme val="minor"/>
          </rPr>
          <t>Seleccione el tipo de procedimiento</t>
        </r>
      </text>
    </comment>
    <comment ref="E2751" authorId="1" shapeId="0" xr:uid="{076D3FE2-76F4-4F23-9790-FBAADCF5F2DA}">
      <text>
        <r>
          <rPr>
            <sz val="11"/>
            <color theme="1"/>
            <rFont val="Calibri"/>
            <family val="2"/>
            <scheme val="minor"/>
          </rPr>
          <t>Seleccione un valor de la lista</t>
        </r>
      </text>
    </comment>
    <comment ref="F2751" authorId="1" shapeId="0" xr:uid="{EFBDCF9B-599E-4C91-9BAA-8206DE5DAECC}">
      <text>
        <r>
          <rPr>
            <sz val="11"/>
            <color theme="1"/>
            <rFont val="Calibri"/>
            <family val="2"/>
            <scheme val="minor"/>
          </rPr>
          <t>Introduzca el código SNIP</t>
        </r>
      </text>
    </comment>
    <comment ref="C2752" authorId="1" shapeId="0" xr:uid="{FBDFD39B-C63A-45DF-B700-B3C3B8C9EDC1}">
      <text>
        <r>
          <rPr>
            <sz val="11"/>
            <color theme="1"/>
            <rFont val="Calibri"/>
            <family val="2"/>
            <scheme val="minor"/>
          </rPr>
          <t>Introduzca la fecha de inicio del proceso, en formato dd-mm-aaaa</t>
        </r>
      </text>
    </comment>
    <comment ref="F2752" authorId="1" shapeId="0" xr:uid="{CD1FAAD3-BF2D-4B47-B6B0-CFA2403008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3" authorId="1" shapeId="0" xr:uid="{1A36E616-C5B3-4B37-B55F-4CEDC2A584EB}">
      <text/>
    </comment>
    <comment ref="C2754" authorId="1" shapeId="0" xr:uid="{C854EA84-9442-40D2-9B22-A50EEA9C08B0}">
      <text>
        <r>
          <rPr>
            <sz val="11"/>
            <color theme="1"/>
            <rFont val="Calibri"/>
            <family val="2"/>
            <scheme val="minor"/>
          </rPr>
          <t>Introduzca la fecha prevista de adjudicación, en formato dd-mm-aaaa</t>
        </r>
      </text>
    </comment>
    <comment ref="F2754" authorId="1" shapeId="0" xr:uid="{8477BBA3-20C6-41C3-AEB3-2A975B8CE53C}">
      <text/>
    </comment>
    <comment ref="F2755" authorId="1" shapeId="0" xr:uid="{5E392EAA-B7D0-44B9-8350-F86E4749B1DE}">
      <text/>
    </comment>
    <comment ref="A2757" authorId="1" shapeId="0" xr:uid="{A004FA30-6DF4-49BC-91B5-8F935F641A12}">
      <text>
        <r>
          <rPr>
            <sz val="11"/>
            <color theme="1"/>
            <rFont val="Calibri"/>
            <family val="2"/>
            <scheme val="minor"/>
          </rPr>
          <t>Introduzca un codigo UNSPSC</t>
        </r>
      </text>
    </comment>
    <comment ref="B2757" authorId="1" shapeId="0" xr:uid="{5199CEBF-4366-432D-BF76-99D04A7A9CFF}">
      <text>
        <r>
          <rPr>
            <sz val="11"/>
            <color theme="1"/>
            <rFont val="Calibri"/>
            <family val="2"/>
            <scheme val="minor"/>
          </rPr>
          <t>Descripción calculada automáticamente a partir de código del artículo</t>
        </r>
      </text>
    </comment>
    <comment ref="C2757" authorId="1" shapeId="0" xr:uid="{A0F52714-9D78-416E-ACBB-12C45D539EDB}">
      <text>
        <r>
          <rPr>
            <sz val="11"/>
            <color theme="1"/>
            <rFont val="Calibri"/>
            <family val="2"/>
            <scheme val="minor"/>
          </rPr>
          <t>Seleccione un valor de la lista</t>
        </r>
      </text>
    </comment>
    <comment ref="D2757" authorId="1" shapeId="0" xr:uid="{7DBF1CD0-0F87-4619-951D-183476F9A609}">
      <text>
        <r>
          <rPr>
            <sz val="11"/>
            <color theme="1"/>
            <rFont val="Calibri"/>
            <family val="2"/>
            <scheme val="minor"/>
          </rPr>
          <t>Introduzca un número con dos decimales como máximo. Debe ser igual o mayor a la "Cantidad Real Consumida"</t>
        </r>
      </text>
    </comment>
    <comment ref="E2757" authorId="1" shapeId="0" xr:uid="{28948CEE-38B8-4193-B141-67B92558BEE7}">
      <text>
        <r>
          <rPr>
            <sz val="11"/>
            <color theme="1"/>
            <rFont val="Calibri"/>
            <family val="2"/>
            <scheme val="minor"/>
          </rPr>
          <t>Introduzca un número con dos decimales como máximo</t>
        </r>
      </text>
    </comment>
    <comment ref="F2757" authorId="1" shapeId="0" xr:uid="{D598AE27-B5CD-4E13-92AD-EA1F8A459845}">
      <text>
        <r>
          <rPr>
            <sz val="11"/>
            <color theme="1"/>
            <rFont val="Calibri"/>
            <family val="2"/>
            <scheme val="minor"/>
          </rPr>
          <t>Monto calculado automáticamente por el sistema</t>
        </r>
      </text>
    </comment>
    <comment ref="A2762" authorId="1" shapeId="0" xr:uid="{F8A74535-B3E6-4F1F-A978-C1BB3DDC3DFE}">
      <text>
        <r>
          <rPr>
            <sz val="11"/>
            <color theme="1"/>
            <rFont val="Calibri"/>
            <family val="2"/>
            <scheme val="minor"/>
          </rPr>
          <t>Introducir un texto con el nombre o referencia de la contratación</t>
        </r>
      </text>
    </comment>
    <comment ref="B2762" authorId="1" shapeId="0" xr:uid="{902FB422-9D28-4ECE-BFF1-382042DC13DF}">
      <text>
        <r>
          <rPr>
            <sz val="11"/>
            <color theme="1"/>
            <rFont val="Calibri"/>
            <family val="2"/>
            <scheme val="minor"/>
          </rPr>
          <t>Introduzca un texto con la finalidad de la contratación</t>
        </r>
      </text>
    </comment>
    <comment ref="C2762" authorId="1" shapeId="0" xr:uid="{4C48FF62-77B6-4B40-85A6-C684A9490CB0}">
      <text>
        <r>
          <rPr>
            <sz val="11"/>
            <color theme="1"/>
            <rFont val="Calibri"/>
            <family val="2"/>
            <scheme val="minor"/>
          </rPr>
          <t>Seleccionar un valor del listado</t>
        </r>
      </text>
    </comment>
    <comment ref="D2762" authorId="1" shapeId="0" xr:uid="{9F138AF0-626F-493C-B967-2426D66D749C}">
      <text>
        <r>
          <rPr>
            <sz val="11"/>
            <color theme="1"/>
            <rFont val="Calibri"/>
            <family val="2"/>
            <scheme val="minor"/>
          </rPr>
          <t>Seleccione el tipo de procedimiento</t>
        </r>
      </text>
    </comment>
    <comment ref="E2762" authorId="1" shapeId="0" xr:uid="{E823551A-FE59-4BBC-B671-35B8118D7E77}">
      <text>
        <r>
          <rPr>
            <sz val="11"/>
            <color theme="1"/>
            <rFont val="Calibri"/>
            <family val="2"/>
            <scheme val="minor"/>
          </rPr>
          <t>Seleccione un valor de la lista</t>
        </r>
      </text>
    </comment>
    <comment ref="F2762" authorId="1" shapeId="0" xr:uid="{A7F8E4AA-481F-4D59-ADE4-3E2906865E2F}">
      <text>
        <r>
          <rPr>
            <sz val="11"/>
            <color theme="1"/>
            <rFont val="Calibri"/>
            <family val="2"/>
            <scheme val="minor"/>
          </rPr>
          <t>Introduzca el código SNIP</t>
        </r>
      </text>
    </comment>
    <comment ref="C2763" authorId="1" shapeId="0" xr:uid="{E1D54958-D78F-4A80-BCEF-9C1630FF3019}">
      <text>
        <r>
          <rPr>
            <sz val="11"/>
            <color theme="1"/>
            <rFont val="Calibri"/>
            <family val="2"/>
            <scheme val="minor"/>
          </rPr>
          <t>Introduzca la fecha de inicio del proceso, en formato dd-mm-aaaa</t>
        </r>
      </text>
    </comment>
    <comment ref="F2763" authorId="1" shapeId="0" xr:uid="{A3F213A9-E9E9-4D67-861C-9E13A31EBA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4" authorId="1" shapeId="0" xr:uid="{B059A012-B551-4BBC-B7F2-945679125F08}">
      <text/>
    </comment>
    <comment ref="C2765" authorId="1" shapeId="0" xr:uid="{0FF5FCF4-F2EB-4F66-A2F4-34DCE69478D1}">
      <text>
        <r>
          <rPr>
            <sz val="11"/>
            <color theme="1"/>
            <rFont val="Calibri"/>
            <family val="2"/>
            <scheme val="minor"/>
          </rPr>
          <t>Introduzca la fecha prevista de adjudicación, en formato dd-mm-aaaa</t>
        </r>
      </text>
    </comment>
    <comment ref="F2765" authorId="1" shapeId="0" xr:uid="{0014F4A0-D91D-4767-8FA6-A75F483224B8}">
      <text/>
    </comment>
    <comment ref="F2766" authorId="1" shapeId="0" xr:uid="{0D3549E4-2E74-4CB4-AE9C-37BED087A77A}">
      <text/>
    </comment>
    <comment ref="A2768" authorId="1" shapeId="0" xr:uid="{CD6F166A-9E04-4719-8D13-B88DBD409996}">
      <text>
        <r>
          <rPr>
            <sz val="11"/>
            <color theme="1"/>
            <rFont val="Calibri"/>
            <family val="2"/>
            <scheme val="minor"/>
          </rPr>
          <t>Introduzca un codigo UNSPSC</t>
        </r>
      </text>
    </comment>
    <comment ref="B2768" authorId="1" shapeId="0" xr:uid="{3841432F-BE2D-4044-8E05-B544AAF87B9F}">
      <text>
        <r>
          <rPr>
            <sz val="11"/>
            <color theme="1"/>
            <rFont val="Calibri"/>
            <family val="2"/>
            <scheme val="minor"/>
          </rPr>
          <t>Descripción calculada automáticamente a partir de código del artículo</t>
        </r>
      </text>
    </comment>
    <comment ref="C2768" authorId="1" shapeId="0" xr:uid="{4053234D-BA70-4AB9-8949-00A5968C4E5B}">
      <text>
        <r>
          <rPr>
            <sz val="11"/>
            <color theme="1"/>
            <rFont val="Calibri"/>
            <family val="2"/>
            <scheme val="minor"/>
          </rPr>
          <t>Seleccione un valor de la lista</t>
        </r>
      </text>
    </comment>
    <comment ref="D2768" authorId="1" shapeId="0" xr:uid="{AF4F62AE-C9C0-451F-9C7B-035C3C623043}">
      <text>
        <r>
          <rPr>
            <sz val="11"/>
            <color theme="1"/>
            <rFont val="Calibri"/>
            <family val="2"/>
            <scheme val="minor"/>
          </rPr>
          <t>Introduzca un número con dos decimales como máximo. Debe ser igual o mayor a la "Cantidad Real Consumida"</t>
        </r>
      </text>
    </comment>
    <comment ref="E2768" authorId="1" shapeId="0" xr:uid="{7A68E810-108C-4084-8088-EE9BB71E1AB1}">
      <text>
        <r>
          <rPr>
            <sz val="11"/>
            <color theme="1"/>
            <rFont val="Calibri"/>
            <family val="2"/>
            <scheme val="minor"/>
          </rPr>
          <t>Introduzca un número con dos decimales como máximo</t>
        </r>
      </text>
    </comment>
    <comment ref="F2768" authorId="1" shapeId="0" xr:uid="{84484382-D151-4632-872C-F7CF7EEC0F34}">
      <text>
        <r>
          <rPr>
            <sz val="11"/>
            <color theme="1"/>
            <rFont val="Calibri"/>
            <family val="2"/>
            <scheme val="minor"/>
          </rPr>
          <t>Monto calculado automáticamente por el sistema</t>
        </r>
      </text>
    </comment>
    <comment ref="A2773" authorId="1" shapeId="0" xr:uid="{A1706317-FF0B-44D8-83E1-2D1E66842043}">
      <text>
        <r>
          <rPr>
            <sz val="11"/>
            <color theme="1"/>
            <rFont val="Calibri"/>
            <family val="2"/>
            <scheme val="minor"/>
          </rPr>
          <t>Introducir un texto con el nombre o referencia de la contratación</t>
        </r>
      </text>
    </comment>
    <comment ref="B2773" authorId="1" shapeId="0" xr:uid="{08DCDA2F-F180-466B-BF43-C3B8B99BBDCC}">
      <text>
        <r>
          <rPr>
            <sz val="11"/>
            <color theme="1"/>
            <rFont val="Calibri"/>
            <family val="2"/>
            <scheme val="minor"/>
          </rPr>
          <t>Introduzca un texto con la finalidad de la contratación</t>
        </r>
      </text>
    </comment>
    <comment ref="C2773" authorId="1" shapeId="0" xr:uid="{3005AFC7-3BE7-4E0D-894E-7C398172AF2C}">
      <text>
        <r>
          <rPr>
            <sz val="11"/>
            <color theme="1"/>
            <rFont val="Calibri"/>
            <family val="2"/>
            <scheme val="minor"/>
          </rPr>
          <t>Seleccionar un valor del listado</t>
        </r>
      </text>
    </comment>
    <comment ref="D2773" authorId="1" shapeId="0" xr:uid="{A704583A-3A1C-4DBB-9EB4-D90874CC7866}">
      <text>
        <r>
          <rPr>
            <sz val="11"/>
            <color theme="1"/>
            <rFont val="Calibri"/>
            <family val="2"/>
            <scheme val="minor"/>
          </rPr>
          <t>Seleccione el tipo de procedimiento</t>
        </r>
      </text>
    </comment>
    <comment ref="E2773" authorId="1" shapeId="0" xr:uid="{AA513709-53C2-4014-ADCB-2F669F9B5BCF}">
      <text>
        <r>
          <rPr>
            <sz val="11"/>
            <color theme="1"/>
            <rFont val="Calibri"/>
            <family val="2"/>
            <scheme val="minor"/>
          </rPr>
          <t>Seleccione un valor de la lista</t>
        </r>
      </text>
    </comment>
    <comment ref="F2773" authorId="1" shapeId="0" xr:uid="{61E49A04-50DA-488A-9BE3-F9151F777A00}">
      <text>
        <r>
          <rPr>
            <sz val="11"/>
            <color theme="1"/>
            <rFont val="Calibri"/>
            <family val="2"/>
            <scheme val="minor"/>
          </rPr>
          <t>Introduzca el código SNIP</t>
        </r>
      </text>
    </comment>
    <comment ref="C2774" authorId="1" shapeId="0" xr:uid="{5E6CE275-A091-4570-8279-6E7F9B7D018F}">
      <text>
        <r>
          <rPr>
            <sz val="11"/>
            <color theme="1"/>
            <rFont val="Calibri"/>
            <family val="2"/>
            <scheme val="minor"/>
          </rPr>
          <t>Introduzca la fecha de inicio del proceso, en formato dd-mm-aaaa</t>
        </r>
      </text>
    </comment>
    <comment ref="F2774" authorId="1" shapeId="0" xr:uid="{8FD4E577-65AB-45A0-A702-1E60858587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5" authorId="1" shapeId="0" xr:uid="{F226A133-9316-43E5-B8D5-32DB58AECE9B}">
      <text/>
    </comment>
    <comment ref="C2776" authorId="1" shapeId="0" xr:uid="{2718071D-7E7B-4E56-8FDD-4ECED961FA14}">
      <text>
        <r>
          <rPr>
            <sz val="11"/>
            <color theme="1"/>
            <rFont val="Calibri"/>
            <family val="2"/>
            <scheme val="minor"/>
          </rPr>
          <t>Introduzca la fecha prevista de adjudicación, en formato dd-mm-aaaa</t>
        </r>
      </text>
    </comment>
    <comment ref="F2776" authorId="1" shapeId="0" xr:uid="{626B66B4-DDA2-45D0-BA47-968709659FA2}">
      <text/>
    </comment>
    <comment ref="F2777" authorId="1" shapeId="0" xr:uid="{A6957705-4492-4913-8E36-34984ABBAC4A}">
      <text/>
    </comment>
    <comment ref="A2779" authorId="1" shapeId="0" xr:uid="{1E67215A-3E9B-4DEB-8CA2-768808E4B4C9}">
      <text>
        <r>
          <rPr>
            <sz val="11"/>
            <color theme="1"/>
            <rFont val="Calibri"/>
            <family val="2"/>
            <scheme val="minor"/>
          </rPr>
          <t>Introduzca un codigo UNSPSC</t>
        </r>
      </text>
    </comment>
    <comment ref="B2779" authorId="1" shapeId="0" xr:uid="{4258CA88-B046-40C9-85AC-8E01F62F8E1C}">
      <text>
        <r>
          <rPr>
            <sz val="11"/>
            <color theme="1"/>
            <rFont val="Calibri"/>
            <family val="2"/>
            <scheme val="minor"/>
          </rPr>
          <t>Descripción calculada automáticamente a partir de código del artículo</t>
        </r>
      </text>
    </comment>
    <comment ref="C2779" authorId="1" shapeId="0" xr:uid="{DD8CA639-0274-46A2-B473-DF9790CF890D}">
      <text>
        <r>
          <rPr>
            <sz val="11"/>
            <color theme="1"/>
            <rFont val="Calibri"/>
            <family val="2"/>
            <scheme val="minor"/>
          </rPr>
          <t>Seleccione un valor de la lista</t>
        </r>
      </text>
    </comment>
    <comment ref="D2779" authorId="1" shapeId="0" xr:uid="{144FD857-7E0A-419F-A542-57259F2F3963}">
      <text>
        <r>
          <rPr>
            <sz val="11"/>
            <color theme="1"/>
            <rFont val="Calibri"/>
            <family val="2"/>
            <scheme val="minor"/>
          </rPr>
          <t>Introduzca un número con dos decimales como máximo. Debe ser igual o mayor a la "Cantidad Real Consumida"</t>
        </r>
      </text>
    </comment>
    <comment ref="E2779" authorId="1" shapeId="0" xr:uid="{3A0F3676-9F85-4907-8BB7-0D07115EEBF9}">
      <text>
        <r>
          <rPr>
            <sz val="11"/>
            <color theme="1"/>
            <rFont val="Calibri"/>
            <family val="2"/>
            <scheme val="minor"/>
          </rPr>
          <t>Introduzca un número con dos decimales como máximo</t>
        </r>
      </text>
    </comment>
    <comment ref="F2779" authorId="1" shapeId="0" xr:uid="{213EF0B1-9C2A-4A5A-83C7-CBFDD03C6C8F}">
      <text>
        <r>
          <rPr>
            <sz val="11"/>
            <color theme="1"/>
            <rFont val="Calibri"/>
            <family val="2"/>
            <scheme val="minor"/>
          </rPr>
          <t>Monto calculado automáticamente por el sistema</t>
        </r>
      </text>
    </comment>
    <comment ref="A2784" authorId="1" shapeId="0" xr:uid="{D87C0020-5C16-46B7-AC4A-1D2DFBB0C01E}">
      <text>
        <r>
          <rPr>
            <sz val="11"/>
            <color theme="1"/>
            <rFont val="Calibri"/>
            <family val="2"/>
            <scheme val="minor"/>
          </rPr>
          <t>Introducir un texto con el nombre o referencia de la contratación</t>
        </r>
      </text>
    </comment>
    <comment ref="B2784" authorId="1" shapeId="0" xr:uid="{1439BADE-1A67-4E2C-82B0-438E76DC2050}">
      <text>
        <r>
          <rPr>
            <sz val="11"/>
            <color theme="1"/>
            <rFont val="Calibri"/>
            <family val="2"/>
            <scheme val="minor"/>
          </rPr>
          <t>Introduzca un texto con la finalidad de la contratación</t>
        </r>
      </text>
    </comment>
    <comment ref="C2784" authorId="1" shapeId="0" xr:uid="{BE29B44F-78DE-4549-831A-1FDEADFF3712}">
      <text>
        <r>
          <rPr>
            <sz val="11"/>
            <color theme="1"/>
            <rFont val="Calibri"/>
            <family val="2"/>
            <scheme val="minor"/>
          </rPr>
          <t>Seleccionar un valor del listado</t>
        </r>
      </text>
    </comment>
    <comment ref="D2784" authorId="1" shapeId="0" xr:uid="{04874EAB-B404-48E2-80FD-4262E5266D2B}">
      <text>
        <r>
          <rPr>
            <sz val="11"/>
            <color theme="1"/>
            <rFont val="Calibri"/>
            <family val="2"/>
            <scheme val="minor"/>
          </rPr>
          <t>Seleccione el tipo de procedimiento</t>
        </r>
      </text>
    </comment>
    <comment ref="E2784" authorId="1" shapeId="0" xr:uid="{BE152012-CA46-47DC-86FE-E10CF4DB1227}">
      <text>
        <r>
          <rPr>
            <sz val="11"/>
            <color theme="1"/>
            <rFont val="Calibri"/>
            <family val="2"/>
            <scheme val="minor"/>
          </rPr>
          <t>Seleccione un valor de la lista</t>
        </r>
      </text>
    </comment>
    <comment ref="F2784" authorId="1" shapeId="0" xr:uid="{6735158D-5DE6-4D7D-A707-C9D74702D480}">
      <text>
        <r>
          <rPr>
            <sz val="11"/>
            <color theme="1"/>
            <rFont val="Calibri"/>
            <family val="2"/>
            <scheme val="minor"/>
          </rPr>
          <t>Introduzca el código SNIP</t>
        </r>
      </text>
    </comment>
    <comment ref="C2785" authorId="1" shapeId="0" xr:uid="{89553B86-B4CA-404E-B3D7-357B10085527}">
      <text>
        <r>
          <rPr>
            <sz val="11"/>
            <color theme="1"/>
            <rFont val="Calibri"/>
            <family val="2"/>
            <scheme val="minor"/>
          </rPr>
          <t>Introduzca la fecha de inicio del proceso, en formato dd-mm-aaaa</t>
        </r>
      </text>
    </comment>
    <comment ref="F2785" authorId="1" shapeId="0" xr:uid="{DEA1CC9A-B56D-4A26-AF52-FFD98D39A4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6" authorId="1" shapeId="0" xr:uid="{028B9EE1-362A-4399-88BC-12A96D198805}">
      <text/>
    </comment>
    <comment ref="C2787" authorId="1" shapeId="0" xr:uid="{064F0482-FDF5-4EEC-80FE-0C23BBA8312B}">
      <text>
        <r>
          <rPr>
            <sz val="11"/>
            <color theme="1"/>
            <rFont val="Calibri"/>
            <family val="2"/>
            <scheme val="minor"/>
          </rPr>
          <t>Introduzca la fecha prevista de adjudicación, en formato dd-mm-aaaa</t>
        </r>
      </text>
    </comment>
    <comment ref="F2787" authorId="1" shapeId="0" xr:uid="{F310A9F5-CCA7-4F81-8F4F-6CD276922B52}">
      <text/>
    </comment>
    <comment ref="F2788" authorId="1" shapeId="0" xr:uid="{1BC362D0-7101-454E-B035-3A4B983B7A43}">
      <text/>
    </comment>
    <comment ref="A2790" authorId="1" shapeId="0" xr:uid="{2EC63511-9708-4F74-8710-9270B938553A}">
      <text>
        <r>
          <rPr>
            <sz val="11"/>
            <color theme="1"/>
            <rFont val="Calibri"/>
            <family val="2"/>
            <scheme val="minor"/>
          </rPr>
          <t>Introduzca un codigo UNSPSC</t>
        </r>
      </text>
    </comment>
    <comment ref="B2790" authorId="1" shapeId="0" xr:uid="{43A0A2A1-0BCB-4DBA-8CD8-FDC5C2A896DB}">
      <text>
        <r>
          <rPr>
            <sz val="11"/>
            <color theme="1"/>
            <rFont val="Calibri"/>
            <family val="2"/>
            <scheme val="minor"/>
          </rPr>
          <t>Descripción calculada automáticamente a partir de código del artículo</t>
        </r>
      </text>
    </comment>
    <comment ref="C2790" authorId="1" shapeId="0" xr:uid="{2D607900-5136-45CE-BA0C-C188B868DA35}">
      <text>
        <r>
          <rPr>
            <sz val="11"/>
            <color theme="1"/>
            <rFont val="Calibri"/>
            <family val="2"/>
            <scheme val="minor"/>
          </rPr>
          <t>Seleccione un valor de la lista</t>
        </r>
      </text>
    </comment>
    <comment ref="D2790" authorId="1" shapeId="0" xr:uid="{671F20A7-7C39-483F-AAFD-99660FAF2A86}">
      <text>
        <r>
          <rPr>
            <sz val="11"/>
            <color theme="1"/>
            <rFont val="Calibri"/>
            <family val="2"/>
            <scheme val="minor"/>
          </rPr>
          <t>Introduzca un número con dos decimales como máximo. Debe ser igual o mayor a la "Cantidad Real Consumida"</t>
        </r>
      </text>
    </comment>
    <comment ref="E2790" authorId="1" shapeId="0" xr:uid="{CD8EC115-0233-4689-8BAD-AA214C1B296B}">
      <text>
        <r>
          <rPr>
            <sz val="11"/>
            <color theme="1"/>
            <rFont val="Calibri"/>
            <family val="2"/>
            <scheme val="minor"/>
          </rPr>
          <t>Introduzca un número con dos decimales como máximo</t>
        </r>
      </text>
    </comment>
    <comment ref="F2790" authorId="1" shapeId="0" xr:uid="{9640065B-757F-4980-9F3C-2A846E0E30A3}">
      <text>
        <r>
          <rPr>
            <sz val="11"/>
            <color theme="1"/>
            <rFont val="Calibri"/>
            <family val="2"/>
            <scheme val="minor"/>
          </rPr>
          <t>Monto calculado automáticamente por el sistema</t>
        </r>
      </text>
    </comment>
    <comment ref="A2799" authorId="1" shapeId="0" xr:uid="{290DD086-F3DF-4EF3-99B2-101628A05857}">
      <text>
        <r>
          <rPr>
            <sz val="11"/>
            <color theme="1"/>
            <rFont val="Calibri"/>
            <family val="2"/>
            <scheme val="minor"/>
          </rPr>
          <t>Introducir un texto con el nombre o referencia de la contratación</t>
        </r>
      </text>
    </comment>
    <comment ref="B2799" authorId="1" shapeId="0" xr:uid="{89A4055D-03D0-4801-8493-63CB60E63A04}">
      <text>
        <r>
          <rPr>
            <sz val="11"/>
            <color theme="1"/>
            <rFont val="Calibri"/>
            <family val="2"/>
            <scheme val="minor"/>
          </rPr>
          <t>Introduzca un texto con la finalidad de la contratación</t>
        </r>
      </text>
    </comment>
    <comment ref="C2799" authorId="1" shapeId="0" xr:uid="{A0DC8E5F-9437-4673-B5F9-2DCCAFAF66C1}">
      <text>
        <r>
          <rPr>
            <sz val="11"/>
            <color theme="1"/>
            <rFont val="Calibri"/>
            <family val="2"/>
            <scheme val="minor"/>
          </rPr>
          <t>Seleccionar un valor del listado</t>
        </r>
      </text>
    </comment>
    <comment ref="D2799" authorId="1" shapeId="0" xr:uid="{C713F6D2-A961-4673-ACA3-1ED98E031E8C}">
      <text>
        <r>
          <rPr>
            <sz val="11"/>
            <color theme="1"/>
            <rFont val="Calibri"/>
            <family val="2"/>
            <scheme val="minor"/>
          </rPr>
          <t>Seleccione el tipo de procedimiento</t>
        </r>
      </text>
    </comment>
    <comment ref="E2799" authorId="1" shapeId="0" xr:uid="{D561DC53-5685-48CB-8955-EA444CAD6C28}">
      <text>
        <r>
          <rPr>
            <sz val="11"/>
            <color theme="1"/>
            <rFont val="Calibri"/>
            <family val="2"/>
            <scheme val="minor"/>
          </rPr>
          <t>Seleccione un valor de la lista</t>
        </r>
      </text>
    </comment>
    <comment ref="F2799" authorId="1" shapeId="0" xr:uid="{2E5DC608-89CA-4E47-A948-A5642E4AE51A}">
      <text>
        <r>
          <rPr>
            <sz val="11"/>
            <color theme="1"/>
            <rFont val="Calibri"/>
            <family val="2"/>
            <scheme val="minor"/>
          </rPr>
          <t>Introduzca el código SNIP</t>
        </r>
      </text>
    </comment>
    <comment ref="C2800" authorId="1" shapeId="0" xr:uid="{3BC522B2-4859-4192-8516-AB28AF691E09}">
      <text>
        <r>
          <rPr>
            <sz val="11"/>
            <color theme="1"/>
            <rFont val="Calibri"/>
            <family val="2"/>
            <scheme val="minor"/>
          </rPr>
          <t>Introduzca la fecha de inicio del proceso, en formato dd-mm-aaaa</t>
        </r>
      </text>
    </comment>
    <comment ref="F2800" authorId="1" shapeId="0" xr:uid="{04A09BE0-960D-4559-8F16-6DC91F8D92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1" authorId="1" shapeId="0" xr:uid="{5FAF8071-351B-4662-994A-47919384375D}">
      <text/>
    </comment>
    <comment ref="C2802" authorId="1" shapeId="0" xr:uid="{D0A18662-CE06-4DFC-9E34-0035C148224D}">
      <text>
        <r>
          <rPr>
            <sz val="11"/>
            <color theme="1"/>
            <rFont val="Calibri"/>
            <family val="2"/>
            <scheme val="minor"/>
          </rPr>
          <t>Introduzca la fecha prevista de adjudicación, en formato dd-mm-aaaa</t>
        </r>
      </text>
    </comment>
    <comment ref="F2802" authorId="1" shapeId="0" xr:uid="{9F6528AD-A595-4AB6-AC4D-E785C4DAADCE}">
      <text/>
    </comment>
    <comment ref="F2803" authorId="1" shapeId="0" xr:uid="{206DCBF4-2DC0-4F94-8496-D9057664C9B0}">
      <text/>
    </comment>
    <comment ref="A2805" authorId="1" shapeId="0" xr:uid="{F3AD48D8-F5DE-49BE-A00B-61AF7B9C360C}">
      <text>
        <r>
          <rPr>
            <sz val="11"/>
            <color theme="1"/>
            <rFont val="Calibri"/>
            <family val="2"/>
            <scheme val="minor"/>
          </rPr>
          <t>Introduzca un codigo UNSPSC</t>
        </r>
      </text>
    </comment>
    <comment ref="B2805" authorId="1" shapeId="0" xr:uid="{F366840F-8D7D-4B81-B64C-450A8060A711}">
      <text>
        <r>
          <rPr>
            <sz val="11"/>
            <color theme="1"/>
            <rFont val="Calibri"/>
            <family val="2"/>
            <scheme val="minor"/>
          </rPr>
          <t>Descripción calculada automáticamente a partir de código del artículo</t>
        </r>
      </text>
    </comment>
    <comment ref="C2805" authorId="1" shapeId="0" xr:uid="{BA57BC1E-8B14-4E54-8B7B-94EBC35F35E6}">
      <text>
        <r>
          <rPr>
            <sz val="11"/>
            <color theme="1"/>
            <rFont val="Calibri"/>
            <family val="2"/>
            <scheme val="minor"/>
          </rPr>
          <t>Seleccione un valor de la lista</t>
        </r>
      </text>
    </comment>
    <comment ref="D2805" authorId="1" shapeId="0" xr:uid="{F7C4B942-2C78-4EF2-A1C2-84EE15817C8C}">
      <text>
        <r>
          <rPr>
            <sz val="11"/>
            <color theme="1"/>
            <rFont val="Calibri"/>
            <family val="2"/>
            <scheme val="minor"/>
          </rPr>
          <t>Introduzca un número con dos decimales como máximo. Debe ser igual o mayor a la "Cantidad Real Consumida"</t>
        </r>
      </text>
    </comment>
    <comment ref="E2805" authorId="1" shapeId="0" xr:uid="{2D2B2191-B79B-4963-A3E4-FFED4A306733}">
      <text>
        <r>
          <rPr>
            <sz val="11"/>
            <color theme="1"/>
            <rFont val="Calibri"/>
            <family val="2"/>
            <scheme val="minor"/>
          </rPr>
          <t>Introduzca un número con dos decimales como máximo</t>
        </r>
      </text>
    </comment>
    <comment ref="F2805" authorId="1" shapeId="0" xr:uid="{64547597-A4C7-4C93-9A64-6A84A078F968}">
      <text>
        <r>
          <rPr>
            <sz val="11"/>
            <color theme="1"/>
            <rFont val="Calibri"/>
            <family val="2"/>
            <scheme val="minor"/>
          </rPr>
          <t>Monto calculado automáticamente por el sistema</t>
        </r>
      </text>
    </comment>
    <comment ref="A2810" authorId="1" shapeId="0" xr:uid="{805E6618-492A-40DB-BCF8-DF2A37A89AB2}">
      <text>
        <r>
          <rPr>
            <sz val="11"/>
            <color theme="1"/>
            <rFont val="Calibri"/>
            <family val="2"/>
            <scheme val="minor"/>
          </rPr>
          <t>Introducir un texto con el nombre o referencia de la contratación</t>
        </r>
      </text>
    </comment>
    <comment ref="B2810" authorId="1" shapeId="0" xr:uid="{B11B7E8F-96E5-4A7E-97DB-20D19F9B9231}">
      <text>
        <r>
          <rPr>
            <sz val="11"/>
            <color theme="1"/>
            <rFont val="Calibri"/>
            <family val="2"/>
            <scheme val="minor"/>
          </rPr>
          <t>Introduzca un texto con la finalidad de la contratación</t>
        </r>
      </text>
    </comment>
    <comment ref="C2810" authorId="1" shapeId="0" xr:uid="{6DE1B59A-38DA-42C0-B4C8-8C3919831E3A}">
      <text>
        <r>
          <rPr>
            <sz val="11"/>
            <color theme="1"/>
            <rFont val="Calibri"/>
            <family val="2"/>
            <scheme val="minor"/>
          </rPr>
          <t>Seleccionar un valor del listado</t>
        </r>
      </text>
    </comment>
    <comment ref="D2810" authorId="1" shapeId="0" xr:uid="{DA966298-96E7-4477-BBDF-2F7ECEB0993B}">
      <text>
        <r>
          <rPr>
            <sz val="11"/>
            <color theme="1"/>
            <rFont val="Calibri"/>
            <family val="2"/>
            <scheme val="minor"/>
          </rPr>
          <t>Seleccione el tipo de procedimiento</t>
        </r>
      </text>
    </comment>
    <comment ref="E2810" authorId="1" shapeId="0" xr:uid="{F803840F-E14A-48F9-946F-5E8AB3A5558D}">
      <text>
        <r>
          <rPr>
            <sz val="11"/>
            <color theme="1"/>
            <rFont val="Calibri"/>
            <family val="2"/>
            <scheme val="minor"/>
          </rPr>
          <t>Seleccione un valor de la lista</t>
        </r>
      </text>
    </comment>
    <comment ref="F2810" authorId="1" shapeId="0" xr:uid="{E70AB31B-5A87-4B14-A299-A64E345DE034}">
      <text>
        <r>
          <rPr>
            <sz val="11"/>
            <color theme="1"/>
            <rFont val="Calibri"/>
            <family val="2"/>
            <scheme val="minor"/>
          </rPr>
          <t>Introduzca el código SNIP</t>
        </r>
      </text>
    </comment>
    <comment ref="C2811" authorId="1" shapeId="0" xr:uid="{58066007-7B88-417D-BCB6-542D0FC1C192}">
      <text>
        <r>
          <rPr>
            <sz val="11"/>
            <color theme="1"/>
            <rFont val="Calibri"/>
            <family val="2"/>
            <scheme val="minor"/>
          </rPr>
          <t>Introduzca la fecha de inicio del proceso, en formato dd-mm-aaaa</t>
        </r>
      </text>
    </comment>
    <comment ref="F2811" authorId="1" shapeId="0" xr:uid="{32F36023-6319-41C1-B195-4C940594FF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2" authorId="1" shapeId="0" xr:uid="{64E41317-DDB4-49FC-AF0D-9D9729762DDA}">
      <text/>
    </comment>
    <comment ref="C2813" authorId="1" shapeId="0" xr:uid="{C30E434C-F875-4815-AE62-E521FBBBAA83}">
      <text>
        <r>
          <rPr>
            <sz val="11"/>
            <color theme="1"/>
            <rFont val="Calibri"/>
            <family val="2"/>
            <scheme val="minor"/>
          </rPr>
          <t>Introduzca la fecha prevista de adjudicación, en formato dd-mm-aaaa</t>
        </r>
      </text>
    </comment>
    <comment ref="F2813" authorId="1" shapeId="0" xr:uid="{C99010CC-E508-41BA-8156-6436B60C7C29}">
      <text/>
    </comment>
    <comment ref="F2814" authorId="1" shapeId="0" xr:uid="{D379CA00-3E79-4094-9F8E-EFC9E875DD74}">
      <text/>
    </comment>
    <comment ref="A2816" authorId="1" shapeId="0" xr:uid="{14330E31-EBD5-4BEC-8118-FF02BD249DFC}">
      <text>
        <r>
          <rPr>
            <sz val="11"/>
            <color theme="1"/>
            <rFont val="Calibri"/>
            <family val="2"/>
            <scheme val="minor"/>
          </rPr>
          <t>Introduzca un codigo UNSPSC</t>
        </r>
      </text>
    </comment>
    <comment ref="B2816" authorId="1" shapeId="0" xr:uid="{E2AEF59C-BD31-4499-87FC-25C792E6F943}">
      <text>
        <r>
          <rPr>
            <sz val="11"/>
            <color theme="1"/>
            <rFont val="Calibri"/>
            <family val="2"/>
            <scheme val="minor"/>
          </rPr>
          <t>Descripción calculada automáticamente a partir de código del artículo</t>
        </r>
      </text>
    </comment>
    <comment ref="C2816" authorId="1" shapeId="0" xr:uid="{367218E2-42D8-4587-A1E0-44C78AE929A3}">
      <text>
        <r>
          <rPr>
            <sz val="11"/>
            <color theme="1"/>
            <rFont val="Calibri"/>
            <family val="2"/>
            <scheme val="minor"/>
          </rPr>
          <t>Seleccione un valor de la lista</t>
        </r>
      </text>
    </comment>
    <comment ref="D2816" authorId="1" shapeId="0" xr:uid="{B1633267-99FA-4664-8323-1D74584D6BB6}">
      <text>
        <r>
          <rPr>
            <sz val="11"/>
            <color theme="1"/>
            <rFont val="Calibri"/>
            <family val="2"/>
            <scheme val="minor"/>
          </rPr>
          <t>Introduzca un número con dos decimales como máximo. Debe ser igual o mayor a la "Cantidad Real Consumida"</t>
        </r>
      </text>
    </comment>
    <comment ref="E2816" authorId="1" shapeId="0" xr:uid="{555A5C0C-FE85-46AA-BC4E-D138E2128A96}">
      <text>
        <r>
          <rPr>
            <sz val="11"/>
            <color theme="1"/>
            <rFont val="Calibri"/>
            <family val="2"/>
            <scheme val="minor"/>
          </rPr>
          <t>Introduzca un número con dos decimales como máximo</t>
        </r>
      </text>
    </comment>
    <comment ref="F2816" authorId="1" shapeId="0" xr:uid="{A62F5E27-7F04-436F-A507-976BC4531F2E}">
      <text>
        <r>
          <rPr>
            <sz val="11"/>
            <color theme="1"/>
            <rFont val="Calibri"/>
            <family val="2"/>
            <scheme val="minor"/>
          </rPr>
          <t>Monto calculado automáticamente por el sistema</t>
        </r>
      </text>
    </comment>
    <comment ref="A2821" authorId="1" shapeId="0" xr:uid="{EC6CFA22-B299-4E19-A0D4-C4ECFD9568A7}">
      <text>
        <r>
          <rPr>
            <sz val="11"/>
            <color theme="1"/>
            <rFont val="Calibri"/>
            <family val="2"/>
            <scheme val="minor"/>
          </rPr>
          <t>Introducir un texto con el nombre o referencia de la contratación</t>
        </r>
      </text>
    </comment>
    <comment ref="B2821" authorId="1" shapeId="0" xr:uid="{82E8271A-1D29-4305-9252-98B9F4C58EDB}">
      <text>
        <r>
          <rPr>
            <sz val="11"/>
            <color theme="1"/>
            <rFont val="Calibri"/>
            <family val="2"/>
            <scheme val="minor"/>
          </rPr>
          <t>Introduzca un texto con la finalidad de la contratación</t>
        </r>
      </text>
    </comment>
    <comment ref="C2821" authorId="1" shapeId="0" xr:uid="{5188F06D-0A43-4373-823A-5A77ADED4D81}">
      <text>
        <r>
          <rPr>
            <sz val="11"/>
            <color theme="1"/>
            <rFont val="Calibri"/>
            <family val="2"/>
            <scheme val="minor"/>
          </rPr>
          <t>Seleccionar un valor del listado</t>
        </r>
      </text>
    </comment>
    <comment ref="D2821" authorId="1" shapeId="0" xr:uid="{8E43F6F4-2AD6-492C-9EC3-2A304EFA4F03}">
      <text>
        <r>
          <rPr>
            <sz val="11"/>
            <color theme="1"/>
            <rFont val="Calibri"/>
            <family val="2"/>
            <scheme val="minor"/>
          </rPr>
          <t>Seleccione el tipo de procedimiento</t>
        </r>
      </text>
    </comment>
    <comment ref="E2821" authorId="1" shapeId="0" xr:uid="{B76CBE2C-813D-4A91-853F-E5443794B3E6}">
      <text>
        <r>
          <rPr>
            <sz val="11"/>
            <color theme="1"/>
            <rFont val="Calibri"/>
            <family val="2"/>
            <scheme val="minor"/>
          </rPr>
          <t>Seleccione un valor de la lista</t>
        </r>
      </text>
    </comment>
    <comment ref="F2821" authorId="1" shapeId="0" xr:uid="{629FEB52-3DE0-4A73-AB5B-8D22CABABCB5}">
      <text>
        <r>
          <rPr>
            <sz val="11"/>
            <color theme="1"/>
            <rFont val="Calibri"/>
            <family val="2"/>
            <scheme val="minor"/>
          </rPr>
          <t>Introduzca el código SNIP</t>
        </r>
      </text>
    </comment>
    <comment ref="C2822" authorId="1" shapeId="0" xr:uid="{DFA2219C-86DF-4541-9115-39955A2FAA75}">
      <text>
        <r>
          <rPr>
            <sz val="11"/>
            <color theme="1"/>
            <rFont val="Calibri"/>
            <family val="2"/>
            <scheme val="minor"/>
          </rPr>
          <t>Introduzca la fecha de inicio del proceso, en formato dd-mm-aaaa</t>
        </r>
      </text>
    </comment>
    <comment ref="F2822" authorId="1" shapeId="0" xr:uid="{B60DA528-E740-47BE-91C9-42E4EC6AE9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3" authorId="1" shapeId="0" xr:uid="{E8A3AC12-0C01-4364-8438-5AA879577940}">
      <text/>
    </comment>
    <comment ref="C2824" authorId="1" shapeId="0" xr:uid="{60EAED02-2CA3-4CB6-BA98-4D2741577AC4}">
      <text>
        <r>
          <rPr>
            <sz val="11"/>
            <color theme="1"/>
            <rFont val="Calibri"/>
            <family val="2"/>
            <scheme val="minor"/>
          </rPr>
          <t>Introduzca la fecha prevista de adjudicación, en formato dd-mm-aaaa</t>
        </r>
      </text>
    </comment>
    <comment ref="F2824" authorId="1" shapeId="0" xr:uid="{493DAFBD-C39D-4B64-83EF-E953A2C54E73}">
      <text/>
    </comment>
    <comment ref="F2825" authorId="1" shapeId="0" xr:uid="{A1E65980-3572-466D-BC23-8D365BF27127}">
      <text/>
    </comment>
    <comment ref="A2827" authorId="1" shapeId="0" xr:uid="{7596E939-20FA-4023-BB81-CDF68350791C}">
      <text>
        <r>
          <rPr>
            <sz val="11"/>
            <color theme="1"/>
            <rFont val="Calibri"/>
            <family val="2"/>
            <scheme val="minor"/>
          </rPr>
          <t>Introduzca un codigo UNSPSC</t>
        </r>
      </text>
    </comment>
    <comment ref="B2827" authorId="1" shapeId="0" xr:uid="{EFB970CC-191D-4969-9A84-A2795C37EB83}">
      <text>
        <r>
          <rPr>
            <sz val="11"/>
            <color theme="1"/>
            <rFont val="Calibri"/>
            <family val="2"/>
            <scheme val="minor"/>
          </rPr>
          <t>Descripción calculada automáticamente a partir de código del artículo</t>
        </r>
      </text>
    </comment>
    <comment ref="C2827" authorId="1" shapeId="0" xr:uid="{66419012-ADA4-4D31-B576-6847C5206F82}">
      <text>
        <r>
          <rPr>
            <sz val="11"/>
            <color theme="1"/>
            <rFont val="Calibri"/>
            <family val="2"/>
            <scheme val="minor"/>
          </rPr>
          <t>Seleccione un valor de la lista</t>
        </r>
      </text>
    </comment>
    <comment ref="D2827" authorId="1" shapeId="0" xr:uid="{5D411FB5-BFEF-49C1-B049-5E696E9B4F4D}">
      <text>
        <r>
          <rPr>
            <sz val="11"/>
            <color theme="1"/>
            <rFont val="Calibri"/>
            <family val="2"/>
            <scheme val="minor"/>
          </rPr>
          <t>Introduzca un número con dos decimales como máximo. Debe ser igual o mayor a la "Cantidad Real Consumida"</t>
        </r>
      </text>
    </comment>
    <comment ref="E2827" authorId="1" shapeId="0" xr:uid="{4C99B86A-2698-4954-9A96-6CFDEB516663}">
      <text>
        <r>
          <rPr>
            <sz val="11"/>
            <color theme="1"/>
            <rFont val="Calibri"/>
            <family val="2"/>
            <scheme val="minor"/>
          </rPr>
          <t>Introduzca un número con dos decimales como máximo</t>
        </r>
      </text>
    </comment>
    <comment ref="F2827" authorId="1" shapeId="0" xr:uid="{A922AE87-E807-4B24-81D7-95E6DB19DD44}">
      <text>
        <r>
          <rPr>
            <sz val="11"/>
            <color theme="1"/>
            <rFont val="Calibri"/>
            <family val="2"/>
            <scheme val="minor"/>
          </rPr>
          <t>Monto calculado automáticamente por el sistema</t>
        </r>
      </text>
    </comment>
    <comment ref="A2832" authorId="1" shapeId="0" xr:uid="{1FDF89DB-5504-4684-A65F-9045535B8B7C}">
      <text>
        <r>
          <rPr>
            <sz val="11"/>
            <color theme="1"/>
            <rFont val="Calibri"/>
            <family val="2"/>
            <scheme val="minor"/>
          </rPr>
          <t>Introducir un texto con el nombre o referencia de la contratación</t>
        </r>
      </text>
    </comment>
    <comment ref="B2832" authorId="1" shapeId="0" xr:uid="{413504B0-9515-4404-A49D-1E9AA5C07480}">
      <text>
        <r>
          <rPr>
            <sz val="11"/>
            <color theme="1"/>
            <rFont val="Calibri"/>
            <family val="2"/>
            <scheme val="minor"/>
          </rPr>
          <t>Introduzca un texto con la finalidad de la contratación</t>
        </r>
      </text>
    </comment>
    <comment ref="C2832" authorId="1" shapeId="0" xr:uid="{A22859E9-C22F-44A3-A51D-AB2D80EADBBC}">
      <text>
        <r>
          <rPr>
            <sz val="11"/>
            <color theme="1"/>
            <rFont val="Calibri"/>
            <family val="2"/>
            <scheme val="minor"/>
          </rPr>
          <t>Seleccionar un valor del listado</t>
        </r>
      </text>
    </comment>
    <comment ref="D2832" authorId="1" shapeId="0" xr:uid="{C2DCBBE0-86B9-492B-A227-3406288ED086}">
      <text>
        <r>
          <rPr>
            <sz val="11"/>
            <color theme="1"/>
            <rFont val="Calibri"/>
            <family val="2"/>
            <scheme val="minor"/>
          </rPr>
          <t>Seleccione el tipo de procedimiento</t>
        </r>
      </text>
    </comment>
    <comment ref="E2832" authorId="1" shapeId="0" xr:uid="{DE709D1B-A082-4028-B8CA-4CEA2A4CC2A3}">
      <text>
        <r>
          <rPr>
            <sz val="11"/>
            <color theme="1"/>
            <rFont val="Calibri"/>
            <family val="2"/>
            <scheme val="minor"/>
          </rPr>
          <t>Seleccione un valor de la lista</t>
        </r>
      </text>
    </comment>
    <comment ref="F2832" authorId="1" shapeId="0" xr:uid="{6B50B25B-606C-414D-B663-B732A70C8EF9}">
      <text>
        <r>
          <rPr>
            <sz val="11"/>
            <color theme="1"/>
            <rFont val="Calibri"/>
            <family val="2"/>
            <scheme val="minor"/>
          </rPr>
          <t>Introduzca el código SNIP</t>
        </r>
      </text>
    </comment>
    <comment ref="C2833" authorId="1" shapeId="0" xr:uid="{1E8DF9C4-F206-4B44-9997-BF304CD9FDCC}">
      <text>
        <r>
          <rPr>
            <sz val="11"/>
            <color theme="1"/>
            <rFont val="Calibri"/>
            <family val="2"/>
            <scheme val="minor"/>
          </rPr>
          <t>Introduzca la fecha de inicio del proceso, en formato dd-mm-aaaa</t>
        </r>
      </text>
    </comment>
    <comment ref="F2833" authorId="1" shapeId="0" xr:uid="{DFC1F0A0-660D-4128-82A6-F59779FAF5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4" authorId="1" shapeId="0" xr:uid="{B1BCB5C6-FD17-4456-9E32-BF4B0471F7C4}">
      <text/>
    </comment>
    <comment ref="C2835" authorId="1" shapeId="0" xr:uid="{CF4DC541-FF19-4E3F-9F9E-014EFA7558F2}">
      <text>
        <r>
          <rPr>
            <sz val="11"/>
            <color theme="1"/>
            <rFont val="Calibri"/>
            <family val="2"/>
            <scheme val="minor"/>
          </rPr>
          <t>Introduzca la fecha prevista de adjudicación, en formato dd-mm-aaaa</t>
        </r>
      </text>
    </comment>
    <comment ref="F2835" authorId="1" shapeId="0" xr:uid="{A2EAE665-3806-4728-987F-8504DCABCBA1}">
      <text/>
    </comment>
    <comment ref="F2836" authorId="1" shapeId="0" xr:uid="{2E7946BC-D712-43E3-B683-276D440AC7DF}">
      <text/>
    </comment>
    <comment ref="A2838" authorId="1" shapeId="0" xr:uid="{6A6507CF-4A56-4FA9-B992-DFA0A8CBFCCC}">
      <text>
        <r>
          <rPr>
            <sz val="11"/>
            <color theme="1"/>
            <rFont val="Calibri"/>
            <family val="2"/>
            <scheme val="minor"/>
          </rPr>
          <t>Introduzca un codigo UNSPSC</t>
        </r>
      </text>
    </comment>
    <comment ref="B2838" authorId="1" shapeId="0" xr:uid="{17C32783-B5A0-479D-B3F6-7D43BA8F2198}">
      <text>
        <r>
          <rPr>
            <sz val="11"/>
            <color theme="1"/>
            <rFont val="Calibri"/>
            <family val="2"/>
            <scheme val="minor"/>
          </rPr>
          <t>Descripción calculada automáticamente a partir de código del artículo</t>
        </r>
      </text>
    </comment>
    <comment ref="C2838" authorId="1" shapeId="0" xr:uid="{589A6597-6722-4F41-B93B-E87CBD1A068E}">
      <text>
        <r>
          <rPr>
            <sz val="11"/>
            <color theme="1"/>
            <rFont val="Calibri"/>
            <family val="2"/>
            <scheme val="minor"/>
          </rPr>
          <t>Seleccione un valor de la lista</t>
        </r>
      </text>
    </comment>
    <comment ref="D2838" authorId="1" shapeId="0" xr:uid="{6203DF6F-3FA1-48E6-B857-A4FB7C939FF6}">
      <text>
        <r>
          <rPr>
            <sz val="11"/>
            <color theme="1"/>
            <rFont val="Calibri"/>
            <family val="2"/>
            <scheme val="minor"/>
          </rPr>
          <t>Introduzca un número con dos decimales como máximo. Debe ser igual o mayor a la "Cantidad Real Consumida"</t>
        </r>
      </text>
    </comment>
    <comment ref="E2838" authorId="1" shapeId="0" xr:uid="{4541503F-0E74-4007-8476-EFD16C96F5C0}">
      <text>
        <r>
          <rPr>
            <sz val="11"/>
            <color theme="1"/>
            <rFont val="Calibri"/>
            <family val="2"/>
            <scheme val="minor"/>
          </rPr>
          <t>Introduzca un número con dos decimales como máximo</t>
        </r>
      </text>
    </comment>
    <comment ref="F2838" authorId="1" shapeId="0" xr:uid="{1CBD57D1-D105-474F-A90B-573D5FA5F261}">
      <text>
        <r>
          <rPr>
            <sz val="11"/>
            <color theme="1"/>
            <rFont val="Calibri"/>
            <family val="2"/>
            <scheme val="minor"/>
          </rPr>
          <t>Monto calculado automáticamente por el sistema</t>
        </r>
      </text>
    </comment>
    <comment ref="A2843" authorId="1" shapeId="0" xr:uid="{88C27CDD-0E60-41C2-941F-17ACA035154F}">
      <text>
        <r>
          <rPr>
            <sz val="11"/>
            <color theme="1"/>
            <rFont val="Calibri"/>
            <family val="2"/>
            <scheme val="minor"/>
          </rPr>
          <t>Introducir un texto con el nombre o referencia de la contratación</t>
        </r>
      </text>
    </comment>
    <comment ref="B2843" authorId="1" shapeId="0" xr:uid="{49E379F0-0ACE-41F6-81C1-4213FAD01307}">
      <text>
        <r>
          <rPr>
            <sz val="11"/>
            <color theme="1"/>
            <rFont val="Calibri"/>
            <family val="2"/>
            <scheme val="minor"/>
          </rPr>
          <t>Introduzca un texto con la finalidad de la contratación</t>
        </r>
      </text>
    </comment>
    <comment ref="C2843" authorId="1" shapeId="0" xr:uid="{9D9773DD-4E81-47F5-A99B-F612E91C0EC7}">
      <text>
        <r>
          <rPr>
            <sz val="11"/>
            <color theme="1"/>
            <rFont val="Calibri"/>
            <family val="2"/>
            <scheme val="minor"/>
          </rPr>
          <t>Seleccionar un valor del listado</t>
        </r>
      </text>
    </comment>
    <comment ref="D2843" authorId="1" shapeId="0" xr:uid="{BBE98519-00E3-47B1-80F7-AA491DEAA4EB}">
      <text>
        <r>
          <rPr>
            <sz val="11"/>
            <color theme="1"/>
            <rFont val="Calibri"/>
            <family val="2"/>
            <scheme val="minor"/>
          </rPr>
          <t>Seleccione el tipo de procedimiento</t>
        </r>
      </text>
    </comment>
    <comment ref="E2843" authorId="1" shapeId="0" xr:uid="{B0D5E3B5-BBB5-44B6-A5BF-49BBE022295C}">
      <text>
        <r>
          <rPr>
            <sz val="11"/>
            <color theme="1"/>
            <rFont val="Calibri"/>
            <family val="2"/>
            <scheme val="minor"/>
          </rPr>
          <t>Seleccione un valor de la lista</t>
        </r>
      </text>
    </comment>
    <comment ref="F2843" authorId="1" shapeId="0" xr:uid="{DE0BFF19-92B9-44FF-9CCF-518797DC961D}">
      <text>
        <r>
          <rPr>
            <sz val="11"/>
            <color theme="1"/>
            <rFont val="Calibri"/>
            <family val="2"/>
            <scheme val="minor"/>
          </rPr>
          <t>Introduzca el código SNIP</t>
        </r>
      </text>
    </comment>
    <comment ref="C2844" authorId="1" shapeId="0" xr:uid="{622FD2CE-5C0C-45B8-967E-533E1B57AE58}">
      <text>
        <r>
          <rPr>
            <sz val="11"/>
            <color theme="1"/>
            <rFont val="Calibri"/>
            <family val="2"/>
            <scheme val="minor"/>
          </rPr>
          <t>Introduzca la fecha de inicio del proceso, en formato dd-mm-aaaa</t>
        </r>
      </text>
    </comment>
    <comment ref="F2844" authorId="1" shapeId="0" xr:uid="{5CBB860B-E591-4E10-BC98-1C414D7B96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5" authorId="1" shapeId="0" xr:uid="{FD9658F1-F891-4DE6-9834-F9D076B35650}">
      <text/>
    </comment>
    <comment ref="C2846" authorId="1" shapeId="0" xr:uid="{669F916E-A39C-44BB-9045-2F81C20D17BC}">
      <text>
        <r>
          <rPr>
            <sz val="11"/>
            <color theme="1"/>
            <rFont val="Calibri"/>
            <family val="2"/>
            <scheme val="minor"/>
          </rPr>
          <t>Introduzca la fecha prevista de adjudicación, en formato dd-mm-aaaa</t>
        </r>
      </text>
    </comment>
    <comment ref="F2846" authorId="1" shapeId="0" xr:uid="{012C68F4-6942-4D9E-93B0-F1A797A00CE7}">
      <text/>
    </comment>
    <comment ref="F2847" authorId="1" shapeId="0" xr:uid="{B0F35768-03F2-4DE4-A97D-545389CADB86}">
      <text/>
    </comment>
    <comment ref="A2849" authorId="1" shapeId="0" xr:uid="{ED739A90-54B5-4E66-8052-FE58159CF639}">
      <text>
        <r>
          <rPr>
            <sz val="11"/>
            <color theme="1"/>
            <rFont val="Calibri"/>
            <family val="2"/>
            <scheme val="minor"/>
          </rPr>
          <t>Introduzca un codigo UNSPSC</t>
        </r>
      </text>
    </comment>
    <comment ref="B2849" authorId="1" shapeId="0" xr:uid="{9AB8BECB-BAE3-4B09-9CAD-ED9D9C173002}">
      <text>
        <r>
          <rPr>
            <sz val="11"/>
            <color theme="1"/>
            <rFont val="Calibri"/>
            <family val="2"/>
            <scheme val="minor"/>
          </rPr>
          <t>Descripción calculada automáticamente a partir de código del artículo</t>
        </r>
      </text>
    </comment>
    <comment ref="C2849" authorId="1" shapeId="0" xr:uid="{543D367B-F85B-4136-82F0-76C7732F8654}">
      <text>
        <r>
          <rPr>
            <sz val="11"/>
            <color theme="1"/>
            <rFont val="Calibri"/>
            <family val="2"/>
            <scheme val="minor"/>
          </rPr>
          <t>Seleccione un valor de la lista</t>
        </r>
      </text>
    </comment>
    <comment ref="D2849" authorId="1" shapeId="0" xr:uid="{FAAA19E4-C04B-4AC4-9FE9-9DCCBAC7571E}">
      <text>
        <r>
          <rPr>
            <sz val="11"/>
            <color theme="1"/>
            <rFont val="Calibri"/>
            <family val="2"/>
            <scheme val="minor"/>
          </rPr>
          <t>Introduzca un número con dos decimales como máximo. Debe ser igual o mayor a la "Cantidad Real Consumida"</t>
        </r>
      </text>
    </comment>
    <comment ref="E2849" authorId="1" shapeId="0" xr:uid="{50A2BD4E-035E-4D84-B992-C3770BFBF71F}">
      <text>
        <r>
          <rPr>
            <sz val="11"/>
            <color theme="1"/>
            <rFont val="Calibri"/>
            <family val="2"/>
            <scheme val="minor"/>
          </rPr>
          <t>Introduzca un número con dos decimales como máximo</t>
        </r>
      </text>
    </comment>
    <comment ref="F2849" authorId="1" shapeId="0" xr:uid="{DA405A60-340D-424B-8EAD-459796E96F24}">
      <text>
        <r>
          <rPr>
            <sz val="11"/>
            <color theme="1"/>
            <rFont val="Calibri"/>
            <family val="2"/>
            <scheme val="minor"/>
          </rPr>
          <t>Monto calculado automáticamente por el sistema</t>
        </r>
      </text>
    </comment>
    <comment ref="A2854" authorId="1" shapeId="0" xr:uid="{CA9BE014-39F5-4425-B5A6-141B99EACF56}">
      <text>
        <r>
          <rPr>
            <sz val="11"/>
            <color theme="1"/>
            <rFont val="Calibri"/>
            <family val="2"/>
            <scheme val="minor"/>
          </rPr>
          <t>Introducir un texto con el nombre o referencia de la contratación</t>
        </r>
      </text>
    </comment>
    <comment ref="B2854" authorId="1" shapeId="0" xr:uid="{7249135B-569D-4358-98ED-3443CB1E8174}">
      <text>
        <r>
          <rPr>
            <sz val="11"/>
            <color theme="1"/>
            <rFont val="Calibri"/>
            <family val="2"/>
            <scheme val="minor"/>
          </rPr>
          <t>Introduzca un texto con la finalidad de la contratación</t>
        </r>
      </text>
    </comment>
    <comment ref="C2854" authorId="1" shapeId="0" xr:uid="{00F2F146-C5FD-406F-AC14-C97BA1A98708}">
      <text>
        <r>
          <rPr>
            <sz val="11"/>
            <color theme="1"/>
            <rFont val="Calibri"/>
            <family val="2"/>
            <scheme val="minor"/>
          </rPr>
          <t>Seleccionar un valor del listado</t>
        </r>
      </text>
    </comment>
    <comment ref="D2854" authorId="1" shapeId="0" xr:uid="{B35EED32-524C-4126-8C56-34440F87B331}">
      <text>
        <r>
          <rPr>
            <sz val="11"/>
            <color theme="1"/>
            <rFont val="Calibri"/>
            <family val="2"/>
            <scheme val="minor"/>
          </rPr>
          <t>Seleccione el tipo de procedimiento</t>
        </r>
      </text>
    </comment>
    <comment ref="E2854" authorId="1" shapeId="0" xr:uid="{597F0E9F-960D-4D49-B003-9D36B92B4317}">
      <text>
        <r>
          <rPr>
            <sz val="11"/>
            <color theme="1"/>
            <rFont val="Calibri"/>
            <family val="2"/>
            <scheme val="minor"/>
          </rPr>
          <t>Seleccione un valor de la lista</t>
        </r>
      </text>
    </comment>
    <comment ref="F2854" authorId="1" shapeId="0" xr:uid="{753415B5-5649-4931-A907-8FDACBF1895A}">
      <text>
        <r>
          <rPr>
            <sz val="11"/>
            <color theme="1"/>
            <rFont val="Calibri"/>
            <family val="2"/>
            <scheme val="minor"/>
          </rPr>
          <t>Introduzca el código SNIP</t>
        </r>
      </text>
    </comment>
    <comment ref="C2855" authorId="1" shapeId="0" xr:uid="{13C31D77-084F-4E90-AA52-B84762457642}">
      <text>
        <r>
          <rPr>
            <sz val="11"/>
            <color theme="1"/>
            <rFont val="Calibri"/>
            <family val="2"/>
            <scheme val="minor"/>
          </rPr>
          <t>Introduzca la fecha de inicio del proceso, en formato dd-mm-aaaa</t>
        </r>
      </text>
    </comment>
    <comment ref="F2855" authorId="1" shapeId="0" xr:uid="{4200BEBB-B613-4919-A7B2-4FA691C5D3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6" authorId="1" shapeId="0" xr:uid="{DD02BB82-EAC5-4C50-B48B-38184F295068}">
      <text/>
    </comment>
    <comment ref="C2857" authorId="1" shapeId="0" xr:uid="{5756ED44-4612-4CCC-B293-E1C105E58AA9}">
      <text>
        <r>
          <rPr>
            <sz val="11"/>
            <color theme="1"/>
            <rFont val="Calibri"/>
            <family val="2"/>
            <scheme val="minor"/>
          </rPr>
          <t>Introduzca la fecha prevista de adjudicación, en formato dd-mm-aaaa</t>
        </r>
      </text>
    </comment>
    <comment ref="F2857" authorId="1" shapeId="0" xr:uid="{90D551B0-DF6A-47FF-A756-5B2617E8BAD4}">
      <text/>
    </comment>
    <comment ref="F2858" authorId="1" shapeId="0" xr:uid="{D76DE5EE-8774-4731-B6EF-A8EBB975104A}">
      <text/>
    </comment>
    <comment ref="A2860" authorId="1" shapeId="0" xr:uid="{CD5DD417-7446-4575-BBFF-43B72D2C119C}">
      <text>
        <r>
          <rPr>
            <sz val="11"/>
            <color theme="1"/>
            <rFont val="Calibri"/>
            <family val="2"/>
            <scheme val="minor"/>
          </rPr>
          <t>Introduzca un codigo UNSPSC</t>
        </r>
      </text>
    </comment>
    <comment ref="B2860" authorId="1" shapeId="0" xr:uid="{F48A8B6D-B57C-4C3D-A6D3-FDA61A9DA3CF}">
      <text>
        <r>
          <rPr>
            <sz val="11"/>
            <color theme="1"/>
            <rFont val="Calibri"/>
            <family val="2"/>
            <scheme val="minor"/>
          </rPr>
          <t>Descripción calculada automáticamente a partir de código del artículo</t>
        </r>
      </text>
    </comment>
    <comment ref="C2860" authorId="1" shapeId="0" xr:uid="{98E0563D-4923-4EDA-97E2-4667474FA528}">
      <text>
        <r>
          <rPr>
            <sz val="11"/>
            <color theme="1"/>
            <rFont val="Calibri"/>
            <family val="2"/>
            <scheme val="minor"/>
          </rPr>
          <t>Seleccione un valor de la lista</t>
        </r>
      </text>
    </comment>
    <comment ref="D2860" authorId="1" shapeId="0" xr:uid="{572F41C6-5505-4C12-85A2-C5BC52DFAD81}">
      <text>
        <r>
          <rPr>
            <sz val="11"/>
            <color theme="1"/>
            <rFont val="Calibri"/>
            <family val="2"/>
            <scheme val="minor"/>
          </rPr>
          <t>Introduzca un número con dos decimales como máximo. Debe ser igual o mayor a la "Cantidad Real Consumida"</t>
        </r>
      </text>
    </comment>
    <comment ref="E2860" authorId="1" shapeId="0" xr:uid="{11C50C7A-EB60-4B77-95CD-0029D78AE93E}">
      <text>
        <r>
          <rPr>
            <sz val="11"/>
            <color theme="1"/>
            <rFont val="Calibri"/>
            <family val="2"/>
            <scheme val="minor"/>
          </rPr>
          <t>Introduzca un número con dos decimales como máximo</t>
        </r>
      </text>
    </comment>
    <comment ref="F2860" authorId="1" shapeId="0" xr:uid="{FE465717-1FD8-4B8B-B140-EA80D8F94904}">
      <text>
        <r>
          <rPr>
            <sz val="11"/>
            <color theme="1"/>
            <rFont val="Calibri"/>
            <family val="2"/>
            <scheme val="minor"/>
          </rPr>
          <t>Monto calculado automáticamente por el sistema</t>
        </r>
      </text>
    </comment>
    <comment ref="A2866" authorId="1" shapeId="0" xr:uid="{A23CEA98-8320-45E4-9B9C-9CC97836810D}">
      <text>
        <r>
          <rPr>
            <sz val="11"/>
            <color theme="1"/>
            <rFont val="Calibri"/>
            <family val="2"/>
            <scheme val="minor"/>
          </rPr>
          <t>Introducir un texto con el nombre o referencia de la contratación</t>
        </r>
      </text>
    </comment>
    <comment ref="B2866" authorId="1" shapeId="0" xr:uid="{A6A1FF8F-AF05-4ADD-9DED-34CD0884BA25}">
      <text>
        <r>
          <rPr>
            <sz val="11"/>
            <color theme="1"/>
            <rFont val="Calibri"/>
            <family val="2"/>
            <scheme val="minor"/>
          </rPr>
          <t>Introduzca un texto con la finalidad de la contratación</t>
        </r>
      </text>
    </comment>
    <comment ref="C2866" authorId="1" shapeId="0" xr:uid="{BEF1F297-9750-47C2-AC83-6E24575886CC}">
      <text>
        <r>
          <rPr>
            <sz val="11"/>
            <color theme="1"/>
            <rFont val="Calibri"/>
            <family val="2"/>
            <scheme val="minor"/>
          </rPr>
          <t>Seleccionar un valor del listado</t>
        </r>
      </text>
    </comment>
    <comment ref="D2866" authorId="1" shapeId="0" xr:uid="{1FA4D9F8-9D6B-43FA-A6D3-232FFE3F7768}">
      <text>
        <r>
          <rPr>
            <sz val="11"/>
            <color theme="1"/>
            <rFont val="Calibri"/>
            <family val="2"/>
            <scheme val="minor"/>
          </rPr>
          <t>Seleccione el tipo de procedimiento</t>
        </r>
      </text>
    </comment>
    <comment ref="E2866" authorId="1" shapeId="0" xr:uid="{E3FA175D-EB1C-4F25-97FC-E1ADC7C90412}">
      <text>
        <r>
          <rPr>
            <sz val="11"/>
            <color theme="1"/>
            <rFont val="Calibri"/>
            <family val="2"/>
            <scheme val="minor"/>
          </rPr>
          <t>Seleccione un valor de la lista</t>
        </r>
      </text>
    </comment>
    <comment ref="F2866" authorId="1" shapeId="0" xr:uid="{A19AD9EF-994F-4A8C-8702-FE815921C44C}">
      <text>
        <r>
          <rPr>
            <sz val="11"/>
            <color theme="1"/>
            <rFont val="Calibri"/>
            <family val="2"/>
            <scheme val="minor"/>
          </rPr>
          <t>Introduzca el código SNIP</t>
        </r>
      </text>
    </comment>
    <comment ref="C2867" authorId="1" shapeId="0" xr:uid="{3743A957-8254-4CBB-AE86-7177E1A6205A}">
      <text>
        <r>
          <rPr>
            <sz val="11"/>
            <color theme="1"/>
            <rFont val="Calibri"/>
            <family val="2"/>
            <scheme val="minor"/>
          </rPr>
          <t>Introduzca la fecha de inicio del proceso, en formato dd-mm-aaaa</t>
        </r>
      </text>
    </comment>
    <comment ref="F2867" authorId="1" shapeId="0" xr:uid="{2E415178-C7CA-460D-9DFE-6672085AFB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8" authorId="1" shapeId="0" xr:uid="{D838E2E5-5487-444C-BCA2-06DEC78F71B5}">
      <text/>
    </comment>
    <comment ref="C2869" authorId="1" shapeId="0" xr:uid="{91B23F34-B70D-4A3D-80E0-411E556AACFA}">
      <text>
        <r>
          <rPr>
            <sz val="11"/>
            <color theme="1"/>
            <rFont val="Calibri"/>
            <family val="2"/>
            <scheme val="minor"/>
          </rPr>
          <t>Introduzca la fecha prevista de adjudicación, en formato dd-mm-aaaa</t>
        </r>
      </text>
    </comment>
    <comment ref="F2869" authorId="1" shapeId="0" xr:uid="{3E486F05-505A-4BEF-920F-9576294D8226}">
      <text/>
    </comment>
    <comment ref="F2870" authorId="1" shapeId="0" xr:uid="{A513C29C-6350-44B9-A042-706CDF3CC928}">
      <text/>
    </comment>
    <comment ref="A2872" authorId="1" shapeId="0" xr:uid="{BE690E51-8F31-46D1-8BAB-17FACC309499}">
      <text>
        <r>
          <rPr>
            <sz val="11"/>
            <color theme="1"/>
            <rFont val="Calibri"/>
            <family val="2"/>
            <scheme val="minor"/>
          </rPr>
          <t>Introduzca un codigo UNSPSC</t>
        </r>
      </text>
    </comment>
    <comment ref="B2872" authorId="1" shapeId="0" xr:uid="{49EB9D5D-D917-43E7-88C5-196F7C029A4B}">
      <text>
        <r>
          <rPr>
            <sz val="11"/>
            <color theme="1"/>
            <rFont val="Calibri"/>
            <family val="2"/>
            <scheme val="minor"/>
          </rPr>
          <t>Descripción calculada automáticamente a partir de código del artículo</t>
        </r>
      </text>
    </comment>
    <comment ref="C2872" authorId="1" shapeId="0" xr:uid="{0D601C0E-FF08-425B-B37C-B0565DEF2CA5}">
      <text>
        <r>
          <rPr>
            <sz val="11"/>
            <color theme="1"/>
            <rFont val="Calibri"/>
            <family val="2"/>
            <scheme val="minor"/>
          </rPr>
          <t>Seleccione un valor de la lista</t>
        </r>
      </text>
    </comment>
    <comment ref="D2872" authorId="1" shapeId="0" xr:uid="{34F61DB8-7329-4A19-92BE-4CF260236C8E}">
      <text>
        <r>
          <rPr>
            <sz val="11"/>
            <color theme="1"/>
            <rFont val="Calibri"/>
            <family val="2"/>
            <scheme val="minor"/>
          </rPr>
          <t>Introduzca un número con dos decimales como máximo. Debe ser igual o mayor a la "Cantidad Real Consumida"</t>
        </r>
      </text>
    </comment>
    <comment ref="E2872" authorId="1" shapeId="0" xr:uid="{512E9228-AD0C-4091-985F-7442D940E03B}">
      <text>
        <r>
          <rPr>
            <sz val="11"/>
            <color theme="1"/>
            <rFont val="Calibri"/>
            <family val="2"/>
            <scheme val="minor"/>
          </rPr>
          <t>Introduzca un número con dos decimales como máximo</t>
        </r>
      </text>
    </comment>
    <comment ref="F2872" authorId="1" shapeId="0" xr:uid="{EDF6817E-629B-4A54-A811-579D085A7FA2}">
      <text>
        <r>
          <rPr>
            <sz val="11"/>
            <color theme="1"/>
            <rFont val="Calibri"/>
            <family val="2"/>
            <scheme val="minor"/>
          </rPr>
          <t>Monto calculado automáticamente por el sistema</t>
        </r>
      </text>
    </comment>
    <comment ref="A2878" authorId="1" shapeId="0" xr:uid="{81906650-B818-40A4-9E49-84C9C4B7D9EB}">
      <text>
        <r>
          <rPr>
            <sz val="11"/>
            <color theme="1"/>
            <rFont val="Calibri"/>
            <family val="2"/>
            <scheme val="minor"/>
          </rPr>
          <t>Introducir un texto con el nombre o referencia de la contratación</t>
        </r>
      </text>
    </comment>
    <comment ref="B2878" authorId="1" shapeId="0" xr:uid="{933A87EC-9422-4372-9A78-427C64224D85}">
      <text>
        <r>
          <rPr>
            <sz val="11"/>
            <color theme="1"/>
            <rFont val="Calibri"/>
            <family val="2"/>
            <scheme val="minor"/>
          </rPr>
          <t>Introduzca un texto con la finalidad de la contratación</t>
        </r>
      </text>
    </comment>
    <comment ref="C2878" authorId="1" shapeId="0" xr:uid="{D2EF1348-A966-40BE-A7DC-1DEB1B99AB1B}">
      <text>
        <r>
          <rPr>
            <sz val="11"/>
            <color theme="1"/>
            <rFont val="Calibri"/>
            <family val="2"/>
            <scheme val="minor"/>
          </rPr>
          <t>Seleccionar un valor del listado</t>
        </r>
      </text>
    </comment>
    <comment ref="D2878" authorId="1" shapeId="0" xr:uid="{AEAF1116-F004-4738-B530-DDB505560514}">
      <text>
        <r>
          <rPr>
            <sz val="11"/>
            <color theme="1"/>
            <rFont val="Calibri"/>
            <family val="2"/>
            <scheme val="minor"/>
          </rPr>
          <t>Seleccione el tipo de procedimiento</t>
        </r>
      </text>
    </comment>
    <comment ref="E2878" authorId="1" shapeId="0" xr:uid="{9480F777-6297-45F3-B94E-F1020775F1D0}">
      <text>
        <r>
          <rPr>
            <sz val="11"/>
            <color theme="1"/>
            <rFont val="Calibri"/>
            <family val="2"/>
            <scheme val="minor"/>
          </rPr>
          <t>Seleccione un valor de la lista</t>
        </r>
      </text>
    </comment>
    <comment ref="F2878" authorId="1" shapeId="0" xr:uid="{04018299-98A2-452C-BFEA-887660DFD7E5}">
      <text>
        <r>
          <rPr>
            <sz val="11"/>
            <color theme="1"/>
            <rFont val="Calibri"/>
            <family val="2"/>
            <scheme val="minor"/>
          </rPr>
          <t>Introduzca el código SNIP</t>
        </r>
      </text>
    </comment>
    <comment ref="C2879" authorId="1" shapeId="0" xr:uid="{635B3364-0A7F-4730-877D-109641E0D57D}">
      <text>
        <r>
          <rPr>
            <sz val="11"/>
            <color theme="1"/>
            <rFont val="Calibri"/>
            <family val="2"/>
            <scheme val="minor"/>
          </rPr>
          <t>Introduzca la fecha de inicio del proceso, en formato dd-mm-aaaa</t>
        </r>
      </text>
    </comment>
    <comment ref="F2879" authorId="1" shapeId="0" xr:uid="{AD214B65-A79C-4140-B3AF-C768D6BA05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0" authorId="1" shapeId="0" xr:uid="{D3D1B484-80D8-41CF-9191-4CDD14496A62}">
      <text/>
    </comment>
    <comment ref="C2881" authorId="1" shapeId="0" xr:uid="{1534AD9F-43FF-43BA-BA9E-467BEFDCDC38}">
      <text>
        <r>
          <rPr>
            <sz val="11"/>
            <color theme="1"/>
            <rFont val="Calibri"/>
            <family val="2"/>
            <scheme val="minor"/>
          </rPr>
          <t>Introduzca la fecha prevista de adjudicación, en formato dd-mm-aaaa</t>
        </r>
      </text>
    </comment>
    <comment ref="F2881" authorId="1" shapeId="0" xr:uid="{C2160163-F1FE-4C2A-9F37-BA69C8A482B0}">
      <text/>
    </comment>
    <comment ref="F2882" authorId="1" shapeId="0" xr:uid="{065DAE50-3131-4F15-AC42-FEE4AEA15E36}">
      <text/>
    </comment>
    <comment ref="A2884" authorId="1" shapeId="0" xr:uid="{894D3AED-4840-42B7-B109-7141D4212D65}">
      <text>
        <r>
          <rPr>
            <sz val="11"/>
            <color theme="1"/>
            <rFont val="Calibri"/>
            <family val="2"/>
            <scheme val="minor"/>
          </rPr>
          <t>Introduzca un codigo UNSPSC</t>
        </r>
      </text>
    </comment>
    <comment ref="B2884" authorId="1" shapeId="0" xr:uid="{9514B194-0315-4A85-A39C-22681197FB1C}">
      <text>
        <r>
          <rPr>
            <sz val="11"/>
            <color theme="1"/>
            <rFont val="Calibri"/>
            <family val="2"/>
            <scheme val="minor"/>
          </rPr>
          <t>Descripción calculada automáticamente a partir de código del artículo</t>
        </r>
      </text>
    </comment>
    <comment ref="C2884" authorId="1" shapeId="0" xr:uid="{219DDFA9-F98E-4DAC-8362-3EE7B296556B}">
      <text>
        <r>
          <rPr>
            <sz val="11"/>
            <color theme="1"/>
            <rFont val="Calibri"/>
            <family val="2"/>
            <scheme val="minor"/>
          </rPr>
          <t>Seleccione un valor de la lista</t>
        </r>
      </text>
    </comment>
    <comment ref="D2884" authorId="1" shapeId="0" xr:uid="{49F1BDB5-DC1A-44BB-9468-159D295EEA9E}">
      <text>
        <r>
          <rPr>
            <sz val="11"/>
            <color theme="1"/>
            <rFont val="Calibri"/>
            <family val="2"/>
            <scheme val="minor"/>
          </rPr>
          <t>Introduzca un número con dos decimales como máximo. Debe ser igual o mayor a la "Cantidad Real Consumida"</t>
        </r>
      </text>
    </comment>
    <comment ref="E2884" authorId="1" shapeId="0" xr:uid="{FDF1626B-2C4F-4B7D-90DF-3FD473B5B6EB}">
      <text>
        <r>
          <rPr>
            <sz val="11"/>
            <color theme="1"/>
            <rFont val="Calibri"/>
            <family val="2"/>
            <scheme val="minor"/>
          </rPr>
          <t>Introduzca un número con dos decimales como máximo</t>
        </r>
      </text>
    </comment>
    <comment ref="F2884" authorId="1" shapeId="0" xr:uid="{F404A1D1-57F5-42F9-81CE-7024F3F37BCC}">
      <text>
        <r>
          <rPr>
            <sz val="11"/>
            <color theme="1"/>
            <rFont val="Calibri"/>
            <family val="2"/>
            <scheme val="minor"/>
          </rPr>
          <t>Monto calculado automáticamente por el sistema</t>
        </r>
      </text>
    </comment>
    <comment ref="A2889" authorId="1" shapeId="0" xr:uid="{C5C4D0E3-7CBB-461F-A7E3-C83C56CC6AC6}">
      <text>
        <r>
          <rPr>
            <sz val="11"/>
            <color theme="1"/>
            <rFont val="Calibri"/>
            <family val="2"/>
            <scheme val="minor"/>
          </rPr>
          <t>Introducir un texto con el nombre o referencia de la contratación</t>
        </r>
      </text>
    </comment>
    <comment ref="B2889" authorId="1" shapeId="0" xr:uid="{B68B7F6E-A1BD-4427-9D4A-3771466795B8}">
      <text>
        <r>
          <rPr>
            <sz val="11"/>
            <color theme="1"/>
            <rFont val="Calibri"/>
            <family val="2"/>
            <scheme val="minor"/>
          </rPr>
          <t>Introduzca un texto con la finalidad de la contratación</t>
        </r>
      </text>
    </comment>
    <comment ref="C2889" authorId="1" shapeId="0" xr:uid="{5B9EE1F0-BFEF-47C8-9EFE-83DFCFB6A53B}">
      <text>
        <r>
          <rPr>
            <sz val="11"/>
            <color theme="1"/>
            <rFont val="Calibri"/>
            <family val="2"/>
            <scheme val="minor"/>
          </rPr>
          <t>Seleccionar un valor del listado</t>
        </r>
      </text>
    </comment>
    <comment ref="D2889" authorId="1" shapeId="0" xr:uid="{4E873BEB-E4D9-420C-9C7F-4298170E2CB5}">
      <text>
        <r>
          <rPr>
            <sz val="11"/>
            <color theme="1"/>
            <rFont val="Calibri"/>
            <family val="2"/>
            <scheme val="minor"/>
          </rPr>
          <t>Seleccione el tipo de procedimiento</t>
        </r>
      </text>
    </comment>
    <comment ref="E2889" authorId="1" shapeId="0" xr:uid="{CF039EC2-DD31-4D10-AD7F-8A95EBF579F4}">
      <text>
        <r>
          <rPr>
            <sz val="11"/>
            <color theme="1"/>
            <rFont val="Calibri"/>
            <family val="2"/>
            <scheme val="minor"/>
          </rPr>
          <t>Seleccione un valor de la lista</t>
        </r>
      </text>
    </comment>
    <comment ref="F2889" authorId="1" shapeId="0" xr:uid="{43566279-6FFA-4D2C-B02A-18CB52976E16}">
      <text>
        <r>
          <rPr>
            <sz val="11"/>
            <color theme="1"/>
            <rFont val="Calibri"/>
            <family val="2"/>
            <scheme val="minor"/>
          </rPr>
          <t>Introduzca el código SNIP</t>
        </r>
      </text>
    </comment>
    <comment ref="C2890" authorId="1" shapeId="0" xr:uid="{0FC11DBE-A55B-4549-8062-DB48541E1B97}">
      <text>
        <r>
          <rPr>
            <sz val="11"/>
            <color theme="1"/>
            <rFont val="Calibri"/>
            <family val="2"/>
            <scheme val="minor"/>
          </rPr>
          <t>Introduzca la fecha de inicio del proceso, en formato dd-mm-aaaa</t>
        </r>
      </text>
    </comment>
    <comment ref="F2890" authorId="1" shapeId="0" xr:uid="{263DA303-13CD-45BC-9BEC-72ECCE8ACD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1" authorId="1" shapeId="0" xr:uid="{8DE8CEDD-B5EE-47D0-B77E-28686A52D755}">
      <text/>
    </comment>
    <comment ref="C2892" authorId="1" shapeId="0" xr:uid="{4D3AD2B5-D747-4033-BEE3-2087211B5E5E}">
      <text>
        <r>
          <rPr>
            <sz val="11"/>
            <color theme="1"/>
            <rFont val="Calibri"/>
            <family val="2"/>
            <scheme val="minor"/>
          </rPr>
          <t>Introduzca la fecha prevista de adjudicación, en formato dd-mm-aaaa</t>
        </r>
      </text>
    </comment>
    <comment ref="F2892" authorId="1" shapeId="0" xr:uid="{8A7B2C64-4C84-4710-A246-22D220A7E298}">
      <text/>
    </comment>
    <comment ref="F2893" authorId="1" shapeId="0" xr:uid="{8DFB86E8-C7DB-42EB-A890-DD0D848E8B3B}">
      <text/>
    </comment>
    <comment ref="A2895" authorId="1" shapeId="0" xr:uid="{651E2713-4914-4634-AC85-8F931C3C9F81}">
      <text>
        <r>
          <rPr>
            <sz val="11"/>
            <color theme="1"/>
            <rFont val="Calibri"/>
            <family val="2"/>
            <scheme val="minor"/>
          </rPr>
          <t>Introduzca un codigo UNSPSC</t>
        </r>
      </text>
    </comment>
    <comment ref="B2895" authorId="1" shapeId="0" xr:uid="{107474C9-5825-4AFB-ADBC-0FB5246B4132}">
      <text>
        <r>
          <rPr>
            <sz val="11"/>
            <color theme="1"/>
            <rFont val="Calibri"/>
            <family val="2"/>
            <scheme val="minor"/>
          </rPr>
          <t>Descripción calculada automáticamente a partir de código del artículo</t>
        </r>
      </text>
    </comment>
    <comment ref="C2895" authorId="1" shapeId="0" xr:uid="{055705A3-DC34-423E-8B33-840768DA6AA9}">
      <text>
        <r>
          <rPr>
            <sz val="11"/>
            <color theme="1"/>
            <rFont val="Calibri"/>
            <family val="2"/>
            <scheme val="minor"/>
          </rPr>
          <t>Seleccione un valor de la lista</t>
        </r>
      </text>
    </comment>
    <comment ref="D2895" authorId="1" shapeId="0" xr:uid="{EFCEF32F-26E4-4E41-9008-6A65C70C9807}">
      <text>
        <r>
          <rPr>
            <sz val="11"/>
            <color theme="1"/>
            <rFont val="Calibri"/>
            <family val="2"/>
            <scheme val="minor"/>
          </rPr>
          <t>Introduzca un número con dos decimales como máximo. Debe ser igual o mayor a la "Cantidad Real Consumida"</t>
        </r>
      </text>
    </comment>
    <comment ref="E2895" authorId="1" shapeId="0" xr:uid="{9061EC7E-C8B0-4F51-84F7-15D266008EE8}">
      <text>
        <r>
          <rPr>
            <sz val="11"/>
            <color theme="1"/>
            <rFont val="Calibri"/>
            <family val="2"/>
            <scheme val="minor"/>
          </rPr>
          <t>Introduzca un número con dos decimales como máximo</t>
        </r>
      </text>
    </comment>
    <comment ref="F2895" authorId="1" shapeId="0" xr:uid="{FE5113F5-6407-441B-8B43-29A0DCF52281}">
      <text>
        <r>
          <rPr>
            <sz val="11"/>
            <color theme="1"/>
            <rFont val="Calibri"/>
            <family val="2"/>
            <scheme val="minor"/>
          </rPr>
          <t>Monto calculado automáticamente por el sistema</t>
        </r>
      </text>
    </comment>
    <comment ref="A2900" authorId="1" shapeId="0" xr:uid="{B225C489-34A9-4A22-A5C1-C1CC67812D7E}">
      <text>
        <r>
          <rPr>
            <sz val="11"/>
            <color theme="1"/>
            <rFont val="Calibri"/>
            <family val="2"/>
            <scheme val="minor"/>
          </rPr>
          <t>Introducir un texto con el nombre o referencia de la contratación</t>
        </r>
      </text>
    </comment>
    <comment ref="B2900" authorId="1" shapeId="0" xr:uid="{51BEB07F-A5F4-4E29-866A-CE113B433673}">
      <text>
        <r>
          <rPr>
            <sz val="11"/>
            <color theme="1"/>
            <rFont val="Calibri"/>
            <family val="2"/>
            <scheme val="minor"/>
          </rPr>
          <t>Introduzca un texto con la finalidad de la contratación</t>
        </r>
      </text>
    </comment>
    <comment ref="C2900" authorId="1" shapeId="0" xr:uid="{BEBC1D31-AAD7-41E4-86D8-E37D03DC6B6C}">
      <text>
        <r>
          <rPr>
            <sz val="11"/>
            <color theme="1"/>
            <rFont val="Calibri"/>
            <family val="2"/>
            <scheme val="minor"/>
          </rPr>
          <t>Seleccionar un valor del listado</t>
        </r>
      </text>
    </comment>
    <comment ref="D2900" authorId="1" shapeId="0" xr:uid="{758E41B7-A769-40D7-8E39-BA43CDD432FB}">
      <text>
        <r>
          <rPr>
            <sz val="11"/>
            <color theme="1"/>
            <rFont val="Calibri"/>
            <family val="2"/>
            <scheme val="minor"/>
          </rPr>
          <t>Seleccione el tipo de procedimiento</t>
        </r>
      </text>
    </comment>
    <comment ref="E2900" authorId="1" shapeId="0" xr:uid="{CC0E75E8-0A3C-4582-AB2E-E76089FE4626}">
      <text>
        <r>
          <rPr>
            <sz val="11"/>
            <color theme="1"/>
            <rFont val="Calibri"/>
            <family val="2"/>
            <scheme val="minor"/>
          </rPr>
          <t>Seleccione un valor de la lista</t>
        </r>
      </text>
    </comment>
    <comment ref="F2900" authorId="1" shapeId="0" xr:uid="{511FE8F3-9D91-413E-97D3-63F4A230888F}">
      <text>
        <r>
          <rPr>
            <sz val="11"/>
            <color theme="1"/>
            <rFont val="Calibri"/>
            <family val="2"/>
            <scheme val="minor"/>
          </rPr>
          <t>Introduzca el código SNIP</t>
        </r>
      </text>
    </comment>
    <comment ref="C2901" authorId="1" shapeId="0" xr:uid="{54D38114-4099-463F-8409-2423476C0B29}">
      <text>
        <r>
          <rPr>
            <sz val="11"/>
            <color theme="1"/>
            <rFont val="Calibri"/>
            <family val="2"/>
            <scheme val="minor"/>
          </rPr>
          <t>Introduzca la fecha de inicio del proceso, en formato dd-mm-aaaa</t>
        </r>
      </text>
    </comment>
    <comment ref="F2901" authorId="1" shapeId="0" xr:uid="{C0F4C08A-6ADA-49C0-A27A-DF657BAA24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2" authorId="1" shapeId="0" xr:uid="{9E8ED100-F7B0-4E8D-9589-A71B4FF44E70}">
      <text/>
    </comment>
    <comment ref="C2903" authorId="1" shapeId="0" xr:uid="{5F05F22A-7986-46CE-9848-91F7F4A120C8}">
      <text>
        <r>
          <rPr>
            <sz val="11"/>
            <color theme="1"/>
            <rFont val="Calibri"/>
            <family val="2"/>
            <scheme val="minor"/>
          </rPr>
          <t>Introduzca la fecha prevista de adjudicación, en formato dd-mm-aaaa</t>
        </r>
      </text>
    </comment>
    <comment ref="F2903" authorId="1" shapeId="0" xr:uid="{8874FEB0-8C0E-4FD3-B8BF-6C32CCE3737B}">
      <text/>
    </comment>
    <comment ref="F2904" authorId="1" shapeId="0" xr:uid="{45DB2ECC-D2CE-4C59-BDFD-1258C1DFF08B}">
      <text/>
    </comment>
    <comment ref="A2906" authorId="1" shapeId="0" xr:uid="{D0B46FAF-1B59-418E-9FDF-1A103F73E56F}">
      <text>
        <r>
          <rPr>
            <sz val="11"/>
            <color theme="1"/>
            <rFont val="Calibri"/>
            <family val="2"/>
            <scheme val="minor"/>
          </rPr>
          <t>Introduzca un codigo UNSPSC</t>
        </r>
      </text>
    </comment>
    <comment ref="B2906" authorId="1" shapeId="0" xr:uid="{EED5CFDC-8FEA-48FB-8F0A-E231FB1ABE16}">
      <text>
        <r>
          <rPr>
            <sz val="11"/>
            <color theme="1"/>
            <rFont val="Calibri"/>
            <family val="2"/>
            <scheme val="minor"/>
          </rPr>
          <t>Descripción calculada automáticamente a partir de código del artículo</t>
        </r>
      </text>
    </comment>
    <comment ref="C2906" authorId="1" shapeId="0" xr:uid="{028DED6F-94E4-4859-999E-DF823CC0360C}">
      <text>
        <r>
          <rPr>
            <sz val="11"/>
            <color theme="1"/>
            <rFont val="Calibri"/>
            <family val="2"/>
            <scheme val="minor"/>
          </rPr>
          <t>Seleccione un valor de la lista</t>
        </r>
      </text>
    </comment>
    <comment ref="D2906" authorId="1" shapeId="0" xr:uid="{17E6DC87-AAD6-4671-A4F8-D326582B6BE8}">
      <text>
        <r>
          <rPr>
            <sz val="11"/>
            <color theme="1"/>
            <rFont val="Calibri"/>
            <family val="2"/>
            <scheme val="minor"/>
          </rPr>
          <t>Introduzca un número con dos decimales como máximo. Debe ser igual o mayor a la "Cantidad Real Consumida"</t>
        </r>
      </text>
    </comment>
    <comment ref="E2906" authorId="1" shapeId="0" xr:uid="{D578534F-209C-4295-B8DA-DA1CAD41F154}">
      <text>
        <r>
          <rPr>
            <sz val="11"/>
            <color theme="1"/>
            <rFont val="Calibri"/>
            <family val="2"/>
            <scheme val="minor"/>
          </rPr>
          <t>Introduzca un número con dos decimales como máximo</t>
        </r>
      </text>
    </comment>
    <comment ref="F2906" authorId="1" shapeId="0" xr:uid="{A0E345B9-59DC-4E84-901D-969395BDE021}">
      <text>
        <r>
          <rPr>
            <sz val="11"/>
            <color theme="1"/>
            <rFont val="Calibri"/>
            <family val="2"/>
            <scheme val="minor"/>
          </rPr>
          <t>Monto calculado automáticamente por el sistema</t>
        </r>
      </text>
    </comment>
    <comment ref="A2913" authorId="1" shapeId="0" xr:uid="{6C924B26-58B8-4135-AF6B-42394C409D6C}">
      <text>
        <r>
          <rPr>
            <sz val="11"/>
            <color theme="1"/>
            <rFont val="Calibri"/>
            <family val="2"/>
            <scheme val="minor"/>
          </rPr>
          <t>Introducir un texto con el nombre o referencia de la contratación</t>
        </r>
      </text>
    </comment>
    <comment ref="B2913" authorId="1" shapeId="0" xr:uid="{CF67FACC-AB1C-4EAC-811B-DE7462EAFBAF}">
      <text>
        <r>
          <rPr>
            <sz val="11"/>
            <color theme="1"/>
            <rFont val="Calibri"/>
            <family val="2"/>
            <scheme val="minor"/>
          </rPr>
          <t>Introduzca un texto con la finalidad de la contratación</t>
        </r>
      </text>
    </comment>
    <comment ref="C2913" authorId="1" shapeId="0" xr:uid="{9B34C7E9-E6A2-45B2-8DDF-66D4A3BCD22C}">
      <text>
        <r>
          <rPr>
            <sz val="11"/>
            <color theme="1"/>
            <rFont val="Calibri"/>
            <family val="2"/>
            <scheme val="minor"/>
          </rPr>
          <t>Seleccionar un valor del listado</t>
        </r>
      </text>
    </comment>
    <comment ref="D2913" authorId="1" shapeId="0" xr:uid="{D545CD3D-4345-4658-A534-507CDC43B290}">
      <text>
        <r>
          <rPr>
            <sz val="11"/>
            <color theme="1"/>
            <rFont val="Calibri"/>
            <family val="2"/>
            <scheme val="minor"/>
          </rPr>
          <t>Seleccione el tipo de procedimiento</t>
        </r>
      </text>
    </comment>
    <comment ref="E2913" authorId="1" shapeId="0" xr:uid="{25E85693-A3B2-4AFE-8957-53F96D69D177}">
      <text>
        <r>
          <rPr>
            <sz val="11"/>
            <color theme="1"/>
            <rFont val="Calibri"/>
            <family val="2"/>
            <scheme val="minor"/>
          </rPr>
          <t>Seleccione un valor de la lista</t>
        </r>
      </text>
    </comment>
    <comment ref="F2913" authorId="1" shapeId="0" xr:uid="{46CEEEE8-E83B-46E2-B2E4-4FB90D9689AE}">
      <text>
        <r>
          <rPr>
            <sz val="11"/>
            <color theme="1"/>
            <rFont val="Calibri"/>
            <family val="2"/>
            <scheme val="minor"/>
          </rPr>
          <t>Introduzca el código SNIP</t>
        </r>
      </text>
    </comment>
    <comment ref="C2914" authorId="1" shapeId="0" xr:uid="{158AE745-21F7-44F9-AB41-316F12837DDE}">
      <text>
        <r>
          <rPr>
            <sz val="11"/>
            <color theme="1"/>
            <rFont val="Calibri"/>
            <family val="2"/>
            <scheme val="minor"/>
          </rPr>
          <t>Introduzca la fecha de inicio del proceso, en formato dd-mm-aaaa</t>
        </r>
      </text>
    </comment>
    <comment ref="F2914" authorId="1" shapeId="0" xr:uid="{F7A27FDC-5EBD-4D96-8798-A5B00FC313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5" authorId="1" shapeId="0" xr:uid="{97D94051-BA33-4404-8594-07D17BF30EF5}">
      <text/>
    </comment>
    <comment ref="C2916" authorId="1" shapeId="0" xr:uid="{98C676B9-93E6-424C-B431-AF582AB8A346}">
      <text>
        <r>
          <rPr>
            <sz val="11"/>
            <color theme="1"/>
            <rFont val="Calibri"/>
            <family val="2"/>
            <scheme val="minor"/>
          </rPr>
          <t>Introduzca la fecha prevista de adjudicación, en formato dd-mm-aaaa</t>
        </r>
      </text>
    </comment>
    <comment ref="F2916" authorId="1" shapeId="0" xr:uid="{3BCA4D7F-6504-47EA-9AF4-CF8E472F5DE6}">
      <text/>
    </comment>
    <comment ref="F2917" authorId="1" shapeId="0" xr:uid="{9CC85020-631F-465B-AD3A-00BDE284EDBC}">
      <text/>
    </comment>
    <comment ref="A2919" authorId="1" shapeId="0" xr:uid="{B54CBF6E-6E1C-43CD-9767-C7654DAB34A9}">
      <text>
        <r>
          <rPr>
            <sz val="11"/>
            <color theme="1"/>
            <rFont val="Calibri"/>
            <family val="2"/>
            <scheme val="minor"/>
          </rPr>
          <t>Introduzca un codigo UNSPSC</t>
        </r>
      </text>
    </comment>
    <comment ref="B2919" authorId="1" shapeId="0" xr:uid="{28D153B1-B42F-4ECE-893F-35CA8D105725}">
      <text>
        <r>
          <rPr>
            <sz val="11"/>
            <color theme="1"/>
            <rFont val="Calibri"/>
            <family val="2"/>
            <scheme val="minor"/>
          </rPr>
          <t>Descripción calculada automáticamente a partir de código del artículo</t>
        </r>
      </text>
    </comment>
    <comment ref="C2919" authorId="1" shapeId="0" xr:uid="{D462D512-087B-4EE5-A2DE-2A41018387FB}">
      <text>
        <r>
          <rPr>
            <sz val="11"/>
            <color theme="1"/>
            <rFont val="Calibri"/>
            <family val="2"/>
            <scheme val="minor"/>
          </rPr>
          <t>Seleccione un valor de la lista</t>
        </r>
      </text>
    </comment>
    <comment ref="D2919" authorId="1" shapeId="0" xr:uid="{92823B91-509B-4F4D-8EAE-D562B7D76938}">
      <text>
        <r>
          <rPr>
            <sz val="11"/>
            <color theme="1"/>
            <rFont val="Calibri"/>
            <family val="2"/>
            <scheme val="minor"/>
          </rPr>
          <t>Introduzca un número con dos decimales como máximo. Debe ser igual o mayor a la "Cantidad Real Consumida"</t>
        </r>
      </text>
    </comment>
    <comment ref="E2919" authorId="1" shapeId="0" xr:uid="{BCB5A02B-C0AF-41AC-90FF-79D9F2775190}">
      <text>
        <r>
          <rPr>
            <sz val="11"/>
            <color theme="1"/>
            <rFont val="Calibri"/>
            <family val="2"/>
            <scheme val="minor"/>
          </rPr>
          <t>Introduzca un número con dos decimales como máximo</t>
        </r>
      </text>
    </comment>
    <comment ref="F2919" authorId="1" shapeId="0" xr:uid="{B02976E1-381E-4F54-874F-BB37C7E44EF4}">
      <text>
        <r>
          <rPr>
            <sz val="11"/>
            <color theme="1"/>
            <rFont val="Calibri"/>
            <family val="2"/>
            <scheme val="minor"/>
          </rPr>
          <t>Monto calculado automáticamente por el sistema</t>
        </r>
      </text>
    </comment>
    <comment ref="A2928" authorId="1" shapeId="0" xr:uid="{AD0B5DD4-33F3-49CD-9250-6C86D6C89A05}">
      <text>
        <r>
          <rPr>
            <sz val="11"/>
            <color theme="1"/>
            <rFont val="Calibri"/>
            <family val="2"/>
            <scheme val="minor"/>
          </rPr>
          <t>Introducir un texto con el nombre o referencia de la contratación</t>
        </r>
      </text>
    </comment>
    <comment ref="B2928" authorId="1" shapeId="0" xr:uid="{8E5F6F12-58E6-4C59-819B-208A6389C11C}">
      <text>
        <r>
          <rPr>
            <sz val="11"/>
            <color theme="1"/>
            <rFont val="Calibri"/>
            <family val="2"/>
            <scheme val="minor"/>
          </rPr>
          <t>Introduzca un texto con la finalidad de la contratación</t>
        </r>
      </text>
    </comment>
    <comment ref="C2928" authorId="1" shapeId="0" xr:uid="{9C3241A5-8D22-4C27-8D09-CDA94EB40158}">
      <text>
        <r>
          <rPr>
            <sz val="11"/>
            <color theme="1"/>
            <rFont val="Calibri"/>
            <family val="2"/>
            <scheme val="minor"/>
          </rPr>
          <t>Seleccionar un valor del listado</t>
        </r>
      </text>
    </comment>
    <comment ref="D2928" authorId="1" shapeId="0" xr:uid="{3F97CB3F-9DE7-4571-96D9-2AC92CC20B4F}">
      <text>
        <r>
          <rPr>
            <sz val="11"/>
            <color theme="1"/>
            <rFont val="Calibri"/>
            <family val="2"/>
            <scheme val="minor"/>
          </rPr>
          <t>Seleccione el tipo de procedimiento</t>
        </r>
      </text>
    </comment>
    <comment ref="E2928" authorId="1" shapeId="0" xr:uid="{0BD684C3-3F99-48DA-8273-FBB6F2C26B0D}">
      <text>
        <r>
          <rPr>
            <sz val="11"/>
            <color theme="1"/>
            <rFont val="Calibri"/>
            <family val="2"/>
            <scheme val="minor"/>
          </rPr>
          <t>Seleccione un valor de la lista</t>
        </r>
      </text>
    </comment>
    <comment ref="F2928" authorId="1" shapeId="0" xr:uid="{E2931B8A-49C9-4A88-ABD0-F5A61EEECC5B}">
      <text>
        <r>
          <rPr>
            <sz val="11"/>
            <color theme="1"/>
            <rFont val="Calibri"/>
            <family val="2"/>
            <scheme val="minor"/>
          </rPr>
          <t>Introduzca el código SNIP</t>
        </r>
      </text>
    </comment>
    <comment ref="C2929" authorId="1" shapeId="0" xr:uid="{7DB1CBC5-C72B-4649-9A6E-F0D10F28DEE9}">
      <text>
        <r>
          <rPr>
            <sz val="11"/>
            <color theme="1"/>
            <rFont val="Calibri"/>
            <family val="2"/>
            <scheme val="minor"/>
          </rPr>
          <t>Introduzca la fecha de inicio del proceso, en formato dd-mm-aaaa</t>
        </r>
      </text>
    </comment>
    <comment ref="F2929" authorId="1" shapeId="0" xr:uid="{66A8FE00-4F40-4961-91DB-672A52EAD9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0" authorId="1" shapeId="0" xr:uid="{043927A9-E8FE-4297-8B51-9A64E089A4A5}">
      <text/>
    </comment>
    <comment ref="C2931" authorId="1" shapeId="0" xr:uid="{ADE7F45E-5333-420F-BC99-29EACE39EEB0}">
      <text>
        <r>
          <rPr>
            <sz val="11"/>
            <color theme="1"/>
            <rFont val="Calibri"/>
            <family val="2"/>
            <scheme val="minor"/>
          </rPr>
          <t>Introduzca la fecha prevista de adjudicación, en formato dd-mm-aaaa</t>
        </r>
      </text>
    </comment>
    <comment ref="F2931" authorId="1" shapeId="0" xr:uid="{8682D4E1-B99B-4526-9335-8B0FF4E37A38}">
      <text/>
    </comment>
    <comment ref="F2932" authorId="1" shapeId="0" xr:uid="{22E4A957-FBF5-4D1C-8E36-F639CAAD64AD}">
      <text/>
    </comment>
    <comment ref="A2934" authorId="1" shapeId="0" xr:uid="{FEFDF709-EA46-48AC-A9FD-FD9298F17985}">
      <text>
        <r>
          <rPr>
            <sz val="11"/>
            <color theme="1"/>
            <rFont val="Calibri"/>
            <family val="2"/>
            <scheme val="minor"/>
          </rPr>
          <t>Introduzca un codigo UNSPSC</t>
        </r>
      </text>
    </comment>
    <comment ref="B2934" authorId="1" shapeId="0" xr:uid="{3AF61B5D-DFC4-4E1A-B489-824D262F2ECF}">
      <text>
        <r>
          <rPr>
            <sz val="11"/>
            <color theme="1"/>
            <rFont val="Calibri"/>
            <family val="2"/>
            <scheme val="minor"/>
          </rPr>
          <t>Descripción calculada automáticamente a partir de código del artículo</t>
        </r>
      </text>
    </comment>
    <comment ref="C2934" authorId="1" shapeId="0" xr:uid="{92D39DD6-D073-4439-9178-CD7759421DC1}">
      <text>
        <r>
          <rPr>
            <sz val="11"/>
            <color theme="1"/>
            <rFont val="Calibri"/>
            <family val="2"/>
            <scheme val="minor"/>
          </rPr>
          <t>Seleccione un valor de la lista</t>
        </r>
      </text>
    </comment>
    <comment ref="D2934" authorId="1" shapeId="0" xr:uid="{EE13CAAA-BFB8-4F56-AD23-18178E157740}">
      <text>
        <r>
          <rPr>
            <sz val="11"/>
            <color theme="1"/>
            <rFont val="Calibri"/>
            <family val="2"/>
            <scheme val="minor"/>
          </rPr>
          <t>Introduzca un número con dos decimales como máximo. Debe ser igual o mayor a la "Cantidad Real Consumida"</t>
        </r>
      </text>
    </comment>
    <comment ref="E2934" authorId="1" shapeId="0" xr:uid="{2BA01BBC-C0A8-475D-971E-460440DAA720}">
      <text>
        <r>
          <rPr>
            <sz val="11"/>
            <color theme="1"/>
            <rFont val="Calibri"/>
            <family val="2"/>
            <scheme val="minor"/>
          </rPr>
          <t>Introduzca un número con dos decimales como máximo</t>
        </r>
      </text>
    </comment>
    <comment ref="F2934" authorId="1" shapeId="0" xr:uid="{3EE8B8F6-C0B9-4FBF-970D-31223316D121}">
      <text>
        <r>
          <rPr>
            <sz val="11"/>
            <color theme="1"/>
            <rFont val="Calibri"/>
            <family val="2"/>
            <scheme val="minor"/>
          </rPr>
          <t>Monto calculado automáticamente por el sistema</t>
        </r>
      </text>
    </comment>
    <comment ref="A2939" authorId="1" shapeId="0" xr:uid="{4F9B6494-D6C6-4007-B1B2-E21343791260}">
      <text>
        <r>
          <rPr>
            <sz val="11"/>
            <color theme="1"/>
            <rFont val="Calibri"/>
            <family val="2"/>
            <scheme val="minor"/>
          </rPr>
          <t>Introducir un texto con el nombre o referencia de la contratación</t>
        </r>
      </text>
    </comment>
    <comment ref="B2939" authorId="1" shapeId="0" xr:uid="{916CC623-13B0-4413-832E-4E56F9335D7C}">
      <text>
        <r>
          <rPr>
            <sz val="11"/>
            <color theme="1"/>
            <rFont val="Calibri"/>
            <family val="2"/>
            <scheme val="minor"/>
          </rPr>
          <t>Introduzca un texto con la finalidad de la contratación</t>
        </r>
      </text>
    </comment>
    <comment ref="C2939" authorId="1" shapeId="0" xr:uid="{84179038-EF5E-4803-8FB2-1648FE657FDD}">
      <text>
        <r>
          <rPr>
            <sz val="11"/>
            <color theme="1"/>
            <rFont val="Calibri"/>
            <family val="2"/>
            <scheme val="minor"/>
          </rPr>
          <t>Seleccionar un valor del listado</t>
        </r>
      </text>
    </comment>
    <comment ref="D2939" authorId="1" shapeId="0" xr:uid="{453B7047-8C22-4EAD-9BF6-2E0FA9C8B533}">
      <text>
        <r>
          <rPr>
            <sz val="11"/>
            <color theme="1"/>
            <rFont val="Calibri"/>
            <family val="2"/>
            <scheme val="minor"/>
          </rPr>
          <t>Seleccione el tipo de procedimiento</t>
        </r>
      </text>
    </comment>
    <comment ref="E2939" authorId="1" shapeId="0" xr:uid="{435051ED-1376-4AAA-B24D-D92C56D77185}">
      <text>
        <r>
          <rPr>
            <sz val="11"/>
            <color theme="1"/>
            <rFont val="Calibri"/>
            <family val="2"/>
            <scheme val="minor"/>
          </rPr>
          <t>Seleccione un valor de la lista</t>
        </r>
      </text>
    </comment>
    <comment ref="F2939" authorId="1" shapeId="0" xr:uid="{C4CE9CA6-F3B5-4C35-89BA-32328E07A985}">
      <text>
        <r>
          <rPr>
            <sz val="11"/>
            <color theme="1"/>
            <rFont val="Calibri"/>
            <family val="2"/>
            <scheme val="minor"/>
          </rPr>
          <t>Introduzca el código SNIP</t>
        </r>
      </text>
    </comment>
    <comment ref="C2940" authorId="1" shapeId="0" xr:uid="{E78D0F56-40DF-4580-9AAC-7485234A0117}">
      <text>
        <r>
          <rPr>
            <sz val="11"/>
            <color theme="1"/>
            <rFont val="Calibri"/>
            <family val="2"/>
            <scheme val="minor"/>
          </rPr>
          <t>Introduzca la fecha de inicio del proceso, en formato dd-mm-aaaa</t>
        </r>
      </text>
    </comment>
    <comment ref="F2940" authorId="1" shapeId="0" xr:uid="{643F9D51-AF80-4E88-AAC9-7C12F4F6EF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1" authorId="1" shapeId="0" xr:uid="{6E6D8371-1470-4C95-AD72-49B9449F5CDF}">
      <text/>
    </comment>
    <comment ref="C2942" authorId="1" shapeId="0" xr:uid="{DC51B6B8-A44F-4943-8F47-E7D13FD0605C}">
      <text>
        <r>
          <rPr>
            <sz val="11"/>
            <color theme="1"/>
            <rFont val="Calibri"/>
            <family val="2"/>
            <scheme val="minor"/>
          </rPr>
          <t>Introduzca la fecha prevista de adjudicación, en formato dd-mm-aaaa</t>
        </r>
      </text>
    </comment>
    <comment ref="F2942" authorId="1" shapeId="0" xr:uid="{A8D076F5-9BB6-4762-BA2F-67BF55C7AE75}">
      <text/>
    </comment>
    <comment ref="F2943" authorId="1" shapeId="0" xr:uid="{570BCBB5-8B0A-43B0-BA20-B7475BBF9E84}">
      <text/>
    </comment>
    <comment ref="A2945" authorId="1" shapeId="0" xr:uid="{DEB5F78F-2CDA-44BC-ACC7-66FB08C6ACF8}">
      <text>
        <r>
          <rPr>
            <sz val="11"/>
            <color theme="1"/>
            <rFont val="Calibri"/>
            <family val="2"/>
            <scheme val="minor"/>
          </rPr>
          <t>Introduzca un codigo UNSPSC</t>
        </r>
      </text>
    </comment>
    <comment ref="B2945" authorId="1" shapeId="0" xr:uid="{9DFC4129-30C6-4273-84D5-D5D0F2F179F6}">
      <text>
        <r>
          <rPr>
            <sz val="11"/>
            <color theme="1"/>
            <rFont val="Calibri"/>
            <family val="2"/>
            <scheme val="minor"/>
          </rPr>
          <t>Descripción calculada automáticamente a partir de código del artículo</t>
        </r>
      </text>
    </comment>
    <comment ref="C2945" authorId="1" shapeId="0" xr:uid="{58B4ADE7-B742-43CE-A661-CF741A5067CF}">
      <text>
        <r>
          <rPr>
            <sz val="11"/>
            <color theme="1"/>
            <rFont val="Calibri"/>
            <family val="2"/>
            <scheme val="minor"/>
          </rPr>
          <t>Seleccione un valor de la lista</t>
        </r>
      </text>
    </comment>
    <comment ref="D2945" authorId="1" shapeId="0" xr:uid="{B2A4DE07-1253-4497-B216-9792C3418CA7}">
      <text>
        <r>
          <rPr>
            <sz val="11"/>
            <color theme="1"/>
            <rFont val="Calibri"/>
            <family val="2"/>
            <scheme val="minor"/>
          </rPr>
          <t>Introduzca un número con dos decimales como máximo. Debe ser igual o mayor a la "Cantidad Real Consumida"</t>
        </r>
      </text>
    </comment>
    <comment ref="E2945" authorId="1" shapeId="0" xr:uid="{D29FCAEE-BEAB-4561-9250-FD7D6335BCB3}">
      <text>
        <r>
          <rPr>
            <sz val="11"/>
            <color theme="1"/>
            <rFont val="Calibri"/>
            <family val="2"/>
            <scheme val="minor"/>
          </rPr>
          <t>Introduzca un número con dos decimales como máximo</t>
        </r>
      </text>
    </comment>
    <comment ref="F2945" authorId="1" shapeId="0" xr:uid="{43201374-E8E5-4379-8F47-EF51527F8440}">
      <text>
        <r>
          <rPr>
            <sz val="11"/>
            <color theme="1"/>
            <rFont val="Calibri"/>
            <family val="2"/>
            <scheme val="minor"/>
          </rPr>
          <t>Monto calculado automáticamente por el sistema</t>
        </r>
      </text>
    </comment>
    <comment ref="A2950" authorId="1" shapeId="0" xr:uid="{E133B606-3A19-4223-9DAB-2EB7AD21593B}">
      <text>
        <r>
          <rPr>
            <sz val="11"/>
            <color theme="1"/>
            <rFont val="Calibri"/>
            <family val="2"/>
            <scheme val="minor"/>
          </rPr>
          <t>Introducir un texto con el nombre o referencia de la contratación</t>
        </r>
      </text>
    </comment>
    <comment ref="B2950" authorId="1" shapeId="0" xr:uid="{B472074A-070B-422B-8CA0-758F424508AD}">
      <text>
        <r>
          <rPr>
            <sz val="11"/>
            <color theme="1"/>
            <rFont val="Calibri"/>
            <family val="2"/>
            <scheme val="minor"/>
          </rPr>
          <t>Introduzca un texto con la finalidad de la contratación</t>
        </r>
      </text>
    </comment>
    <comment ref="C2950" authorId="1" shapeId="0" xr:uid="{6F5B23B0-75BC-4234-827E-7D8412C8B743}">
      <text>
        <r>
          <rPr>
            <sz val="11"/>
            <color theme="1"/>
            <rFont val="Calibri"/>
            <family val="2"/>
            <scheme val="minor"/>
          </rPr>
          <t>Seleccionar un valor del listado</t>
        </r>
      </text>
    </comment>
    <comment ref="D2950" authorId="1" shapeId="0" xr:uid="{B9506842-492D-4C90-B94E-75EAB62AAED7}">
      <text>
        <r>
          <rPr>
            <sz val="11"/>
            <color theme="1"/>
            <rFont val="Calibri"/>
            <family val="2"/>
            <scheme val="minor"/>
          </rPr>
          <t>Seleccione el tipo de procedimiento</t>
        </r>
      </text>
    </comment>
    <comment ref="E2950" authorId="1" shapeId="0" xr:uid="{4F0FE29B-A554-488C-A9AD-209910C854F7}">
      <text>
        <r>
          <rPr>
            <sz val="11"/>
            <color theme="1"/>
            <rFont val="Calibri"/>
            <family val="2"/>
            <scheme val="minor"/>
          </rPr>
          <t>Seleccione un valor de la lista</t>
        </r>
      </text>
    </comment>
    <comment ref="F2950" authorId="1" shapeId="0" xr:uid="{FAA08C0B-FBDF-4C1F-A301-922CD5465A20}">
      <text>
        <r>
          <rPr>
            <sz val="11"/>
            <color theme="1"/>
            <rFont val="Calibri"/>
            <family val="2"/>
            <scheme val="minor"/>
          </rPr>
          <t>Introduzca el código SNIP</t>
        </r>
      </text>
    </comment>
    <comment ref="C2951" authorId="1" shapeId="0" xr:uid="{7766E963-BAEE-4813-B6D4-F0EF8554F818}">
      <text>
        <r>
          <rPr>
            <sz val="11"/>
            <color theme="1"/>
            <rFont val="Calibri"/>
            <family val="2"/>
            <scheme val="minor"/>
          </rPr>
          <t>Introduzca la fecha de inicio del proceso, en formato dd-mm-aaaa</t>
        </r>
      </text>
    </comment>
    <comment ref="F2951" authorId="1" shapeId="0" xr:uid="{C12F1501-D3D3-4534-96C8-D21EC8C3C1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2" authorId="1" shapeId="0" xr:uid="{70034098-414A-4AC5-B669-57D25BF1109C}">
      <text/>
    </comment>
    <comment ref="C2953" authorId="1" shapeId="0" xr:uid="{5789C8F4-F5B6-437F-9BEA-3F63B7AB6195}">
      <text>
        <r>
          <rPr>
            <sz val="11"/>
            <color theme="1"/>
            <rFont val="Calibri"/>
            <family val="2"/>
            <scheme val="minor"/>
          </rPr>
          <t>Introduzca la fecha prevista de adjudicación, en formato dd-mm-aaaa</t>
        </r>
      </text>
    </comment>
    <comment ref="F2953" authorId="1" shapeId="0" xr:uid="{5D478886-0664-4106-B4D9-3CC3BD9E4BA3}">
      <text/>
    </comment>
    <comment ref="F2954" authorId="1" shapeId="0" xr:uid="{FD5F2817-0900-48E9-A839-612007CE46EE}">
      <text/>
    </comment>
    <comment ref="A2956" authorId="1" shapeId="0" xr:uid="{EFCB668D-1C5D-4866-98F2-7B7B4A45EAE0}">
      <text>
        <r>
          <rPr>
            <sz val="11"/>
            <color theme="1"/>
            <rFont val="Calibri"/>
            <family val="2"/>
            <scheme val="minor"/>
          </rPr>
          <t>Introduzca un codigo UNSPSC</t>
        </r>
      </text>
    </comment>
    <comment ref="B2956" authorId="1" shapeId="0" xr:uid="{6EE6E109-A3D6-47A5-B317-AAE34555B68C}">
      <text>
        <r>
          <rPr>
            <sz val="11"/>
            <color theme="1"/>
            <rFont val="Calibri"/>
            <family val="2"/>
            <scheme val="minor"/>
          </rPr>
          <t>Descripción calculada automáticamente a partir de código del artículo</t>
        </r>
      </text>
    </comment>
    <comment ref="C2956" authorId="1" shapeId="0" xr:uid="{CCE11124-EB76-48B3-9141-5A0E7CF618A9}">
      <text>
        <r>
          <rPr>
            <sz val="11"/>
            <color theme="1"/>
            <rFont val="Calibri"/>
            <family val="2"/>
            <scheme val="minor"/>
          </rPr>
          <t>Seleccione un valor de la lista</t>
        </r>
      </text>
    </comment>
    <comment ref="D2956" authorId="1" shapeId="0" xr:uid="{7952C658-FE54-4F6E-A7F2-E470AC8AF7C3}">
      <text>
        <r>
          <rPr>
            <sz val="11"/>
            <color theme="1"/>
            <rFont val="Calibri"/>
            <family val="2"/>
            <scheme val="minor"/>
          </rPr>
          <t>Introduzca un número con dos decimales como máximo. Debe ser igual o mayor a la "Cantidad Real Consumida"</t>
        </r>
      </text>
    </comment>
    <comment ref="E2956" authorId="1" shapeId="0" xr:uid="{C8B76B50-711E-4578-934A-08518235D181}">
      <text>
        <r>
          <rPr>
            <sz val="11"/>
            <color theme="1"/>
            <rFont val="Calibri"/>
            <family val="2"/>
            <scheme val="minor"/>
          </rPr>
          <t>Introduzca un número con dos decimales como máximo</t>
        </r>
      </text>
    </comment>
    <comment ref="F2956" authorId="1" shapeId="0" xr:uid="{91373D62-B868-468D-B5E1-54BC0A813DBE}">
      <text>
        <r>
          <rPr>
            <sz val="11"/>
            <color theme="1"/>
            <rFont val="Calibri"/>
            <family val="2"/>
            <scheme val="minor"/>
          </rPr>
          <t>Monto calculado automáticamente por el sistema</t>
        </r>
      </text>
    </comment>
    <comment ref="A2961" authorId="1" shapeId="0" xr:uid="{CC6CD89A-A5D8-402D-BA11-F840D615CB80}">
      <text>
        <r>
          <rPr>
            <sz val="11"/>
            <color theme="1"/>
            <rFont val="Calibri"/>
            <family val="2"/>
            <scheme val="minor"/>
          </rPr>
          <t>Introducir un texto con el nombre o referencia de la contratación</t>
        </r>
      </text>
    </comment>
    <comment ref="B2961" authorId="1" shapeId="0" xr:uid="{28DB4A68-B9CD-4319-896B-932FA335EFF4}">
      <text>
        <r>
          <rPr>
            <sz val="11"/>
            <color theme="1"/>
            <rFont val="Calibri"/>
            <family val="2"/>
            <scheme val="minor"/>
          </rPr>
          <t>Introduzca un texto con la finalidad de la contratación</t>
        </r>
      </text>
    </comment>
    <comment ref="C2961" authorId="1" shapeId="0" xr:uid="{35EE7472-3B24-4DAE-A55A-98CB99AD0680}">
      <text>
        <r>
          <rPr>
            <sz val="11"/>
            <color theme="1"/>
            <rFont val="Calibri"/>
            <family val="2"/>
            <scheme val="minor"/>
          </rPr>
          <t>Seleccionar un valor del listado</t>
        </r>
      </text>
    </comment>
    <comment ref="D2961" authorId="1" shapeId="0" xr:uid="{485B8AEB-E34B-42B0-88A5-E962A0967739}">
      <text>
        <r>
          <rPr>
            <sz val="11"/>
            <color theme="1"/>
            <rFont val="Calibri"/>
            <family val="2"/>
            <scheme val="minor"/>
          </rPr>
          <t>Seleccione el tipo de procedimiento</t>
        </r>
      </text>
    </comment>
    <comment ref="E2961" authorId="1" shapeId="0" xr:uid="{FAB07FEA-C5C8-4E8F-AF03-E35F9143C01B}">
      <text>
        <r>
          <rPr>
            <sz val="11"/>
            <color theme="1"/>
            <rFont val="Calibri"/>
            <family val="2"/>
            <scheme val="minor"/>
          </rPr>
          <t>Seleccione un valor de la lista</t>
        </r>
      </text>
    </comment>
    <comment ref="F2961" authorId="1" shapeId="0" xr:uid="{00FDC394-77D9-4329-AB83-03108B54D27A}">
      <text>
        <r>
          <rPr>
            <sz val="11"/>
            <color theme="1"/>
            <rFont val="Calibri"/>
            <family val="2"/>
            <scheme val="minor"/>
          </rPr>
          <t>Introduzca el código SNIP</t>
        </r>
      </text>
    </comment>
    <comment ref="C2962" authorId="1" shapeId="0" xr:uid="{9BCABA08-7C3B-4488-AA5C-3FE190A44130}">
      <text>
        <r>
          <rPr>
            <sz val="11"/>
            <color theme="1"/>
            <rFont val="Calibri"/>
            <family val="2"/>
            <scheme val="minor"/>
          </rPr>
          <t>Introduzca la fecha de inicio del proceso, en formato dd-mm-aaaa</t>
        </r>
      </text>
    </comment>
    <comment ref="F2962" authorId="1" shapeId="0" xr:uid="{0A3D9931-8E2C-416F-B7DF-D1F3A4FC07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3" authorId="1" shapeId="0" xr:uid="{8597B19D-428B-472B-B86D-EDDB6526E659}">
      <text/>
    </comment>
    <comment ref="C2964" authorId="1" shapeId="0" xr:uid="{01621F9D-2534-44E9-B8F0-53ACADB9466D}">
      <text>
        <r>
          <rPr>
            <sz val="11"/>
            <color theme="1"/>
            <rFont val="Calibri"/>
            <family val="2"/>
            <scheme val="minor"/>
          </rPr>
          <t>Introduzca la fecha prevista de adjudicación, en formato dd-mm-aaaa</t>
        </r>
      </text>
    </comment>
    <comment ref="F2964" authorId="1" shapeId="0" xr:uid="{A4B94664-C5BD-404A-A531-87CAA710BE05}">
      <text/>
    </comment>
    <comment ref="F2965" authorId="1" shapeId="0" xr:uid="{B15ED9D9-8C62-4FFD-817E-C635BBE27F62}">
      <text/>
    </comment>
    <comment ref="A2967" authorId="1" shapeId="0" xr:uid="{C3BE5253-6991-4E32-8467-300C18C7087A}">
      <text>
        <r>
          <rPr>
            <sz val="11"/>
            <color theme="1"/>
            <rFont val="Calibri"/>
            <family val="2"/>
            <scheme val="minor"/>
          </rPr>
          <t>Introduzca un codigo UNSPSC</t>
        </r>
      </text>
    </comment>
    <comment ref="B2967" authorId="1" shapeId="0" xr:uid="{38B62544-6260-4300-83B1-73F8D14B645C}">
      <text>
        <r>
          <rPr>
            <sz val="11"/>
            <color theme="1"/>
            <rFont val="Calibri"/>
            <family val="2"/>
            <scheme val="minor"/>
          </rPr>
          <t>Descripción calculada automáticamente a partir de código del artículo</t>
        </r>
      </text>
    </comment>
    <comment ref="C2967" authorId="1" shapeId="0" xr:uid="{26C889CE-214C-4414-BB86-2D7A135ACFD3}">
      <text>
        <r>
          <rPr>
            <sz val="11"/>
            <color theme="1"/>
            <rFont val="Calibri"/>
            <family val="2"/>
            <scheme val="minor"/>
          </rPr>
          <t>Seleccione un valor de la lista</t>
        </r>
      </text>
    </comment>
    <comment ref="D2967" authorId="1" shapeId="0" xr:uid="{DF70C1DD-4F60-4D7A-8255-2F8A8314E069}">
      <text>
        <r>
          <rPr>
            <sz val="11"/>
            <color theme="1"/>
            <rFont val="Calibri"/>
            <family val="2"/>
            <scheme val="minor"/>
          </rPr>
          <t>Introduzca un número con dos decimales como máximo. Debe ser igual o mayor a la "Cantidad Real Consumida"</t>
        </r>
      </text>
    </comment>
    <comment ref="E2967" authorId="1" shapeId="0" xr:uid="{A803BF1B-50CC-4B54-9807-0EA4D40CE7C2}">
      <text>
        <r>
          <rPr>
            <sz val="11"/>
            <color theme="1"/>
            <rFont val="Calibri"/>
            <family val="2"/>
            <scheme val="minor"/>
          </rPr>
          <t>Introduzca un número con dos decimales como máximo</t>
        </r>
      </text>
    </comment>
    <comment ref="F2967" authorId="1" shapeId="0" xr:uid="{CB0E1791-67B2-4C5E-83B2-EEECF3773B25}">
      <text>
        <r>
          <rPr>
            <sz val="11"/>
            <color theme="1"/>
            <rFont val="Calibri"/>
            <family val="2"/>
            <scheme val="minor"/>
          </rPr>
          <t>Monto calculado automáticamente por el sistema</t>
        </r>
      </text>
    </comment>
    <comment ref="A2972" authorId="1" shapeId="0" xr:uid="{4B4CB20F-281E-420A-B55D-FE6140B4C6B1}">
      <text>
        <r>
          <rPr>
            <sz val="11"/>
            <color theme="1"/>
            <rFont val="Calibri"/>
            <family val="2"/>
            <scheme val="minor"/>
          </rPr>
          <t>Introducir un texto con el nombre o referencia de la contratación</t>
        </r>
      </text>
    </comment>
    <comment ref="B2972" authorId="1" shapeId="0" xr:uid="{AC1B8F2E-040E-4DAE-9875-E7C2DE883CE6}">
      <text>
        <r>
          <rPr>
            <sz val="11"/>
            <color theme="1"/>
            <rFont val="Calibri"/>
            <family val="2"/>
            <scheme val="minor"/>
          </rPr>
          <t>Introduzca un texto con la finalidad de la contratación</t>
        </r>
      </text>
    </comment>
    <comment ref="C2972" authorId="1" shapeId="0" xr:uid="{B09DD4A0-1573-4D80-9362-8FB92E581EAF}">
      <text>
        <r>
          <rPr>
            <sz val="11"/>
            <color theme="1"/>
            <rFont val="Calibri"/>
            <family val="2"/>
            <scheme val="minor"/>
          </rPr>
          <t>Seleccionar un valor del listado</t>
        </r>
      </text>
    </comment>
    <comment ref="D2972" authorId="1" shapeId="0" xr:uid="{AB9E626D-939B-4DA5-BF32-5754E2C89D91}">
      <text>
        <r>
          <rPr>
            <sz val="11"/>
            <color theme="1"/>
            <rFont val="Calibri"/>
            <family val="2"/>
            <scheme val="minor"/>
          </rPr>
          <t>Seleccione el tipo de procedimiento</t>
        </r>
      </text>
    </comment>
    <comment ref="E2972" authorId="1" shapeId="0" xr:uid="{D0EDFF48-F1D0-4D04-8243-1A5DEA2E89BE}">
      <text>
        <r>
          <rPr>
            <sz val="11"/>
            <color theme="1"/>
            <rFont val="Calibri"/>
            <family val="2"/>
            <scheme val="minor"/>
          </rPr>
          <t>Seleccione un valor de la lista</t>
        </r>
      </text>
    </comment>
    <comment ref="F2972" authorId="1" shapeId="0" xr:uid="{56828CE0-333F-4FA8-B7F3-BFBA7B4DE73B}">
      <text>
        <r>
          <rPr>
            <sz val="11"/>
            <color theme="1"/>
            <rFont val="Calibri"/>
            <family val="2"/>
            <scheme val="minor"/>
          </rPr>
          <t>Introduzca el código SNIP</t>
        </r>
      </text>
    </comment>
    <comment ref="C2973" authorId="1" shapeId="0" xr:uid="{179FFA11-8FC8-4D81-8368-1838BD3B53E9}">
      <text>
        <r>
          <rPr>
            <sz val="11"/>
            <color theme="1"/>
            <rFont val="Calibri"/>
            <family val="2"/>
            <scheme val="minor"/>
          </rPr>
          <t>Introduzca la fecha de inicio del proceso, en formato dd-mm-aaaa</t>
        </r>
      </text>
    </comment>
    <comment ref="F2973" authorId="1" shapeId="0" xr:uid="{4A2A2B55-3B1F-427F-A5F5-BFB4AF5F17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4" authorId="1" shapeId="0" xr:uid="{B4EEFC41-ED89-403C-B69D-FBAEEBA31A23}">
      <text/>
    </comment>
    <comment ref="C2975" authorId="1" shapeId="0" xr:uid="{C2E31408-A5CD-469D-B30F-6C352DD7A6D3}">
      <text>
        <r>
          <rPr>
            <sz val="11"/>
            <color theme="1"/>
            <rFont val="Calibri"/>
            <family val="2"/>
            <scheme val="minor"/>
          </rPr>
          <t>Introduzca la fecha prevista de adjudicación, en formato dd-mm-aaaa</t>
        </r>
      </text>
    </comment>
    <comment ref="F2975" authorId="1" shapeId="0" xr:uid="{F71D0966-2D46-4AB0-87BE-EBFC05F6E2D5}">
      <text/>
    </comment>
    <comment ref="F2976" authorId="1" shapeId="0" xr:uid="{D04A91A4-6CDA-4CCB-B133-AD8B6D2FA71F}">
      <text/>
    </comment>
    <comment ref="A2978" authorId="1" shapeId="0" xr:uid="{0CC1381E-CA3A-4DD1-8938-3E885DADAAD6}">
      <text>
        <r>
          <rPr>
            <sz val="11"/>
            <color theme="1"/>
            <rFont val="Calibri"/>
            <family val="2"/>
            <scheme val="minor"/>
          </rPr>
          <t>Introduzca un codigo UNSPSC</t>
        </r>
      </text>
    </comment>
    <comment ref="B2978" authorId="1" shapeId="0" xr:uid="{3957AC88-8E32-4B63-B536-77517781EE13}">
      <text>
        <r>
          <rPr>
            <sz val="11"/>
            <color theme="1"/>
            <rFont val="Calibri"/>
            <family val="2"/>
            <scheme val="minor"/>
          </rPr>
          <t>Descripción calculada automáticamente a partir de código del artículo</t>
        </r>
      </text>
    </comment>
    <comment ref="C2978" authorId="1" shapeId="0" xr:uid="{19C32D67-A16A-494F-B63A-8B27CF5510E3}">
      <text>
        <r>
          <rPr>
            <sz val="11"/>
            <color theme="1"/>
            <rFont val="Calibri"/>
            <family val="2"/>
            <scheme val="minor"/>
          </rPr>
          <t>Seleccione un valor de la lista</t>
        </r>
      </text>
    </comment>
    <comment ref="D2978" authorId="1" shapeId="0" xr:uid="{33E2E62E-C59D-4D0C-B9ED-545B3660E543}">
      <text>
        <r>
          <rPr>
            <sz val="11"/>
            <color theme="1"/>
            <rFont val="Calibri"/>
            <family val="2"/>
            <scheme val="minor"/>
          </rPr>
          <t>Introduzca un número con dos decimales como máximo. Debe ser igual o mayor a la "Cantidad Real Consumida"</t>
        </r>
      </text>
    </comment>
    <comment ref="E2978" authorId="1" shapeId="0" xr:uid="{2D959238-7844-4BA1-8F00-B7352E4EA905}">
      <text>
        <r>
          <rPr>
            <sz val="11"/>
            <color theme="1"/>
            <rFont val="Calibri"/>
            <family val="2"/>
            <scheme val="minor"/>
          </rPr>
          <t>Introduzca un número con dos decimales como máximo</t>
        </r>
      </text>
    </comment>
    <comment ref="F2978" authorId="1" shapeId="0" xr:uid="{BE2E4B97-FFCE-45AE-95F6-42F6B46A5B7C}">
      <text>
        <r>
          <rPr>
            <sz val="11"/>
            <color theme="1"/>
            <rFont val="Calibri"/>
            <family val="2"/>
            <scheme val="minor"/>
          </rPr>
          <t>Monto calculado automáticamente por el sistema</t>
        </r>
      </text>
    </comment>
    <comment ref="A2983" authorId="1" shapeId="0" xr:uid="{3953C8E1-B168-428A-B25C-DE654251C817}">
      <text>
        <r>
          <rPr>
            <sz val="11"/>
            <color theme="1"/>
            <rFont val="Calibri"/>
            <family val="2"/>
            <scheme val="minor"/>
          </rPr>
          <t>Introducir un texto con el nombre o referencia de la contratación</t>
        </r>
      </text>
    </comment>
    <comment ref="B2983" authorId="1" shapeId="0" xr:uid="{CA8B122A-3D85-4DA3-AA0C-E48D88C51FC5}">
      <text>
        <r>
          <rPr>
            <sz val="11"/>
            <color theme="1"/>
            <rFont val="Calibri"/>
            <family val="2"/>
            <scheme val="minor"/>
          </rPr>
          <t>Introduzca un texto con la finalidad de la contratación</t>
        </r>
      </text>
    </comment>
    <comment ref="C2983" authorId="1" shapeId="0" xr:uid="{046D660F-8D42-4EA9-9E09-4D1C92A42F59}">
      <text>
        <r>
          <rPr>
            <sz val="11"/>
            <color theme="1"/>
            <rFont val="Calibri"/>
            <family val="2"/>
            <scheme val="minor"/>
          </rPr>
          <t>Seleccionar un valor del listado</t>
        </r>
      </text>
    </comment>
    <comment ref="D2983" authorId="1" shapeId="0" xr:uid="{6B08E38A-D138-4861-8FD1-AF606FCC56F4}">
      <text>
        <r>
          <rPr>
            <sz val="11"/>
            <color theme="1"/>
            <rFont val="Calibri"/>
            <family val="2"/>
            <scheme val="minor"/>
          </rPr>
          <t>Seleccione el tipo de procedimiento</t>
        </r>
      </text>
    </comment>
    <comment ref="E2983" authorId="1" shapeId="0" xr:uid="{17DAA9AB-BA1E-4D80-9AE4-83037C1BE0EC}">
      <text>
        <r>
          <rPr>
            <sz val="11"/>
            <color theme="1"/>
            <rFont val="Calibri"/>
            <family val="2"/>
            <scheme val="minor"/>
          </rPr>
          <t>Seleccione un valor de la lista</t>
        </r>
      </text>
    </comment>
    <comment ref="F2983" authorId="1" shapeId="0" xr:uid="{AA5C900C-FA6C-4BFA-A198-CAB65445067A}">
      <text>
        <r>
          <rPr>
            <sz val="11"/>
            <color theme="1"/>
            <rFont val="Calibri"/>
            <family val="2"/>
            <scheme val="minor"/>
          </rPr>
          <t>Introduzca el código SNIP</t>
        </r>
      </text>
    </comment>
    <comment ref="C2984" authorId="1" shapeId="0" xr:uid="{51F36B46-DCF6-44AC-BF05-EFDF1B335586}">
      <text>
        <r>
          <rPr>
            <sz val="11"/>
            <color theme="1"/>
            <rFont val="Calibri"/>
            <family val="2"/>
            <scheme val="minor"/>
          </rPr>
          <t>Introduzca la fecha de inicio del proceso, en formato dd-mm-aaaa</t>
        </r>
      </text>
    </comment>
    <comment ref="F2984" authorId="1" shapeId="0" xr:uid="{69C2018D-CB45-40C8-81CC-0657E40D28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5" authorId="1" shapeId="0" xr:uid="{2D33884A-692A-4BE6-90E0-0572B51FC52F}">
      <text/>
    </comment>
    <comment ref="C2986" authorId="1" shapeId="0" xr:uid="{0E51A71F-B59C-49AB-BDF8-DB62ED67946C}">
      <text>
        <r>
          <rPr>
            <sz val="11"/>
            <color theme="1"/>
            <rFont val="Calibri"/>
            <family val="2"/>
            <scheme val="minor"/>
          </rPr>
          <t>Introduzca la fecha prevista de adjudicación, en formato dd-mm-aaaa</t>
        </r>
      </text>
    </comment>
    <comment ref="F2986" authorId="1" shapeId="0" xr:uid="{6FA7BB1E-C8D9-42ED-852C-0A049D125047}">
      <text/>
    </comment>
    <comment ref="F2987" authorId="1" shapeId="0" xr:uid="{E624078B-14A1-4D1B-9D04-B63E37679563}">
      <text/>
    </comment>
    <comment ref="A2989" authorId="1" shapeId="0" xr:uid="{5656108B-413B-4999-B469-5E4C55A8E309}">
      <text>
        <r>
          <rPr>
            <sz val="11"/>
            <color theme="1"/>
            <rFont val="Calibri"/>
            <family val="2"/>
            <scheme val="minor"/>
          </rPr>
          <t>Introduzca un codigo UNSPSC</t>
        </r>
      </text>
    </comment>
    <comment ref="B2989" authorId="1" shapeId="0" xr:uid="{12ED9D98-2035-4216-8A9A-7DF575C9CEFF}">
      <text>
        <r>
          <rPr>
            <sz val="11"/>
            <color theme="1"/>
            <rFont val="Calibri"/>
            <family val="2"/>
            <scheme val="minor"/>
          </rPr>
          <t>Descripción calculada automáticamente a partir de código del artículo</t>
        </r>
      </text>
    </comment>
    <comment ref="C2989" authorId="1" shapeId="0" xr:uid="{CB7E6718-3D33-46F5-A717-37DACF41999F}">
      <text>
        <r>
          <rPr>
            <sz val="11"/>
            <color theme="1"/>
            <rFont val="Calibri"/>
            <family val="2"/>
            <scheme val="minor"/>
          </rPr>
          <t>Seleccione un valor de la lista</t>
        </r>
      </text>
    </comment>
    <comment ref="D2989" authorId="1" shapeId="0" xr:uid="{1ED68B0E-8E61-4AE8-ADE0-99452660F7F4}">
      <text>
        <r>
          <rPr>
            <sz val="11"/>
            <color theme="1"/>
            <rFont val="Calibri"/>
            <family val="2"/>
            <scheme val="minor"/>
          </rPr>
          <t>Introduzca un número con dos decimales como máximo. Debe ser igual o mayor a la "Cantidad Real Consumida"</t>
        </r>
      </text>
    </comment>
    <comment ref="E2989" authorId="1" shapeId="0" xr:uid="{BDA2F3A6-D5D9-4393-BDDF-0387A532D448}">
      <text>
        <r>
          <rPr>
            <sz val="11"/>
            <color theme="1"/>
            <rFont val="Calibri"/>
            <family val="2"/>
            <scheme val="minor"/>
          </rPr>
          <t>Introduzca un número con dos decimales como máximo</t>
        </r>
      </text>
    </comment>
    <comment ref="F2989" authorId="1" shapeId="0" xr:uid="{407619A8-145B-4D50-A977-BC3E099534E8}">
      <text>
        <r>
          <rPr>
            <sz val="11"/>
            <color theme="1"/>
            <rFont val="Calibri"/>
            <family val="2"/>
            <scheme val="minor"/>
          </rPr>
          <t>Monto calculado automáticamente por el sistema</t>
        </r>
      </text>
    </comment>
    <comment ref="A2994" authorId="1" shapeId="0" xr:uid="{388616B1-5920-459C-990A-FB34645B5A48}">
      <text>
        <r>
          <rPr>
            <sz val="11"/>
            <color theme="1"/>
            <rFont val="Calibri"/>
            <family val="2"/>
            <scheme val="minor"/>
          </rPr>
          <t>Introducir un texto con el nombre o referencia de la contratación</t>
        </r>
      </text>
    </comment>
    <comment ref="B2994" authorId="1" shapeId="0" xr:uid="{67D30B27-E86B-4BE1-AB44-D6EFC8DE9625}">
      <text>
        <r>
          <rPr>
            <sz val="11"/>
            <color theme="1"/>
            <rFont val="Calibri"/>
            <family val="2"/>
            <scheme val="minor"/>
          </rPr>
          <t>Introduzca un texto con la finalidad de la contratación</t>
        </r>
      </text>
    </comment>
    <comment ref="C2994" authorId="1" shapeId="0" xr:uid="{F00C3F87-E918-4117-8102-F7CFBB8E170C}">
      <text>
        <r>
          <rPr>
            <sz val="11"/>
            <color theme="1"/>
            <rFont val="Calibri"/>
            <family val="2"/>
            <scheme val="minor"/>
          </rPr>
          <t>Seleccionar un valor del listado</t>
        </r>
      </text>
    </comment>
    <comment ref="D2994" authorId="1" shapeId="0" xr:uid="{462A2087-58A0-4B9D-BB98-8DD4901577B3}">
      <text>
        <r>
          <rPr>
            <sz val="11"/>
            <color theme="1"/>
            <rFont val="Calibri"/>
            <family val="2"/>
            <scheme val="minor"/>
          </rPr>
          <t>Seleccione el tipo de procedimiento</t>
        </r>
      </text>
    </comment>
    <comment ref="E2994" authorId="1" shapeId="0" xr:uid="{0944F36D-61B3-4770-AF20-036980926572}">
      <text>
        <r>
          <rPr>
            <sz val="11"/>
            <color theme="1"/>
            <rFont val="Calibri"/>
            <family val="2"/>
            <scheme val="minor"/>
          </rPr>
          <t>Seleccione un valor de la lista</t>
        </r>
      </text>
    </comment>
    <comment ref="F2994" authorId="1" shapeId="0" xr:uid="{FE8A6792-04A8-45B9-8753-1665788803CC}">
      <text>
        <r>
          <rPr>
            <sz val="11"/>
            <color theme="1"/>
            <rFont val="Calibri"/>
            <family val="2"/>
            <scheme val="minor"/>
          </rPr>
          <t>Introduzca el código SNIP</t>
        </r>
      </text>
    </comment>
    <comment ref="C2995" authorId="1" shapeId="0" xr:uid="{60A6D911-780D-44CC-8C89-3E70176F2B89}">
      <text>
        <r>
          <rPr>
            <sz val="11"/>
            <color theme="1"/>
            <rFont val="Calibri"/>
            <family val="2"/>
            <scheme val="minor"/>
          </rPr>
          <t>Introduzca la fecha de inicio del proceso, en formato dd-mm-aaaa</t>
        </r>
      </text>
    </comment>
    <comment ref="F2995" authorId="1" shapeId="0" xr:uid="{C76DE439-031C-4C18-B4B4-6853E9A957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6" authorId="1" shapeId="0" xr:uid="{9EB33A12-7F65-4ECB-82C5-19BE4D902486}">
      <text/>
    </comment>
    <comment ref="C2997" authorId="1" shapeId="0" xr:uid="{A4384964-F9CA-4273-8787-8C810ADDB495}">
      <text>
        <r>
          <rPr>
            <sz val="11"/>
            <color theme="1"/>
            <rFont val="Calibri"/>
            <family val="2"/>
            <scheme val="minor"/>
          </rPr>
          <t>Introduzca la fecha prevista de adjudicación, en formato dd-mm-aaaa</t>
        </r>
      </text>
    </comment>
    <comment ref="F2997" authorId="1" shapeId="0" xr:uid="{478AB54A-3314-47D5-AF06-16BC60E77EA1}">
      <text/>
    </comment>
    <comment ref="F2998" authorId="1" shapeId="0" xr:uid="{C94B3ECF-ECF6-4D63-AC1B-F9ABE41A4E52}">
      <text/>
    </comment>
    <comment ref="A3000" authorId="1" shapeId="0" xr:uid="{04C16386-2DCA-4623-AF7D-F8458B5F6AFA}">
      <text>
        <r>
          <rPr>
            <sz val="11"/>
            <color theme="1"/>
            <rFont val="Calibri"/>
            <family val="2"/>
            <scheme val="minor"/>
          </rPr>
          <t>Introduzca un codigo UNSPSC</t>
        </r>
      </text>
    </comment>
    <comment ref="B3000" authorId="1" shapeId="0" xr:uid="{F1756013-A420-4333-B8C7-25AA0414AC2A}">
      <text>
        <r>
          <rPr>
            <sz val="11"/>
            <color theme="1"/>
            <rFont val="Calibri"/>
            <family val="2"/>
            <scheme val="minor"/>
          </rPr>
          <t>Descripción calculada automáticamente a partir de código del artículo</t>
        </r>
      </text>
    </comment>
    <comment ref="C3000" authorId="1" shapeId="0" xr:uid="{4B5D0260-AC30-4A94-99E0-33C0BC8AFE8E}">
      <text>
        <r>
          <rPr>
            <sz val="11"/>
            <color theme="1"/>
            <rFont val="Calibri"/>
            <family val="2"/>
            <scheme val="minor"/>
          </rPr>
          <t>Seleccione un valor de la lista</t>
        </r>
      </text>
    </comment>
    <comment ref="D3000" authorId="1" shapeId="0" xr:uid="{C2599C0A-29CD-494C-945D-BE312EB72DA6}">
      <text>
        <r>
          <rPr>
            <sz val="11"/>
            <color theme="1"/>
            <rFont val="Calibri"/>
            <family val="2"/>
            <scheme val="minor"/>
          </rPr>
          <t>Introduzca un número con dos decimales como máximo. Debe ser igual o mayor a la "Cantidad Real Consumida"</t>
        </r>
      </text>
    </comment>
    <comment ref="E3000" authorId="1" shapeId="0" xr:uid="{ADD1A3C5-14D9-4F72-9605-072D0D7E58B5}">
      <text>
        <r>
          <rPr>
            <sz val="11"/>
            <color theme="1"/>
            <rFont val="Calibri"/>
            <family val="2"/>
            <scheme val="minor"/>
          </rPr>
          <t>Introduzca un número con dos decimales como máximo</t>
        </r>
      </text>
    </comment>
    <comment ref="F3000" authorId="1" shapeId="0" xr:uid="{36FEEAAB-FAAE-4AAB-834C-B9BD81C39FDA}">
      <text>
        <r>
          <rPr>
            <sz val="11"/>
            <color theme="1"/>
            <rFont val="Calibri"/>
            <family val="2"/>
            <scheme val="minor"/>
          </rPr>
          <t>Monto calculado automáticamente por el sistema</t>
        </r>
      </text>
    </comment>
    <comment ref="A3005" authorId="1" shapeId="0" xr:uid="{D5F0F4C7-04F8-4279-BAB8-91ADE07FDC4B}">
      <text>
        <r>
          <rPr>
            <sz val="11"/>
            <color theme="1"/>
            <rFont val="Calibri"/>
            <family val="2"/>
            <scheme val="minor"/>
          </rPr>
          <t>Introducir un texto con el nombre o referencia de la contratación</t>
        </r>
      </text>
    </comment>
    <comment ref="B3005" authorId="1" shapeId="0" xr:uid="{528A8505-A1DF-4134-B7A4-D685B3886F9B}">
      <text>
        <r>
          <rPr>
            <sz val="11"/>
            <color theme="1"/>
            <rFont val="Calibri"/>
            <family val="2"/>
            <scheme val="minor"/>
          </rPr>
          <t>Introduzca un texto con la finalidad de la contratación</t>
        </r>
      </text>
    </comment>
    <comment ref="C3005" authorId="1" shapeId="0" xr:uid="{6441BB45-1248-43A0-BC9F-46A6EC03D8FE}">
      <text>
        <r>
          <rPr>
            <sz val="11"/>
            <color theme="1"/>
            <rFont val="Calibri"/>
            <family val="2"/>
            <scheme val="minor"/>
          </rPr>
          <t>Seleccionar un valor del listado</t>
        </r>
      </text>
    </comment>
    <comment ref="D3005" authorId="1" shapeId="0" xr:uid="{B2681746-C6CB-4222-A292-0F639F086F1A}">
      <text>
        <r>
          <rPr>
            <sz val="11"/>
            <color theme="1"/>
            <rFont val="Calibri"/>
            <family val="2"/>
            <scheme val="minor"/>
          </rPr>
          <t>Seleccione el tipo de procedimiento</t>
        </r>
      </text>
    </comment>
    <comment ref="E3005" authorId="1" shapeId="0" xr:uid="{DC866A76-061A-4A15-AFF0-A814B3221DB1}">
      <text>
        <r>
          <rPr>
            <sz val="11"/>
            <color theme="1"/>
            <rFont val="Calibri"/>
            <family val="2"/>
            <scheme val="minor"/>
          </rPr>
          <t>Seleccione un valor de la lista</t>
        </r>
      </text>
    </comment>
    <comment ref="F3005" authorId="1" shapeId="0" xr:uid="{C6A86763-BD86-48D3-A287-0AAB117BD539}">
      <text>
        <r>
          <rPr>
            <sz val="11"/>
            <color theme="1"/>
            <rFont val="Calibri"/>
            <family val="2"/>
            <scheme val="minor"/>
          </rPr>
          <t>Introduzca el código SNIP</t>
        </r>
      </text>
    </comment>
    <comment ref="C3006" authorId="1" shapeId="0" xr:uid="{9063FA0A-6D4C-42D5-8825-CE7720593911}">
      <text>
        <r>
          <rPr>
            <sz val="11"/>
            <color theme="1"/>
            <rFont val="Calibri"/>
            <family val="2"/>
            <scheme val="minor"/>
          </rPr>
          <t>Introduzca la fecha de inicio del proceso, en formato dd-mm-aaaa</t>
        </r>
      </text>
    </comment>
    <comment ref="F3006" authorId="1" shapeId="0" xr:uid="{8E8B5CED-7F0E-4BF5-B91B-3B6D4D8047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7" authorId="1" shapeId="0" xr:uid="{7A7C5B92-3C0D-4337-B3C7-FA0489E55CAD}">
      <text/>
    </comment>
    <comment ref="C3008" authorId="1" shapeId="0" xr:uid="{6F6D30BE-1F65-4A18-AFCD-74E8AA87A2EF}">
      <text>
        <r>
          <rPr>
            <sz val="11"/>
            <color theme="1"/>
            <rFont val="Calibri"/>
            <family val="2"/>
            <scheme val="minor"/>
          </rPr>
          <t>Introduzca la fecha prevista de adjudicación, en formato dd-mm-aaaa</t>
        </r>
      </text>
    </comment>
    <comment ref="F3008" authorId="1" shapeId="0" xr:uid="{F1A0B816-798A-4F24-BE5C-9055F857F01B}">
      <text/>
    </comment>
    <comment ref="F3009" authorId="1" shapeId="0" xr:uid="{766A14A3-868B-41E8-9C67-B91ECC77960B}">
      <text/>
    </comment>
    <comment ref="A3011" authorId="1" shapeId="0" xr:uid="{49562E30-CCBB-49EC-BFC1-1E58F6EFD0B2}">
      <text>
        <r>
          <rPr>
            <sz val="11"/>
            <color theme="1"/>
            <rFont val="Calibri"/>
            <family val="2"/>
            <scheme val="minor"/>
          </rPr>
          <t>Introduzca un codigo UNSPSC</t>
        </r>
      </text>
    </comment>
    <comment ref="B3011" authorId="1" shapeId="0" xr:uid="{F326CF17-3D43-48A5-853B-E01513E66E70}">
      <text>
        <r>
          <rPr>
            <sz val="11"/>
            <color theme="1"/>
            <rFont val="Calibri"/>
            <family val="2"/>
            <scheme val="minor"/>
          </rPr>
          <t>Descripción calculada automáticamente a partir de código del artículo</t>
        </r>
      </text>
    </comment>
    <comment ref="C3011" authorId="1" shapeId="0" xr:uid="{6BF506D1-E50D-45A8-B4EE-8E3A11CBB7A4}">
      <text>
        <r>
          <rPr>
            <sz val="11"/>
            <color theme="1"/>
            <rFont val="Calibri"/>
            <family val="2"/>
            <scheme val="minor"/>
          </rPr>
          <t>Seleccione un valor de la lista</t>
        </r>
      </text>
    </comment>
    <comment ref="D3011" authorId="1" shapeId="0" xr:uid="{B815E374-7656-4BC4-911D-8967B5000B00}">
      <text>
        <r>
          <rPr>
            <sz val="11"/>
            <color theme="1"/>
            <rFont val="Calibri"/>
            <family val="2"/>
            <scheme val="minor"/>
          </rPr>
          <t>Introduzca un número con dos decimales como máximo. Debe ser igual o mayor a la "Cantidad Real Consumida"</t>
        </r>
      </text>
    </comment>
    <comment ref="E3011" authorId="1" shapeId="0" xr:uid="{6BA2F457-EDB4-472B-BA16-D70432420687}">
      <text>
        <r>
          <rPr>
            <sz val="11"/>
            <color theme="1"/>
            <rFont val="Calibri"/>
            <family val="2"/>
            <scheme val="minor"/>
          </rPr>
          <t>Introduzca un número con dos decimales como máximo</t>
        </r>
      </text>
    </comment>
    <comment ref="F3011" authorId="1" shapeId="0" xr:uid="{849054F5-F0BC-4716-9B06-5A7BB541C83A}">
      <text>
        <r>
          <rPr>
            <sz val="11"/>
            <color theme="1"/>
            <rFont val="Calibri"/>
            <family val="2"/>
            <scheme val="minor"/>
          </rPr>
          <t>Monto calculado automáticamente por el sistema</t>
        </r>
      </text>
    </comment>
    <comment ref="A3016" authorId="1" shapeId="0" xr:uid="{37D12936-FDED-45EA-A72E-C48AA3B3E9D6}">
      <text>
        <r>
          <rPr>
            <sz val="11"/>
            <color theme="1"/>
            <rFont val="Calibri"/>
            <family val="2"/>
            <scheme val="minor"/>
          </rPr>
          <t>Introducir un texto con el nombre o referencia de la contratación</t>
        </r>
      </text>
    </comment>
    <comment ref="B3016" authorId="1" shapeId="0" xr:uid="{59D5E77D-BBE5-484C-87E4-94E62EE92C8B}">
      <text>
        <r>
          <rPr>
            <sz val="11"/>
            <color theme="1"/>
            <rFont val="Calibri"/>
            <family val="2"/>
            <scheme val="minor"/>
          </rPr>
          <t>Introduzca un texto con la finalidad de la contratación</t>
        </r>
      </text>
    </comment>
    <comment ref="C3016" authorId="1" shapeId="0" xr:uid="{6B6C4E12-F3A7-4A9E-9368-5EF8D4515FA6}">
      <text>
        <r>
          <rPr>
            <sz val="11"/>
            <color theme="1"/>
            <rFont val="Calibri"/>
            <family val="2"/>
            <scheme val="minor"/>
          </rPr>
          <t>Seleccionar un valor del listado</t>
        </r>
      </text>
    </comment>
    <comment ref="D3016" authorId="1" shapeId="0" xr:uid="{21BE79CA-4312-4AF8-AECA-33D04AABEB55}">
      <text>
        <r>
          <rPr>
            <sz val="11"/>
            <color theme="1"/>
            <rFont val="Calibri"/>
            <family val="2"/>
            <scheme val="minor"/>
          </rPr>
          <t>Seleccione el tipo de procedimiento</t>
        </r>
      </text>
    </comment>
    <comment ref="E3016" authorId="1" shapeId="0" xr:uid="{37284927-B4FC-46AC-9FBA-9CC339C42493}">
      <text>
        <r>
          <rPr>
            <sz val="11"/>
            <color theme="1"/>
            <rFont val="Calibri"/>
            <family val="2"/>
            <scheme val="minor"/>
          </rPr>
          <t>Seleccione un valor de la lista</t>
        </r>
      </text>
    </comment>
    <comment ref="F3016" authorId="1" shapeId="0" xr:uid="{CFE84CED-1581-49B1-B7A6-584C2F0CFCD2}">
      <text>
        <r>
          <rPr>
            <sz val="11"/>
            <color theme="1"/>
            <rFont val="Calibri"/>
            <family val="2"/>
            <scheme val="minor"/>
          </rPr>
          <t>Introduzca el código SNIP</t>
        </r>
      </text>
    </comment>
    <comment ref="C3017" authorId="1" shapeId="0" xr:uid="{99BFD071-EF9D-4E0F-8BD2-89DA860A5D13}">
      <text>
        <r>
          <rPr>
            <sz val="11"/>
            <color theme="1"/>
            <rFont val="Calibri"/>
            <family val="2"/>
            <scheme val="minor"/>
          </rPr>
          <t>Introduzca la fecha de inicio del proceso, en formato dd-mm-aaaa</t>
        </r>
      </text>
    </comment>
    <comment ref="F3017" authorId="1" shapeId="0" xr:uid="{FB663069-4C47-4BE8-A945-136B76F4DB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8" authorId="1" shapeId="0" xr:uid="{95974D5B-A4A6-47E6-A1AB-E2C6D068D831}">
      <text/>
    </comment>
    <comment ref="C3019" authorId="1" shapeId="0" xr:uid="{A642CF56-D523-4E5B-9557-6EFCA68AFD4B}">
      <text>
        <r>
          <rPr>
            <sz val="11"/>
            <color theme="1"/>
            <rFont val="Calibri"/>
            <family val="2"/>
            <scheme val="minor"/>
          </rPr>
          <t>Introduzca la fecha prevista de adjudicación, en formato dd-mm-aaaa</t>
        </r>
      </text>
    </comment>
    <comment ref="F3019" authorId="1" shapeId="0" xr:uid="{A128C14A-F234-4924-8319-CF8B8F25C183}">
      <text/>
    </comment>
    <comment ref="F3020" authorId="1" shapeId="0" xr:uid="{BDDA3408-5E87-490E-A18B-C5FEEDD1D26B}">
      <text/>
    </comment>
    <comment ref="A3022" authorId="1" shapeId="0" xr:uid="{127C50CA-F715-4F8E-BE72-D1CABBEB87EF}">
      <text>
        <r>
          <rPr>
            <sz val="11"/>
            <color theme="1"/>
            <rFont val="Calibri"/>
            <family val="2"/>
            <scheme val="minor"/>
          </rPr>
          <t>Introduzca un codigo UNSPSC</t>
        </r>
      </text>
    </comment>
    <comment ref="B3022" authorId="1" shapeId="0" xr:uid="{5F65796D-289C-4F41-9BB0-1F525C96CD3B}">
      <text>
        <r>
          <rPr>
            <sz val="11"/>
            <color theme="1"/>
            <rFont val="Calibri"/>
            <family val="2"/>
            <scheme val="minor"/>
          </rPr>
          <t>Descripción calculada automáticamente a partir de código del artículo</t>
        </r>
      </text>
    </comment>
    <comment ref="C3022" authorId="1" shapeId="0" xr:uid="{42548773-9C94-4035-B52E-B775A8A13ACD}">
      <text>
        <r>
          <rPr>
            <sz val="11"/>
            <color theme="1"/>
            <rFont val="Calibri"/>
            <family val="2"/>
            <scheme val="minor"/>
          </rPr>
          <t>Seleccione un valor de la lista</t>
        </r>
      </text>
    </comment>
    <comment ref="D3022" authorId="1" shapeId="0" xr:uid="{167FD349-F908-46CA-98D0-14A33E393E38}">
      <text>
        <r>
          <rPr>
            <sz val="11"/>
            <color theme="1"/>
            <rFont val="Calibri"/>
            <family val="2"/>
            <scheme val="minor"/>
          </rPr>
          <t>Introduzca un número con dos decimales como máximo. Debe ser igual o mayor a la "Cantidad Real Consumida"</t>
        </r>
      </text>
    </comment>
    <comment ref="E3022" authorId="1" shapeId="0" xr:uid="{D844D992-2B10-462B-91A8-F19C3D9D26A1}">
      <text>
        <r>
          <rPr>
            <sz val="11"/>
            <color theme="1"/>
            <rFont val="Calibri"/>
            <family val="2"/>
            <scheme val="minor"/>
          </rPr>
          <t>Introduzca un número con dos decimales como máximo</t>
        </r>
      </text>
    </comment>
    <comment ref="F3022" authorId="1" shapeId="0" xr:uid="{E8275E3C-B7EE-455E-ACED-702E567198D0}">
      <text>
        <r>
          <rPr>
            <sz val="11"/>
            <color theme="1"/>
            <rFont val="Calibri"/>
            <family val="2"/>
            <scheme val="minor"/>
          </rPr>
          <t>Monto calculado automáticamente por el sistema</t>
        </r>
      </text>
    </comment>
    <comment ref="A3027" authorId="1" shapeId="0" xr:uid="{D7F2093B-659A-44F4-A40F-26F3D1CD3C81}">
      <text>
        <r>
          <rPr>
            <sz val="11"/>
            <color theme="1"/>
            <rFont val="Calibri"/>
            <family val="2"/>
            <scheme val="minor"/>
          </rPr>
          <t>Introducir un texto con el nombre o referencia de la contratación</t>
        </r>
      </text>
    </comment>
    <comment ref="B3027" authorId="1" shapeId="0" xr:uid="{FC9C219A-8B2E-4EB7-892E-9AE94E5A3109}">
      <text>
        <r>
          <rPr>
            <sz val="11"/>
            <color theme="1"/>
            <rFont val="Calibri"/>
            <family val="2"/>
            <scheme val="minor"/>
          </rPr>
          <t>Introduzca un texto con la finalidad de la contratación</t>
        </r>
      </text>
    </comment>
    <comment ref="C3027" authorId="1" shapeId="0" xr:uid="{2545DAF9-E2D4-445E-8EEA-4930C8E468CC}">
      <text>
        <r>
          <rPr>
            <sz val="11"/>
            <color theme="1"/>
            <rFont val="Calibri"/>
            <family val="2"/>
            <scheme val="minor"/>
          </rPr>
          <t>Seleccionar un valor del listado</t>
        </r>
      </text>
    </comment>
    <comment ref="D3027" authorId="1" shapeId="0" xr:uid="{C91F5684-E156-4D33-AE8A-23F896B3C2F8}">
      <text>
        <r>
          <rPr>
            <sz val="11"/>
            <color theme="1"/>
            <rFont val="Calibri"/>
            <family val="2"/>
            <scheme val="minor"/>
          </rPr>
          <t>Seleccione el tipo de procedimiento</t>
        </r>
      </text>
    </comment>
    <comment ref="E3027" authorId="1" shapeId="0" xr:uid="{70559032-51A6-428C-8CE3-B3DE1FCBC58C}">
      <text>
        <r>
          <rPr>
            <sz val="11"/>
            <color theme="1"/>
            <rFont val="Calibri"/>
            <family val="2"/>
            <scheme val="minor"/>
          </rPr>
          <t>Seleccione un valor de la lista</t>
        </r>
      </text>
    </comment>
    <comment ref="F3027" authorId="1" shapeId="0" xr:uid="{2C91E695-EE05-41B9-944B-CC6367E2D184}">
      <text>
        <r>
          <rPr>
            <sz val="11"/>
            <color theme="1"/>
            <rFont val="Calibri"/>
            <family val="2"/>
            <scheme val="minor"/>
          </rPr>
          <t>Introduzca el código SNIP</t>
        </r>
      </text>
    </comment>
    <comment ref="C3028" authorId="1" shapeId="0" xr:uid="{7805F4D6-22BB-4144-AD7C-8EB99AFC7427}">
      <text>
        <r>
          <rPr>
            <sz val="11"/>
            <color theme="1"/>
            <rFont val="Calibri"/>
            <family val="2"/>
            <scheme val="minor"/>
          </rPr>
          <t>Introduzca la fecha de inicio del proceso, en formato dd-mm-aaaa</t>
        </r>
      </text>
    </comment>
    <comment ref="F3028" authorId="1" shapeId="0" xr:uid="{3EB3A366-8DB3-4463-A55E-0FB1A35369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9" authorId="1" shapeId="0" xr:uid="{68B3660A-5D5A-4D34-8D68-DE118F76F0C1}">
      <text/>
    </comment>
    <comment ref="C3030" authorId="1" shapeId="0" xr:uid="{C48E7824-045E-42F8-9609-E3B8077C3A83}">
      <text>
        <r>
          <rPr>
            <sz val="11"/>
            <color theme="1"/>
            <rFont val="Calibri"/>
            <family val="2"/>
            <scheme val="minor"/>
          </rPr>
          <t>Introduzca la fecha prevista de adjudicación, en formato dd-mm-aaaa</t>
        </r>
      </text>
    </comment>
    <comment ref="F3030" authorId="1" shapeId="0" xr:uid="{EC20BFEA-5E85-49C3-83C6-6D109DDD58E1}">
      <text/>
    </comment>
    <comment ref="F3031" authorId="1" shapeId="0" xr:uid="{030FBC34-78DF-4818-B921-E11BAC9755AB}">
      <text/>
    </comment>
    <comment ref="A3033" authorId="1" shapeId="0" xr:uid="{485A9B70-305C-4363-8F2E-66BDF142C8D0}">
      <text>
        <r>
          <rPr>
            <sz val="11"/>
            <color theme="1"/>
            <rFont val="Calibri"/>
            <family val="2"/>
            <scheme val="minor"/>
          </rPr>
          <t>Introduzca un codigo UNSPSC</t>
        </r>
      </text>
    </comment>
    <comment ref="B3033" authorId="1" shapeId="0" xr:uid="{527AB56B-268B-4DE0-9187-44ECB01C1456}">
      <text>
        <r>
          <rPr>
            <sz val="11"/>
            <color theme="1"/>
            <rFont val="Calibri"/>
            <family val="2"/>
            <scheme val="minor"/>
          </rPr>
          <t>Descripción calculada automáticamente a partir de código del artículo</t>
        </r>
      </text>
    </comment>
    <comment ref="C3033" authorId="1" shapeId="0" xr:uid="{E88B2199-2A84-4A22-9223-1EC72A4AD1C4}">
      <text>
        <r>
          <rPr>
            <sz val="11"/>
            <color theme="1"/>
            <rFont val="Calibri"/>
            <family val="2"/>
            <scheme val="minor"/>
          </rPr>
          <t>Seleccione un valor de la lista</t>
        </r>
      </text>
    </comment>
    <comment ref="D3033" authorId="1" shapeId="0" xr:uid="{AC5CE723-A30E-41F3-A33E-AA1D8D4FBD6B}">
      <text>
        <r>
          <rPr>
            <sz val="11"/>
            <color theme="1"/>
            <rFont val="Calibri"/>
            <family val="2"/>
            <scheme val="minor"/>
          </rPr>
          <t>Introduzca un número con dos decimales como máximo. Debe ser igual o mayor a la "Cantidad Real Consumida"</t>
        </r>
      </text>
    </comment>
    <comment ref="E3033" authorId="1" shapeId="0" xr:uid="{0F2CA5E9-E0B7-40CB-A897-57859D0D4E95}">
      <text>
        <r>
          <rPr>
            <sz val="11"/>
            <color theme="1"/>
            <rFont val="Calibri"/>
            <family val="2"/>
            <scheme val="minor"/>
          </rPr>
          <t>Introduzca un número con dos decimales como máximo</t>
        </r>
      </text>
    </comment>
    <comment ref="F3033" authorId="1" shapeId="0" xr:uid="{5712BDB8-0F75-4263-849E-A4E44892ABB4}">
      <text>
        <r>
          <rPr>
            <sz val="11"/>
            <color theme="1"/>
            <rFont val="Calibri"/>
            <family val="2"/>
            <scheme val="minor"/>
          </rPr>
          <t>Monto calculado automáticamente por el sistema</t>
        </r>
      </text>
    </comment>
    <comment ref="A3038" authorId="1" shapeId="0" xr:uid="{AF458F2E-7522-4494-AFF6-A08460D12898}">
      <text>
        <r>
          <rPr>
            <sz val="11"/>
            <color theme="1"/>
            <rFont val="Calibri"/>
            <family val="2"/>
            <scheme val="minor"/>
          </rPr>
          <t>Introducir un texto con el nombre o referencia de la contratación</t>
        </r>
      </text>
    </comment>
    <comment ref="B3038" authorId="1" shapeId="0" xr:uid="{0E1169E6-494A-4718-B218-E7E6F24D1C6A}">
      <text>
        <r>
          <rPr>
            <sz val="11"/>
            <color theme="1"/>
            <rFont val="Calibri"/>
            <family val="2"/>
            <scheme val="minor"/>
          </rPr>
          <t>Introduzca un texto con la finalidad de la contratación</t>
        </r>
      </text>
    </comment>
    <comment ref="C3038" authorId="1" shapeId="0" xr:uid="{898E9C8B-000A-462C-870C-CD5F5A3A42BA}">
      <text>
        <r>
          <rPr>
            <sz val="11"/>
            <color theme="1"/>
            <rFont val="Calibri"/>
            <family val="2"/>
            <scheme val="minor"/>
          </rPr>
          <t>Seleccionar un valor del listado</t>
        </r>
      </text>
    </comment>
    <comment ref="D3038" authorId="1" shapeId="0" xr:uid="{1C0C0C37-D4D5-4723-BBFF-99CEA4F147F0}">
      <text>
        <r>
          <rPr>
            <sz val="11"/>
            <color theme="1"/>
            <rFont val="Calibri"/>
            <family val="2"/>
            <scheme val="minor"/>
          </rPr>
          <t>Seleccione el tipo de procedimiento</t>
        </r>
      </text>
    </comment>
    <comment ref="E3038" authorId="1" shapeId="0" xr:uid="{38C7D215-C004-498E-8635-D9250AB8FFA9}">
      <text>
        <r>
          <rPr>
            <sz val="11"/>
            <color theme="1"/>
            <rFont val="Calibri"/>
            <family val="2"/>
            <scheme val="minor"/>
          </rPr>
          <t>Seleccione un valor de la lista</t>
        </r>
      </text>
    </comment>
    <comment ref="F3038" authorId="1" shapeId="0" xr:uid="{6C684AF7-A089-462B-99A0-A5B2390AF371}">
      <text>
        <r>
          <rPr>
            <sz val="11"/>
            <color theme="1"/>
            <rFont val="Calibri"/>
            <family val="2"/>
            <scheme val="minor"/>
          </rPr>
          <t>Introduzca el código SNIP</t>
        </r>
      </text>
    </comment>
    <comment ref="C3039" authorId="1" shapeId="0" xr:uid="{0076DF37-53BD-46EE-B82F-52158E9F9E84}">
      <text>
        <r>
          <rPr>
            <sz val="11"/>
            <color theme="1"/>
            <rFont val="Calibri"/>
            <family val="2"/>
            <scheme val="minor"/>
          </rPr>
          <t>Introduzca la fecha de inicio del proceso, en formato dd-mm-aaaa</t>
        </r>
      </text>
    </comment>
    <comment ref="F3039" authorId="1" shapeId="0" xr:uid="{A433AB0E-0543-4415-9F41-8F26B78EFF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0" authorId="1" shapeId="0" xr:uid="{F08F43F0-D287-4FCD-BAE6-F291529226BD}">
      <text/>
    </comment>
    <comment ref="C3041" authorId="1" shapeId="0" xr:uid="{7C59462E-6625-4F5A-9591-689BD0444340}">
      <text>
        <r>
          <rPr>
            <sz val="11"/>
            <color theme="1"/>
            <rFont val="Calibri"/>
            <family val="2"/>
            <scheme val="minor"/>
          </rPr>
          <t>Introduzca la fecha prevista de adjudicación, en formato dd-mm-aaaa</t>
        </r>
      </text>
    </comment>
    <comment ref="F3041" authorId="1" shapeId="0" xr:uid="{960D8A07-F32E-45E3-AEEA-F8AF6C29E757}">
      <text/>
    </comment>
    <comment ref="F3042" authorId="1" shapeId="0" xr:uid="{2AF37545-36A2-4D8D-8177-1BD09C15D698}">
      <text/>
    </comment>
    <comment ref="A3044" authorId="1" shapeId="0" xr:uid="{2932BF1E-431D-4D2D-9366-8181C7280321}">
      <text>
        <r>
          <rPr>
            <sz val="11"/>
            <color theme="1"/>
            <rFont val="Calibri"/>
            <family val="2"/>
            <scheme val="minor"/>
          </rPr>
          <t>Introduzca un codigo UNSPSC</t>
        </r>
      </text>
    </comment>
    <comment ref="B3044" authorId="1" shapeId="0" xr:uid="{4CA2DCA1-462A-4344-AB06-73486148F2C8}">
      <text>
        <r>
          <rPr>
            <sz val="11"/>
            <color theme="1"/>
            <rFont val="Calibri"/>
            <family val="2"/>
            <scheme val="minor"/>
          </rPr>
          <t>Descripción calculada automáticamente a partir de código del artículo</t>
        </r>
      </text>
    </comment>
    <comment ref="C3044" authorId="1" shapeId="0" xr:uid="{2C6E1108-51DD-4C0B-980A-8803F7CC4DC5}">
      <text>
        <r>
          <rPr>
            <sz val="11"/>
            <color theme="1"/>
            <rFont val="Calibri"/>
            <family val="2"/>
            <scheme val="minor"/>
          </rPr>
          <t>Seleccione un valor de la lista</t>
        </r>
      </text>
    </comment>
    <comment ref="D3044" authorId="1" shapeId="0" xr:uid="{55513AAB-D0E2-48DC-A24D-F7D23964663A}">
      <text>
        <r>
          <rPr>
            <sz val="11"/>
            <color theme="1"/>
            <rFont val="Calibri"/>
            <family val="2"/>
            <scheme val="minor"/>
          </rPr>
          <t>Introduzca un número con dos decimales como máximo. Debe ser igual o mayor a la "Cantidad Real Consumida"</t>
        </r>
      </text>
    </comment>
    <comment ref="E3044" authorId="1" shapeId="0" xr:uid="{724B1D6D-1155-4885-88A3-A4E1A9D1F090}">
      <text>
        <r>
          <rPr>
            <sz val="11"/>
            <color theme="1"/>
            <rFont val="Calibri"/>
            <family val="2"/>
            <scheme val="minor"/>
          </rPr>
          <t>Introduzca un número con dos decimales como máximo</t>
        </r>
      </text>
    </comment>
    <comment ref="F3044" authorId="1" shapeId="0" xr:uid="{056BB793-FE09-47B6-B1AB-CBD025E5DC8D}">
      <text>
        <r>
          <rPr>
            <sz val="11"/>
            <color theme="1"/>
            <rFont val="Calibri"/>
            <family val="2"/>
            <scheme val="minor"/>
          </rPr>
          <t>Monto calculado automáticamente por el sistema</t>
        </r>
      </text>
    </comment>
    <comment ref="A3050" authorId="1" shapeId="0" xr:uid="{11B9FC9C-E2E3-441B-B1F6-9A753F7625DF}">
      <text>
        <r>
          <rPr>
            <sz val="11"/>
            <color theme="1"/>
            <rFont val="Calibri"/>
            <family val="2"/>
            <scheme val="minor"/>
          </rPr>
          <t>Introducir un texto con el nombre o referencia de la contratación</t>
        </r>
      </text>
    </comment>
    <comment ref="B3050" authorId="1" shapeId="0" xr:uid="{3A4681F5-14ED-4D7D-BC24-DF2648B28174}">
      <text>
        <r>
          <rPr>
            <sz val="11"/>
            <color theme="1"/>
            <rFont val="Calibri"/>
            <family val="2"/>
            <scheme val="minor"/>
          </rPr>
          <t>Introduzca un texto con la finalidad de la contratación</t>
        </r>
      </text>
    </comment>
    <comment ref="C3050" authorId="1" shapeId="0" xr:uid="{F022F2B2-FBF6-48B2-B83C-0B9B1FF69B4D}">
      <text>
        <r>
          <rPr>
            <sz val="11"/>
            <color theme="1"/>
            <rFont val="Calibri"/>
            <family val="2"/>
            <scheme val="minor"/>
          </rPr>
          <t>Seleccionar un valor del listado</t>
        </r>
      </text>
    </comment>
    <comment ref="D3050" authorId="1" shapeId="0" xr:uid="{EBEFAAF3-AD6C-4865-81F9-7EFBF02B512D}">
      <text>
        <r>
          <rPr>
            <sz val="11"/>
            <color theme="1"/>
            <rFont val="Calibri"/>
            <family val="2"/>
            <scheme val="minor"/>
          </rPr>
          <t>Seleccione el tipo de procedimiento</t>
        </r>
      </text>
    </comment>
    <comment ref="E3050" authorId="1" shapeId="0" xr:uid="{D1938934-9873-401A-B2FF-870CB2AB3BA7}">
      <text>
        <r>
          <rPr>
            <sz val="11"/>
            <color theme="1"/>
            <rFont val="Calibri"/>
            <family val="2"/>
            <scheme val="minor"/>
          </rPr>
          <t>Seleccione un valor de la lista</t>
        </r>
      </text>
    </comment>
    <comment ref="F3050" authorId="1" shapeId="0" xr:uid="{AC6C4911-95A1-4540-82D2-9BA11F05A52B}">
      <text>
        <r>
          <rPr>
            <sz val="11"/>
            <color theme="1"/>
            <rFont val="Calibri"/>
            <family val="2"/>
            <scheme val="minor"/>
          </rPr>
          <t>Introduzca el código SNIP</t>
        </r>
      </text>
    </comment>
    <comment ref="C3051" authorId="1" shapeId="0" xr:uid="{682846AE-895F-4566-9B9C-75F7077E5D43}">
      <text>
        <r>
          <rPr>
            <sz val="11"/>
            <color theme="1"/>
            <rFont val="Calibri"/>
            <family val="2"/>
            <scheme val="minor"/>
          </rPr>
          <t>Introduzca la fecha de inicio del proceso, en formato dd-mm-aaaa</t>
        </r>
      </text>
    </comment>
    <comment ref="F3051" authorId="1" shapeId="0" xr:uid="{6E67EDBC-7C98-49FB-82BE-106A649595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2" authorId="1" shapeId="0" xr:uid="{1D6EBA88-6178-4836-83BE-F59F37EAA8B8}">
      <text/>
    </comment>
    <comment ref="C3053" authorId="1" shapeId="0" xr:uid="{37BE711E-4B28-4E21-A9E2-F866B5CA969B}">
      <text>
        <r>
          <rPr>
            <sz val="11"/>
            <color theme="1"/>
            <rFont val="Calibri"/>
            <family val="2"/>
            <scheme val="minor"/>
          </rPr>
          <t>Introduzca la fecha prevista de adjudicación, en formato dd-mm-aaaa</t>
        </r>
      </text>
    </comment>
    <comment ref="F3053" authorId="1" shapeId="0" xr:uid="{053230FE-7D36-402A-AC77-4041524B27D7}">
      <text/>
    </comment>
    <comment ref="F3054" authorId="1" shapeId="0" xr:uid="{C4B2B0F1-5948-4657-AFF1-5B68D38C8077}">
      <text/>
    </comment>
    <comment ref="A3056" authorId="1" shapeId="0" xr:uid="{6B8B8FB2-D75E-4E7E-B906-31020A807F33}">
      <text>
        <r>
          <rPr>
            <sz val="11"/>
            <color theme="1"/>
            <rFont val="Calibri"/>
            <family val="2"/>
            <scheme val="minor"/>
          </rPr>
          <t>Introduzca un codigo UNSPSC</t>
        </r>
      </text>
    </comment>
    <comment ref="B3056" authorId="1" shapeId="0" xr:uid="{1308DC47-4206-4C92-8E1F-AD46E67F9C64}">
      <text>
        <r>
          <rPr>
            <sz val="11"/>
            <color theme="1"/>
            <rFont val="Calibri"/>
            <family val="2"/>
            <scheme val="minor"/>
          </rPr>
          <t>Descripción calculada automáticamente a partir de código del artículo</t>
        </r>
      </text>
    </comment>
    <comment ref="C3056" authorId="1" shapeId="0" xr:uid="{B719D17E-8A6F-49BA-BC16-CECBDF675283}">
      <text>
        <r>
          <rPr>
            <sz val="11"/>
            <color theme="1"/>
            <rFont val="Calibri"/>
            <family val="2"/>
            <scheme val="minor"/>
          </rPr>
          <t>Seleccione un valor de la lista</t>
        </r>
      </text>
    </comment>
    <comment ref="D3056" authorId="1" shapeId="0" xr:uid="{093EFD9A-7731-481D-A2FD-34E8E95EDA72}">
      <text>
        <r>
          <rPr>
            <sz val="11"/>
            <color theme="1"/>
            <rFont val="Calibri"/>
            <family val="2"/>
            <scheme val="minor"/>
          </rPr>
          <t>Introduzca un número con dos decimales como máximo. Debe ser igual o mayor a la "Cantidad Real Consumida"</t>
        </r>
      </text>
    </comment>
    <comment ref="E3056" authorId="1" shapeId="0" xr:uid="{0564A1C0-5EB8-488D-8C3C-631B93AB925C}">
      <text>
        <r>
          <rPr>
            <sz val="11"/>
            <color theme="1"/>
            <rFont val="Calibri"/>
            <family val="2"/>
            <scheme val="minor"/>
          </rPr>
          <t>Introduzca un número con dos decimales como máximo</t>
        </r>
      </text>
    </comment>
    <comment ref="F3056" authorId="1" shapeId="0" xr:uid="{83D2F1D9-64D0-480B-8524-A40A940A9D9F}">
      <text>
        <r>
          <rPr>
            <sz val="11"/>
            <color theme="1"/>
            <rFont val="Calibri"/>
            <family val="2"/>
            <scheme val="minor"/>
          </rPr>
          <t>Monto calculado automáticamente por el sistema</t>
        </r>
      </text>
    </comment>
    <comment ref="A3061" authorId="1" shapeId="0" xr:uid="{D9120859-47A9-49AB-AA64-D3B0007B2A07}">
      <text>
        <r>
          <rPr>
            <sz val="11"/>
            <color theme="1"/>
            <rFont val="Calibri"/>
            <family val="2"/>
            <scheme val="minor"/>
          </rPr>
          <t>Introducir un texto con el nombre o referencia de la contratación</t>
        </r>
      </text>
    </comment>
    <comment ref="B3061" authorId="1" shapeId="0" xr:uid="{6C4EACC6-962F-40B1-A181-56D5925601FD}">
      <text>
        <r>
          <rPr>
            <sz val="11"/>
            <color theme="1"/>
            <rFont val="Calibri"/>
            <family val="2"/>
            <scheme val="minor"/>
          </rPr>
          <t>Introduzca un texto con la finalidad de la contratación</t>
        </r>
      </text>
    </comment>
    <comment ref="C3061" authorId="1" shapeId="0" xr:uid="{3044C7B7-B239-4A77-A26B-F8EAFECA6C36}">
      <text>
        <r>
          <rPr>
            <sz val="11"/>
            <color theme="1"/>
            <rFont val="Calibri"/>
            <family val="2"/>
            <scheme val="minor"/>
          </rPr>
          <t>Seleccionar un valor del listado</t>
        </r>
      </text>
    </comment>
    <comment ref="D3061" authorId="1" shapeId="0" xr:uid="{B8F42452-F352-4E78-A0FF-557065D2B46A}">
      <text>
        <r>
          <rPr>
            <sz val="11"/>
            <color theme="1"/>
            <rFont val="Calibri"/>
            <family val="2"/>
            <scheme val="minor"/>
          </rPr>
          <t>Seleccione el tipo de procedimiento</t>
        </r>
      </text>
    </comment>
    <comment ref="E3061" authorId="1" shapeId="0" xr:uid="{C81E9D94-97A1-40FA-BDCD-8F68407A6B06}">
      <text>
        <r>
          <rPr>
            <sz val="11"/>
            <color theme="1"/>
            <rFont val="Calibri"/>
            <family val="2"/>
            <scheme val="minor"/>
          </rPr>
          <t>Seleccione un valor de la lista</t>
        </r>
      </text>
    </comment>
    <comment ref="F3061" authorId="1" shapeId="0" xr:uid="{F0A95610-4858-4762-A8E6-57766206D08A}">
      <text>
        <r>
          <rPr>
            <sz val="11"/>
            <color theme="1"/>
            <rFont val="Calibri"/>
            <family val="2"/>
            <scheme val="minor"/>
          </rPr>
          <t>Introduzca el código SNIP</t>
        </r>
      </text>
    </comment>
    <comment ref="C3062" authorId="1" shapeId="0" xr:uid="{9EB1290E-C339-4706-846B-A0B2B817B06F}">
      <text>
        <r>
          <rPr>
            <sz val="11"/>
            <color theme="1"/>
            <rFont val="Calibri"/>
            <family val="2"/>
            <scheme val="minor"/>
          </rPr>
          <t>Introduzca la fecha de inicio del proceso, en formato dd-mm-aaaa</t>
        </r>
      </text>
    </comment>
    <comment ref="F3062" authorId="1" shapeId="0" xr:uid="{D7A30DD6-0FE4-4877-99C8-AB839D0816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3" authorId="1" shapeId="0" xr:uid="{11A9B6AA-33AC-4351-BC16-1CDB96E692C2}">
      <text/>
    </comment>
    <comment ref="C3064" authorId="1" shapeId="0" xr:uid="{BE27E60B-EC8E-4381-8CC1-E41CD6AA7D54}">
      <text>
        <r>
          <rPr>
            <sz val="11"/>
            <color theme="1"/>
            <rFont val="Calibri"/>
            <family val="2"/>
            <scheme val="minor"/>
          </rPr>
          <t>Introduzca la fecha prevista de adjudicación, en formato dd-mm-aaaa</t>
        </r>
      </text>
    </comment>
    <comment ref="F3064" authorId="1" shapeId="0" xr:uid="{8C7FE0BA-7902-4699-8CFA-2FDD62A2FC91}">
      <text/>
    </comment>
    <comment ref="F3065" authorId="1" shapeId="0" xr:uid="{B289E7D6-51FC-4AEE-B8C3-E5D3B9444176}">
      <text/>
    </comment>
    <comment ref="A3067" authorId="1" shapeId="0" xr:uid="{B6ED909A-782E-46E7-BA93-DD7C4926FE58}">
      <text>
        <r>
          <rPr>
            <sz val="11"/>
            <color theme="1"/>
            <rFont val="Calibri"/>
            <family val="2"/>
            <scheme val="minor"/>
          </rPr>
          <t>Introduzca un codigo UNSPSC</t>
        </r>
      </text>
    </comment>
    <comment ref="B3067" authorId="1" shapeId="0" xr:uid="{C712D8BF-3148-45DD-8B90-97F308A4CF8D}">
      <text>
        <r>
          <rPr>
            <sz val="11"/>
            <color theme="1"/>
            <rFont val="Calibri"/>
            <family val="2"/>
            <scheme val="minor"/>
          </rPr>
          <t>Descripción calculada automáticamente a partir de código del artículo</t>
        </r>
      </text>
    </comment>
    <comment ref="C3067" authorId="1" shapeId="0" xr:uid="{3D8E4451-00CC-46F3-B8B8-FC5A78D2F2F3}">
      <text>
        <r>
          <rPr>
            <sz val="11"/>
            <color theme="1"/>
            <rFont val="Calibri"/>
            <family val="2"/>
            <scheme val="minor"/>
          </rPr>
          <t>Seleccione un valor de la lista</t>
        </r>
      </text>
    </comment>
    <comment ref="D3067" authorId="1" shapeId="0" xr:uid="{7571B846-9B80-4A14-9738-9A49BEC2F205}">
      <text>
        <r>
          <rPr>
            <sz val="11"/>
            <color theme="1"/>
            <rFont val="Calibri"/>
            <family val="2"/>
            <scheme val="minor"/>
          </rPr>
          <t>Introduzca un número con dos decimales como máximo. Debe ser igual o mayor a la "Cantidad Real Consumida"</t>
        </r>
      </text>
    </comment>
    <comment ref="E3067" authorId="1" shapeId="0" xr:uid="{B914E856-19AE-4809-922D-914FC3C5CEB0}">
      <text>
        <r>
          <rPr>
            <sz val="11"/>
            <color theme="1"/>
            <rFont val="Calibri"/>
            <family val="2"/>
            <scheme val="minor"/>
          </rPr>
          <t>Introduzca un número con dos decimales como máximo</t>
        </r>
      </text>
    </comment>
    <comment ref="F3067" authorId="1" shapeId="0" xr:uid="{6F65A2A1-B6AF-4B3A-97F2-50C099CFBBDD}">
      <text>
        <r>
          <rPr>
            <sz val="11"/>
            <color theme="1"/>
            <rFont val="Calibri"/>
            <family val="2"/>
            <scheme val="minor"/>
          </rPr>
          <t>Monto calculado automáticamente por el sistema</t>
        </r>
      </text>
    </comment>
    <comment ref="A3072" authorId="3" shapeId="0" xr:uid="{4286A633-786F-4EC2-B600-969EE52B6ECF}">
      <text>
        <r>
          <rPr>
            <sz val="11"/>
            <color theme="1"/>
            <rFont val="Calibri"/>
            <family val="2"/>
            <scheme val="minor"/>
          </rPr>
          <t>Introducir un texto con el nombre o referencia de la contratación</t>
        </r>
      </text>
    </comment>
    <comment ref="B3072" authorId="3" shapeId="0" xr:uid="{56639DCA-4AF8-49F2-976D-7693E213CAE9}">
      <text>
        <r>
          <rPr>
            <sz val="11"/>
            <color theme="1"/>
            <rFont val="Calibri"/>
            <family val="2"/>
            <scheme val="minor"/>
          </rPr>
          <t>Introduzca un texto con la finalidad de la contratación</t>
        </r>
      </text>
    </comment>
    <comment ref="C3072" authorId="3" shapeId="0" xr:uid="{BCBD0F8D-0536-4955-B03C-87CE833464D8}">
      <text>
        <r>
          <rPr>
            <sz val="11"/>
            <color theme="1"/>
            <rFont val="Calibri"/>
            <family val="2"/>
            <scheme val="minor"/>
          </rPr>
          <t>Seleccionar un valor del listado</t>
        </r>
      </text>
    </comment>
    <comment ref="D3072" authorId="3" shapeId="0" xr:uid="{E81159E2-BCDE-4695-82E3-E6F4E7AE058B}">
      <text>
        <r>
          <rPr>
            <sz val="11"/>
            <color theme="1"/>
            <rFont val="Calibri"/>
            <family val="2"/>
            <scheme val="minor"/>
          </rPr>
          <t>Seleccione el tipo de procedimiento</t>
        </r>
      </text>
    </comment>
    <comment ref="E3072" authorId="3" shapeId="0" xr:uid="{1FACA509-2B28-454D-9BA3-11DDCD71739D}">
      <text>
        <r>
          <rPr>
            <sz val="11"/>
            <color theme="1"/>
            <rFont val="Calibri"/>
            <family val="2"/>
            <scheme val="minor"/>
          </rPr>
          <t>Seleccione un valor de la lista</t>
        </r>
      </text>
    </comment>
    <comment ref="F3072" authorId="3" shapeId="0" xr:uid="{8421A80E-6527-4914-B175-937018AB730C}">
      <text>
        <r>
          <rPr>
            <sz val="11"/>
            <color theme="1"/>
            <rFont val="Calibri"/>
            <family val="2"/>
            <scheme val="minor"/>
          </rPr>
          <t>Introduzca el código SNIP</t>
        </r>
      </text>
    </comment>
    <comment ref="C3073" authorId="3" shapeId="0" xr:uid="{0DF99229-E529-4452-88AF-A44D91D8487E}">
      <text>
        <r>
          <rPr>
            <sz val="11"/>
            <color theme="1"/>
            <rFont val="Calibri"/>
            <family val="2"/>
            <scheme val="minor"/>
          </rPr>
          <t>Introduzca la fecha de inicio del proceso, en formato dd-mm-aaaa</t>
        </r>
      </text>
    </comment>
    <comment ref="F3073" authorId="3" shapeId="0" xr:uid="{85DD067A-9580-45C4-BFE0-A56684D604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4" authorId="3" shapeId="0" xr:uid="{AC64B305-533D-42AB-B366-F0CD73860817}">
      <text/>
    </comment>
    <comment ref="C3075" authorId="3" shapeId="0" xr:uid="{81BDCE92-DC65-4009-BBBE-CCBE0367774D}">
      <text>
        <r>
          <rPr>
            <sz val="11"/>
            <color theme="1"/>
            <rFont val="Calibri"/>
            <family val="2"/>
            <scheme val="minor"/>
          </rPr>
          <t>Introduzca la fecha prevista de adjudicación, en formato dd-mm-aaaa</t>
        </r>
      </text>
    </comment>
    <comment ref="F3075" authorId="3" shapeId="0" xr:uid="{F9E02E28-55BC-4957-8C7D-E4432F211409}">
      <text/>
    </comment>
    <comment ref="F3076" authorId="3" shapeId="0" xr:uid="{D3414569-72EE-466E-A821-B13EFB71483F}">
      <text/>
    </comment>
    <comment ref="A3078" authorId="3" shapeId="0" xr:uid="{3FF8EDF4-3895-4ED3-953E-7491A6C682A6}">
      <text>
        <r>
          <rPr>
            <sz val="11"/>
            <color theme="1"/>
            <rFont val="Calibri"/>
            <family val="2"/>
            <scheme val="minor"/>
          </rPr>
          <t>Introduzca un codigo UNSPSC</t>
        </r>
      </text>
    </comment>
    <comment ref="B3078" authorId="3" shapeId="0" xr:uid="{62D412AB-D193-4AA9-B777-A62221AA5C70}">
      <text>
        <r>
          <rPr>
            <sz val="11"/>
            <color theme="1"/>
            <rFont val="Calibri"/>
            <family val="2"/>
            <scheme val="minor"/>
          </rPr>
          <t>Descripción calculada automáticamente a partir de código del artículo</t>
        </r>
      </text>
    </comment>
    <comment ref="C3078" authorId="3" shapeId="0" xr:uid="{FBF15651-8D24-42BD-B44F-28CD01729114}">
      <text>
        <r>
          <rPr>
            <sz val="11"/>
            <color theme="1"/>
            <rFont val="Calibri"/>
            <family val="2"/>
            <scheme val="minor"/>
          </rPr>
          <t>Seleccione un valor de la lista</t>
        </r>
      </text>
    </comment>
    <comment ref="D3078" authorId="3" shapeId="0" xr:uid="{F5E623B2-5048-40E5-9A47-45993136DB3D}">
      <text>
        <r>
          <rPr>
            <sz val="11"/>
            <color theme="1"/>
            <rFont val="Calibri"/>
            <family val="2"/>
            <scheme val="minor"/>
          </rPr>
          <t>Introduzca un número con dos decimales como máximo. Debe ser igual o mayor a la "Cantidad Real Consumida"</t>
        </r>
      </text>
    </comment>
    <comment ref="E3078" authorId="3" shapeId="0" xr:uid="{FE6E1D98-FBA2-4E66-A289-AF0C621EB04D}">
      <text>
        <r>
          <rPr>
            <sz val="11"/>
            <color theme="1"/>
            <rFont val="Calibri"/>
            <family val="2"/>
            <scheme val="minor"/>
          </rPr>
          <t>Introduzca un número con dos decimales como máximo</t>
        </r>
      </text>
    </comment>
    <comment ref="F3078" authorId="3" shapeId="0" xr:uid="{B3650DCF-F67E-46DC-85D7-BA961EEDCB76}">
      <text>
        <r>
          <rPr>
            <sz val="11"/>
            <color theme="1"/>
            <rFont val="Calibri"/>
            <family val="2"/>
            <scheme val="minor"/>
          </rPr>
          <t>Monto calculado automáticamente por el sistema</t>
        </r>
      </text>
    </comment>
    <comment ref="A3083" authorId="3" shapeId="0" xr:uid="{BE8C31D9-500A-4930-849D-75518D446471}">
      <text>
        <r>
          <rPr>
            <sz val="11"/>
            <color theme="1"/>
            <rFont val="Calibri"/>
            <family val="2"/>
            <scheme val="minor"/>
          </rPr>
          <t>Introducir un texto con el nombre o referencia de la contratación</t>
        </r>
      </text>
    </comment>
    <comment ref="B3083" authorId="3" shapeId="0" xr:uid="{86EA5225-2AD6-4FB0-AE29-1764DA6E8F14}">
      <text>
        <r>
          <rPr>
            <sz val="11"/>
            <color theme="1"/>
            <rFont val="Calibri"/>
            <family val="2"/>
            <scheme val="minor"/>
          </rPr>
          <t>Introduzca un texto con la finalidad de la contratación</t>
        </r>
      </text>
    </comment>
    <comment ref="C3083" authorId="3" shapeId="0" xr:uid="{52A9FC94-C8B9-44DB-A76E-15455494D7F2}">
      <text>
        <r>
          <rPr>
            <sz val="11"/>
            <color theme="1"/>
            <rFont val="Calibri"/>
            <family val="2"/>
            <scheme val="minor"/>
          </rPr>
          <t>Seleccionar un valor del listado</t>
        </r>
      </text>
    </comment>
    <comment ref="D3083" authorId="3" shapeId="0" xr:uid="{EF21BF02-6C07-48F2-B499-0A3E66BEAA61}">
      <text>
        <r>
          <rPr>
            <sz val="11"/>
            <color theme="1"/>
            <rFont val="Calibri"/>
            <family val="2"/>
            <scheme val="minor"/>
          </rPr>
          <t>Seleccione el tipo de procedimiento</t>
        </r>
      </text>
    </comment>
    <comment ref="E3083" authorId="3" shapeId="0" xr:uid="{364306DB-2846-4514-A353-4BDD4CA9C7F9}">
      <text>
        <r>
          <rPr>
            <sz val="11"/>
            <color theme="1"/>
            <rFont val="Calibri"/>
            <family val="2"/>
            <scheme val="minor"/>
          </rPr>
          <t>Seleccione un valor de la lista</t>
        </r>
      </text>
    </comment>
    <comment ref="F3083" authorId="3" shapeId="0" xr:uid="{E978777A-8C20-49DB-9F8F-7C4BC1C5861E}">
      <text>
        <r>
          <rPr>
            <sz val="11"/>
            <color theme="1"/>
            <rFont val="Calibri"/>
            <family val="2"/>
            <scheme val="minor"/>
          </rPr>
          <t>Introduzca el código SNIP</t>
        </r>
      </text>
    </comment>
    <comment ref="C3084" authorId="3" shapeId="0" xr:uid="{BF886EE0-F0CE-4E53-9138-898389973D6B}">
      <text>
        <r>
          <rPr>
            <sz val="11"/>
            <color theme="1"/>
            <rFont val="Calibri"/>
            <family val="2"/>
            <scheme val="minor"/>
          </rPr>
          <t>Introduzca la fecha de inicio del proceso, en formato dd-mm-aaaa</t>
        </r>
      </text>
    </comment>
    <comment ref="F3084" authorId="3" shapeId="0" xr:uid="{30E98D5B-0D50-49BA-82A9-C554D1BCA8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5" authorId="3" shapeId="0" xr:uid="{B1C7CE81-E92B-42B0-8185-C642CAEAAD33}">
      <text/>
    </comment>
    <comment ref="C3086" authorId="3" shapeId="0" xr:uid="{B1E92C1B-C836-4CD1-9B19-1049A26C55F4}">
      <text>
        <r>
          <rPr>
            <sz val="11"/>
            <color theme="1"/>
            <rFont val="Calibri"/>
            <family val="2"/>
            <scheme val="minor"/>
          </rPr>
          <t>Introduzca la fecha prevista de adjudicación, en formato dd-mm-aaaa</t>
        </r>
      </text>
    </comment>
    <comment ref="F3086" authorId="3" shapeId="0" xr:uid="{9A7379FF-55A8-4A4A-BD26-22FCA444053A}">
      <text/>
    </comment>
    <comment ref="F3087" authorId="3" shapeId="0" xr:uid="{3B1E0E9B-9F93-4C30-B01A-0E1ECDDE406D}">
      <text/>
    </comment>
    <comment ref="A3089" authorId="3" shapeId="0" xr:uid="{BC704F3D-4679-4C0E-B687-7809C8BEB699}">
      <text>
        <r>
          <rPr>
            <sz val="11"/>
            <color theme="1"/>
            <rFont val="Calibri"/>
            <family val="2"/>
            <scheme val="minor"/>
          </rPr>
          <t>Introduzca un codigo UNSPSC</t>
        </r>
      </text>
    </comment>
    <comment ref="B3089" authorId="3" shapeId="0" xr:uid="{7A7C2306-B051-472E-8774-39CAB2989CD9}">
      <text>
        <r>
          <rPr>
            <sz val="11"/>
            <color theme="1"/>
            <rFont val="Calibri"/>
            <family val="2"/>
            <scheme val="minor"/>
          </rPr>
          <t>Descripción calculada automáticamente a partir de código del artículo</t>
        </r>
      </text>
    </comment>
    <comment ref="C3089" authorId="3" shapeId="0" xr:uid="{CEE1251C-479E-4F46-8E8A-FF54574166FF}">
      <text>
        <r>
          <rPr>
            <sz val="11"/>
            <color theme="1"/>
            <rFont val="Calibri"/>
            <family val="2"/>
            <scheme val="minor"/>
          </rPr>
          <t>Seleccione un valor de la lista</t>
        </r>
      </text>
    </comment>
    <comment ref="D3089" authorId="3" shapeId="0" xr:uid="{5A4BDF4B-2CD1-467A-85E6-64428930BE17}">
      <text>
        <r>
          <rPr>
            <sz val="11"/>
            <color theme="1"/>
            <rFont val="Calibri"/>
            <family val="2"/>
            <scheme val="minor"/>
          </rPr>
          <t>Introduzca un número con dos decimales como máximo. Debe ser igual o mayor a la "Cantidad Real Consumida"</t>
        </r>
      </text>
    </comment>
    <comment ref="E3089" authorId="3" shapeId="0" xr:uid="{6AAAF12C-4DF7-40FC-BC12-6CD2E2E94189}">
      <text>
        <r>
          <rPr>
            <sz val="11"/>
            <color theme="1"/>
            <rFont val="Calibri"/>
            <family val="2"/>
            <scheme val="minor"/>
          </rPr>
          <t>Introduzca un número con dos decimales como máximo</t>
        </r>
      </text>
    </comment>
    <comment ref="F3089" authorId="3" shapeId="0" xr:uid="{8952ABC6-2F3C-48D7-A12B-B2AFA97F356B}">
      <text>
        <r>
          <rPr>
            <sz val="11"/>
            <color theme="1"/>
            <rFont val="Calibri"/>
            <family val="2"/>
            <scheme val="minor"/>
          </rPr>
          <t>Monto calculado automáticamente por el sistema</t>
        </r>
      </text>
    </comment>
    <comment ref="A3094" authorId="3" shapeId="0" xr:uid="{785FCD9A-0093-4E5C-9FB2-F17C4875F6CE}">
      <text>
        <r>
          <rPr>
            <sz val="11"/>
            <color theme="1"/>
            <rFont val="Calibri"/>
            <family val="2"/>
            <scheme val="minor"/>
          </rPr>
          <t>Introducir un texto con el nombre o referencia de la contratación</t>
        </r>
      </text>
    </comment>
    <comment ref="B3094" authorId="3" shapeId="0" xr:uid="{C6B6966A-3E47-4F12-B3F8-080299D1C811}">
      <text>
        <r>
          <rPr>
            <sz val="11"/>
            <color theme="1"/>
            <rFont val="Calibri"/>
            <family val="2"/>
            <scheme val="minor"/>
          </rPr>
          <t>Introduzca un texto con la finalidad de la contratación</t>
        </r>
      </text>
    </comment>
    <comment ref="C3094" authorId="3" shapeId="0" xr:uid="{12DDC64A-5F55-4A5B-B28E-99BF7FE98177}">
      <text>
        <r>
          <rPr>
            <sz val="11"/>
            <color theme="1"/>
            <rFont val="Calibri"/>
            <family val="2"/>
            <scheme val="minor"/>
          </rPr>
          <t>Seleccionar un valor del listado</t>
        </r>
      </text>
    </comment>
    <comment ref="D3094" authorId="3" shapeId="0" xr:uid="{6E31A680-CF2A-4EA5-B8A4-051B279A6450}">
      <text>
        <r>
          <rPr>
            <sz val="11"/>
            <color theme="1"/>
            <rFont val="Calibri"/>
            <family val="2"/>
            <scheme val="minor"/>
          </rPr>
          <t>Seleccione el tipo de procedimiento</t>
        </r>
      </text>
    </comment>
    <comment ref="E3094" authorId="3" shapeId="0" xr:uid="{CE45B782-C6E1-4608-81F5-CA47C83B1EA5}">
      <text>
        <r>
          <rPr>
            <sz val="11"/>
            <color theme="1"/>
            <rFont val="Calibri"/>
            <family val="2"/>
            <scheme val="minor"/>
          </rPr>
          <t>Seleccione un valor de la lista</t>
        </r>
      </text>
    </comment>
    <comment ref="F3094" authorId="3" shapeId="0" xr:uid="{874C10D5-AD08-4D01-8882-A02EC7C4CB7F}">
      <text>
        <r>
          <rPr>
            <sz val="11"/>
            <color theme="1"/>
            <rFont val="Calibri"/>
            <family val="2"/>
            <scheme val="minor"/>
          </rPr>
          <t>Introduzca el código SNIP</t>
        </r>
      </text>
    </comment>
    <comment ref="C3095" authorId="3" shapeId="0" xr:uid="{8411B621-113F-4D9F-9B7D-E805CF3DEC61}">
      <text>
        <r>
          <rPr>
            <sz val="11"/>
            <color theme="1"/>
            <rFont val="Calibri"/>
            <family val="2"/>
            <scheme val="minor"/>
          </rPr>
          <t>Introduzca la fecha de inicio del proceso, en formato dd-mm-aaaa</t>
        </r>
      </text>
    </comment>
    <comment ref="F3095" authorId="3" shapeId="0" xr:uid="{DE6659A1-A375-4E08-BC4E-ED30CF8391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6" authorId="3" shapeId="0" xr:uid="{3458D372-113E-46F7-9740-CF6F50653779}">
      <text/>
    </comment>
    <comment ref="C3097" authorId="3" shapeId="0" xr:uid="{7D77E44F-5FF9-4212-87B1-EAF53154CCCC}">
      <text>
        <r>
          <rPr>
            <sz val="11"/>
            <color theme="1"/>
            <rFont val="Calibri"/>
            <family val="2"/>
            <scheme val="minor"/>
          </rPr>
          <t>Introduzca la fecha prevista de adjudicación, en formato dd-mm-aaaa</t>
        </r>
      </text>
    </comment>
    <comment ref="F3097" authorId="3" shapeId="0" xr:uid="{E6CE75C7-6CCE-4DDA-BFA1-11C0880DC881}">
      <text/>
    </comment>
    <comment ref="F3098" authorId="3" shapeId="0" xr:uid="{294EBC05-404A-4B61-9EE7-3C08D087230D}">
      <text/>
    </comment>
    <comment ref="A3100" authorId="3" shapeId="0" xr:uid="{CA7D26C1-B67E-4A9B-AFCE-9BEFA6FC047E}">
      <text>
        <r>
          <rPr>
            <sz val="11"/>
            <color theme="1"/>
            <rFont val="Calibri"/>
            <family val="2"/>
            <scheme val="minor"/>
          </rPr>
          <t>Introduzca un codigo UNSPSC</t>
        </r>
      </text>
    </comment>
    <comment ref="B3100" authorId="3" shapeId="0" xr:uid="{2B1D6040-9E32-4E84-BA9B-DCCCEA8209E3}">
      <text>
        <r>
          <rPr>
            <sz val="11"/>
            <color theme="1"/>
            <rFont val="Calibri"/>
            <family val="2"/>
            <scheme val="minor"/>
          </rPr>
          <t>Descripción calculada automáticamente a partir de código del artículo</t>
        </r>
      </text>
    </comment>
    <comment ref="C3100" authorId="3" shapeId="0" xr:uid="{B94CE161-D3A8-48E6-8D57-158E8EAD26D4}">
      <text>
        <r>
          <rPr>
            <sz val="11"/>
            <color theme="1"/>
            <rFont val="Calibri"/>
            <family val="2"/>
            <scheme val="minor"/>
          </rPr>
          <t>Seleccione un valor de la lista</t>
        </r>
      </text>
    </comment>
    <comment ref="D3100" authorId="3" shapeId="0" xr:uid="{EFBF0B64-8EE5-4C08-A9CC-B72E1ABE73DD}">
      <text>
        <r>
          <rPr>
            <sz val="11"/>
            <color theme="1"/>
            <rFont val="Calibri"/>
            <family val="2"/>
            <scheme val="minor"/>
          </rPr>
          <t>Introduzca un número con dos decimales como máximo. Debe ser igual o mayor a la "Cantidad Real Consumida"</t>
        </r>
      </text>
    </comment>
    <comment ref="E3100" authorId="3" shapeId="0" xr:uid="{154D2CEF-DCA3-4814-A8FB-C094094321A9}">
      <text>
        <r>
          <rPr>
            <sz val="11"/>
            <color theme="1"/>
            <rFont val="Calibri"/>
            <family val="2"/>
            <scheme val="minor"/>
          </rPr>
          <t>Introduzca un número con dos decimales como máximo</t>
        </r>
      </text>
    </comment>
    <comment ref="F3100" authorId="3" shapeId="0" xr:uid="{51C422B9-5F11-44A5-B325-C8297F2EF3DD}">
      <text>
        <r>
          <rPr>
            <sz val="11"/>
            <color theme="1"/>
            <rFont val="Calibri"/>
            <family val="2"/>
            <scheme val="minor"/>
          </rPr>
          <t>Monto calculado automáticamente por el sistema</t>
        </r>
      </text>
    </comment>
    <comment ref="A3105" authorId="3" shapeId="0" xr:uid="{EE5AFDE6-6E3E-421E-9773-9C4E85135AA6}">
      <text>
        <r>
          <rPr>
            <sz val="11"/>
            <color theme="1"/>
            <rFont val="Calibri"/>
            <family val="2"/>
            <scheme val="minor"/>
          </rPr>
          <t>Introducir un texto con el nombre o referencia de la contratación</t>
        </r>
      </text>
    </comment>
    <comment ref="B3105" authorId="3" shapeId="0" xr:uid="{F89244A7-6101-4D7D-B962-3DF13C3D6F65}">
      <text>
        <r>
          <rPr>
            <sz val="11"/>
            <color theme="1"/>
            <rFont val="Calibri"/>
            <family val="2"/>
            <scheme val="minor"/>
          </rPr>
          <t>Introduzca un texto con la finalidad de la contratación</t>
        </r>
      </text>
    </comment>
    <comment ref="C3105" authorId="3" shapeId="0" xr:uid="{3B0E02F0-EC4A-4793-9914-D0BA7936F259}">
      <text>
        <r>
          <rPr>
            <sz val="11"/>
            <color theme="1"/>
            <rFont val="Calibri"/>
            <family val="2"/>
            <scheme val="minor"/>
          </rPr>
          <t>Seleccionar un valor del listado</t>
        </r>
      </text>
    </comment>
    <comment ref="D3105" authorId="3" shapeId="0" xr:uid="{B15D5B6B-F1F6-41E3-BC9E-A75497C795B3}">
      <text>
        <r>
          <rPr>
            <sz val="11"/>
            <color theme="1"/>
            <rFont val="Calibri"/>
            <family val="2"/>
            <scheme val="minor"/>
          </rPr>
          <t>Seleccione el tipo de procedimiento</t>
        </r>
      </text>
    </comment>
    <comment ref="E3105" authorId="3" shapeId="0" xr:uid="{4F27FFA3-F733-4BFD-920F-59DB036A2C78}">
      <text>
        <r>
          <rPr>
            <sz val="11"/>
            <color theme="1"/>
            <rFont val="Calibri"/>
            <family val="2"/>
            <scheme val="minor"/>
          </rPr>
          <t>Seleccione un valor de la lista</t>
        </r>
      </text>
    </comment>
    <comment ref="F3105" authorId="3" shapeId="0" xr:uid="{4072101C-2A65-4B65-B933-9F406F69E5F5}">
      <text>
        <r>
          <rPr>
            <sz val="11"/>
            <color theme="1"/>
            <rFont val="Calibri"/>
            <family val="2"/>
            <scheme val="minor"/>
          </rPr>
          <t>Introduzca el código SNIP</t>
        </r>
      </text>
    </comment>
    <comment ref="C3106" authorId="3" shapeId="0" xr:uid="{4C3AF44C-8526-47D8-BE30-1D407B3701AD}">
      <text>
        <r>
          <rPr>
            <sz val="11"/>
            <color theme="1"/>
            <rFont val="Calibri"/>
            <family val="2"/>
            <scheme val="minor"/>
          </rPr>
          <t>Introduzca la fecha de inicio del proceso, en formato dd-mm-aaaa</t>
        </r>
      </text>
    </comment>
    <comment ref="F3106" authorId="3" shapeId="0" xr:uid="{6B6A1A08-6737-443E-91AC-9DB149D191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7" authorId="3" shapeId="0" xr:uid="{347F2BF7-3378-4C78-8EDF-C258B5389872}">
      <text/>
    </comment>
    <comment ref="C3108" authorId="3" shapeId="0" xr:uid="{2096D55C-0B34-4282-AFB3-59EAC659B474}">
      <text>
        <r>
          <rPr>
            <sz val="11"/>
            <color theme="1"/>
            <rFont val="Calibri"/>
            <family val="2"/>
            <scheme val="minor"/>
          </rPr>
          <t>Introduzca la fecha prevista de adjudicación, en formato dd-mm-aaaa</t>
        </r>
      </text>
    </comment>
    <comment ref="F3108" authorId="3" shapeId="0" xr:uid="{85BB0884-245A-474C-8E26-620DE5FCB93D}">
      <text/>
    </comment>
    <comment ref="F3109" authorId="3" shapeId="0" xr:uid="{90464311-EEE5-40C6-8337-35CF2BD9E38B}">
      <text/>
    </comment>
    <comment ref="A3111" authorId="3" shapeId="0" xr:uid="{394CDA8E-9D07-4D39-9266-1459ABB3586E}">
      <text>
        <r>
          <rPr>
            <sz val="11"/>
            <color theme="1"/>
            <rFont val="Calibri"/>
            <family val="2"/>
            <scheme val="minor"/>
          </rPr>
          <t>Introduzca un codigo UNSPSC</t>
        </r>
      </text>
    </comment>
    <comment ref="B3111" authorId="3" shapeId="0" xr:uid="{7B317E6C-EF68-4729-8391-1DB24E1305BD}">
      <text>
        <r>
          <rPr>
            <sz val="11"/>
            <color theme="1"/>
            <rFont val="Calibri"/>
            <family val="2"/>
            <scheme val="minor"/>
          </rPr>
          <t>Descripción calculada automáticamente a partir de código del artículo</t>
        </r>
      </text>
    </comment>
    <comment ref="C3111" authorId="3" shapeId="0" xr:uid="{5EF64DF5-028D-4227-8FD9-7AEDAF16BAD2}">
      <text>
        <r>
          <rPr>
            <sz val="11"/>
            <color theme="1"/>
            <rFont val="Calibri"/>
            <family val="2"/>
            <scheme val="minor"/>
          </rPr>
          <t>Seleccione un valor de la lista</t>
        </r>
      </text>
    </comment>
    <comment ref="D3111" authorId="3" shapeId="0" xr:uid="{37C05853-C101-4E91-B25C-A2FD5C6319B9}">
      <text>
        <r>
          <rPr>
            <sz val="11"/>
            <color theme="1"/>
            <rFont val="Calibri"/>
            <family val="2"/>
            <scheme val="minor"/>
          </rPr>
          <t>Introduzca un número con dos decimales como máximo. Debe ser igual o mayor a la "Cantidad Real Consumida"</t>
        </r>
      </text>
    </comment>
    <comment ref="E3111" authorId="3" shapeId="0" xr:uid="{417AC82E-DCA1-4783-B03C-2974FD64DAAA}">
      <text>
        <r>
          <rPr>
            <sz val="11"/>
            <color theme="1"/>
            <rFont val="Calibri"/>
            <family val="2"/>
            <scheme val="minor"/>
          </rPr>
          <t>Introduzca un número con dos decimales como máximo</t>
        </r>
      </text>
    </comment>
    <comment ref="F3111" authorId="3" shapeId="0" xr:uid="{057A69D9-02E3-4033-88E6-102269FE8FBD}">
      <text>
        <r>
          <rPr>
            <sz val="11"/>
            <color theme="1"/>
            <rFont val="Calibri"/>
            <family val="2"/>
            <scheme val="minor"/>
          </rPr>
          <t>Monto calculado automáticamente por el sistema</t>
        </r>
      </text>
    </comment>
    <comment ref="A3116" authorId="3" shapeId="0" xr:uid="{B2E9CD07-570C-4B60-A09E-B47F9BDCADC6}">
      <text>
        <r>
          <rPr>
            <sz val="11"/>
            <color theme="1"/>
            <rFont val="Calibri"/>
            <family val="2"/>
            <scheme val="minor"/>
          </rPr>
          <t>Introducir un texto con el nombre o referencia de la contratación</t>
        </r>
      </text>
    </comment>
    <comment ref="B3116" authorId="3" shapeId="0" xr:uid="{72E9A3C2-CFEF-40E3-BB83-2324F63EF324}">
      <text>
        <r>
          <rPr>
            <sz val="11"/>
            <color theme="1"/>
            <rFont val="Calibri"/>
            <family val="2"/>
            <scheme val="minor"/>
          </rPr>
          <t>Introduzca un texto con la finalidad de la contratación</t>
        </r>
      </text>
    </comment>
    <comment ref="C3116" authorId="3" shapeId="0" xr:uid="{AC11AD47-53C5-48F6-B12D-389CEA40EC9C}">
      <text>
        <r>
          <rPr>
            <sz val="11"/>
            <color theme="1"/>
            <rFont val="Calibri"/>
            <family val="2"/>
            <scheme val="minor"/>
          </rPr>
          <t>Seleccionar un valor del listado</t>
        </r>
      </text>
    </comment>
    <comment ref="D3116" authorId="3" shapeId="0" xr:uid="{CF025DA8-A8F6-4D2F-A804-2F4E1894F403}">
      <text>
        <r>
          <rPr>
            <sz val="11"/>
            <color theme="1"/>
            <rFont val="Calibri"/>
            <family val="2"/>
            <scheme val="minor"/>
          </rPr>
          <t>Seleccione el tipo de procedimiento</t>
        </r>
      </text>
    </comment>
    <comment ref="E3116" authorId="3" shapeId="0" xr:uid="{1640D8CE-7026-4E60-B757-D614FEF78600}">
      <text>
        <r>
          <rPr>
            <sz val="11"/>
            <color theme="1"/>
            <rFont val="Calibri"/>
            <family val="2"/>
            <scheme val="minor"/>
          </rPr>
          <t>Seleccione un valor de la lista</t>
        </r>
      </text>
    </comment>
    <comment ref="F3116" authorId="3" shapeId="0" xr:uid="{E2F1497C-3974-47DB-9265-FD843BF5BCF3}">
      <text>
        <r>
          <rPr>
            <sz val="11"/>
            <color theme="1"/>
            <rFont val="Calibri"/>
            <family val="2"/>
            <scheme val="minor"/>
          </rPr>
          <t>Introduzca el código SNIP</t>
        </r>
      </text>
    </comment>
    <comment ref="C3117" authorId="3" shapeId="0" xr:uid="{C3068B74-FF26-4A49-B96C-DD5A399E2103}">
      <text>
        <r>
          <rPr>
            <sz val="11"/>
            <color theme="1"/>
            <rFont val="Calibri"/>
            <family val="2"/>
            <scheme val="minor"/>
          </rPr>
          <t>Introduzca la fecha de inicio del proceso, en formato dd-mm-aaaa</t>
        </r>
      </text>
    </comment>
    <comment ref="F3117" authorId="3" shapeId="0" xr:uid="{AB8ED9F0-E5F4-45A3-A171-8716CF6C45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8" authorId="3" shapeId="0" xr:uid="{F9E21E70-A3FC-45D7-908F-FA5D368F5FA6}">
      <text/>
    </comment>
    <comment ref="C3119" authorId="3" shapeId="0" xr:uid="{8C220454-B15C-462E-9E7C-FE8C711C2EB6}">
      <text>
        <r>
          <rPr>
            <sz val="11"/>
            <color theme="1"/>
            <rFont val="Calibri"/>
            <family val="2"/>
            <scheme val="minor"/>
          </rPr>
          <t>Introduzca la fecha prevista de adjudicación, en formato dd-mm-aaaa</t>
        </r>
      </text>
    </comment>
    <comment ref="F3119" authorId="3" shapeId="0" xr:uid="{27A9089E-F28D-454E-AEB2-F45B2C037107}">
      <text/>
    </comment>
    <comment ref="F3120" authorId="3" shapeId="0" xr:uid="{D25457E8-E705-4455-9B18-78DFC7E25BD1}">
      <text/>
    </comment>
    <comment ref="A3122" authorId="3" shapeId="0" xr:uid="{10588939-AB70-46FA-B61C-D3255F1E0DFD}">
      <text>
        <r>
          <rPr>
            <sz val="11"/>
            <color theme="1"/>
            <rFont val="Calibri"/>
            <family val="2"/>
            <scheme val="minor"/>
          </rPr>
          <t>Introduzca un codigo UNSPSC</t>
        </r>
      </text>
    </comment>
    <comment ref="B3122" authorId="3" shapeId="0" xr:uid="{C2B3818A-F60B-46FF-88E1-536D0C874204}">
      <text>
        <r>
          <rPr>
            <sz val="11"/>
            <color theme="1"/>
            <rFont val="Calibri"/>
            <family val="2"/>
            <scheme val="minor"/>
          </rPr>
          <t>Descripción calculada automáticamente a partir de código del artículo</t>
        </r>
      </text>
    </comment>
    <comment ref="C3122" authorId="3" shapeId="0" xr:uid="{7F7A5E03-C55C-49B0-96CD-67C62B9B70DF}">
      <text>
        <r>
          <rPr>
            <sz val="11"/>
            <color theme="1"/>
            <rFont val="Calibri"/>
            <family val="2"/>
            <scheme val="minor"/>
          </rPr>
          <t>Seleccione un valor de la lista</t>
        </r>
      </text>
    </comment>
    <comment ref="D3122" authorId="3" shapeId="0" xr:uid="{29DA8CFF-CDD0-484D-9EE1-EEA0BA228F44}">
      <text>
        <r>
          <rPr>
            <sz val="11"/>
            <color theme="1"/>
            <rFont val="Calibri"/>
            <family val="2"/>
            <scheme val="minor"/>
          </rPr>
          <t>Introduzca un número con dos decimales como máximo. Debe ser igual o mayor a la "Cantidad Real Consumida"</t>
        </r>
      </text>
    </comment>
    <comment ref="E3122" authorId="3" shapeId="0" xr:uid="{9B24965B-EF91-47DB-8052-CF972B2F4FCC}">
      <text>
        <r>
          <rPr>
            <sz val="11"/>
            <color theme="1"/>
            <rFont val="Calibri"/>
            <family val="2"/>
            <scheme val="minor"/>
          </rPr>
          <t>Introduzca un número con dos decimales como máximo</t>
        </r>
      </text>
    </comment>
    <comment ref="F3122" authorId="3" shapeId="0" xr:uid="{1BAD749E-9063-497F-92EB-7D95BB062F33}">
      <text>
        <r>
          <rPr>
            <sz val="11"/>
            <color theme="1"/>
            <rFont val="Calibri"/>
            <family val="2"/>
            <scheme val="minor"/>
          </rPr>
          <t>Monto calculado automáticamente por el sistema</t>
        </r>
      </text>
    </comment>
    <comment ref="A3127" authorId="3" shapeId="0" xr:uid="{56CF6D25-3119-4682-81ED-FB280161AF07}">
      <text>
        <r>
          <rPr>
            <sz val="11"/>
            <color theme="1"/>
            <rFont val="Calibri"/>
            <family val="2"/>
            <scheme val="minor"/>
          </rPr>
          <t>Introducir un texto con el nombre o referencia de la contratación</t>
        </r>
      </text>
    </comment>
    <comment ref="B3127" authorId="3" shapeId="0" xr:uid="{0A7949FF-5B3F-4F99-B7FF-1218640A78DD}">
      <text>
        <r>
          <rPr>
            <sz val="11"/>
            <color theme="1"/>
            <rFont val="Calibri"/>
            <family val="2"/>
            <scheme val="minor"/>
          </rPr>
          <t>Introduzca un texto con la finalidad de la contratación</t>
        </r>
      </text>
    </comment>
    <comment ref="C3127" authorId="3" shapeId="0" xr:uid="{B0480062-2655-4688-9CD0-394832AE860A}">
      <text>
        <r>
          <rPr>
            <sz val="11"/>
            <color theme="1"/>
            <rFont val="Calibri"/>
            <family val="2"/>
            <scheme val="minor"/>
          </rPr>
          <t>Seleccionar un valor del listado</t>
        </r>
      </text>
    </comment>
    <comment ref="D3127" authorId="3" shapeId="0" xr:uid="{BB2E2A00-0949-40AB-AE27-85D1F2B8F810}">
      <text>
        <r>
          <rPr>
            <sz val="11"/>
            <color theme="1"/>
            <rFont val="Calibri"/>
            <family val="2"/>
            <scheme val="minor"/>
          </rPr>
          <t>Seleccione el tipo de procedimiento</t>
        </r>
      </text>
    </comment>
    <comment ref="E3127" authorId="3" shapeId="0" xr:uid="{B1BCC96D-0BE5-4951-812E-270DE20AD43E}">
      <text>
        <r>
          <rPr>
            <sz val="11"/>
            <color theme="1"/>
            <rFont val="Calibri"/>
            <family val="2"/>
            <scheme val="minor"/>
          </rPr>
          <t>Seleccione un valor de la lista</t>
        </r>
      </text>
    </comment>
    <comment ref="F3127" authorId="3" shapeId="0" xr:uid="{C7AF2046-901F-4F30-A471-1EFC6A4FF846}">
      <text>
        <r>
          <rPr>
            <sz val="11"/>
            <color theme="1"/>
            <rFont val="Calibri"/>
            <family val="2"/>
            <scheme val="minor"/>
          </rPr>
          <t>Introduzca el código SNIP</t>
        </r>
      </text>
    </comment>
    <comment ref="C3128" authorId="3" shapeId="0" xr:uid="{8249482B-2C36-4B9D-A8E9-D807B5EB91DB}">
      <text>
        <r>
          <rPr>
            <sz val="11"/>
            <color theme="1"/>
            <rFont val="Calibri"/>
            <family val="2"/>
            <scheme val="minor"/>
          </rPr>
          <t>Introduzca la fecha de inicio del proceso, en formato dd-mm-aaaa</t>
        </r>
      </text>
    </comment>
    <comment ref="F3128" authorId="3" shapeId="0" xr:uid="{16BA817A-BDD6-4BD4-857B-65D2E963B3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9" authorId="3" shapeId="0" xr:uid="{1ACCB536-0DF2-4077-92F5-4C6E2830D274}">
      <text/>
    </comment>
    <comment ref="C3130" authorId="3" shapeId="0" xr:uid="{0B5CF0B4-7FFB-4539-AA77-FCA3E3B6A798}">
      <text>
        <r>
          <rPr>
            <sz val="11"/>
            <color theme="1"/>
            <rFont val="Calibri"/>
            <family val="2"/>
            <scheme val="minor"/>
          </rPr>
          <t>Introduzca la fecha prevista de adjudicación, en formato dd-mm-aaaa</t>
        </r>
      </text>
    </comment>
    <comment ref="F3130" authorId="3" shapeId="0" xr:uid="{AAD9804C-9FC0-4B41-8804-EB0DF1F35FBE}">
      <text/>
    </comment>
    <comment ref="F3131" authorId="3" shapeId="0" xr:uid="{532D9375-F8EF-4A99-8F02-2AAB0605A832}">
      <text/>
    </comment>
    <comment ref="A3133" authorId="3" shapeId="0" xr:uid="{5AD3C4F2-67D8-4DD9-855D-FC29CCE7241F}">
      <text>
        <r>
          <rPr>
            <sz val="11"/>
            <color theme="1"/>
            <rFont val="Calibri"/>
            <family val="2"/>
            <scheme val="minor"/>
          </rPr>
          <t>Introduzca un codigo UNSPSC</t>
        </r>
      </text>
    </comment>
    <comment ref="B3133" authorId="3" shapeId="0" xr:uid="{F633E7FE-9EFD-453A-863F-40A7BD65CA27}">
      <text>
        <r>
          <rPr>
            <sz val="11"/>
            <color theme="1"/>
            <rFont val="Calibri"/>
            <family val="2"/>
            <scheme val="minor"/>
          </rPr>
          <t>Descripción calculada automáticamente a partir de código del artículo</t>
        </r>
      </text>
    </comment>
    <comment ref="C3133" authorId="3" shapeId="0" xr:uid="{211845A7-4D22-4989-9985-D3549055A3E2}">
      <text>
        <r>
          <rPr>
            <sz val="11"/>
            <color theme="1"/>
            <rFont val="Calibri"/>
            <family val="2"/>
            <scheme val="minor"/>
          </rPr>
          <t>Seleccione un valor de la lista</t>
        </r>
      </text>
    </comment>
    <comment ref="D3133" authorId="3" shapeId="0" xr:uid="{978AE580-4821-4BAF-BCA7-CC1AE8C850B5}">
      <text>
        <r>
          <rPr>
            <sz val="11"/>
            <color theme="1"/>
            <rFont val="Calibri"/>
            <family val="2"/>
            <scheme val="minor"/>
          </rPr>
          <t>Introduzca un número con dos decimales como máximo. Debe ser igual o mayor a la "Cantidad Real Consumida"</t>
        </r>
      </text>
    </comment>
    <comment ref="E3133" authorId="3" shapeId="0" xr:uid="{9C9F8BA7-F9C2-400D-AF6D-D9C46C162C53}">
      <text>
        <r>
          <rPr>
            <sz val="11"/>
            <color theme="1"/>
            <rFont val="Calibri"/>
            <family val="2"/>
            <scheme val="minor"/>
          </rPr>
          <t>Introduzca un número con dos decimales como máximo</t>
        </r>
      </text>
    </comment>
    <comment ref="F3133" authorId="3" shapeId="0" xr:uid="{7B8F9B11-9DCF-4D39-A461-EB4C2ACC97DE}">
      <text>
        <r>
          <rPr>
            <sz val="11"/>
            <color theme="1"/>
            <rFont val="Calibri"/>
            <family val="2"/>
            <scheme val="minor"/>
          </rPr>
          <t>Monto calculado automáticamente por el sistema</t>
        </r>
      </text>
    </comment>
    <comment ref="A3138" authorId="3" shapeId="0" xr:uid="{8E0B2AA4-C0FE-4A02-9750-3F047E4CA575}">
      <text>
        <r>
          <rPr>
            <sz val="11"/>
            <color theme="1"/>
            <rFont val="Calibri"/>
            <family val="2"/>
            <scheme val="minor"/>
          </rPr>
          <t>Introducir un texto con el nombre o referencia de la contratación</t>
        </r>
      </text>
    </comment>
    <comment ref="B3138" authorId="3" shapeId="0" xr:uid="{04966234-54A2-450F-9B8B-E0A60B5867AB}">
      <text>
        <r>
          <rPr>
            <sz val="11"/>
            <color theme="1"/>
            <rFont val="Calibri"/>
            <family val="2"/>
            <scheme val="minor"/>
          </rPr>
          <t>Introduzca un texto con la finalidad de la contratación</t>
        </r>
      </text>
    </comment>
    <comment ref="C3138" authorId="3" shapeId="0" xr:uid="{7F61AE06-EB34-4B04-9433-0635CD90B636}">
      <text>
        <r>
          <rPr>
            <sz val="11"/>
            <color theme="1"/>
            <rFont val="Calibri"/>
            <family val="2"/>
            <scheme val="minor"/>
          </rPr>
          <t>Seleccionar un valor del listado</t>
        </r>
      </text>
    </comment>
    <comment ref="D3138" authorId="3" shapeId="0" xr:uid="{60329B33-5C7C-4A9D-BBF0-B962FC2D4736}">
      <text>
        <r>
          <rPr>
            <sz val="11"/>
            <color theme="1"/>
            <rFont val="Calibri"/>
            <family val="2"/>
            <scheme val="minor"/>
          </rPr>
          <t>Seleccione el tipo de procedimiento</t>
        </r>
      </text>
    </comment>
    <comment ref="E3138" authorId="3" shapeId="0" xr:uid="{8EC86E0B-E6BC-4F93-B3D4-B8E4A3EFBF54}">
      <text>
        <r>
          <rPr>
            <sz val="11"/>
            <color theme="1"/>
            <rFont val="Calibri"/>
            <family val="2"/>
            <scheme val="minor"/>
          </rPr>
          <t>Seleccione un valor de la lista</t>
        </r>
      </text>
    </comment>
    <comment ref="F3138" authorId="3" shapeId="0" xr:uid="{786B4649-BC00-4169-813A-84D307AB36F7}">
      <text>
        <r>
          <rPr>
            <sz val="11"/>
            <color theme="1"/>
            <rFont val="Calibri"/>
            <family val="2"/>
            <scheme val="minor"/>
          </rPr>
          <t>Introduzca el código SNIP</t>
        </r>
      </text>
    </comment>
    <comment ref="C3139" authorId="3" shapeId="0" xr:uid="{A283AC81-2DE4-4DCD-BAB8-C7C1B96C84DD}">
      <text>
        <r>
          <rPr>
            <sz val="11"/>
            <color theme="1"/>
            <rFont val="Calibri"/>
            <family val="2"/>
            <scheme val="minor"/>
          </rPr>
          <t>Introduzca la fecha de inicio del proceso, en formato dd-mm-aaaa</t>
        </r>
      </text>
    </comment>
    <comment ref="F3139" authorId="3" shapeId="0" xr:uid="{FB9D1FD8-946B-4BCF-83B2-5E948D6EFB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0" authorId="3" shapeId="0" xr:uid="{0A58BDC2-4CDE-4069-BDEA-A5B629373182}">
      <text/>
    </comment>
    <comment ref="C3141" authorId="3" shapeId="0" xr:uid="{EE63C92F-3E3C-4B14-99E2-311C2817C6E3}">
      <text>
        <r>
          <rPr>
            <sz val="11"/>
            <color theme="1"/>
            <rFont val="Calibri"/>
            <family val="2"/>
            <scheme val="minor"/>
          </rPr>
          <t>Introduzca la fecha prevista de adjudicación, en formato dd-mm-aaaa</t>
        </r>
      </text>
    </comment>
    <comment ref="F3141" authorId="3" shapeId="0" xr:uid="{4903910A-59AB-4A24-BC01-BA9F1AC0703D}">
      <text/>
    </comment>
    <comment ref="F3142" authorId="3" shapeId="0" xr:uid="{B0836B3D-851C-45D5-8580-22A5FE65B690}">
      <text/>
    </comment>
    <comment ref="A3144" authorId="3" shapeId="0" xr:uid="{6D500878-7C8B-4E94-AC8C-9EF77C559FB0}">
      <text>
        <r>
          <rPr>
            <sz val="11"/>
            <color theme="1"/>
            <rFont val="Calibri"/>
            <family val="2"/>
            <scheme val="minor"/>
          </rPr>
          <t>Introduzca un codigo UNSPSC</t>
        </r>
      </text>
    </comment>
    <comment ref="B3144" authorId="3" shapeId="0" xr:uid="{E6EB2DA7-4519-4ECF-A7F5-B04D541A1E69}">
      <text>
        <r>
          <rPr>
            <sz val="11"/>
            <color theme="1"/>
            <rFont val="Calibri"/>
            <family val="2"/>
            <scheme val="minor"/>
          </rPr>
          <t>Descripción calculada automáticamente a partir de código del artículo</t>
        </r>
      </text>
    </comment>
    <comment ref="C3144" authorId="3" shapeId="0" xr:uid="{AB948E39-3BE3-4D5A-A92C-B2686AAA5121}">
      <text>
        <r>
          <rPr>
            <sz val="11"/>
            <color theme="1"/>
            <rFont val="Calibri"/>
            <family val="2"/>
            <scheme val="minor"/>
          </rPr>
          <t>Seleccione un valor de la lista</t>
        </r>
      </text>
    </comment>
    <comment ref="D3144" authorId="3" shapeId="0" xr:uid="{E0D4A783-5A36-4E33-9A47-4F81EA7ED2E6}">
      <text>
        <r>
          <rPr>
            <sz val="11"/>
            <color theme="1"/>
            <rFont val="Calibri"/>
            <family val="2"/>
            <scheme val="minor"/>
          </rPr>
          <t>Introduzca un número con dos decimales como máximo. Debe ser igual o mayor a la "Cantidad Real Consumida"</t>
        </r>
      </text>
    </comment>
    <comment ref="E3144" authorId="3" shapeId="0" xr:uid="{AB860F06-BDBC-488A-8D85-19253541B1E6}">
      <text>
        <r>
          <rPr>
            <sz val="11"/>
            <color theme="1"/>
            <rFont val="Calibri"/>
            <family val="2"/>
            <scheme val="minor"/>
          </rPr>
          <t>Introduzca un número con dos decimales como máximo</t>
        </r>
      </text>
    </comment>
    <comment ref="F3144" authorId="3" shapeId="0" xr:uid="{1F9A0165-3458-4620-80AA-7A775EAF0CCB}">
      <text>
        <r>
          <rPr>
            <sz val="11"/>
            <color theme="1"/>
            <rFont val="Calibri"/>
            <family val="2"/>
            <scheme val="minor"/>
          </rPr>
          <t>Monto calculado automáticamente por el sistema</t>
        </r>
      </text>
    </comment>
    <comment ref="A3149" authorId="3" shapeId="0" xr:uid="{4ECB57FB-E25C-4DD5-9F89-E245631BE197}">
      <text>
        <r>
          <rPr>
            <sz val="11"/>
            <color theme="1"/>
            <rFont val="Calibri"/>
            <family val="2"/>
            <scheme val="minor"/>
          </rPr>
          <t>Introducir un texto con el nombre o referencia de la contratación</t>
        </r>
      </text>
    </comment>
    <comment ref="B3149" authorId="3" shapeId="0" xr:uid="{604E68D4-7BF5-494C-BA2D-A006F5665376}">
      <text>
        <r>
          <rPr>
            <sz val="11"/>
            <color theme="1"/>
            <rFont val="Calibri"/>
            <family val="2"/>
            <scheme val="minor"/>
          </rPr>
          <t>Introduzca un texto con la finalidad de la contratación</t>
        </r>
      </text>
    </comment>
    <comment ref="C3149" authorId="3" shapeId="0" xr:uid="{928DB594-E58B-4DF0-B7EB-A4E8CE322982}">
      <text>
        <r>
          <rPr>
            <sz val="11"/>
            <color theme="1"/>
            <rFont val="Calibri"/>
            <family val="2"/>
            <scheme val="minor"/>
          </rPr>
          <t>Seleccionar un valor del listado</t>
        </r>
      </text>
    </comment>
    <comment ref="D3149" authorId="3" shapeId="0" xr:uid="{DEA31AD6-96CC-4C43-9FC6-F34D4805B7C6}">
      <text>
        <r>
          <rPr>
            <sz val="11"/>
            <color theme="1"/>
            <rFont val="Calibri"/>
            <family val="2"/>
            <scheme val="minor"/>
          </rPr>
          <t>Seleccione el tipo de procedimiento</t>
        </r>
      </text>
    </comment>
    <comment ref="E3149" authorId="3" shapeId="0" xr:uid="{C9903E5B-B29E-494F-8B3D-A42CFAD30D54}">
      <text>
        <r>
          <rPr>
            <sz val="11"/>
            <color theme="1"/>
            <rFont val="Calibri"/>
            <family val="2"/>
            <scheme val="minor"/>
          </rPr>
          <t>Seleccione un valor de la lista</t>
        </r>
      </text>
    </comment>
    <comment ref="F3149" authorId="3" shapeId="0" xr:uid="{7882DC1D-F5FF-4AA8-97C8-E8B2F53CEA24}">
      <text>
        <r>
          <rPr>
            <sz val="11"/>
            <color theme="1"/>
            <rFont val="Calibri"/>
            <family val="2"/>
            <scheme val="minor"/>
          </rPr>
          <t>Introduzca el código SNIP</t>
        </r>
      </text>
    </comment>
    <comment ref="C3150" authorId="3" shapeId="0" xr:uid="{3438477C-47D1-477A-9C58-1F9A2EFB903C}">
      <text>
        <r>
          <rPr>
            <sz val="11"/>
            <color theme="1"/>
            <rFont val="Calibri"/>
            <family val="2"/>
            <scheme val="minor"/>
          </rPr>
          <t>Introduzca la fecha de inicio del proceso, en formato dd-mm-aaaa</t>
        </r>
      </text>
    </comment>
    <comment ref="F3150" authorId="3" shapeId="0" xr:uid="{63862BB5-FE93-49D4-A5F2-07476482BD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1" authorId="3" shapeId="0" xr:uid="{E6B33814-E74B-4547-BA8C-C0AA74059C13}">
      <text/>
    </comment>
    <comment ref="C3152" authorId="3" shapeId="0" xr:uid="{8DB00673-D73B-495F-B0C7-93109828F8B8}">
      <text>
        <r>
          <rPr>
            <sz val="11"/>
            <color theme="1"/>
            <rFont val="Calibri"/>
            <family val="2"/>
            <scheme val="minor"/>
          </rPr>
          <t>Introduzca la fecha prevista de adjudicación, en formato dd-mm-aaaa</t>
        </r>
      </text>
    </comment>
    <comment ref="F3152" authorId="3" shapeId="0" xr:uid="{7C59F4F3-1ED8-46D3-A413-60B24F8EF6D4}">
      <text/>
    </comment>
    <comment ref="F3153" authorId="3" shapeId="0" xr:uid="{DD3621D4-991D-44EF-A983-78570C3E56C5}">
      <text/>
    </comment>
    <comment ref="A3155" authorId="3" shapeId="0" xr:uid="{278F37A5-D059-43F6-8906-B30F59245167}">
      <text>
        <r>
          <rPr>
            <sz val="11"/>
            <color theme="1"/>
            <rFont val="Calibri"/>
            <family val="2"/>
            <scheme val="minor"/>
          </rPr>
          <t>Introduzca un codigo UNSPSC</t>
        </r>
      </text>
    </comment>
    <comment ref="B3155" authorId="3" shapeId="0" xr:uid="{57996E41-D8F7-41F9-82B7-A4758A7A50FA}">
      <text>
        <r>
          <rPr>
            <sz val="11"/>
            <color theme="1"/>
            <rFont val="Calibri"/>
            <family val="2"/>
            <scheme val="minor"/>
          </rPr>
          <t>Descripción calculada automáticamente a partir de código del artículo</t>
        </r>
      </text>
    </comment>
    <comment ref="C3155" authorId="3" shapeId="0" xr:uid="{F81722A9-B667-4E2D-8343-4F6FACA0B654}">
      <text>
        <r>
          <rPr>
            <sz val="11"/>
            <color theme="1"/>
            <rFont val="Calibri"/>
            <family val="2"/>
            <scheme val="minor"/>
          </rPr>
          <t>Seleccione un valor de la lista</t>
        </r>
      </text>
    </comment>
    <comment ref="D3155" authorId="3" shapeId="0" xr:uid="{04A45A69-D67E-4660-8FAB-4340FB0174FC}">
      <text>
        <r>
          <rPr>
            <sz val="11"/>
            <color theme="1"/>
            <rFont val="Calibri"/>
            <family val="2"/>
            <scheme val="minor"/>
          </rPr>
          <t>Introduzca un número con dos decimales como máximo. Debe ser igual o mayor a la "Cantidad Real Consumida"</t>
        </r>
      </text>
    </comment>
    <comment ref="E3155" authorId="3" shapeId="0" xr:uid="{C5321F07-DE97-42FC-9A85-78FAAF5EF636}">
      <text>
        <r>
          <rPr>
            <sz val="11"/>
            <color theme="1"/>
            <rFont val="Calibri"/>
            <family val="2"/>
            <scheme val="minor"/>
          </rPr>
          <t>Introduzca un número con dos decimales como máximo</t>
        </r>
      </text>
    </comment>
    <comment ref="F3155" authorId="3" shapeId="0" xr:uid="{4C137D16-FEF8-408E-B21D-03A86F8CF8E0}">
      <text>
        <r>
          <rPr>
            <sz val="11"/>
            <color theme="1"/>
            <rFont val="Calibri"/>
            <family val="2"/>
            <scheme val="minor"/>
          </rPr>
          <t>Monto calculado automáticamente por el sistema</t>
        </r>
      </text>
    </comment>
    <comment ref="A3160" authorId="3" shapeId="0" xr:uid="{AEC2E5F3-7E54-4D43-BDDD-E12E92204ABF}">
      <text>
        <r>
          <rPr>
            <sz val="11"/>
            <color theme="1"/>
            <rFont val="Calibri"/>
            <family val="2"/>
            <scheme val="minor"/>
          </rPr>
          <t>Introducir un texto con el nombre o referencia de la contratación</t>
        </r>
      </text>
    </comment>
    <comment ref="B3160" authorId="3" shapeId="0" xr:uid="{A2789D94-37E5-457D-87ED-947D355BDF48}">
      <text>
        <r>
          <rPr>
            <sz val="11"/>
            <color theme="1"/>
            <rFont val="Calibri"/>
            <family val="2"/>
            <scheme val="minor"/>
          </rPr>
          <t>Introduzca un texto con la finalidad de la contratación</t>
        </r>
      </text>
    </comment>
    <comment ref="C3160" authorId="3" shapeId="0" xr:uid="{C77BE4DD-6631-4206-A7D5-C5E2932DE11A}">
      <text>
        <r>
          <rPr>
            <sz val="11"/>
            <color theme="1"/>
            <rFont val="Calibri"/>
            <family val="2"/>
            <scheme val="minor"/>
          </rPr>
          <t>Seleccionar un valor del listado</t>
        </r>
      </text>
    </comment>
    <comment ref="D3160" authorId="3" shapeId="0" xr:uid="{67774AD8-462D-4706-9F9C-5E1E43405BAD}">
      <text>
        <r>
          <rPr>
            <sz val="11"/>
            <color theme="1"/>
            <rFont val="Calibri"/>
            <family val="2"/>
            <scheme val="minor"/>
          </rPr>
          <t>Seleccione el tipo de procedimiento</t>
        </r>
      </text>
    </comment>
    <comment ref="E3160" authorId="3" shapeId="0" xr:uid="{D21D9648-F82E-4B26-8D0E-672F6609A305}">
      <text>
        <r>
          <rPr>
            <sz val="11"/>
            <color theme="1"/>
            <rFont val="Calibri"/>
            <family val="2"/>
            <scheme val="minor"/>
          </rPr>
          <t>Seleccione un valor de la lista</t>
        </r>
      </text>
    </comment>
    <comment ref="F3160" authorId="3" shapeId="0" xr:uid="{450179DF-7833-45F0-869F-219246EFF844}">
      <text>
        <r>
          <rPr>
            <sz val="11"/>
            <color theme="1"/>
            <rFont val="Calibri"/>
            <family val="2"/>
            <scheme val="minor"/>
          </rPr>
          <t>Introduzca el código SNIP</t>
        </r>
      </text>
    </comment>
    <comment ref="C3161" authorId="3" shapeId="0" xr:uid="{02E44F70-2201-4DCE-B1D0-ACF75047A286}">
      <text>
        <r>
          <rPr>
            <sz val="11"/>
            <color theme="1"/>
            <rFont val="Calibri"/>
            <family val="2"/>
            <scheme val="minor"/>
          </rPr>
          <t>Introduzca la fecha de inicio del proceso, en formato dd-mm-aaaa</t>
        </r>
      </text>
    </comment>
    <comment ref="F3161" authorId="3" shapeId="0" xr:uid="{7467CB65-0766-454B-84BB-46D5834B43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2" authorId="3" shapeId="0" xr:uid="{C56F86CA-C33B-487D-9F80-9C5691033F2D}">
      <text/>
    </comment>
    <comment ref="C3163" authorId="3" shapeId="0" xr:uid="{A25D8CAD-5FC4-40E7-AF22-3AB0DFD6AEB5}">
      <text>
        <r>
          <rPr>
            <sz val="11"/>
            <color theme="1"/>
            <rFont val="Calibri"/>
            <family val="2"/>
            <scheme val="minor"/>
          </rPr>
          <t>Introduzca la fecha prevista de adjudicación, en formato dd-mm-aaaa</t>
        </r>
      </text>
    </comment>
    <comment ref="F3163" authorId="3" shapeId="0" xr:uid="{9FE7A14F-57D3-4F20-945B-D0309A7C3D17}">
      <text/>
    </comment>
    <comment ref="F3164" authorId="3" shapeId="0" xr:uid="{287F1A87-7EF9-4649-8228-AA35CD744ED5}">
      <text/>
    </comment>
    <comment ref="A3166" authorId="3" shapeId="0" xr:uid="{771CD621-4717-4AD9-AD42-78D06984E644}">
      <text>
        <r>
          <rPr>
            <sz val="11"/>
            <color theme="1"/>
            <rFont val="Calibri"/>
            <family val="2"/>
            <scheme val="minor"/>
          </rPr>
          <t>Introduzca un codigo UNSPSC</t>
        </r>
      </text>
    </comment>
    <comment ref="B3166" authorId="3" shapeId="0" xr:uid="{9D87A3E7-33D0-47D6-9191-F9A621E50AE9}">
      <text>
        <r>
          <rPr>
            <sz val="11"/>
            <color theme="1"/>
            <rFont val="Calibri"/>
            <family val="2"/>
            <scheme val="minor"/>
          </rPr>
          <t>Descripción calculada automáticamente a partir de código del artículo</t>
        </r>
      </text>
    </comment>
    <comment ref="C3166" authorId="3" shapeId="0" xr:uid="{C4F730CB-9A78-40F5-B003-B43429B254F9}">
      <text>
        <r>
          <rPr>
            <sz val="11"/>
            <color theme="1"/>
            <rFont val="Calibri"/>
            <family val="2"/>
            <scheme val="minor"/>
          </rPr>
          <t>Seleccione un valor de la lista</t>
        </r>
      </text>
    </comment>
    <comment ref="D3166" authorId="3" shapeId="0" xr:uid="{5317D0B8-1A65-4DF9-8A9A-FEF87329BBBC}">
      <text>
        <r>
          <rPr>
            <sz val="11"/>
            <color theme="1"/>
            <rFont val="Calibri"/>
            <family val="2"/>
            <scheme val="minor"/>
          </rPr>
          <t>Introduzca un número con dos decimales como máximo. Debe ser igual o mayor a la "Cantidad Real Consumida"</t>
        </r>
      </text>
    </comment>
    <comment ref="E3166" authorId="3" shapeId="0" xr:uid="{A1C8C1F7-D0BD-4F46-8D04-48A5BA9984EB}">
      <text>
        <r>
          <rPr>
            <sz val="11"/>
            <color theme="1"/>
            <rFont val="Calibri"/>
            <family val="2"/>
            <scheme val="minor"/>
          </rPr>
          <t>Introduzca un número con dos decimales como máximo</t>
        </r>
      </text>
    </comment>
    <comment ref="F3166" authorId="3" shapeId="0" xr:uid="{1971D99C-12FC-4B17-BED6-30E3CC8AE3F2}">
      <text>
        <r>
          <rPr>
            <sz val="11"/>
            <color theme="1"/>
            <rFont val="Calibri"/>
            <family val="2"/>
            <scheme val="minor"/>
          </rPr>
          <t>Monto calculado automáticamente por el sistema</t>
        </r>
      </text>
    </comment>
    <comment ref="A3174" authorId="3" shapeId="0" xr:uid="{098F9D1B-C964-4E26-9536-D3F699603A7A}">
      <text>
        <r>
          <rPr>
            <sz val="11"/>
            <color theme="1"/>
            <rFont val="Calibri"/>
            <family val="2"/>
            <scheme val="minor"/>
          </rPr>
          <t>Introducir un texto con el nombre o referencia de la contratación</t>
        </r>
      </text>
    </comment>
    <comment ref="B3174" authorId="3" shapeId="0" xr:uid="{D2D9801E-CE4C-47AD-B669-E88D2137E293}">
      <text>
        <r>
          <rPr>
            <sz val="11"/>
            <color theme="1"/>
            <rFont val="Calibri"/>
            <family val="2"/>
            <scheme val="minor"/>
          </rPr>
          <t>Introduzca un texto con la finalidad de la contratación</t>
        </r>
      </text>
    </comment>
    <comment ref="C3174" authorId="3" shapeId="0" xr:uid="{93921757-CDAF-4048-9252-5BBCD0090BD2}">
      <text>
        <r>
          <rPr>
            <sz val="11"/>
            <color theme="1"/>
            <rFont val="Calibri"/>
            <family val="2"/>
            <scheme val="minor"/>
          </rPr>
          <t>Seleccionar un valor del listado</t>
        </r>
      </text>
    </comment>
    <comment ref="D3174" authorId="3" shapeId="0" xr:uid="{A6771215-B421-4B28-AC26-4453D7129630}">
      <text>
        <r>
          <rPr>
            <sz val="11"/>
            <color theme="1"/>
            <rFont val="Calibri"/>
            <family val="2"/>
            <scheme val="minor"/>
          </rPr>
          <t>Seleccione el tipo de procedimiento</t>
        </r>
      </text>
    </comment>
    <comment ref="E3174" authorId="3" shapeId="0" xr:uid="{3DDEF0CE-6334-4483-A305-299A624107D6}">
      <text>
        <r>
          <rPr>
            <sz val="11"/>
            <color theme="1"/>
            <rFont val="Calibri"/>
            <family val="2"/>
            <scheme val="minor"/>
          </rPr>
          <t>Seleccione un valor de la lista</t>
        </r>
      </text>
    </comment>
    <comment ref="F3174" authorId="3" shapeId="0" xr:uid="{06E8CD54-8B8F-48D6-AC1F-2B3638167816}">
      <text>
        <r>
          <rPr>
            <sz val="11"/>
            <color theme="1"/>
            <rFont val="Calibri"/>
            <family val="2"/>
            <scheme val="minor"/>
          </rPr>
          <t>Introduzca el código SNIP</t>
        </r>
      </text>
    </comment>
    <comment ref="C3175" authorId="3" shapeId="0" xr:uid="{743696EF-37CB-4598-ADD5-8C57FFACC1FF}">
      <text>
        <r>
          <rPr>
            <sz val="11"/>
            <color theme="1"/>
            <rFont val="Calibri"/>
            <family val="2"/>
            <scheme val="minor"/>
          </rPr>
          <t>Introduzca la fecha de inicio del proceso, en formato dd-mm-aaaa</t>
        </r>
      </text>
    </comment>
    <comment ref="F3175" authorId="3" shapeId="0" xr:uid="{3ABCA6E7-E16D-44C6-A5F8-AF462362DE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6" authorId="3" shapeId="0" xr:uid="{CB7C3A23-2D9C-4187-910E-990C2165B063}">
      <text/>
    </comment>
    <comment ref="C3177" authorId="3" shapeId="0" xr:uid="{15E7355E-1CCA-48C5-B8C3-417832753264}">
      <text>
        <r>
          <rPr>
            <sz val="11"/>
            <color theme="1"/>
            <rFont val="Calibri"/>
            <family val="2"/>
            <scheme val="minor"/>
          </rPr>
          <t>Introduzca la fecha prevista de adjudicación, en formato dd-mm-aaaa</t>
        </r>
      </text>
    </comment>
    <comment ref="F3177" authorId="3" shapeId="0" xr:uid="{8277AD46-8827-44F2-A333-CE81D07B77A7}">
      <text/>
    </comment>
    <comment ref="F3178" authorId="3" shapeId="0" xr:uid="{8A3C6C05-F45B-482B-AE41-8D4516F76239}">
      <text/>
    </comment>
    <comment ref="A3180" authorId="3" shapeId="0" xr:uid="{82EA406F-DDBE-4F5E-B2B5-A874D2448D13}">
      <text>
        <r>
          <rPr>
            <sz val="11"/>
            <color theme="1"/>
            <rFont val="Calibri"/>
            <family val="2"/>
            <scheme val="minor"/>
          </rPr>
          <t>Introduzca un codigo UNSPSC</t>
        </r>
      </text>
    </comment>
    <comment ref="B3180" authorId="3" shapeId="0" xr:uid="{07875DCE-C01F-46CF-B955-60CAD205A6CB}">
      <text>
        <r>
          <rPr>
            <sz val="11"/>
            <color theme="1"/>
            <rFont val="Calibri"/>
            <family val="2"/>
            <scheme val="minor"/>
          </rPr>
          <t>Descripción calculada automáticamente a partir de código del artículo</t>
        </r>
      </text>
    </comment>
    <comment ref="C3180" authorId="3" shapeId="0" xr:uid="{03669DF3-F75C-4E99-941D-08953492E1D0}">
      <text>
        <r>
          <rPr>
            <sz val="11"/>
            <color theme="1"/>
            <rFont val="Calibri"/>
            <family val="2"/>
            <scheme val="minor"/>
          </rPr>
          <t>Seleccione un valor de la lista</t>
        </r>
      </text>
    </comment>
    <comment ref="D3180" authorId="3" shapeId="0" xr:uid="{BE260C7E-F190-4705-AE65-38BF22E252A2}">
      <text>
        <r>
          <rPr>
            <sz val="11"/>
            <color theme="1"/>
            <rFont val="Calibri"/>
            <family val="2"/>
            <scheme val="minor"/>
          </rPr>
          <t>Introduzca un número con dos decimales como máximo. Debe ser igual o mayor a la "Cantidad Real Consumida"</t>
        </r>
      </text>
    </comment>
    <comment ref="E3180" authorId="3" shapeId="0" xr:uid="{D298014C-2BCD-484E-8BB6-E94A7162768A}">
      <text>
        <r>
          <rPr>
            <sz val="11"/>
            <color theme="1"/>
            <rFont val="Calibri"/>
            <family val="2"/>
            <scheme val="minor"/>
          </rPr>
          <t>Introduzca un número con dos decimales como máximo</t>
        </r>
      </text>
    </comment>
    <comment ref="F3180" authorId="3" shapeId="0" xr:uid="{1CF06AE9-6E3E-4B46-A68C-239CA2D00C00}">
      <text>
        <r>
          <rPr>
            <sz val="11"/>
            <color theme="1"/>
            <rFont val="Calibri"/>
            <family val="2"/>
            <scheme val="minor"/>
          </rPr>
          <t>Monto calculado automáticamente por el sistema</t>
        </r>
      </text>
    </comment>
    <comment ref="A3185" authorId="3" shapeId="0" xr:uid="{7AEBD81E-BBF5-40E2-9E7D-A4D954849BBF}">
      <text>
        <r>
          <rPr>
            <sz val="11"/>
            <color theme="1"/>
            <rFont val="Calibri"/>
            <family val="2"/>
            <scheme val="minor"/>
          </rPr>
          <t>Introducir un texto con el nombre o referencia de la contratación</t>
        </r>
      </text>
    </comment>
    <comment ref="B3185" authorId="3" shapeId="0" xr:uid="{E414DBDC-AB35-4B2F-A0BB-E10B7E659455}">
      <text>
        <r>
          <rPr>
            <sz val="11"/>
            <color theme="1"/>
            <rFont val="Calibri"/>
            <family val="2"/>
            <scheme val="minor"/>
          </rPr>
          <t>Introduzca un texto con la finalidad de la contratación</t>
        </r>
      </text>
    </comment>
    <comment ref="C3185" authorId="3" shapeId="0" xr:uid="{21685512-08C8-4883-8AB7-179A82EB8934}">
      <text>
        <r>
          <rPr>
            <sz val="11"/>
            <color theme="1"/>
            <rFont val="Calibri"/>
            <family val="2"/>
            <scheme val="minor"/>
          </rPr>
          <t>Seleccionar un valor del listado</t>
        </r>
      </text>
    </comment>
    <comment ref="D3185" authorId="3" shapeId="0" xr:uid="{302B1AD2-17EE-4A73-8EEA-8D0C8669202B}">
      <text>
        <r>
          <rPr>
            <sz val="11"/>
            <color theme="1"/>
            <rFont val="Calibri"/>
            <family val="2"/>
            <scheme val="minor"/>
          </rPr>
          <t>Seleccione el tipo de procedimiento</t>
        </r>
      </text>
    </comment>
    <comment ref="E3185" authorId="3" shapeId="0" xr:uid="{16DA8E97-86D2-4993-8F8B-7515EE2C4A15}">
      <text>
        <r>
          <rPr>
            <sz val="11"/>
            <color theme="1"/>
            <rFont val="Calibri"/>
            <family val="2"/>
            <scheme val="minor"/>
          </rPr>
          <t>Seleccione un valor de la lista</t>
        </r>
      </text>
    </comment>
    <comment ref="F3185" authorId="3" shapeId="0" xr:uid="{EF0FF224-D8CF-4AC4-AEA3-E6D3745EE2DF}">
      <text>
        <r>
          <rPr>
            <sz val="11"/>
            <color theme="1"/>
            <rFont val="Calibri"/>
            <family val="2"/>
            <scheme val="minor"/>
          </rPr>
          <t>Introduzca el código SNIP</t>
        </r>
      </text>
    </comment>
    <comment ref="C3186" authorId="3" shapeId="0" xr:uid="{F8D6817B-3FF2-4C05-BFAF-0A30EE08A62E}">
      <text>
        <r>
          <rPr>
            <sz val="11"/>
            <color theme="1"/>
            <rFont val="Calibri"/>
            <family val="2"/>
            <scheme val="minor"/>
          </rPr>
          <t>Introduzca la fecha de inicio del proceso, en formato dd-mm-aaaa</t>
        </r>
      </text>
    </comment>
    <comment ref="F3186" authorId="3" shapeId="0" xr:uid="{9614FEF1-CE28-40EF-BE16-8C50D8AEA5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7" authorId="3" shapeId="0" xr:uid="{F1B5CFA1-EC56-4345-8D59-51D1D764AC72}">
      <text/>
    </comment>
    <comment ref="C3188" authorId="3" shapeId="0" xr:uid="{265050BE-12A5-43C6-88DC-C6F4F8F3293E}">
      <text>
        <r>
          <rPr>
            <sz val="11"/>
            <color theme="1"/>
            <rFont val="Calibri"/>
            <family val="2"/>
            <scheme val="minor"/>
          </rPr>
          <t>Introduzca la fecha prevista de adjudicación, en formato dd-mm-aaaa</t>
        </r>
      </text>
    </comment>
    <comment ref="F3188" authorId="3" shapeId="0" xr:uid="{FD62F778-C454-49BF-AEEF-8AA66D3834C7}">
      <text/>
    </comment>
    <comment ref="F3189" authorId="3" shapeId="0" xr:uid="{27581435-6BFC-4346-B632-F48A21FD525D}">
      <text/>
    </comment>
    <comment ref="A3191" authorId="3" shapeId="0" xr:uid="{2670BDA7-6063-4D5C-B2B5-EC7E410CB31D}">
      <text>
        <r>
          <rPr>
            <sz val="11"/>
            <color theme="1"/>
            <rFont val="Calibri"/>
            <family val="2"/>
            <scheme val="minor"/>
          </rPr>
          <t>Introduzca un codigo UNSPSC</t>
        </r>
      </text>
    </comment>
    <comment ref="B3191" authorId="3" shapeId="0" xr:uid="{B4AB991C-3974-4DD9-A007-E9D48F3142D4}">
      <text>
        <r>
          <rPr>
            <sz val="11"/>
            <color theme="1"/>
            <rFont val="Calibri"/>
            <family val="2"/>
            <scheme val="minor"/>
          </rPr>
          <t>Descripción calculada automáticamente a partir de código del artículo</t>
        </r>
      </text>
    </comment>
    <comment ref="C3191" authorId="3" shapeId="0" xr:uid="{9DBC8F1D-BF1D-4950-980C-23001E78CD8F}">
      <text>
        <r>
          <rPr>
            <sz val="11"/>
            <color theme="1"/>
            <rFont val="Calibri"/>
            <family val="2"/>
            <scheme val="minor"/>
          </rPr>
          <t>Seleccione un valor de la lista</t>
        </r>
      </text>
    </comment>
    <comment ref="D3191" authorId="3" shapeId="0" xr:uid="{B4B16461-43F4-474F-B446-CC6C6FB2DFDE}">
      <text>
        <r>
          <rPr>
            <sz val="11"/>
            <color theme="1"/>
            <rFont val="Calibri"/>
            <family val="2"/>
            <scheme val="minor"/>
          </rPr>
          <t>Introduzca un número con dos decimales como máximo. Debe ser igual o mayor a la "Cantidad Real Consumida"</t>
        </r>
      </text>
    </comment>
    <comment ref="E3191" authorId="3" shapeId="0" xr:uid="{B43CABC7-C806-486D-A5F7-01D93371FC0F}">
      <text>
        <r>
          <rPr>
            <sz val="11"/>
            <color theme="1"/>
            <rFont val="Calibri"/>
            <family val="2"/>
            <scheme val="minor"/>
          </rPr>
          <t>Introduzca un número con dos decimales como máximo</t>
        </r>
      </text>
    </comment>
    <comment ref="F3191" authorId="3" shapeId="0" xr:uid="{3265D09B-AC0B-412C-987A-748C452FD807}">
      <text>
        <r>
          <rPr>
            <sz val="11"/>
            <color theme="1"/>
            <rFont val="Calibri"/>
            <family val="2"/>
            <scheme val="minor"/>
          </rPr>
          <t>Monto calculado automáticamente por el sistema</t>
        </r>
      </text>
    </comment>
    <comment ref="A3196" authorId="3" shapeId="0" xr:uid="{C1E3139A-57B0-49C9-8B5A-7ECF4E525BEB}">
      <text>
        <r>
          <rPr>
            <sz val="11"/>
            <color theme="1"/>
            <rFont val="Calibri"/>
            <family val="2"/>
            <scheme val="minor"/>
          </rPr>
          <t>Introducir un texto con el nombre o referencia de la contratación</t>
        </r>
      </text>
    </comment>
    <comment ref="B3196" authorId="3" shapeId="0" xr:uid="{91620BF8-AAD6-4FAE-932F-A8FB6D1F3A3D}">
      <text>
        <r>
          <rPr>
            <sz val="11"/>
            <color theme="1"/>
            <rFont val="Calibri"/>
            <family val="2"/>
            <scheme val="minor"/>
          </rPr>
          <t>Introduzca un texto con la finalidad de la contratación</t>
        </r>
      </text>
    </comment>
    <comment ref="C3196" authorId="3" shapeId="0" xr:uid="{9EFFF90C-C869-45BD-831B-936A5E3C8165}">
      <text>
        <r>
          <rPr>
            <sz val="11"/>
            <color theme="1"/>
            <rFont val="Calibri"/>
            <family val="2"/>
            <scheme val="minor"/>
          </rPr>
          <t>Seleccionar un valor del listado</t>
        </r>
      </text>
    </comment>
    <comment ref="D3196" authorId="3" shapeId="0" xr:uid="{1B1448FC-DA14-4763-AED4-1C3FB033E8DF}">
      <text>
        <r>
          <rPr>
            <sz val="11"/>
            <color theme="1"/>
            <rFont val="Calibri"/>
            <family val="2"/>
            <scheme val="minor"/>
          </rPr>
          <t>Seleccione el tipo de procedimiento</t>
        </r>
      </text>
    </comment>
    <comment ref="E3196" authorId="3" shapeId="0" xr:uid="{BF683D1C-AE94-4DDA-BEE8-A3FBB895FE00}">
      <text>
        <r>
          <rPr>
            <sz val="11"/>
            <color theme="1"/>
            <rFont val="Calibri"/>
            <family val="2"/>
            <scheme val="minor"/>
          </rPr>
          <t>Seleccione un valor de la lista</t>
        </r>
      </text>
    </comment>
    <comment ref="F3196" authorId="3" shapeId="0" xr:uid="{8B46BBBD-1D59-4A3A-B2A4-5A8F002AF5D0}">
      <text>
        <r>
          <rPr>
            <sz val="11"/>
            <color theme="1"/>
            <rFont val="Calibri"/>
            <family val="2"/>
            <scheme val="minor"/>
          </rPr>
          <t>Introduzca el código SNIP</t>
        </r>
      </text>
    </comment>
    <comment ref="C3197" authorId="3" shapeId="0" xr:uid="{3A636878-D763-4C2F-8102-8658358F31C4}">
      <text>
        <r>
          <rPr>
            <sz val="11"/>
            <color theme="1"/>
            <rFont val="Calibri"/>
            <family val="2"/>
            <scheme val="minor"/>
          </rPr>
          <t>Introduzca la fecha de inicio del proceso, en formato dd-mm-aaaa</t>
        </r>
      </text>
    </comment>
    <comment ref="F3197" authorId="3" shapeId="0" xr:uid="{10504EE3-40AF-4ED8-A08C-3CE760AAC7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8" authorId="3" shapeId="0" xr:uid="{5741F3A6-49AE-4058-B3F0-849A5C4B2AE6}">
      <text/>
    </comment>
    <comment ref="C3199" authorId="3" shapeId="0" xr:uid="{D53FE6F6-02C0-4535-AC23-607F6F3FBD4A}">
      <text>
        <r>
          <rPr>
            <sz val="11"/>
            <color theme="1"/>
            <rFont val="Calibri"/>
            <family val="2"/>
            <scheme val="minor"/>
          </rPr>
          <t>Introduzca la fecha prevista de adjudicación, en formato dd-mm-aaaa</t>
        </r>
      </text>
    </comment>
    <comment ref="F3199" authorId="3" shapeId="0" xr:uid="{274F2A7A-42EC-43F7-BE8D-6AA9D3D350A9}">
      <text/>
    </comment>
    <comment ref="F3200" authorId="3" shapeId="0" xr:uid="{79D7041C-98E5-4059-8DD1-BC898A7CE88E}">
      <text/>
    </comment>
    <comment ref="A3202" authorId="3" shapeId="0" xr:uid="{D3DB1291-DD0A-474E-A393-7018581C4BFF}">
      <text>
        <r>
          <rPr>
            <sz val="11"/>
            <color theme="1"/>
            <rFont val="Calibri"/>
            <family val="2"/>
            <scheme val="minor"/>
          </rPr>
          <t>Introduzca un codigo UNSPSC</t>
        </r>
      </text>
    </comment>
    <comment ref="B3202" authorId="3" shapeId="0" xr:uid="{C83C9E1A-262F-4A93-9525-088C66E23A11}">
      <text>
        <r>
          <rPr>
            <sz val="11"/>
            <color theme="1"/>
            <rFont val="Calibri"/>
            <family val="2"/>
            <scheme val="minor"/>
          </rPr>
          <t>Descripción calculada automáticamente a partir de código del artículo</t>
        </r>
      </text>
    </comment>
    <comment ref="C3202" authorId="3" shapeId="0" xr:uid="{651F5E0C-7E60-4370-ADBA-EC5A2429CBE3}">
      <text>
        <r>
          <rPr>
            <sz val="11"/>
            <color theme="1"/>
            <rFont val="Calibri"/>
            <family val="2"/>
            <scheme val="minor"/>
          </rPr>
          <t>Seleccione un valor de la lista</t>
        </r>
      </text>
    </comment>
    <comment ref="D3202" authorId="3" shapeId="0" xr:uid="{B91EE5D9-EF99-4C52-8975-801550F6A2BA}">
      <text>
        <r>
          <rPr>
            <sz val="11"/>
            <color theme="1"/>
            <rFont val="Calibri"/>
            <family val="2"/>
            <scheme val="minor"/>
          </rPr>
          <t>Introduzca un número con dos decimales como máximo. Debe ser igual o mayor a la "Cantidad Real Consumida"</t>
        </r>
      </text>
    </comment>
    <comment ref="E3202" authorId="3" shapeId="0" xr:uid="{93CBDF1D-4B2D-4E91-8D3C-8A1D7F409B04}">
      <text>
        <r>
          <rPr>
            <sz val="11"/>
            <color theme="1"/>
            <rFont val="Calibri"/>
            <family val="2"/>
            <scheme val="minor"/>
          </rPr>
          <t>Introduzca un número con dos decimales como máximo</t>
        </r>
      </text>
    </comment>
    <comment ref="F3202" authorId="3" shapeId="0" xr:uid="{F2B51FD4-3CE5-4B2A-B8D6-A4B575D8CB49}">
      <text>
        <r>
          <rPr>
            <sz val="11"/>
            <color theme="1"/>
            <rFont val="Calibri"/>
            <family val="2"/>
            <scheme val="minor"/>
          </rPr>
          <t>Monto calculado automáticamente por el sistema</t>
        </r>
      </text>
    </comment>
    <comment ref="A3207" authorId="3" shapeId="0" xr:uid="{71A819E8-4405-4392-AAE0-125A8FFEFB1D}">
      <text>
        <r>
          <rPr>
            <sz val="11"/>
            <color theme="1"/>
            <rFont val="Calibri"/>
            <family val="2"/>
            <scheme val="minor"/>
          </rPr>
          <t>Introducir un texto con el nombre o referencia de la contratación</t>
        </r>
      </text>
    </comment>
    <comment ref="B3207" authorId="3" shapeId="0" xr:uid="{CC79B7DA-3B11-4536-93FB-FEACE7A2C9DA}">
      <text>
        <r>
          <rPr>
            <sz val="11"/>
            <color theme="1"/>
            <rFont val="Calibri"/>
            <family val="2"/>
            <scheme val="minor"/>
          </rPr>
          <t>Introduzca un texto con la finalidad de la contratación</t>
        </r>
      </text>
    </comment>
    <comment ref="C3207" authorId="3" shapeId="0" xr:uid="{41F8A053-9EBE-46EA-8E76-247BC1C2B9C9}">
      <text>
        <r>
          <rPr>
            <sz val="11"/>
            <color theme="1"/>
            <rFont val="Calibri"/>
            <family val="2"/>
            <scheme val="minor"/>
          </rPr>
          <t>Seleccionar un valor del listado</t>
        </r>
      </text>
    </comment>
    <comment ref="D3207" authorId="3" shapeId="0" xr:uid="{D427E007-C693-4126-9814-757D4C9D1DF8}">
      <text>
        <r>
          <rPr>
            <sz val="11"/>
            <color theme="1"/>
            <rFont val="Calibri"/>
            <family val="2"/>
            <scheme val="minor"/>
          </rPr>
          <t>Seleccione el tipo de procedimiento</t>
        </r>
      </text>
    </comment>
    <comment ref="E3207" authorId="3" shapeId="0" xr:uid="{C0675E2B-1E87-4E6E-A622-EE00BD0EC18D}">
      <text>
        <r>
          <rPr>
            <sz val="11"/>
            <color theme="1"/>
            <rFont val="Calibri"/>
            <family val="2"/>
            <scheme val="minor"/>
          </rPr>
          <t>Seleccione un valor de la lista</t>
        </r>
      </text>
    </comment>
    <comment ref="F3207" authorId="3" shapeId="0" xr:uid="{704F318D-14D2-4FCA-A8C5-D47C519625F6}">
      <text>
        <r>
          <rPr>
            <sz val="11"/>
            <color theme="1"/>
            <rFont val="Calibri"/>
            <family val="2"/>
            <scheme val="minor"/>
          </rPr>
          <t>Introduzca el código SNIP</t>
        </r>
      </text>
    </comment>
    <comment ref="C3208" authorId="3" shapeId="0" xr:uid="{3F525B05-57C8-45A8-B8BB-666C45D7647C}">
      <text>
        <r>
          <rPr>
            <sz val="11"/>
            <color theme="1"/>
            <rFont val="Calibri"/>
            <family val="2"/>
            <scheme val="minor"/>
          </rPr>
          <t>Introduzca la fecha de inicio del proceso, en formato dd-mm-aaaa</t>
        </r>
      </text>
    </comment>
    <comment ref="F3208" authorId="3" shapeId="0" xr:uid="{A3486A4F-42F8-4D8F-A6B8-D9A022AE0D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9" authorId="3" shapeId="0" xr:uid="{5AA98993-4618-4683-A01E-07CF28D38EF5}">
      <text/>
    </comment>
    <comment ref="C3210" authorId="3" shapeId="0" xr:uid="{225B3F9C-7000-4B41-A0DC-9A9217B5C52A}">
      <text>
        <r>
          <rPr>
            <sz val="11"/>
            <color theme="1"/>
            <rFont val="Calibri"/>
            <family val="2"/>
            <scheme val="minor"/>
          </rPr>
          <t>Introduzca la fecha prevista de adjudicación, en formato dd-mm-aaaa</t>
        </r>
      </text>
    </comment>
    <comment ref="F3210" authorId="3" shapeId="0" xr:uid="{503EA3AA-A259-4E9C-B080-05112C034C47}">
      <text/>
    </comment>
    <comment ref="F3211" authorId="3" shapeId="0" xr:uid="{AF2D0C6D-5F19-4785-AE60-E288BF2C11C8}">
      <text/>
    </comment>
    <comment ref="A3213" authorId="3" shapeId="0" xr:uid="{398C202D-6CB0-4582-BB0E-4F1CE4B3CE05}">
      <text>
        <r>
          <rPr>
            <sz val="11"/>
            <color theme="1"/>
            <rFont val="Calibri"/>
            <family val="2"/>
            <scheme val="minor"/>
          </rPr>
          <t>Introduzca un codigo UNSPSC</t>
        </r>
      </text>
    </comment>
    <comment ref="B3213" authorId="3" shapeId="0" xr:uid="{95A35B55-F236-4BA4-80FA-0886A3E97D61}">
      <text>
        <r>
          <rPr>
            <sz val="11"/>
            <color theme="1"/>
            <rFont val="Calibri"/>
            <family val="2"/>
            <scheme val="minor"/>
          </rPr>
          <t>Descripción calculada automáticamente a partir de código del artículo</t>
        </r>
      </text>
    </comment>
    <comment ref="C3213" authorId="3" shapeId="0" xr:uid="{009C9E45-B727-4FCC-8AA2-9908416399E1}">
      <text>
        <r>
          <rPr>
            <sz val="11"/>
            <color theme="1"/>
            <rFont val="Calibri"/>
            <family val="2"/>
            <scheme val="minor"/>
          </rPr>
          <t>Seleccione un valor de la lista</t>
        </r>
      </text>
    </comment>
    <comment ref="D3213" authorId="3" shapeId="0" xr:uid="{C86089F3-8922-4825-B70E-3657D1F36C3F}">
      <text>
        <r>
          <rPr>
            <sz val="11"/>
            <color theme="1"/>
            <rFont val="Calibri"/>
            <family val="2"/>
            <scheme val="minor"/>
          </rPr>
          <t>Introduzca un número con dos decimales como máximo. Debe ser igual o mayor a la "Cantidad Real Consumida"</t>
        </r>
      </text>
    </comment>
    <comment ref="E3213" authorId="3" shapeId="0" xr:uid="{03613EE6-BF38-4275-84EC-F6D7C710BB42}">
      <text>
        <r>
          <rPr>
            <sz val="11"/>
            <color theme="1"/>
            <rFont val="Calibri"/>
            <family val="2"/>
            <scheme val="minor"/>
          </rPr>
          <t>Introduzca un número con dos decimales como máximo</t>
        </r>
      </text>
    </comment>
    <comment ref="F3213" authorId="3" shapeId="0" xr:uid="{DCB9529E-4DFA-4EAA-96C4-A77AF076E576}">
      <text>
        <r>
          <rPr>
            <sz val="11"/>
            <color theme="1"/>
            <rFont val="Calibri"/>
            <family val="2"/>
            <scheme val="minor"/>
          </rPr>
          <t>Monto calculado automáticamente por el sistema</t>
        </r>
      </text>
    </comment>
    <comment ref="A3218" authorId="3" shapeId="0" xr:uid="{21DC9FA6-A2B5-45C2-9AC0-D3FEE827D331}">
      <text>
        <r>
          <rPr>
            <sz val="11"/>
            <color theme="1"/>
            <rFont val="Calibri"/>
            <family val="2"/>
            <scheme val="minor"/>
          </rPr>
          <t>Introducir un texto con el nombre o referencia de la contratación</t>
        </r>
      </text>
    </comment>
    <comment ref="B3218" authorId="3" shapeId="0" xr:uid="{EBA5C573-4F0E-467B-970B-825E9B29C812}">
      <text>
        <r>
          <rPr>
            <sz val="11"/>
            <color theme="1"/>
            <rFont val="Calibri"/>
            <family val="2"/>
            <scheme val="minor"/>
          </rPr>
          <t>Introduzca un texto con la finalidad de la contratación</t>
        </r>
      </text>
    </comment>
    <comment ref="C3218" authorId="3" shapeId="0" xr:uid="{39707F72-B566-45FB-9089-827F16CC0EC4}">
      <text>
        <r>
          <rPr>
            <sz val="11"/>
            <color theme="1"/>
            <rFont val="Calibri"/>
            <family val="2"/>
            <scheme val="minor"/>
          </rPr>
          <t>Seleccionar un valor del listado</t>
        </r>
      </text>
    </comment>
    <comment ref="D3218" authorId="3" shapeId="0" xr:uid="{B1979C3F-9B10-45A0-B3EE-EC770DBE6B2B}">
      <text>
        <r>
          <rPr>
            <sz val="11"/>
            <color theme="1"/>
            <rFont val="Calibri"/>
            <family val="2"/>
            <scheme val="minor"/>
          </rPr>
          <t>Seleccione el tipo de procedimiento</t>
        </r>
      </text>
    </comment>
    <comment ref="E3218" authorId="3" shapeId="0" xr:uid="{F1D09505-45D2-4506-A86F-F3CFCAB6F4B8}">
      <text>
        <r>
          <rPr>
            <sz val="11"/>
            <color theme="1"/>
            <rFont val="Calibri"/>
            <family val="2"/>
            <scheme val="minor"/>
          </rPr>
          <t>Seleccione un valor de la lista</t>
        </r>
      </text>
    </comment>
    <comment ref="F3218" authorId="3" shapeId="0" xr:uid="{D03B2DFC-A41C-4DA5-80C3-C93DBAE752B8}">
      <text>
        <r>
          <rPr>
            <sz val="11"/>
            <color theme="1"/>
            <rFont val="Calibri"/>
            <family val="2"/>
            <scheme val="minor"/>
          </rPr>
          <t>Introduzca el código SNIP</t>
        </r>
      </text>
    </comment>
    <comment ref="C3219" authorId="3" shapeId="0" xr:uid="{D120857D-5CEC-4DBA-9681-E1E7E7AB23F6}">
      <text>
        <r>
          <rPr>
            <sz val="11"/>
            <color theme="1"/>
            <rFont val="Calibri"/>
            <family val="2"/>
            <scheme val="minor"/>
          </rPr>
          <t>Introduzca la fecha de inicio del proceso, en formato dd-mm-aaaa</t>
        </r>
      </text>
    </comment>
    <comment ref="F3219" authorId="3" shapeId="0" xr:uid="{2B4079F5-552A-4DF5-B837-D7B5429C07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0" authorId="3" shapeId="0" xr:uid="{4F349F52-7FBB-4A48-B02D-801F7F5655DE}">
      <text/>
    </comment>
    <comment ref="C3221" authorId="3" shapeId="0" xr:uid="{0F9BB453-7124-45C1-8DEC-074870F814B0}">
      <text>
        <r>
          <rPr>
            <sz val="11"/>
            <color theme="1"/>
            <rFont val="Calibri"/>
            <family val="2"/>
            <scheme val="minor"/>
          </rPr>
          <t>Introduzca la fecha prevista de adjudicación, en formato dd-mm-aaaa</t>
        </r>
      </text>
    </comment>
    <comment ref="F3221" authorId="3" shapeId="0" xr:uid="{27DB912C-385D-482F-AF9C-31FA9AB7ABA4}">
      <text/>
    </comment>
    <comment ref="F3222" authorId="3" shapeId="0" xr:uid="{23354069-B44F-45FD-8E0E-1563D0F248DF}">
      <text/>
    </comment>
    <comment ref="A3224" authorId="3" shapeId="0" xr:uid="{D1571081-A74C-43A5-9705-B9921A243C2D}">
      <text>
        <r>
          <rPr>
            <sz val="11"/>
            <color theme="1"/>
            <rFont val="Calibri"/>
            <family val="2"/>
            <scheme val="minor"/>
          </rPr>
          <t>Introduzca un codigo UNSPSC</t>
        </r>
      </text>
    </comment>
    <comment ref="B3224" authorId="3" shapeId="0" xr:uid="{0C05E1AB-5D6D-4405-8DF5-46B5336F0A1E}">
      <text>
        <r>
          <rPr>
            <sz val="11"/>
            <color theme="1"/>
            <rFont val="Calibri"/>
            <family val="2"/>
            <scheme val="minor"/>
          </rPr>
          <t>Descripción calculada automáticamente a partir de código del artículo</t>
        </r>
      </text>
    </comment>
    <comment ref="C3224" authorId="3" shapeId="0" xr:uid="{439980D3-E432-437D-9FE0-5CE0520932BA}">
      <text>
        <r>
          <rPr>
            <sz val="11"/>
            <color theme="1"/>
            <rFont val="Calibri"/>
            <family val="2"/>
            <scheme val="minor"/>
          </rPr>
          <t>Seleccione un valor de la lista</t>
        </r>
      </text>
    </comment>
    <comment ref="D3224" authorId="3" shapeId="0" xr:uid="{79569632-B158-4641-9B9D-3F923280AC59}">
      <text>
        <r>
          <rPr>
            <sz val="11"/>
            <color theme="1"/>
            <rFont val="Calibri"/>
            <family val="2"/>
            <scheme val="minor"/>
          </rPr>
          <t>Introduzca un número con dos decimales como máximo. Debe ser igual o mayor a la "Cantidad Real Consumida"</t>
        </r>
      </text>
    </comment>
    <comment ref="E3224" authorId="3" shapeId="0" xr:uid="{5E00B79B-BFC0-460A-BE82-0D16797AB7E9}">
      <text>
        <r>
          <rPr>
            <sz val="11"/>
            <color theme="1"/>
            <rFont val="Calibri"/>
            <family val="2"/>
            <scheme val="minor"/>
          </rPr>
          <t>Introduzca un número con dos decimales como máximo</t>
        </r>
      </text>
    </comment>
    <comment ref="F3224" authorId="3" shapeId="0" xr:uid="{A6614E3C-CC16-4963-9B91-7BF1B18E05C7}">
      <text>
        <r>
          <rPr>
            <sz val="11"/>
            <color theme="1"/>
            <rFont val="Calibri"/>
            <family val="2"/>
            <scheme val="minor"/>
          </rPr>
          <t>Monto calculado automáticamente por el sistema</t>
        </r>
      </text>
    </comment>
    <comment ref="A3230" authorId="3" shapeId="0" xr:uid="{89CF21BC-33F8-43F4-9C7A-1B14AA6DBC06}">
      <text>
        <r>
          <rPr>
            <sz val="11"/>
            <color theme="1"/>
            <rFont val="Calibri"/>
            <family val="2"/>
            <scheme val="minor"/>
          </rPr>
          <t>Introducir un texto con el nombre o referencia de la contratación</t>
        </r>
      </text>
    </comment>
    <comment ref="B3230" authorId="3" shapeId="0" xr:uid="{75432C44-043A-43AF-BC37-BE1540E67A88}">
      <text>
        <r>
          <rPr>
            <sz val="11"/>
            <color theme="1"/>
            <rFont val="Calibri"/>
            <family val="2"/>
            <scheme val="minor"/>
          </rPr>
          <t>Introduzca un texto con la finalidad de la contratación</t>
        </r>
      </text>
    </comment>
    <comment ref="C3230" authorId="3" shapeId="0" xr:uid="{254D7B28-B1B7-4B4B-95A6-902CABAE1A2C}">
      <text>
        <r>
          <rPr>
            <sz val="11"/>
            <color theme="1"/>
            <rFont val="Calibri"/>
            <family val="2"/>
            <scheme val="minor"/>
          </rPr>
          <t>Seleccionar un valor del listado</t>
        </r>
      </text>
    </comment>
    <comment ref="D3230" authorId="3" shapeId="0" xr:uid="{5085EA57-0B77-469B-ADE0-3D16E24BC2F1}">
      <text>
        <r>
          <rPr>
            <sz val="11"/>
            <color theme="1"/>
            <rFont val="Calibri"/>
            <family val="2"/>
            <scheme val="minor"/>
          </rPr>
          <t>Seleccione el tipo de procedimiento</t>
        </r>
      </text>
    </comment>
    <comment ref="E3230" authorId="3" shapeId="0" xr:uid="{4D234C22-1F22-412C-81C3-5F1F14591FA8}">
      <text>
        <r>
          <rPr>
            <sz val="11"/>
            <color theme="1"/>
            <rFont val="Calibri"/>
            <family val="2"/>
            <scheme val="minor"/>
          </rPr>
          <t>Seleccione un valor de la lista</t>
        </r>
      </text>
    </comment>
    <comment ref="F3230" authorId="3" shapeId="0" xr:uid="{EBE0FB39-05A2-43C9-9136-E9BB3C6ED379}">
      <text>
        <r>
          <rPr>
            <sz val="11"/>
            <color theme="1"/>
            <rFont val="Calibri"/>
            <family val="2"/>
            <scheme val="minor"/>
          </rPr>
          <t>Introduzca el código SNIP</t>
        </r>
      </text>
    </comment>
    <comment ref="C3231" authorId="3" shapeId="0" xr:uid="{3295FCE5-5A4D-4A01-BC9A-9D5E0DEB264B}">
      <text>
        <r>
          <rPr>
            <sz val="11"/>
            <color theme="1"/>
            <rFont val="Calibri"/>
            <family val="2"/>
            <scheme val="minor"/>
          </rPr>
          <t>Introduzca la fecha de inicio del proceso, en formato dd-mm-aaaa</t>
        </r>
      </text>
    </comment>
    <comment ref="F3231" authorId="3" shapeId="0" xr:uid="{3EF2FCB0-B5A3-4566-8B20-F60197855E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2" authorId="3" shapeId="0" xr:uid="{C1D6B5A1-2B51-4253-A80C-EE5106AE4FDD}">
      <text/>
    </comment>
    <comment ref="C3233" authorId="3" shapeId="0" xr:uid="{CC4B74DF-385A-40AF-A40C-26858FE3D45F}">
      <text>
        <r>
          <rPr>
            <sz val="11"/>
            <color theme="1"/>
            <rFont val="Calibri"/>
            <family val="2"/>
            <scheme val="minor"/>
          </rPr>
          <t>Introduzca la fecha prevista de adjudicación, en formato dd-mm-aaaa</t>
        </r>
      </text>
    </comment>
    <comment ref="F3233" authorId="3" shapeId="0" xr:uid="{2E8F7916-5EC4-48A6-B156-A5965A71C033}">
      <text/>
    </comment>
    <comment ref="F3234" authorId="3" shapeId="0" xr:uid="{5A8F31B5-DA36-49F5-A0D6-079C5ED6364C}">
      <text/>
    </comment>
    <comment ref="A3236" authorId="3" shapeId="0" xr:uid="{BE4EB0A0-890C-4523-A193-E8EB4B7250C2}">
      <text>
        <r>
          <rPr>
            <sz val="11"/>
            <color theme="1"/>
            <rFont val="Calibri"/>
            <family val="2"/>
            <scheme val="minor"/>
          </rPr>
          <t>Introduzca un codigo UNSPSC</t>
        </r>
      </text>
    </comment>
    <comment ref="B3236" authorId="3" shapeId="0" xr:uid="{F6EC5A69-1B4D-4344-AE88-FBC1A5BD2947}">
      <text>
        <r>
          <rPr>
            <sz val="11"/>
            <color theme="1"/>
            <rFont val="Calibri"/>
            <family val="2"/>
            <scheme val="minor"/>
          </rPr>
          <t>Descripción calculada automáticamente a partir de código del artículo</t>
        </r>
      </text>
    </comment>
    <comment ref="C3236" authorId="3" shapeId="0" xr:uid="{2DEE501C-E93C-4AD2-9EED-6C1BB8D11566}">
      <text>
        <r>
          <rPr>
            <sz val="11"/>
            <color theme="1"/>
            <rFont val="Calibri"/>
            <family val="2"/>
            <scheme val="minor"/>
          </rPr>
          <t>Seleccione un valor de la lista</t>
        </r>
      </text>
    </comment>
    <comment ref="D3236" authorId="3" shapeId="0" xr:uid="{30999E64-1462-465A-B24B-434D38DF1233}">
      <text>
        <r>
          <rPr>
            <sz val="11"/>
            <color theme="1"/>
            <rFont val="Calibri"/>
            <family val="2"/>
            <scheme val="minor"/>
          </rPr>
          <t>Introduzca un número con dos decimales como máximo. Debe ser igual o mayor a la "Cantidad Real Consumida"</t>
        </r>
      </text>
    </comment>
    <comment ref="E3236" authorId="3" shapeId="0" xr:uid="{95EBEF96-0958-45C7-9583-90F4B05BEA92}">
      <text>
        <r>
          <rPr>
            <sz val="11"/>
            <color theme="1"/>
            <rFont val="Calibri"/>
            <family val="2"/>
            <scheme val="minor"/>
          </rPr>
          <t>Introduzca un número con dos decimales como máximo</t>
        </r>
      </text>
    </comment>
    <comment ref="F3236" authorId="3" shapeId="0" xr:uid="{D861409E-4084-4AD4-BD68-E72C517B35B6}">
      <text>
        <r>
          <rPr>
            <sz val="11"/>
            <color theme="1"/>
            <rFont val="Calibri"/>
            <family val="2"/>
            <scheme val="minor"/>
          </rPr>
          <t>Monto calculado automáticamente por el sistema</t>
        </r>
      </text>
    </comment>
    <comment ref="A3245" authorId="3" shapeId="0" xr:uid="{886067DB-095F-49C3-9B0B-3BDB43F60D2B}">
      <text>
        <r>
          <rPr>
            <sz val="11"/>
            <color theme="1"/>
            <rFont val="Calibri"/>
            <family val="2"/>
            <scheme val="minor"/>
          </rPr>
          <t>Introducir un texto con el nombre o referencia de la contratación</t>
        </r>
      </text>
    </comment>
    <comment ref="B3245" authorId="3" shapeId="0" xr:uid="{561DE0F3-3F17-4F89-8822-969F8E98FC6F}">
      <text>
        <r>
          <rPr>
            <sz val="11"/>
            <color theme="1"/>
            <rFont val="Calibri"/>
            <family val="2"/>
            <scheme val="minor"/>
          </rPr>
          <t>Introduzca un texto con la finalidad de la contratación</t>
        </r>
      </text>
    </comment>
    <comment ref="C3245" authorId="3" shapeId="0" xr:uid="{E1987143-3829-49C2-84E5-38B8EBF24423}">
      <text>
        <r>
          <rPr>
            <sz val="11"/>
            <color theme="1"/>
            <rFont val="Calibri"/>
            <family val="2"/>
            <scheme val="minor"/>
          </rPr>
          <t>Seleccionar un valor del listado</t>
        </r>
      </text>
    </comment>
    <comment ref="D3245" authorId="3" shapeId="0" xr:uid="{0B87E491-7DA6-4002-AD21-E43CCCA6A59C}">
      <text>
        <r>
          <rPr>
            <sz val="11"/>
            <color theme="1"/>
            <rFont val="Calibri"/>
            <family val="2"/>
            <scheme val="minor"/>
          </rPr>
          <t>Seleccione el tipo de procedimiento</t>
        </r>
      </text>
    </comment>
    <comment ref="E3245" authorId="3" shapeId="0" xr:uid="{6153CBC0-4064-4723-90A3-0F4ACD2AEF98}">
      <text>
        <r>
          <rPr>
            <sz val="11"/>
            <color theme="1"/>
            <rFont val="Calibri"/>
            <family val="2"/>
            <scheme val="minor"/>
          </rPr>
          <t>Seleccione un valor de la lista</t>
        </r>
      </text>
    </comment>
    <comment ref="F3245" authorId="3" shapeId="0" xr:uid="{76784456-54A1-4C3D-AAC5-5268494D06A0}">
      <text>
        <r>
          <rPr>
            <sz val="11"/>
            <color theme="1"/>
            <rFont val="Calibri"/>
            <family val="2"/>
            <scheme val="minor"/>
          </rPr>
          <t>Introduzca el código SNIP</t>
        </r>
      </text>
    </comment>
    <comment ref="C3246" authorId="3" shapeId="0" xr:uid="{9593C0DD-C4AE-42AF-B970-5467659E97AD}">
      <text>
        <r>
          <rPr>
            <sz val="11"/>
            <color theme="1"/>
            <rFont val="Calibri"/>
            <family val="2"/>
            <scheme val="minor"/>
          </rPr>
          <t>Introduzca la fecha de inicio del proceso, en formato dd-mm-aaaa</t>
        </r>
      </text>
    </comment>
    <comment ref="F3246" authorId="3" shapeId="0" xr:uid="{18FD07C0-6AC9-426E-84E5-465ABBAEF5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7" authorId="3" shapeId="0" xr:uid="{C5E1E57E-E179-4D57-BF74-CBF6D8C5B7DD}">
      <text/>
    </comment>
    <comment ref="C3248" authorId="3" shapeId="0" xr:uid="{86350C51-A5C8-4046-8C77-3186EDF329F8}">
      <text>
        <r>
          <rPr>
            <sz val="11"/>
            <color theme="1"/>
            <rFont val="Calibri"/>
            <family val="2"/>
            <scheme val="minor"/>
          </rPr>
          <t>Introduzca la fecha prevista de adjudicación, en formato dd-mm-aaaa</t>
        </r>
      </text>
    </comment>
    <comment ref="F3248" authorId="3" shapeId="0" xr:uid="{36BA4C5E-3DDA-497F-AFD5-C4885110DF42}">
      <text/>
    </comment>
    <comment ref="F3249" authorId="3" shapeId="0" xr:uid="{C92C0777-A13E-48D0-BC2F-98739AC0DEAA}">
      <text/>
    </comment>
    <comment ref="A3251" authorId="3" shapeId="0" xr:uid="{C210F73D-E5EE-4B05-A42D-41006C74F862}">
      <text>
        <r>
          <rPr>
            <sz val="11"/>
            <color theme="1"/>
            <rFont val="Calibri"/>
            <family val="2"/>
            <scheme val="minor"/>
          </rPr>
          <t>Introduzca un codigo UNSPSC</t>
        </r>
      </text>
    </comment>
    <comment ref="B3251" authorId="3" shapeId="0" xr:uid="{F5E30F20-C067-4E52-A3DD-EA7D68533D5C}">
      <text>
        <r>
          <rPr>
            <sz val="11"/>
            <color theme="1"/>
            <rFont val="Calibri"/>
            <family val="2"/>
            <scheme val="minor"/>
          </rPr>
          <t>Descripción calculada automáticamente a partir de código del artículo</t>
        </r>
      </text>
    </comment>
    <comment ref="C3251" authorId="3" shapeId="0" xr:uid="{6079DBAB-4910-459E-90EB-05CA67735738}">
      <text>
        <r>
          <rPr>
            <sz val="11"/>
            <color theme="1"/>
            <rFont val="Calibri"/>
            <family val="2"/>
            <scheme val="minor"/>
          </rPr>
          <t>Seleccione un valor de la lista</t>
        </r>
      </text>
    </comment>
    <comment ref="D3251" authorId="3" shapeId="0" xr:uid="{6B049F47-1E58-4F65-92C6-FD04BCC186AD}">
      <text>
        <r>
          <rPr>
            <sz val="11"/>
            <color theme="1"/>
            <rFont val="Calibri"/>
            <family val="2"/>
            <scheme val="minor"/>
          </rPr>
          <t>Introduzca un número con dos decimales como máximo. Debe ser igual o mayor a la "Cantidad Real Consumida"</t>
        </r>
      </text>
    </comment>
    <comment ref="E3251" authorId="3" shapeId="0" xr:uid="{6769B178-03EE-4BBF-BCA9-389E920EFA37}">
      <text>
        <r>
          <rPr>
            <sz val="11"/>
            <color theme="1"/>
            <rFont val="Calibri"/>
            <family val="2"/>
            <scheme val="minor"/>
          </rPr>
          <t>Introduzca un número con dos decimales como máximo</t>
        </r>
      </text>
    </comment>
    <comment ref="F3251" authorId="3" shapeId="0" xr:uid="{FA261A4E-64D7-49E2-ABDD-AAE0EA35AF7B}">
      <text>
        <r>
          <rPr>
            <sz val="11"/>
            <color theme="1"/>
            <rFont val="Calibri"/>
            <family val="2"/>
            <scheme val="minor"/>
          </rPr>
          <t>Monto calculado automáticamente por el sistema</t>
        </r>
      </text>
    </comment>
    <comment ref="A3262" authorId="3" shapeId="0" xr:uid="{B6205ED6-6CCB-4726-BD02-BE26698F646C}">
      <text>
        <r>
          <rPr>
            <sz val="11"/>
            <color theme="1"/>
            <rFont val="Calibri"/>
            <family val="2"/>
            <scheme val="minor"/>
          </rPr>
          <t>Introducir un texto con el nombre o referencia de la contratación</t>
        </r>
      </text>
    </comment>
    <comment ref="B3262" authorId="3" shapeId="0" xr:uid="{7D21E709-CCD0-485D-9A17-3C1028CADE39}">
      <text>
        <r>
          <rPr>
            <sz val="11"/>
            <color theme="1"/>
            <rFont val="Calibri"/>
            <family val="2"/>
            <scheme val="minor"/>
          </rPr>
          <t>Introduzca un texto con la finalidad de la contratación</t>
        </r>
      </text>
    </comment>
    <comment ref="C3262" authorId="3" shapeId="0" xr:uid="{0625B7CD-7782-49C7-958C-AFEDD0F8BB5E}">
      <text>
        <r>
          <rPr>
            <sz val="11"/>
            <color theme="1"/>
            <rFont val="Calibri"/>
            <family val="2"/>
            <scheme val="minor"/>
          </rPr>
          <t>Seleccionar un valor del listado</t>
        </r>
      </text>
    </comment>
    <comment ref="D3262" authorId="3" shapeId="0" xr:uid="{5C36FD35-B5B2-4724-B3C6-F3A9AF811500}">
      <text>
        <r>
          <rPr>
            <sz val="11"/>
            <color theme="1"/>
            <rFont val="Calibri"/>
            <family val="2"/>
            <scheme val="minor"/>
          </rPr>
          <t>Seleccione el tipo de procedimiento</t>
        </r>
      </text>
    </comment>
    <comment ref="E3262" authorId="3" shapeId="0" xr:uid="{ABF8E639-9F93-41F9-983D-6467EE9C2982}">
      <text>
        <r>
          <rPr>
            <sz val="11"/>
            <color theme="1"/>
            <rFont val="Calibri"/>
            <family val="2"/>
            <scheme val="minor"/>
          </rPr>
          <t>Seleccione un valor de la lista</t>
        </r>
      </text>
    </comment>
    <comment ref="F3262" authorId="3" shapeId="0" xr:uid="{C8C974FE-F2AD-4ACC-BEB4-7E0FD4A77C82}">
      <text>
        <r>
          <rPr>
            <sz val="11"/>
            <color theme="1"/>
            <rFont val="Calibri"/>
            <family val="2"/>
            <scheme val="minor"/>
          </rPr>
          <t>Introduzca el código SNIP</t>
        </r>
      </text>
    </comment>
    <comment ref="C3263" authorId="3" shapeId="0" xr:uid="{3AD12D0D-7AFB-458E-A31D-AD04E1A50D8B}">
      <text>
        <r>
          <rPr>
            <sz val="11"/>
            <color theme="1"/>
            <rFont val="Calibri"/>
            <family val="2"/>
            <scheme val="minor"/>
          </rPr>
          <t>Introduzca la fecha de inicio del proceso, en formato dd-mm-aaaa</t>
        </r>
      </text>
    </comment>
    <comment ref="F3263" authorId="3" shapeId="0" xr:uid="{F5C95F48-27F8-42C8-B59F-3621E1B986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4" authorId="3" shapeId="0" xr:uid="{C2B9D132-2AE8-4CAE-B71C-2D327846577A}">
      <text/>
    </comment>
    <comment ref="C3265" authorId="3" shapeId="0" xr:uid="{DB6E015F-FF1F-4CC7-972E-F658A0C71307}">
      <text>
        <r>
          <rPr>
            <sz val="11"/>
            <color theme="1"/>
            <rFont val="Calibri"/>
            <family val="2"/>
            <scheme val="minor"/>
          </rPr>
          <t>Introduzca la fecha prevista de adjudicación, en formato dd-mm-aaaa</t>
        </r>
      </text>
    </comment>
    <comment ref="F3265" authorId="3" shapeId="0" xr:uid="{688AB980-917B-43C7-AC54-384289F3E365}">
      <text/>
    </comment>
    <comment ref="F3266" authorId="3" shapeId="0" xr:uid="{4DC6B9C7-A826-4663-9AE5-33493BC36FF3}">
      <text/>
    </comment>
    <comment ref="A3268" authorId="3" shapeId="0" xr:uid="{C471EC2C-70D3-4CDF-A61C-5C015EDA7B14}">
      <text>
        <r>
          <rPr>
            <sz val="11"/>
            <color theme="1"/>
            <rFont val="Calibri"/>
            <family val="2"/>
            <scheme val="minor"/>
          </rPr>
          <t>Introduzca un codigo UNSPSC</t>
        </r>
      </text>
    </comment>
    <comment ref="B3268" authorId="3" shapeId="0" xr:uid="{570CE68D-F309-49C0-9799-471BA0DB6C71}">
      <text>
        <r>
          <rPr>
            <sz val="11"/>
            <color theme="1"/>
            <rFont val="Calibri"/>
            <family val="2"/>
            <scheme val="minor"/>
          </rPr>
          <t>Descripción calculada automáticamente a partir de código del artículo</t>
        </r>
      </text>
    </comment>
    <comment ref="C3268" authorId="3" shapeId="0" xr:uid="{5F8A165E-4EF1-4505-B8FB-96C723A929EE}">
      <text>
        <r>
          <rPr>
            <sz val="11"/>
            <color theme="1"/>
            <rFont val="Calibri"/>
            <family val="2"/>
            <scheme val="minor"/>
          </rPr>
          <t>Seleccione un valor de la lista</t>
        </r>
      </text>
    </comment>
    <comment ref="D3268" authorId="3" shapeId="0" xr:uid="{A9A31024-5E19-4F61-98AE-AB040CC8E33A}">
      <text>
        <r>
          <rPr>
            <sz val="11"/>
            <color theme="1"/>
            <rFont val="Calibri"/>
            <family val="2"/>
            <scheme val="minor"/>
          </rPr>
          <t>Introduzca un número con dos decimales como máximo. Debe ser igual o mayor a la "Cantidad Real Consumida"</t>
        </r>
      </text>
    </comment>
    <comment ref="E3268" authorId="3" shapeId="0" xr:uid="{29F0B2B8-EE1D-4DDA-9D09-BC8E4474C428}">
      <text>
        <r>
          <rPr>
            <sz val="11"/>
            <color theme="1"/>
            <rFont val="Calibri"/>
            <family val="2"/>
            <scheme val="minor"/>
          </rPr>
          <t>Introduzca un número con dos decimales como máximo</t>
        </r>
      </text>
    </comment>
    <comment ref="F3268" authorId="3" shapeId="0" xr:uid="{3D64F815-F80E-4AA3-87C7-8E505EB6ED64}">
      <text>
        <r>
          <rPr>
            <sz val="11"/>
            <color theme="1"/>
            <rFont val="Calibri"/>
            <family val="2"/>
            <scheme val="minor"/>
          </rPr>
          <t>Monto calculado automáticamente por el sistema</t>
        </r>
      </text>
    </comment>
    <comment ref="A3279" authorId="3" shapeId="0" xr:uid="{63278368-FC5F-4BFF-B973-58CEF25AD686}">
      <text>
        <r>
          <rPr>
            <sz val="11"/>
            <color theme="1"/>
            <rFont val="Calibri"/>
            <family val="2"/>
            <scheme val="minor"/>
          </rPr>
          <t>Introducir un texto con el nombre o referencia de la contratación</t>
        </r>
      </text>
    </comment>
    <comment ref="B3279" authorId="3" shapeId="0" xr:uid="{383B0CC2-5721-4E19-8781-D53E543FE50A}">
      <text>
        <r>
          <rPr>
            <sz val="11"/>
            <color theme="1"/>
            <rFont val="Calibri"/>
            <family val="2"/>
            <scheme val="minor"/>
          </rPr>
          <t>Introduzca un texto con la finalidad de la contratación</t>
        </r>
      </text>
    </comment>
    <comment ref="C3279" authorId="3" shapeId="0" xr:uid="{7CC7F328-F546-4C66-B209-A29A80C432CB}">
      <text>
        <r>
          <rPr>
            <sz val="11"/>
            <color theme="1"/>
            <rFont val="Calibri"/>
            <family val="2"/>
            <scheme val="minor"/>
          </rPr>
          <t>Seleccionar un valor del listado</t>
        </r>
      </text>
    </comment>
    <comment ref="D3279" authorId="3" shapeId="0" xr:uid="{280EC2E1-CB86-4730-88F4-ABEF295F99F6}">
      <text>
        <r>
          <rPr>
            <sz val="11"/>
            <color theme="1"/>
            <rFont val="Calibri"/>
            <family val="2"/>
            <scheme val="minor"/>
          </rPr>
          <t>Seleccione el tipo de procedimiento</t>
        </r>
      </text>
    </comment>
    <comment ref="E3279" authorId="3" shapeId="0" xr:uid="{9C7CB676-75EC-482B-9C90-D89874DB5E05}">
      <text>
        <r>
          <rPr>
            <sz val="11"/>
            <color theme="1"/>
            <rFont val="Calibri"/>
            <family val="2"/>
            <scheme val="minor"/>
          </rPr>
          <t>Seleccione un valor de la lista</t>
        </r>
      </text>
    </comment>
    <comment ref="F3279" authorId="3" shapeId="0" xr:uid="{C489CF79-C9DA-48F0-BE57-882E37243754}">
      <text>
        <r>
          <rPr>
            <sz val="11"/>
            <color theme="1"/>
            <rFont val="Calibri"/>
            <family val="2"/>
            <scheme val="minor"/>
          </rPr>
          <t>Introduzca el código SNIP</t>
        </r>
      </text>
    </comment>
    <comment ref="C3280" authorId="3" shapeId="0" xr:uid="{B415FDD8-45F8-4DF5-8228-5BD5B29D765A}">
      <text>
        <r>
          <rPr>
            <sz val="11"/>
            <color theme="1"/>
            <rFont val="Calibri"/>
            <family val="2"/>
            <scheme val="minor"/>
          </rPr>
          <t>Introduzca la fecha de inicio del proceso, en formato dd-mm-aaaa</t>
        </r>
      </text>
    </comment>
    <comment ref="F3280" authorId="3" shapeId="0" xr:uid="{B97BC655-D687-4836-95BC-A2BA4AEC81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1" authorId="3" shapeId="0" xr:uid="{2EA6BC6C-DBA8-4FC0-B19F-BD5BDE82CA48}">
      <text/>
    </comment>
    <comment ref="C3282" authorId="3" shapeId="0" xr:uid="{54126ED9-D85B-470B-9DDA-1AF515CDB3EF}">
      <text>
        <r>
          <rPr>
            <sz val="11"/>
            <color theme="1"/>
            <rFont val="Calibri"/>
            <family val="2"/>
            <scheme val="minor"/>
          </rPr>
          <t>Introduzca la fecha prevista de adjudicación, en formato dd-mm-aaaa</t>
        </r>
      </text>
    </comment>
    <comment ref="F3282" authorId="3" shapeId="0" xr:uid="{7F1ED61E-F39C-4530-9A7C-A27DF48FDF07}">
      <text/>
    </comment>
    <comment ref="F3283" authorId="3" shapeId="0" xr:uid="{FAA2919C-21BA-4004-AE74-0189E537CC28}">
      <text/>
    </comment>
    <comment ref="A3285" authorId="3" shapeId="0" xr:uid="{FBF08F8C-8D98-4975-A419-F8120D269B84}">
      <text>
        <r>
          <rPr>
            <sz val="11"/>
            <color theme="1"/>
            <rFont val="Calibri"/>
            <family val="2"/>
            <scheme val="minor"/>
          </rPr>
          <t>Introduzca un codigo UNSPSC</t>
        </r>
      </text>
    </comment>
    <comment ref="B3285" authorId="3" shapeId="0" xr:uid="{E242280C-0FF8-4C48-B198-7E62DECA6B06}">
      <text>
        <r>
          <rPr>
            <sz val="11"/>
            <color theme="1"/>
            <rFont val="Calibri"/>
            <family val="2"/>
            <scheme val="minor"/>
          </rPr>
          <t>Descripción calculada automáticamente a partir de código del artículo</t>
        </r>
      </text>
    </comment>
    <comment ref="C3285" authorId="3" shapeId="0" xr:uid="{D5A6E3D5-C419-4E99-AB5A-D05A104D7E88}">
      <text>
        <r>
          <rPr>
            <sz val="11"/>
            <color theme="1"/>
            <rFont val="Calibri"/>
            <family val="2"/>
            <scheme val="minor"/>
          </rPr>
          <t>Seleccione un valor de la lista</t>
        </r>
      </text>
    </comment>
    <comment ref="D3285" authorId="3" shapeId="0" xr:uid="{20E73879-08AC-4407-AE82-0CEDD9907FBB}">
      <text>
        <r>
          <rPr>
            <sz val="11"/>
            <color theme="1"/>
            <rFont val="Calibri"/>
            <family val="2"/>
            <scheme val="minor"/>
          </rPr>
          <t>Introduzca un número con dos decimales como máximo. Debe ser igual o mayor a la "Cantidad Real Consumida"</t>
        </r>
      </text>
    </comment>
    <comment ref="E3285" authorId="3" shapeId="0" xr:uid="{1B82C1E3-EADD-44A5-8659-BE22690236C1}">
      <text>
        <r>
          <rPr>
            <sz val="11"/>
            <color theme="1"/>
            <rFont val="Calibri"/>
            <family val="2"/>
            <scheme val="minor"/>
          </rPr>
          <t>Introduzca un número con dos decimales como máximo</t>
        </r>
      </text>
    </comment>
    <comment ref="F3285" authorId="3" shapeId="0" xr:uid="{6D8E5CC5-0E2D-4A9B-A137-ABED72579ECE}">
      <text>
        <r>
          <rPr>
            <sz val="11"/>
            <color theme="1"/>
            <rFont val="Calibri"/>
            <family val="2"/>
            <scheme val="minor"/>
          </rPr>
          <t>Monto calculado automáticamente por el sistema</t>
        </r>
      </text>
    </comment>
    <comment ref="A3290" authorId="3" shapeId="0" xr:uid="{A9594033-EDC5-431E-B319-E9A416A4B789}">
      <text>
        <r>
          <rPr>
            <sz val="11"/>
            <color theme="1"/>
            <rFont val="Calibri"/>
            <family val="2"/>
            <scheme val="minor"/>
          </rPr>
          <t>Introducir un texto con el nombre o referencia de la contratación</t>
        </r>
      </text>
    </comment>
    <comment ref="B3290" authorId="3" shapeId="0" xr:uid="{3A383CC4-AAC3-493D-A9B8-AE0847F385A5}">
      <text>
        <r>
          <rPr>
            <sz val="11"/>
            <color theme="1"/>
            <rFont val="Calibri"/>
            <family val="2"/>
            <scheme val="minor"/>
          </rPr>
          <t>Introduzca un texto con la finalidad de la contratación</t>
        </r>
      </text>
    </comment>
    <comment ref="C3290" authorId="3" shapeId="0" xr:uid="{8F7DDA40-4F07-4CC0-B540-C3790A0184AF}">
      <text>
        <r>
          <rPr>
            <sz val="11"/>
            <color theme="1"/>
            <rFont val="Calibri"/>
            <family val="2"/>
            <scheme val="minor"/>
          </rPr>
          <t>Seleccionar un valor del listado</t>
        </r>
      </text>
    </comment>
    <comment ref="D3290" authorId="3" shapeId="0" xr:uid="{01456B9A-F506-4E0F-AEF8-7762AC6E3E3F}">
      <text>
        <r>
          <rPr>
            <sz val="11"/>
            <color theme="1"/>
            <rFont val="Calibri"/>
            <family val="2"/>
            <scheme val="minor"/>
          </rPr>
          <t>Seleccione el tipo de procedimiento</t>
        </r>
      </text>
    </comment>
    <comment ref="E3290" authorId="3" shapeId="0" xr:uid="{FB44AD5F-7E71-4503-8386-E389E8267A51}">
      <text>
        <r>
          <rPr>
            <sz val="11"/>
            <color theme="1"/>
            <rFont val="Calibri"/>
            <family val="2"/>
            <scheme val="minor"/>
          </rPr>
          <t>Seleccione un valor de la lista</t>
        </r>
      </text>
    </comment>
    <comment ref="F3290" authorId="3" shapeId="0" xr:uid="{4663D961-BBD9-49FD-AD5B-C8DC5B556FBF}">
      <text>
        <r>
          <rPr>
            <sz val="11"/>
            <color theme="1"/>
            <rFont val="Calibri"/>
            <family val="2"/>
            <scheme val="minor"/>
          </rPr>
          <t>Introduzca el código SNIP</t>
        </r>
      </text>
    </comment>
    <comment ref="C3291" authorId="3" shapeId="0" xr:uid="{12FBBB7E-4CBD-412E-9667-9531782D0D8C}">
      <text>
        <r>
          <rPr>
            <sz val="11"/>
            <color theme="1"/>
            <rFont val="Calibri"/>
            <family val="2"/>
            <scheme val="minor"/>
          </rPr>
          <t>Introduzca la fecha de inicio del proceso, en formato dd-mm-aaaa</t>
        </r>
      </text>
    </comment>
    <comment ref="F3291" authorId="3" shapeId="0" xr:uid="{051D7F5C-71B4-4964-AF9E-187D6F1D26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2" authorId="3" shapeId="0" xr:uid="{DE2DFA59-5BD3-46B3-AB1E-A29CA6A9DBD4}">
      <text/>
    </comment>
    <comment ref="C3293" authorId="3" shapeId="0" xr:uid="{39924C43-D361-4009-8C35-A47D6AE6FE43}">
      <text>
        <r>
          <rPr>
            <sz val="11"/>
            <color theme="1"/>
            <rFont val="Calibri"/>
            <family val="2"/>
            <scheme val="minor"/>
          </rPr>
          <t>Introduzca la fecha prevista de adjudicación, en formato dd-mm-aaaa</t>
        </r>
      </text>
    </comment>
    <comment ref="F3293" authorId="3" shapeId="0" xr:uid="{4B76FA65-6EA4-4C1A-AEC1-E5A441CC8809}">
      <text/>
    </comment>
    <comment ref="F3294" authorId="3" shapeId="0" xr:uid="{86A7D6ED-F219-4E91-AEFF-3ED82838C9CC}">
      <text/>
    </comment>
    <comment ref="A3296" authorId="3" shapeId="0" xr:uid="{5D8926E5-3931-482C-B54B-8D0A4B79CB7A}">
      <text>
        <r>
          <rPr>
            <sz val="11"/>
            <color theme="1"/>
            <rFont val="Calibri"/>
            <family val="2"/>
            <scheme val="minor"/>
          </rPr>
          <t>Introduzca un codigo UNSPSC</t>
        </r>
      </text>
    </comment>
    <comment ref="B3296" authorId="3" shapeId="0" xr:uid="{477CD88E-473C-410D-AD1C-ED3812471484}">
      <text>
        <r>
          <rPr>
            <sz val="11"/>
            <color theme="1"/>
            <rFont val="Calibri"/>
            <family val="2"/>
            <scheme val="minor"/>
          </rPr>
          <t>Descripción calculada automáticamente a partir de código del artículo</t>
        </r>
      </text>
    </comment>
    <comment ref="C3296" authorId="3" shapeId="0" xr:uid="{19343147-EB3D-48A3-BFD1-A361EC6E2058}">
      <text>
        <r>
          <rPr>
            <sz val="11"/>
            <color theme="1"/>
            <rFont val="Calibri"/>
            <family val="2"/>
            <scheme val="minor"/>
          </rPr>
          <t>Seleccione un valor de la lista</t>
        </r>
      </text>
    </comment>
    <comment ref="D3296" authorId="3" shapeId="0" xr:uid="{7F8DA094-E653-4247-A66A-2D613892A76E}">
      <text>
        <r>
          <rPr>
            <sz val="11"/>
            <color theme="1"/>
            <rFont val="Calibri"/>
            <family val="2"/>
            <scheme val="minor"/>
          </rPr>
          <t>Introduzca un número con dos decimales como máximo. Debe ser igual o mayor a la "Cantidad Real Consumida"</t>
        </r>
      </text>
    </comment>
    <comment ref="E3296" authorId="3" shapeId="0" xr:uid="{566DDD14-99DD-441A-A3A3-0660963CDCDA}">
      <text>
        <r>
          <rPr>
            <sz val="11"/>
            <color theme="1"/>
            <rFont val="Calibri"/>
            <family val="2"/>
            <scheme val="minor"/>
          </rPr>
          <t>Introduzca un número con dos decimales como máximo</t>
        </r>
      </text>
    </comment>
    <comment ref="F3296" authorId="3" shapeId="0" xr:uid="{158CBCF7-B895-4287-95C2-96FA13F0F003}">
      <text>
        <r>
          <rPr>
            <sz val="11"/>
            <color theme="1"/>
            <rFont val="Calibri"/>
            <family val="2"/>
            <scheme val="minor"/>
          </rPr>
          <t>Monto calculado automáticamente por el sistema</t>
        </r>
      </text>
    </comment>
    <comment ref="A3301" authorId="3" shapeId="0" xr:uid="{94154029-A593-46D4-971A-BC03F25EEC78}">
      <text>
        <r>
          <rPr>
            <sz val="11"/>
            <color theme="1"/>
            <rFont val="Calibri"/>
            <family val="2"/>
            <scheme val="minor"/>
          </rPr>
          <t>Introducir un texto con el nombre o referencia de la contratación</t>
        </r>
      </text>
    </comment>
    <comment ref="B3301" authorId="3" shapeId="0" xr:uid="{5B18FE32-64E6-44E0-ACA3-C9D59DB62BF0}">
      <text>
        <r>
          <rPr>
            <sz val="11"/>
            <color theme="1"/>
            <rFont val="Calibri"/>
            <family val="2"/>
            <scheme val="minor"/>
          </rPr>
          <t>Introduzca un texto con la finalidad de la contratación</t>
        </r>
      </text>
    </comment>
    <comment ref="C3301" authorId="3" shapeId="0" xr:uid="{7327E864-2BD3-45D3-BFBF-F32326E43C77}">
      <text>
        <r>
          <rPr>
            <sz val="11"/>
            <color theme="1"/>
            <rFont val="Calibri"/>
            <family val="2"/>
            <scheme val="minor"/>
          </rPr>
          <t>Seleccionar un valor del listado</t>
        </r>
      </text>
    </comment>
    <comment ref="D3301" authorId="3" shapeId="0" xr:uid="{C05E9A37-8FD1-4017-A4B9-84D72E04EC12}">
      <text>
        <r>
          <rPr>
            <sz val="11"/>
            <color theme="1"/>
            <rFont val="Calibri"/>
            <family val="2"/>
            <scheme val="minor"/>
          </rPr>
          <t>Seleccione el tipo de procedimiento</t>
        </r>
      </text>
    </comment>
    <comment ref="E3301" authorId="3" shapeId="0" xr:uid="{0C7AD738-17D4-4E30-9CF8-A364427C3025}">
      <text>
        <r>
          <rPr>
            <sz val="11"/>
            <color theme="1"/>
            <rFont val="Calibri"/>
            <family val="2"/>
            <scheme val="minor"/>
          </rPr>
          <t>Seleccione un valor de la lista</t>
        </r>
      </text>
    </comment>
    <comment ref="F3301" authorId="3" shapeId="0" xr:uid="{449A234E-4EDF-4FBB-8987-A904B934EEAC}">
      <text>
        <r>
          <rPr>
            <sz val="11"/>
            <color theme="1"/>
            <rFont val="Calibri"/>
            <family val="2"/>
            <scheme val="minor"/>
          </rPr>
          <t>Introduzca el código SNIP</t>
        </r>
      </text>
    </comment>
    <comment ref="C3302" authorId="3" shapeId="0" xr:uid="{5C11E22A-2837-40B6-8855-A8E20728F3D5}">
      <text>
        <r>
          <rPr>
            <sz val="11"/>
            <color theme="1"/>
            <rFont val="Calibri"/>
            <family val="2"/>
            <scheme val="minor"/>
          </rPr>
          <t>Introduzca la fecha de inicio del proceso, en formato dd-mm-aaaa</t>
        </r>
      </text>
    </comment>
    <comment ref="F3302" authorId="3" shapeId="0" xr:uid="{1057A95E-0D89-4580-B3F3-F02AF63826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3" authorId="3" shapeId="0" xr:uid="{F5D4589E-E5C9-403B-974B-CFDB323B0EC0}">
      <text/>
    </comment>
    <comment ref="C3304" authorId="3" shapeId="0" xr:uid="{34C5FFE7-C017-4BBB-85CD-7010D46E8D40}">
      <text>
        <r>
          <rPr>
            <sz val="11"/>
            <color theme="1"/>
            <rFont val="Calibri"/>
            <family val="2"/>
            <scheme val="minor"/>
          </rPr>
          <t>Introduzca la fecha prevista de adjudicación, en formato dd-mm-aaaa</t>
        </r>
      </text>
    </comment>
    <comment ref="F3304" authorId="3" shapeId="0" xr:uid="{2E56CCB8-1B2B-423F-9A5D-39904F21B939}">
      <text/>
    </comment>
    <comment ref="F3305" authorId="3" shapeId="0" xr:uid="{FAE1C099-DD61-464B-8D41-C16E2E9824A6}">
      <text/>
    </comment>
    <comment ref="A3307" authorId="3" shapeId="0" xr:uid="{DAEB8E2B-7672-4ADD-908F-1EF55D799D2E}">
      <text>
        <r>
          <rPr>
            <sz val="11"/>
            <color theme="1"/>
            <rFont val="Calibri"/>
            <family val="2"/>
            <scheme val="minor"/>
          </rPr>
          <t>Introduzca un codigo UNSPSC</t>
        </r>
      </text>
    </comment>
    <comment ref="B3307" authorId="3" shapeId="0" xr:uid="{2BBECC00-CCD4-4EE1-BA9A-028316466CF5}">
      <text>
        <r>
          <rPr>
            <sz val="11"/>
            <color theme="1"/>
            <rFont val="Calibri"/>
            <family val="2"/>
            <scheme val="minor"/>
          </rPr>
          <t>Descripción calculada automáticamente a partir de código del artículo</t>
        </r>
      </text>
    </comment>
    <comment ref="C3307" authorId="3" shapeId="0" xr:uid="{5DB39D0C-270C-413D-9DB7-7E657C9910F0}">
      <text>
        <r>
          <rPr>
            <sz val="11"/>
            <color theme="1"/>
            <rFont val="Calibri"/>
            <family val="2"/>
            <scheme val="minor"/>
          </rPr>
          <t>Seleccione un valor de la lista</t>
        </r>
      </text>
    </comment>
    <comment ref="D3307" authorId="3" shapeId="0" xr:uid="{7AB44F24-4F24-4C41-8BF2-C24758F4C335}">
      <text>
        <r>
          <rPr>
            <sz val="11"/>
            <color theme="1"/>
            <rFont val="Calibri"/>
            <family val="2"/>
            <scheme val="minor"/>
          </rPr>
          <t>Introduzca un número con dos decimales como máximo. Debe ser igual o mayor a la "Cantidad Real Consumida"</t>
        </r>
      </text>
    </comment>
    <comment ref="E3307" authorId="3" shapeId="0" xr:uid="{2B89E769-2C90-4FC9-9800-0934D1BFEECA}">
      <text>
        <r>
          <rPr>
            <sz val="11"/>
            <color theme="1"/>
            <rFont val="Calibri"/>
            <family val="2"/>
            <scheme val="minor"/>
          </rPr>
          <t>Introduzca un número con dos decimales como máximo</t>
        </r>
      </text>
    </comment>
    <comment ref="F3307" authorId="3" shapeId="0" xr:uid="{01917E5F-6592-43C7-9B7A-3CADE6EEAAA9}">
      <text>
        <r>
          <rPr>
            <sz val="11"/>
            <color theme="1"/>
            <rFont val="Calibri"/>
            <family val="2"/>
            <scheme val="minor"/>
          </rPr>
          <t>Monto calculado automáticamente por el sistema</t>
        </r>
      </text>
    </comment>
    <comment ref="A3312" authorId="3" shapeId="0" xr:uid="{5FFDCDE4-3508-49BA-8F07-3C11FCB02384}">
      <text>
        <r>
          <rPr>
            <sz val="11"/>
            <color theme="1"/>
            <rFont val="Calibri"/>
            <family val="2"/>
            <scheme val="minor"/>
          </rPr>
          <t>Introducir un texto con el nombre o referencia de la contratación</t>
        </r>
      </text>
    </comment>
    <comment ref="B3312" authorId="3" shapeId="0" xr:uid="{D6F3AB10-940E-4618-9760-9A60B2F45033}">
      <text>
        <r>
          <rPr>
            <sz val="11"/>
            <color theme="1"/>
            <rFont val="Calibri"/>
            <family val="2"/>
            <scheme val="minor"/>
          </rPr>
          <t>Introduzca un texto con la finalidad de la contratación</t>
        </r>
      </text>
    </comment>
    <comment ref="C3312" authorId="3" shapeId="0" xr:uid="{2E971FD8-A340-437B-8C65-56D005EB9311}">
      <text>
        <r>
          <rPr>
            <sz val="11"/>
            <color theme="1"/>
            <rFont val="Calibri"/>
            <family val="2"/>
            <scheme val="minor"/>
          </rPr>
          <t>Seleccionar un valor del listado</t>
        </r>
      </text>
    </comment>
    <comment ref="D3312" authorId="3" shapeId="0" xr:uid="{9EB89416-8483-4511-A6FF-50479EBD798D}">
      <text>
        <r>
          <rPr>
            <sz val="11"/>
            <color theme="1"/>
            <rFont val="Calibri"/>
            <family val="2"/>
            <scheme val="minor"/>
          </rPr>
          <t>Seleccione el tipo de procedimiento</t>
        </r>
      </text>
    </comment>
    <comment ref="E3312" authorId="3" shapeId="0" xr:uid="{2988E608-82D0-4C89-9537-EC4FDA8FFB94}">
      <text>
        <r>
          <rPr>
            <sz val="11"/>
            <color theme="1"/>
            <rFont val="Calibri"/>
            <family val="2"/>
            <scheme val="minor"/>
          </rPr>
          <t>Seleccione un valor de la lista</t>
        </r>
      </text>
    </comment>
    <comment ref="F3312" authorId="3" shapeId="0" xr:uid="{9107FFC3-8F0C-4DF3-B463-96FDB7B13E06}">
      <text>
        <r>
          <rPr>
            <sz val="11"/>
            <color theme="1"/>
            <rFont val="Calibri"/>
            <family val="2"/>
            <scheme val="minor"/>
          </rPr>
          <t>Introduzca el código SNIP</t>
        </r>
      </text>
    </comment>
    <comment ref="C3313" authorId="3" shapeId="0" xr:uid="{09F91CD9-7B3D-40FA-AD50-C4C2E2E85320}">
      <text>
        <r>
          <rPr>
            <sz val="11"/>
            <color theme="1"/>
            <rFont val="Calibri"/>
            <family val="2"/>
            <scheme val="minor"/>
          </rPr>
          <t>Introduzca la fecha de inicio del proceso, en formato dd-mm-aaaa</t>
        </r>
      </text>
    </comment>
    <comment ref="F3313" authorId="3" shapeId="0" xr:uid="{8BA4184D-D17E-4DA5-9727-44C17FC6AD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4" authorId="3" shapeId="0" xr:uid="{C4AD2901-B0FA-422B-8A21-C9E214406C30}">
      <text/>
    </comment>
    <comment ref="C3315" authorId="3" shapeId="0" xr:uid="{DF783CF0-0460-4FF4-85D9-82D821F99CC8}">
      <text>
        <r>
          <rPr>
            <sz val="11"/>
            <color theme="1"/>
            <rFont val="Calibri"/>
            <family val="2"/>
            <scheme val="minor"/>
          </rPr>
          <t>Introduzca la fecha prevista de adjudicación, en formato dd-mm-aaaa</t>
        </r>
      </text>
    </comment>
    <comment ref="F3315" authorId="3" shapeId="0" xr:uid="{12738602-9993-4BA4-879C-C6B552F214A6}">
      <text/>
    </comment>
    <comment ref="F3316" authorId="3" shapeId="0" xr:uid="{36AB933E-B117-4A56-9E4B-865813334733}">
      <text/>
    </comment>
    <comment ref="A3318" authorId="3" shapeId="0" xr:uid="{7BEAE1D3-FCF1-4FDC-99A1-B741140D3E7E}">
      <text>
        <r>
          <rPr>
            <sz val="11"/>
            <color theme="1"/>
            <rFont val="Calibri"/>
            <family val="2"/>
            <scheme val="minor"/>
          </rPr>
          <t>Introduzca un codigo UNSPSC</t>
        </r>
      </text>
    </comment>
    <comment ref="B3318" authorId="3" shapeId="0" xr:uid="{1617106A-B44A-457F-A411-E7C720556FA9}">
      <text>
        <r>
          <rPr>
            <sz val="11"/>
            <color theme="1"/>
            <rFont val="Calibri"/>
            <family val="2"/>
            <scheme val="minor"/>
          </rPr>
          <t>Descripción calculada automáticamente a partir de código del artículo</t>
        </r>
      </text>
    </comment>
    <comment ref="C3318" authorId="3" shapeId="0" xr:uid="{F6859F37-26B5-48D3-84BE-067D23EF370B}">
      <text>
        <r>
          <rPr>
            <sz val="11"/>
            <color theme="1"/>
            <rFont val="Calibri"/>
            <family val="2"/>
            <scheme val="minor"/>
          </rPr>
          <t>Seleccione un valor de la lista</t>
        </r>
      </text>
    </comment>
    <comment ref="D3318" authorId="3" shapeId="0" xr:uid="{04E20501-89DE-4FC7-8024-D9641B03C1FC}">
      <text>
        <r>
          <rPr>
            <sz val="11"/>
            <color theme="1"/>
            <rFont val="Calibri"/>
            <family val="2"/>
            <scheme val="minor"/>
          </rPr>
          <t>Introduzca un número con dos decimales como máximo. Debe ser igual o mayor a la "Cantidad Real Consumida"</t>
        </r>
      </text>
    </comment>
    <comment ref="E3318" authorId="3" shapeId="0" xr:uid="{CF807D9E-7A01-4EE8-BD9D-EB070638CDC4}">
      <text>
        <r>
          <rPr>
            <sz val="11"/>
            <color theme="1"/>
            <rFont val="Calibri"/>
            <family val="2"/>
            <scheme val="minor"/>
          </rPr>
          <t>Introduzca un número con dos decimales como máximo</t>
        </r>
      </text>
    </comment>
    <comment ref="F3318" authorId="3" shapeId="0" xr:uid="{6F85CCC6-F3C2-4D6B-8DA9-79A829C32B51}">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<sst xmlns="http://schemas.openxmlformats.org/spreadsheetml/2006/main" count="27186" uniqueCount="18919">
  <si>
    <t xml:space="preserve">PLAN ANUAL DE COMPRAS Y CONTRATACIONES 
</t>
  </si>
  <si>
    <t>SNCC.F.069</t>
  </si>
  <si>
    <t xml:space="preserve">Capítulo </t>
  </si>
  <si>
    <t>0205</t>
  </si>
  <si>
    <t>Version: 1.0.0</t>
  </si>
  <si>
    <t>Sub Capítulo</t>
  </si>
  <si>
    <t>01</t>
  </si>
  <si>
    <t>Unidad Ejecutora</t>
  </si>
  <si>
    <t>0008</t>
  </si>
  <si>
    <t>Cantidad Procesos Registrados</t>
  </si>
  <si>
    <t xml:space="preserve">Unidad de Compra </t>
  </si>
  <si>
    <t>Tesorería Nacional</t>
  </si>
  <si>
    <t>Monto Estimado Total</t>
  </si>
  <si>
    <t>Código de la Unidad de Compra</t>
  </si>
  <si>
    <t>000222</t>
  </si>
  <si>
    <t xml:space="preserve">Año Fiscal </t>
  </si>
  <si>
    <t>Fecha Aprobación</t>
  </si>
  <si>
    <t/>
  </si>
  <si>
    <t>NOMBRE O REFERENCIA DE CONTRATACIÓN</t>
  </si>
  <si>
    <t>FINALIDAD DE LA CONTRATACIÓN</t>
  </si>
  <si>
    <t>OBJETO DE CONTRATACIÓN</t>
  </si>
  <si>
    <t>PROCEDIMIENTO DE SELECCIÓN</t>
  </si>
  <si>
    <t>DESTINADO A MIPYMES</t>
  </si>
  <si>
    <t>CÓDIGO SNIP</t>
  </si>
  <si>
    <t>Limpieza e higiene</t>
  </si>
  <si>
    <t>Servicio de limpieza e higiene</t>
  </si>
  <si>
    <t>Servicios</t>
  </si>
  <si>
    <t>Compras por debajo del Umbral</t>
  </si>
  <si>
    <t>MIPYME Mujeres</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</si>
  <si>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</si>
  <si>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</si>
  <si>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</si>
  <si>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</si>
  <si>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</si>
  <si>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</si>
  <si>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</si>
  <si>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</si>
  <si>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</si>
  <si>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</si>
  <si>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</si>
  <si>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</si>
  <si>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</si>
  <si>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</si>
  <si>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</si>
  <si>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</si>
  <si>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</si>
  <si>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76101502</t>
  </si>
  <si>
    <t>TOTAL COMPRA ESTIMADA</t>
  </si>
  <si>
    <t>Gestión de eventos</t>
  </si>
  <si>
    <t>Eventos generales.</t>
  </si>
  <si>
    <t>Compras Menores</t>
  </si>
  <si>
    <t>80141607</t>
  </si>
  <si>
    <t>Comparacion de Precios</t>
  </si>
  <si>
    <t>80141902</t>
  </si>
  <si>
    <t>93141701</t>
  </si>
  <si>
    <t>30222304</t>
  </si>
  <si>
    <t>Festividades</t>
  </si>
  <si>
    <t>Festividades,</t>
  </si>
  <si>
    <t>Sí</t>
  </si>
  <si>
    <t>90151801</t>
  </si>
  <si>
    <t>Eventos competitivos</t>
  </si>
  <si>
    <t>Actuaciones deportivas</t>
  </si>
  <si>
    <t>90141502</t>
  </si>
  <si>
    <t>Servicios jurídicos</t>
  </si>
  <si>
    <t>Servicio legalizacion de contratatos.</t>
  </si>
  <si>
    <t>80121704</t>
  </si>
  <si>
    <t>Unidad</t>
  </si>
  <si>
    <t>Servicios de contabilidad y auditoría</t>
  </si>
  <si>
    <t>Servicio de Auditoria para la institución.</t>
  </si>
  <si>
    <t>84111601</t>
  </si>
  <si>
    <t>Servicios de capacitación</t>
  </si>
  <si>
    <t>Servicio de capacitacion, a servidores de la institucion.</t>
  </si>
  <si>
    <t>86101705</t>
  </si>
  <si>
    <t>Servicios de informática y sistemas computarizados</t>
  </si>
  <si>
    <t>Servicio de informatica y sistema computarizado.</t>
  </si>
  <si>
    <t>No</t>
  </si>
  <si>
    <t>81111510</t>
  </si>
  <si>
    <t>Otros servicios técnicos profesionales</t>
  </si>
  <si>
    <t>Otros servicios técnicos.</t>
  </si>
  <si>
    <t>77101801</t>
  </si>
  <si>
    <t>60106004</t>
  </si>
  <si>
    <t>82141504</t>
  </si>
  <si>
    <t>80141602</t>
  </si>
  <si>
    <t>Servicios de comidas a domicilio</t>
  </si>
  <si>
    <t>Servicio de comida empresarial</t>
  </si>
  <si>
    <t>90101802</t>
  </si>
  <si>
    <t>Servicios de cáterin en la obra o lugar de trabajo</t>
  </si>
  <si>
    <t>Servicio de picaderas para reuniones.</t>
  </si>
  <si>
    <t>90101604</t>
  </si>
  <si>
    <t>90101603</t>
  </si>
  <si>
    <t>Alimentos y bebidas para personas</t>
  </si>
  <si>
    <t>Para uso de la institución.</t>
  </si>
  <si>
    <t>Bienes</t>
  </si>
  <si>
    <t>50201706</t>
  </si>
  <si>
    <t>50181905</t>
  </si>
  <si>
    <t>50101538</t>
  </si>
  <si>
    <t>50131801</t>
  </si>
  <si>
    <t>50171903</t>
  </si>
  <si>
    <t>50181901</t>
  </si>
  <si>
    <t>50101634</t>
  </si>
  <si>
    <t>50202301</t>
  </si>
  <si>
    <t>50201711</t>
  </si>
  <si>
    <t>50192301</t>
  </si>
  <si>
    <t>50161813</t>
  </si>
  <si>
    <t>50161814</t>
  </si>
  <si>
    <t>50161509</t>
  </si>
  <si>
    <t>50201714</t>
  </si>
  <si>
    <t>Productos forestales</t>
  </si>
  <si>
    <t xml:space="preserve"> Arreglos y coronas florales.</t>
  </si>
  <si>
    <t>10161707</t>
  </si>
  <si>
    <t>50121802</t>
  </si>
  <si>
    <t>10161905</t>
  </si>
  <si>
    <t>10161705</t>
  </si>
  <si>
    <t>Acabados textiles</t>
  </si>
  <si>
    <t>Banderas para uso de la institucion.</t>
  </si>
  <si>
    <t>55121715</t>
  </si>
  <si>
    <t>52121704</t>
  </si>
  <si>
    <t>52131501</t>
  </si>
  <si>
    <t>52101502</t>
  </si>
  <si>
    <t>53121603</t>
  </si>
  <si>
    <t>52121604</t>
  </si>
  <si>
    <t>Prendas y accesorios de vestir</t>
  </si>
  <si>
    <t>Uniformes corporativos</t>
  </si>
  <si>
    <t>53102710</t>
  </si>
  <si>
    <t>53102508</t>
  </si>
  <si>
    <t>53101602</t>
  </si>
  <si>
    <t>53101502</t>
  </si>
  <si>
    <t>53101604</t>
  </si>
  <si>
    <t>53101504</t>
  </si>
  <si>
    <t>53101804</t>
  </si>
  <si>
    <t>53102513</t>
  </si>
  <si>
    <t>53102503</t>
  </si>
  <si>
    <t>53101802</t>
  </si>
  <si>
    <t>53103001</t>
  </si>
  <si>
    <t>53102505</t>
  </si>
  <si>
    <t>54101511</t>
  </si>
  <si>
    <t>53101801</t>
  </si>
  <si>
    <t>Calzados</t>
  </si>
  <si>
    <t>53111604</t>
  </si>
  <si>
    <t>53111601</t>
  </si>
  <si>
    <t>Papel de escritorio</t>
  </si>
  <si>
    <t>Papel para impresora o fotocopiadora.</t>
  </si>
  <si>
    <t>14111507</t>
  </si>
  <si>
    <t xml:space="preserve">Productos de papel y cartón </t>
  </si>
  <si>
    <t>Productos de artes gráficas</t>
  </si>
  <si>
    <t>Para uso de la institución</t>
  </si>
  <si>
    <t>60121008</t>
  </si>
  <si>
    <t>14111805</t>
  </si>
  <si>
    <t>14111806</t>
  </si>
  <si>
    <t>Libros, revistas y periódicos</t>
  </si>
  <si>
    <t>Libros revistas y periodicos</t>
  </si>
  <si>
    <t>55101504</t>
  </si>
  <si>
    <t>Suscripción Periódicos</t>
  </si>
  <si>
    <t>55101506</t>
  </si>
  <si>
    <t>Textos de enseñanza</t>
  </si>
  <si>
    <t>Para uso de la institucion</t>
  </si>
  <si>
    <t>55101509</t>
  </si>
  <si>
    <t>Especies timbrados y valoradas</t>
  </si>
  <si>
    <t>Estampillas y sellos postales.</t>
  </si>
  <si>
    <t>Licitacion Publica</t>
  </si>
  <si>
    <t>82121508</t>
  </si>
  <si>
    <t>Productos medicinales para uso humano</t>
  </si>
  <si>
    <t>Farmacéuticos para uso de la institucion</t>
  </si>
  <si>
    <t>85121902</t>
  </si>
  <si>
    <t>51142001</t>
  </si>
  <si>
    <t>51142121</t>
  </si>
  <si>
    <t>51142012</t>
  </si>
  <si>
    <t>51161606</t>
  </si>
  <si>
    <t>51142106</t>
  </si>
  <si>
    <t>51161811</t>
  </si>
  <si>
    <t>51151709</t>
  </si>
  <si>
    <t>51191905</t>
  </si>
  <si>
    <t>51171909</t>
  </si>
  <si>
    <t>51241208</t>
  </si>
  <si>
    <t>51102722</t>
  </si>
  <si>
    <t>51102710</t>
  </si>
  <si>
    <t>51171904</t>
  </si>
  <si>
    <t>51101572</t>
  </si>
  <si>
    <t>51101511</t>
  </si>
  <si>
    <t>51101805</t>
  </si>
  <si>
    <t>51161620</t>
  </si>
  <si>
    <t>51191906</t>
  </si>
  <si>
    <t>51101811</t>
  </si>
  <si>
    <t>42312403</t>
  </si>
  <si>
    <t>51181706</t>
  </si>
  <si>
    <t>51181517</t>
  </si>
  <si>
    <t>51161501</t>
  </si>
  <si>
    <t>51161705</t>
  </si>
  <si>
    <t>51181743</t>
  </si>
  <si>
    <t>51151724</t>
  </si>
  <si>
    <t>51142016</t>
  </si>
  <si>
    <t>51101603</t>
  </si>
  <si>
    <t>51142002</t>
  </si>
  <si>
    <t>51151701</t>
  </si>
  <si>
    <t>51131910</t>
  </si>
  <si>
    <t>51172107</t>
  </si>
  <si>
    <t>51102714</t>
  </si>
  <si>
    <t>51142108</t>
  </si>
  <si>
    <t>51142102</t>
  </si>
  <si>
    <t>51102402</t>
  </si>
  <si>
    <t>51151723</t>
  </si>
  <si>
    <t>51101807</t>
  </si>
  <si>
    <t>51142414</t>
  </si>
  <si>
    <t>51171820</t>
  </si>
  <si>
    <t>51131503</t>
  </si>
  <si>
    <t>Cueros</t>
  </si>
  <si>
    <t>11131504</t>
  </si>
  <si>
    <t>Productos de cuero</t>
  </si>
  <si>
    <t>Llantas y neumáticos</t>
  </si>
  <si>
    <t>25172504</t>
  </si>
  <si>
    <t>Artículos de caucho</t>
  </si>
  <si>
    <t>30101816</t>
  </si>
  <si>
    <t>40101503</t>
  </si>
  <si>
    <t>Plástico</t>
  </si>
  <si>
    <t>31181601</t>
  </si>
  <si>
    <t>60121603</t>
  </si>
  <si>
    <t>13101906</t>
  </si>
  <si>
    <t>53121608</t>
  </si>
  <si>
    <t>31261601</t>
  </si>
  <si>
    <t>40142115</t>
  </si>
  <si>
    <t>Cemento</t>
  </si>
  <si>
    <t>30111601</t>
  </si>
  <si>
    <t>Productos de yeso</t>
  </si>
  <si>
    <t>60124320</t>
  </si>
  <si>
    <t>Productos de vidrio</t>
  </si>
  <si>
    <t>60122906</t>
  </si>
  <si>
    <t>30171705</t>
  </si>
  <si>
    <t>Productos de loza</t>
  </si>
  <si>
    <t>30161706</t>
  </si>
  <si>
    <t>Herramientas menores</t>
  </si>
  <si>
    <t>27111509</t>
  </si>
  <si>
    <t>27111906</t>
  </si>
  <si>
    <t>40142315</t>
  </si>
  <si>
    <t>31211904</t>
  </si>
  <si>
    <t>27112502</t>
  </si>
  <si>
    <t>27111602</t>
  </si>
  <si>
    <t>31211906</t>
  </si>
  <si>
    <t>27111907</t>
  </si>
  <si>
    <t>31162804</t>
  </si>
  <si>
    <t>27112813</t>
  </si>
  <si>
    <t>27111704</t>
  </si>
  <si>
    <t>23153012</t>
  </si>
  <si>
    <t>40141735</t>
  </si>
  <si>
    <t>40141610</t>
  </si>
  <si>
    <t>27112601</t>
  </si>
  <si>
    <t>40141720</t>
  </si>
  <si>
    <t>31161507</t>
  </si>
  <si>
    <t>Productos metálicos</t>
  </si>
  <si>
    <t>31162307</t>
  </si>
  <si>
    <t>31161511</t>
  </si>
  <si>
    <t>40142327</t>
  </si>
  <si>
    <t>30102903</t>
  </si>
  <si>
    <t>31231302</t>
  </si>
  <si>
    <t>Piedra, arcilla y arena</t>
  </si>
  <si>
    <t>Piedras, arsillas y arenas</t>
  </si>
  <si>
    <t>11111602</t>
  </si>
  <si>
    <t>Gasolina</t>
  </si>
  <si>
    <t>Uso flotilla vehicular</t>
  </si>
  <si>
    <t>15101506</t>
  </si>
  <si>
    <t>Gasoil</t>
  </si>
  <si>
    <t>15101505</t>
  </si>
  <si>
    <t>Gas licuado de petróleo</t>
  </si>
  <si>
    <t>15111510</t>
  </si>
  <si>
    <t>Aceite motor</t>
  </si>
  <si>
    <t>Uso vehiculos de la institución</t>
  </si>
  <si>
    <t>15121501</t>
  </si>
  <si>
    <t>Productos químicos de uso personal y de laboratorios</t>
  </si>
  <si>
    <t>53131626</t>
  </si>
  <si>
    <t>Pinturas, lacas, barnices, diluyentes y absorbentes para pinturas</t>
  </si>
  <si>
    <t>31211504</t>
  </si>
  <si>
    <t>12191602</t>
  </si>
  <si>
    <t>31211501</t>
  </si>
  <si>
    <t>53131608</t>
  </si>
  <si>
    <t>31211803</t>
  </si>
  <si>
    <t>31211704</t>
  </si>
  <si>
    <t>31201605</t>
  </si>
  <si>
    <t>31211508</t>
  </si>
  <si>
    <t>Otros productos químicos y conexos</t>
  </si>
  <si>
    <t>12141901</t>
  </si>
  <si>
    <t>12181501</t>
  </si>
  <si>
    <t>12352104</t>
  </si>
  <si>
    <t>31201617</t>
  </si>
  <si>
    <t>Útiles y materiales de limpieza e higiene</t>
  </si>
  <si>
    <t>Material para limpieza</t>
  </si>
  <si>
    <t>47131805</t>
  </si>
  <si>
    <t>47131602</t>
  </si>
  <si>
    <t>47131502</t>
  </si>
  <si>
    <t>46181504</t>
  </si>
  <si>
    <t>47131801</t>
  </si>
  <si>
    <t>47131708</t>
  </si>
  <si>
    <t>47131803</t>
  </si>
  <si>
    <t>47131807</t>
  </si>
  <si>
    <t>47131706</t>
  </si>
  <si>
    <t>47131618</t>
  </si>
  <si>
    <t>47131604</t>
  </si>
  <si>
    <t>Útiles y materiales de escritorio, oficina e informática</t>
  </si>
  <si>
    <t>Para uso en impresoras  de la institución</t>
  </si>
  <si>
    <t>44103105</t>
  </si>
  <si>
    <t>43201803</t>
  </si>
  <si>
    <t>43201402</t>
  </si>
  <si>
    <t>44103202</t>
  </si>
  <si>
    <t>44103104</t>
  </si>
  <si>
    <t>44121706</t>
  </si>
  <si>
    <t>44103504</t>
  </si>
  <si>
    <t>44122002</t>
  </si>
  <si>
    <t>44121505</t>
  </si>
  <si>
    <t>44121613</t>
  </si>
  <si>
    <t>44121802</t>
  </si>
  <si>
    <t>31201610</t>
  </si>
  <si>
    <t>44122003</t>
  </si>
  <si>
    <t>44122011</t>
  </si>
  <si>
    <t>14111530</t>
  </si>
  <si>
    <t>41111604</t>
  </si>
  <si>
    <t>44121618</t>
  </si>
  <si>
    <t>31201512</t>
  </si>
  <si>
    <t>44121605</t>
  </si>
  <si>
    <t>44121701</t>
  </si>
  <si>
    <t>44111901</t>
  </si>
  <si>
    <t>44112001</t>
  </si>
  <si>
    <t>44101707</t>
  </si>
  <si>
    <t>44122101</t>
  </si>
  <si>
    <t>44101716</t>
  </si>
  <si>
    <t>44122027</t>
  </si>
  <si>
    <t>44103111</t>
  </si>
  <si>
    <t>32101602</t>
  </si>
  <si>
    <t>43211708</t>
  </si>
  <si>
    <t>43211805</t>
  </si>
  <si>
    <t>44101718</t>
  </si>
  <si>
    <t>44103103</t>
  </si>
  <si>
    <t>Útiles destinados a actividades deportivas, culturales y recreativas</t>
  </si>
  <si>
    <t xml:space="preserve">Para uso de la institución </t>
  </si>
  <si>
    <t>60141111</t>
  </si>
  <si>
    <t>49161503</t>
  </si>
  <si>
    <t>49161521</t>
  </si>
  <si>
    <t>49161520</t>
  </si>
  <si>
    <t>46181701</t>
  </si>
  <si>
    <t>45111802</t>
  </si>
  <si>
    <t>Útiles de cocina y comedor</t>
  </si>
  <si>
    <t>52151501</t>
  </si>
  <si>
    <t>52152104</t>
  </si>
  <si>
    <t>52151707</t>
  </si>
  <si>
    <t>52152004</t>
  </si>
  <si>
    <t>48101916</t>
  </si>
  <si>
    <t>48101815</t>
  </si>
  <si>
    <t>52151704</t>
  </si>
  <si>
    <t>48101909</t>
  </si>
  <si>
    <t>48101905</t>
  </si>
  <si>
    <t>52151602</t>
  </si>
  <si>
    <t>49121505</t>
  </si>
  <si>
    <t>52152001</t>
  </si>
  <si>
    <t>52151702</t>
  </si>
  <si>
    <t>52151709</t>
  </si>
  <si>
    <t>52151705</t>
  </si>
  <si>
    <t>48101803</t>
  </si>
  <si>
    <t>48101808</t>
  </si>
  <si>
    <t>52152006</t>
  </si>
  <si>
    <t>Productos eléctricos y afines</t>
  </si>
  <si>
    <t>Para vehiculos de la institucion</t>
  </si>
  <si>
    <t>26111703</t>
  </si>
  <si>
    <t>39121529</t>
  </si>
  <si>
    <t>25172907</t>
  </si>
  <si>
    <t>32121501</t>
  </si>
  <si>
    <t>39121549</t>
  </si>
  <si>
    <t>39121407</t>
  </si>
  <si>
    <t>26111701</t>
  </si>
  <si>
    <t>39111704</t>
  </si>
  <si>
    <t>39101601</t>
  </si>
  <si>
    <t>26121609</t>
  </si>
  <si>
    <t>39121601</t>
  </si>
  <si>
    <t>39101605</t>
  </si>
  <si>
    <t>26111707</t>
  </si>
  <si>
    <t>26111704</t>
  </si>
  <si>
    <t>60104912</t>
  </si>
  <si>
    <t>39121506</t>
  </si>
  <si>
    <t>39121402</t>
  </si>
  <si>
    <t>26111702</t>
  </si>
  <si>
    <t>39121303</t>
  </si>
  <si>
    <t>26121524</t>
  </si>
  <si>
    <t>39121416</t>
  </si>
  <si>
    <t>31201502</t>
  </si>
  <si>
    <t>Repuestos</t>
  </si>
  <si>
    <t>12161602</t>
  </si>
  <si>
    <t xml:space="preserve">Repuestos </t>
  </si>
  <si>
    <t>39121205</t>
  </si>
  <si>
    <t>25172607</t>
  </si>
  <si>
    <t>26101731</t>
  </si>
  <si>
    <t>40141702</t>
  </si>
  <si>
    <t>40142009</t>
  </si>
  <si>
    <t>40151616</t>
  </si>
  <si>
    <t>25171709</t>
  </si>
  <si>
    <t>27121705</t>
  </si>
  <si>
    <t>31162702</t>
  </si>
  <si>
    <t>30181513</t>
  </si>
  <si>
    <t>26131604</t>
  </si>
  <si>
    <t>Accesorios</t>
  </si>
  <si>
    <t>43211706</t>
  </si>
  <si>
    <t>40161502</t>
  </si>
  <si>
    <t>31231313</t>
  </si>
  <si>
    <t>47131705</t>
  </si>
  <si>
    <t>45121602</t>
  </si>
  <si>
    <t>52161520</t>
  </si>
  <si>
    <t>45121601</t>
  </si>
  <si>
    <t>45121617</t>
  </si>
  <si>
    <t>55121804</t>
  </si>
  <si>
    <t>52161514</t>
  </si>
  <si>
    <t>52161525</t>
  </si>
  <si>
    <t>60111404</t>
  </si>
  <si>
    <t>Productos y Útiles Varios n.i.p</t>
  </si>
  <si>
    <t>Bonos para útiles diversos</t>
  </si>
  <si>
    <t>Bonos para utiles diversos</t>
  </si>
  <si>
    <t>14111608</t>
  </si>
  <si>
    <t>Productos y útiles de defensa y seguridad</t>
  </si>
  <si>
    <t>31162402</t>
  </si>
  <si>
    <t>46171516</t>
  </si>
  <si>
    <t>46171501</t>
  </si>
  <si>
    <t>46181506</t>
  </si>
  <si>
    <t>46181604</t>
  </si>
  <si>
    <t>46181705</t>
  </si>
  <si>
    <t>46171515</t>
  </si>
  <si>
    <t>60131105</t>
  </si>
  <si>
    <t>39121306</t>
  </si>
  <si>
    <t>Muebles, equipos de oficina y estantería</t>
  </si>
  <si>
    <t>56101504</t>
  </si>
  <si>
    <t>44101802</t>
  </si>
  <si>
    <t>24102004</t>
  </si>
  <si>
    <t>43211607</t>
  </si>
  <si>
    <t>43201503</t>
  </si>
  <si>
    <t>43212106</t>
  </si>
  <si>
    <t>81111807</t>
  </si>
  <si>
    <t>43211901</t>
  </si>
  <si>
    <t>43211501</t>
  </si>
  <si>
    <t>43212105</t>
  </si>
  <si>
    <t>56101703</t>
  </si>
  <si>
    <t>56101702</t>
  </si>
  <si>
    <t>44111607</t>
  </si>
  <si>
    <t>56112103</t>
  </si>
  <si>
    <t>56101701</t>
  </si>
  <si>
    <t>56112104</t>
  </si>
  <si>
    <t>56101713</t>
  </si>
  <si>
    <t>56101519</t>
  </si>
  <si>
    <t>56101502</t>
  </si>
  <si>
    <t>Equipos de tecnología de la información y comunicación</t>
  </si>
  <si>
    <t>43211507</t>
  </si>
  <si>
    <t>43211711</t>
  </si>
  <si>
    <t>43211509</t>
  </si>
  <si>
    <t>43222628</t>
  </si>
  <si>
    <t>43212114</t>
  </si>
  <si>
    <t>43211508</t>
  </si>
  <si>
    <t>Electrodomésticos</t>
  </si>
  <si>
    <t>52141501</t>
  </si>
  <si>
    <t>47121604</t>
  </si>
  <si>
    <t>48101521</t>
  </si>
  <si>
    <t>52161505</t>
  </si>
  <si>
    <t>Otros mobiliarios y equipos no identificados precedentemente</t>
  </si>
  <si>
    <t>Equipos y aparatos audiovisuales</t>
  </si>
  <si>
    <t>52161509</t>
  </si>
  <si>
    <t>45111704</t>
  </si>
  <si>
    <t>45111705</t>
  </si>
  <si>
    <t>Cámaras fotográficas y de video</t>
  </si>
  <si>
    <t>45121520</t>
  </si>
  <si>
    <t>45121504</t>
  </si>
  <si>
    <t>45121603</t>
  </si>
  <si>
    <t>Autobuses</t>
  </si>
  <si>
    <t>Subasta Inversa</t>
  </si>
  <si>
    <t>25101502</t>
  </si>
  <si>
    <t>Maquinaria y equipo industrial</t>
  </si>
  <si>
    <t>Mquinaria y equipos industrial</t>
  </si>
  <si>
    <t>23151602</t>
  </si>
  <si>
    <t>44102402</t>
  </si>
  <si>
    <t>40151608</t>
  </si>
  <si>
    <t>40151601</t>
  </si>
  <si>
    <t>40151510</t>
  </si>
  <si>
    <t>Sistemas de climatización</t>
  </si>
  <si>
    <t>40101701</t>
  </si>
  <si>
    <t>40101706</t>
  </si>
  <si>
    <t>40101704</t>
  </si>
  <si>
    <t>Equipo de comunicación, telecomunicaciones y señalización</t>
  </si>
  <si>
    <t>43191504</t>
  </si>
  <si>
    <t>43222819</t>
  </si>
  <si>
    <t>43222612</t>
  </si>
  <si>
    <t>Equipo de generación eléctrica y a fines</t>
  </si>
  <si>
    <t>26101604</t>
  </si>
  <si>
    <t>26131801</t>
  </si>
  <si>
    <t>26131802</t>
  </si>
  <si>
    <t>27112703</t>
  </si>
  <si>
    <t>Equipos de seguridad</t>
  </si>
  <si>
    <t>Programas de informática</t>
  </si>
  <si>
    <t>Programas informaticas</t>
  </si>
  <si>
    <t>Servicios de personalización de obsequios o productos</t>
  </si>
  <si>
    <t>para ser entregadas a el personal de la institución</t>
  </si>
  <si>
    <t>14121503</t>
  </si>
  <si>
    <t>14111611</t>
  </si>
  <si>
    <t>14111704</t>
  </si>
  <si>
    <t>14111703</t>
  </si>
  <si>
    <t>60122503</t>
  </si>
  <si>
    <t>14111705</t>
  </si>
  <si>
    <t>14111604</t>
  </si>
  <si>
    <t>14121806</t>
  </si>
  <si>
    <t>Mantenimiento, reparación, servicios de pintura y sus derivados</t>
  </si>
  <si>
    <t>Insecticidas</t>
  </si>
  <si>
    <t>Insecticidas, para uso de la institución</t>
  </si>
  <si>
    <t>10191509</t>
  </si>
  <si>
    <t>Otros alquileres</t>
  </si>
  <si>
    <t>49121503</t>
  </si>
  <si>
    <t>90111701</t>
  </si>
  <si>
    <t>Útiles menores médico quirúrgicos o de laboratorio</t>
  </si>
  <si>
    <t>42182104</t>
  </si>
  <si>
    <t>42181610</t>
  </si>
  <si>
    <t>42141501</t>
  </si>
  <si>
    <t>42311505</t>
  </si>
  <si>
    <t>42131606</t>
  </si>
  <si>
    <t>42142108</t>
  </si>
  <si>
    <t>42311511</t>
  </si>
  <si>
    <t>42221615</t>
  </si>
  <si>
    <t>42221504</t>
  </si>
  <si>
    <t>42312003</t>
  </si>
  <si>
    <t>42171903</t>
  </si>
  <si>
    <t>41122004</t>
  </si>
  <si>
    <t>42311707</t>
  </si>
  <si>
    <t>41112213</t>
  </si>
  <si>
    <t>42181501</t>
  </si>
  <si>
    <t>42132203</t>
  </si>
  <si>
    <t>42142609</t>
  </si>
  <si>
    <t>42311703</t>
  </si>
  <si>
    <t>Equipo médico y de laboratorio</t>
  </si>
  <si>
    <t>42271802</t>
  </si>
  <si>
    <t>42192210</t>
  </si>
  <si>
    <t>42192207</t>
  </si>
  <si>
    <t>Publicidad y propaganda</t>
  </si>
  <si>
    <t>Publicidad y Propaganda</t>
  </si>
  <si>
    <t>82101503</t>
  </si>
  <si>
    <t>82121503</t>
  </si>
  <si>
    <t>82121505</t>
  </si>
  <si>
    <t>82101504</t>
  </si>
  <si>
    <t>82101905</t>
  </si>
  <si>
    <t>Impresión, encuadernación y rotulación</t>
  </si>
  <si>
    <t>Memorias Institucionales, tarjetas de presentacion, otros</t>
  </si>
  <si>
    <t>73151902</t>
  </si>
  <si>
    <t>82121903</t>
  </si>
  <si>
    <t>49101704</t>
  </si>
  <si>
    <t>82121501</t>
  </si>
  <si>
    <t>Almacenaje</t>
  </si>
  <si>
    <t>Almacenaje documentos de la institucion.</t>
  </si>
  <si>
    <t>78131602</t>
  </si>
  <si>
    <t>Alquileres y rentas de edificaciones y locales</t>
  </si>
  <si>
    <t>Alquileres de parqueos para empleados de la institucion</t>
  </si>
  <si>
    <t>80131502</t>
  </si>
  <si>
    <t>Compra de Licencias Informaticas, para uso de la institucion.</t>
  </si>
  <si>
    <t>43231512</t>
  </si>
  <si>
    <t>43233201</t>
  </si>
  <si>
    <t>Sistemas de seguridad o de control de acceso</t>
  </si>
  <si>
    <t>Servicio de reparacion y mantenimiento control de acceso y edificacion</t>
  </si>
  <si>
    <t>46171619</t>
  </si>
  <si>
    <t>Mantenimiento y reparación de instalaciones eléctricas</t>
  </si>
  <si>
    <t>Servicio de Mantenimiento y reparacion Instalaciones Electricas.</t>
  </si>
  <si>
    <t>72102201</t>
  </si>
  <si>
    <t>Publicidad en periódicos</t>
  </si>
  <si>
    <t>44111516</t>
  </si>
  <si>
    <t>Servicios Técnicos y Profesionales</t>
  </si>
  <si>
    <t>Ingeniería estructural</t>
  </si>
  <si>
    <t>Publicidad Y propaganda</t>
  </si>
  <si>
    <t>publicidad</t>
  </si>
  <si>
    <t>82101801</t>
  </si>
  <si>
    <t>82101602</t>
  </si>
  <si>
    <t>Alquileres de equipos de transporte, tracción y elevación</t>
  </si>
  <si>
    <t>servicio de transporte</t>
  </si>
  <si>
    <t>capacitación</t>
  </si>
  <si>
    <t>otras contrataciones de servicios</t>
  </si>
  <si>
    <t>12181601</t>
  </si>
  <si>
    <t>15121504</t>
  </si>
  <si>
    <t>15121508</t>
  </si>
  <si>
    <t>15121806</t>
  </si>
  <si>
    <t>25174004</t>
  </si>
  <si>
    <t>TAPE</t>
  </si>
  <si>
    <t>31201528</t>
  </si>
  <si>
    <t>31201525</t>
  </si>
  <si>
    <t>31201514</t>
  </si>
  <si>
    <t>52151502</t>
  </si>
  <si>
    <t>52151644</t>
  </si>
  <si>
    <t>CONTENEDOR</t>
  </si>
  <si>
    <t>24101510</t>
  </si>
  <si>
    <t>Equipos e instrumentos de medición científica</t>
  </si>
  <si>
    <t>Detectores de metales para uso de la institución</t>
  </si>
  <si>
    <t>41111903</t>
  </si>
  <si>
    <t>Productos abrasivos</t>
  </si>
  <si>
    <t>lijas para uso de la institución</t>
  </si>
  <si>
    <t>11101502</t>
  </si>
  <si>
    <t>31211908</t>
  </si>
  <si>
    <t>compresor de aire</t>
  </si>
  <si>
    <t xml:space="preserve">compresor de aire para uso de la institución </t>
  </si>
  <si>
    <t>Detectores de armas o explosivos y suministros</t>
  </si>
  <si>
    <t>46151605</t>
  </si>
  <si>
    <t>Servicio de limpieza de pisos</t>
  </si>
  <si>
    <t>72101508</t>
  </si>
  <si>
    <t>Productos y útiles diversos</t>
  </si>
  <si>
    <t>55121727</t>
  </si>
  <si>
    <t>52151604</t>
  </si>
  <si>
    <t>52151620</t>
  </si>
  <si>
    <t>48101809</t>
  </si>
  <si>
    <t>52152010</t>
  </si>
  <si>
    <t>31201501</t>
  </si>
  <si>
    <t>monitoreo de la cantidad de energía</t>
  </si>
  <si>
    <t>83101808</t>
  </si>
  <si>
    <t>Obras para edificación no residencial</t>
  </si>
  <si>
    <t>Obras</t>
  </si>
  <si>
    <t>30222701</t>
  </si>
  <si>
    <t>Servicios de destrucción de documentos</t>
  </si>
  <si>
    <t>80161508</t>
  </si>
  <si>
    <t>Mantenimiento y reparaciones menores en edificaciones</t>
  </si>
  <si>
    <t>ampliación de comedor de la institución</t>
  </si>
  <si>
    <t>Servicios de Mantenimiento de edificios</t>
  </si>
  <si>
    <t>DIBUJO TECNICO</t>
  </si>
  <si>
    <t>Hilados, fibras, telas y útiles de costura</t>
  </si>
  <si>
    <t>11151503</t>
  </si>
  <si>
    <t>11151715</t>
  </si>
  <si>
    <t>11162112</t>
  </si>
  <si>
    <t>11151507</t>
  </si>
  <si>
    <t>11162116</t>
  </si>
  <si>
    <t>Servicios de pintura de interiores</t>
  </si>
  <si>
    <t>72102402</t>
  </si>
  <si>
    <t>Mantenimiento y reparación de muebles y equipos de oficina</t>
  </si>
  <si>
    <t>Servicio de mantenimiento de hardware</t>
  </si>
  <si>
    <t>Fotocopiadoras</t>
  </si>
  <si>
    <t>Para uso de la institucion.</t>
  </si>
  <si>
    <t>44101501</t>
  </si>
  <si>
    <t>Camiones de carga</t>
  </si>
  <si>
    <t>Alquileres</t>
  </si>
  <si>
    <t>25101611</t>
  </si>
  <si>
    <t>Servicios especiales de mantenimiento y reparación</t>
  </si>
  <si>
    <t>Mantenimiento y reparacion en edificaciones.</t>
  </si>
  <si>
    <t>72102802</t>
  </si>
  <si>
    <t>70111703</t>
  </si>
  <si>
    <t>Mantenimiento y reparaciones especiales.</t>
  </si>
  <si>
    <t>81111805</t>
  </si>
  <si>
    <t>72101517</t>
  </si>
  <si>
    <t>Mantenimiento y reparación de equipos médicos, sanitarios y de laboratorio</t>
  </si>
  <si>
    <t>Mantenimiento y repación de equipos sanitarios</t>
  </si>
  <si>
    <t>Asistencia o mantenimiento de servicio de telecomunicaciones</t>
  </si>
  <si>
    <t>Mant. Y Reparación de equipos de comunicación.</t>
  </si>
  <si>
    <t>72102205</t>
  </si>
  <si>
    <t>Mantenimiento y reparación de equipos de transporte, tracción y elevación</t>
  </si>
  <si>
    <t>Mantenimiento y reparación vehiculos de la institucion.</t>
  </si>
  <si>
    <t>78180103</t>
  </si>
  <si>
    <t>78180101</t>
  </si>
  <si>
    <t>76111801</t>
  </si>
  <si>
    <t>Servicios de mantenimiento, reparación, desmonte e instalación de maquinarias y equipos</t>
  </si>
  <si>
    <t>Serv. De mantenimiento, monte y desmonte e instalación.</t>
  </si>
  <si>
    <t>73152101</t>
  </si>
  <si>
    <t>72101509</t>
  </si>
  <si>
    <t>72101511</t>
  </si>
  <si>
    <t>Servicios de exterminación o fumigación</t>
  </si>
  <si>
    <t>Servicio de fumigacion.</t>
  </si>
  <si>
    <t>72102103</t>
  </si>
  <si>
    <t>Servicios de lavandería</t>
  </si>
  <si>
    <t>Servicio de lavanderia.</t>
  </si>
  <si>
    <t>91111502</t>
  </si>
  <si>
    <t>Hospedaje</t>
  </si>
  <si>
    <t>11111611</t>
  </si>
  <si>
    <t xml:space="preserve">Productos abrasivos
</t>
  </si>
  <si>
    <t>42152455</t>
  </si>
  <si>
    <t>23131507</t>
  </si>
  <si>
    <t>Otros equipos de transporte</t>
  </si>
  <si>
    <t>25101801</t>
  </si>
  <si>
    <t>72102602</t>
  </si>
  <si>
    <t>Equipo ferroviario</t>
  </si>
  <si>
    <t>PARA USO DE LA INSTITUCION</t>
  </si>
  <si>
    <t>Mantenimiento y reparación de obras de ingeniería civil o infraestructura</t>
  </si>
  <si>
    <t>PARA LA INSTITUCION</t>
  </si>
  <si>
    <t>Otras contrataciones de servicios</t>
  </si>
  <si>
    <t>para uso de la institucion</t>
  </si>
  <si>
    <t>servicios de comidas a domicilio</t>
  </si>
  <si>
    <t>para servidores de la institucion</t>
  </si>
  <si>
    <t>Muebles de alojamiento</t>
  </si>
  <si>
    <t>autobuses</t>
  </si>
  <si>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</si>
  <si>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</si>
  <si>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</si>
  <si>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</si>
  <si>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</si>
  <si>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</si>
  <si>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</si>
  <si>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</si>
  <si>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</si>
  <si>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</si>
  <si>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</si>
  <si>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</si>
  <si>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</si>
  <si>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</si>
  <si>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</si>
  <si>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</si>
  <si>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</si>
  <si>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</si>
  <si>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</si>
  <si>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</si>
  <si>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</si>
  <si>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</si>
  <si>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</si>
  <si>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</si>
  <si>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</si>
  <si>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</si>
  <si>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</si>
  <si>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</si>
  <si>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</si>
  <si>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</si>
  <si>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</si>
  <si>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</si>
  <si>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</si>
  <si>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</si>
  <si>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</si>
  <si>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</si>
  <si>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</si>
  <si>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</si>
  <si>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</si>
  <si>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</si>
  <si>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</si>
  <si>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</si>
  <si>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</si>
  <si>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</si>
  <si>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</si>
  <si>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</si>
  <si>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</si>
  <si>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</si>
  <si>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</si>
  <si>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</si>
  <si>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</si>
  <si>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</si>
  <si>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</si>
  <si>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</si>
  <si>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</si>
  <si>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</si>
  <si>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</si>
  <si>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</si>
  <si>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</si>
  <si>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</si>
  <si>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</si>
  <si>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</si>
  <si>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</si>
  <si>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</si>
  <si>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</si>
  <si>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</si>
  <si>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</si>
  <si>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</si>
  <si>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</si>
  <si>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</si>
  <si>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</si>
  <si>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</si>
  <si>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</si>
  <si>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</si>
  <si>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</si>
  <si>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</si>
  <si>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</si>
  <si>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</si>
  <si>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</si>
  <si>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</si>
  <si>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</si>
  <si>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</si>
  <si>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</si>
  <si>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</si>
  <si>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</si>
  <si>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</si>
  <si>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</si>
  <si>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</si>
  <si>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</si>
  <si>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</si>
  <si>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</si>
  <si>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</si>
  <si>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</si>
  <si>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</si>
  <si>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</si>
  <si>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Comida húmeda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</si>
  <si>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</si>
  <si>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</si>
  <si>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</si>
  <si>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</si>
  <si>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</si>
  <si>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</si>
  <si>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</si>
  <si>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</si>
  <si>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</si>
  <si>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</si>
  <si>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</si>
  <si>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</si>
  <si>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</si>
  <si>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</si>
  <si>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</si>
  <si>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</si>
  <si>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</si>
  <si>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</si>
  <si>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</si>
  <si>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</si>
  <si>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</si>
  <si>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</si>
  <si>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</si>
  <si>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</si>
  <si>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</si>
  <si>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</si>
  <si>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</si>
  <si>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</si>
  <si>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</si>
  <si>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</si>
  <si>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</si>
  <si>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</si>
  <si>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</si>
  <si>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</si>
  <si>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</si>
  <si>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</si>
  <si>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</si>
  <si>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</si>
  <si>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</si>
  <si>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</si>
  <si>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</si>
  <si>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</si>
  <si>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</si>
  <si>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</si>
  <si>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</si>
  <si>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</si>
  <si>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</si>
  <si>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</si>
  <si>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</si>
  <si>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</si>
  <si>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</si>
  <si>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</si>
  <si>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</si>
  <si>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</si>
  <si>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</si>
  <si>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</si>
  <si>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</si>
  <si>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</si>
  <si>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</si>
  <si>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</si>
  <si>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</si>
  <si>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</si>
  <si>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</si>
  <si>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</si>
  <si>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</si>
  <si>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</si>
  <si>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</si>
  <si>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</si>
  <si>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</si>
  <si>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</si>
  <si>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</si>
  <si>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</si>
  <si>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</si>
  <si>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</si>
  <si>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</si>
  <si>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</si>
  <si>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</si>
  <si>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</si>
  <si>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</si>
  <si>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</si>
  <si>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</si>
  <si>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</si>
  <si>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</si>
  <si>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</si>
  <si>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</si>
  <si>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</si>
  <si>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</si>
  <si>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</si>
  <si>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</si>
  <si>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</si>
  <si>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</si>
  <si>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</si>
  <si>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</si>
  <si>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</si>
  <si>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</si>
  <si>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</si>
  <si>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</si>
  <si>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</si>
  <si>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</si>
  <si>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</si>
  <si>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</si>
  <si>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</si>
  <si>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</si>
  <si>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</si>
  <si>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</si>
  <si>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</si>
  <si>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</si>
  <si>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</si>
  <si>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</si>
  <si>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</si>
  <si>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</si>
  <si>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</si>
  <si>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</si>
  <si>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</si>
  <si>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</si>
  <si>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</si>
  <si>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</si>
  <si>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</si>
  <si>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</si>
  <si>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</si>
  <si>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</si>
  <si>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</si>
  <si>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</si>
  <si>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</si>
  <si>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</si>
  <si>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</si>
  <si>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</si>
  <si>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</si>
  <si>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</si>
  <si>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</si>
  <si>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</si>
  <si>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</si>
  <si>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</si>
  <si>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</si>
  <si>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</si>
  <si>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</si>
  <si>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</si>
  <si>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</si>
  <si>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</si>
  <si>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</si>
  <si>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</si>
  <si>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</si>
  <si>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</si>
  <si>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</si>
  <si>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</si>
  <si>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</si>
  <si>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</si>
  <si>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</si>
  <si>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</si>
  <si>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</si>
  <si>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</si>
  <si>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</si>
  <si>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</si>
  <si>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</si>
  <si>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</si>
  <si>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</si>
  <si>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</si>
  <si>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</si>
  <si>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</si>
  <si>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</si>
  <si>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</si>
  <si>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</si>
  <si>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</si>
  <si>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</si>
  <si>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</si>
  <si>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</si>
  <si>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</si>
  <si>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</si>
  <si>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</si>
  <si>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</si>
  <si>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</si>
  <si>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</si>
  <si>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</si>
  <si>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</si>
  <si>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</si>
  <si>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</si>
  <si>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</si>
  <si>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</si>
  <si>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</si>
  <si>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</si>
  <si>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</si>
  <si>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</si>
  <si>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</si>
  <si>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</si>
  <si>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</si>
  <si>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</si>
  <si>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</si>
  <si>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</si>
  <si>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</si>
  <si>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</si>
  <si>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</si>
  <si>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</si>
  <si>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</si>
  <si>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</si>
  <si>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</si>
  <si>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</si>
  <si>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</si>
  <si>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</si>
  <si>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</si>
  <si>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</si>
  <si>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</si>
  <si>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</si>
  <si>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</si>
  <si>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</si>
  <si>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</si>
  <si>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</si>
  <si>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</si>
  <si>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</si>
  <si>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</si>
  <si>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</si>
  <si>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</si>
  <si>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</si>
  <si>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</si>
  <si>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</si>
  <si>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</si>
  <si>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</si>
  <si>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</si>
  <si>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</si>
  <si>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</si>
  <si>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</si>
  <si>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</si>
  <si>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</si>
  <si>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</si>
  <si>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</si>
  <si>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</si>
  <si>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</si>
  <si>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</si>
  <si>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</si>
  <si>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</si>
  <si>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</si>
  <si>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</si>
  <si>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</si>
  <si>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</si>
  <si>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</si>
  <si>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</si>
  <si>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</si>
  <si>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</si>
  <si>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</si>
  <si>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</si>
  <si>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</si>
  <si>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</si>
  <si>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</si>
  <si>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</si>
  <si>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</si>
  <si>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</si>
  <si>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</si>
  <si>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</si>
  <si>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</si>
  <si>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</si>
  <si>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</si>
  <si>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</si>
  <si>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</si>
  <si>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</si>
  <si>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</si>
  <si>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</si>
  <si>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</si>
  <si>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</si>
  <si>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</si>
  <si>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</si>
  <si>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</si>
  <si>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</si>
  <si>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</si>
  <si>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</si>
  <si>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</si>
  <si>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</si>
  <si>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</si>
  <si>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</si>
  <si>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</si>
  <si>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</si>
  <si>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</si>
  <si>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</si>
  <si>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</si>
  <si>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</si>
  <si>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</si>
  <si>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</si>
  <si>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</si>
  <si>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</si>
  <si>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</si>
  <si>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</si>
  <si>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</si>
  <si>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</si>
  <si>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</si>
  <si>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</si>
  <si>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</si>
  <si>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</si>
  <si>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</si>
  <si>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</si>
  <si>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</si>
  <si>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</si>
  <si>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</si>
  <si>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</si>
  <si>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</si>
  <si>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</si>
  <si>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</si>
  <si>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</si>
  <si>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</si>
  <si>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</si>
  <si>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</si>
  <si>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</si>
  <si>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</si>
  <si>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</si>
  <si>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</si>
  <si>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</si>
  <si>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</si>
  <si>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</si>
  <si>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</si>
  <si>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</si>
  <si>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</si>
  <si>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</si>
  <si>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</si>
  <si>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</si>
  <si>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</si>
  <si>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</si>
  <si>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</si>
  <si>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</si>
  <si>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</si>
  <si>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</si>
  <si>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</si>
  <si>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</si>
  <si>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</si>
  <si>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</si>
  <si>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</si>
  <si>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</si>
  <si>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</si>
  <si>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</si>
  <si>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</si>
  <si>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</si>
  <si>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</si>
  <si>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</si>
  <si>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</si>
  <si>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</si>
  <si>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</si>
  <si>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</si>
  <si>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</si>
  <si>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</si>
  <si>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</si>
  <si>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</si>
  <si>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</si>
  <si>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</si>
  <si>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</si>
  <si>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</si>
  <si>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</si>
  <si>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</si>
  <si>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</si>
  <si>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</si>
  <si>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</si>
  <si>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</si>
  <si>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</si>
  <si>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</si>
  <si>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</si>
  <si>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</si>
  <si>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</si>
  <si>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</si>
  <si>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</si>
  <si>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</si>
  <si>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</si>
  <si>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</si>
  <si>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</si>
  <si>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</si>
  <si>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</si>
  <si>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</si>
  <si>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</si>
  <si>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</si>
  <si>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</si>
  <si>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</si>
  <si>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</si>
  <si>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</si>
  <si>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</si>
  <si>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</si>
  <si>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</si>
  <si>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</si>
  <si>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</si>
  <si>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</si>
  <si>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</si>
  <si>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</si>
  <si>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</si>
  <si>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</si>
  <si>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</si>
  <si>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</si>
  <si>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</si>
  <si>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</si>
  <si>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</si>
  <si>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</si>
  <si>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</si>
  <si>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</si>
  <si>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</si>
  <si>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</si>
  <si>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</si>
  <si>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</si>
  <si>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</si>
  <si>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</si>
  <si>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</si>
  <si>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</si>
  <si>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</si>
  <si>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</si>
  <si>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</si>
  <si>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</si>
  <si>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</si>
  <si>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</si>
  <si>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</si>
  <si>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</si>
  <si>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</si>
  <si>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</si>
  <si>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</si>
  <si>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</si>
  <si>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</si>
  <si>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</si>
  <si>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</si>
  <si>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</si>
  <si>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</si>
  <si>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</si>
  <si>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</si>
  <si>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</si>
  <si>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</si>
  <si>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</si>
  <si>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</si>
  <si>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</si>
  <si>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</si>
  <si>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</si>
  <si>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</si>
  <si>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</si>
  <si>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</si>
  <si>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</si>
  <si>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</si>
  <si>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</si>
  <si>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</si>
  <si>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</si>
  <si>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</si>
  <si>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</si>
  <si>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</si>
  <si>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</si>
  <si>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</si>
  <si>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</si>
  <si>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</si>
  <si>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</si>
  <si>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</si>
  <si>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</si>
  <si>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</si>
  <si>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</si>
  <si>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</si>
  <si>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</si>
  <si>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</si>
  <si>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</si>
  <si>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</si>
  <si>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</si>
  <si>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</si>
  <si>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</si>
  <si>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</si>
  <si>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</si>
  <si>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</si>
  <si>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</si>
  <si>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</si>
  <si>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</si>
  <si>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</si>
  <si>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</si>
  <si>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</si>
  <si>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</si>
  <si>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</si>
  <si>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</si>
  <si>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</si>
  <si>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</si>
  <si>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</si>
  <si>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</si>
  <si>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</si>
  <si>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</si>
  <si>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</si>
  <si>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</si>
  <si>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</si>
  <si>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</si>
  <si>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</si>
  <si>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</si>
  <si>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</si>
  <si>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</si>
  <si>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</si>
  <si>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</si>
  <si>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</si>
  <si>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</si>
  <si>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</si>
  <si>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</si>
  <si>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</si>
  <si>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</si>
  <si>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</si>
  <si>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</si>
  <si>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</si>
  <si>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</si>
  <si>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</si>
  <si>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</si>
  <si>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</si>
  <si>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</si>
  <si>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</si>
  <si>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</si>
  <si>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</si>
  <si>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</si>
  <si>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</si>
  <si>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</si>
  <si>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</si>
  <si>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</si>
  <si>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</si>
  <si>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</si>
  <si>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</si>
  <si>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</si>
  <si>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</si>
  <si>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</si>
  <si>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</si>
  <si>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</si>
  <si>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</si>
  <si>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</si>
  <si>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</si>
  <si>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</si>
  <si>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</si>
  <si>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</si>
  <si>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</si>
  <si>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</si>
  <si>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</si>
  <si>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</si>
  <si>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</si>
  <si>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</si>
  <si>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</si>
  <si>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</si>
  <si>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</si>
  <si>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</si>
  <si>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</si>
  <si>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</si>
  <si>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</si>
  <si>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</si>
  <si>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</si>
  <si>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</si>
  <si>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</si>
  <si>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</si>
  <si>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</si>
  <si>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</si>
  <si>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</si>
  <si>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</si>
  <si>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</si>
  <si>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</si>
  <si>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</si>
  <si>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</si>
  <si>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</si>
  <si>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</si>
  <si>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</si>
  <si>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</si>
  <si>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</si>
  <si>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</si>
  <si>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</si>
  <si>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</si>
  <si>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</si>
  <si>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</si>
  <si>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</si>
  <si>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</si>
  <si>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</si>
  <si>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</si>
  <si>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</si>
  <si>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</si>
  <si>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</si>
  <si>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</si>
  <si>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</si>
  <si>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</si>
  <si>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</si>
  <si>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</si>
  <si>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</si>
  <si>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</si>
  <si>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</si>
  <si>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</si>
  <si>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</si>
  <si>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</si>
  <si>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</si>
  <si>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</si>
  <si>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</si>
  <si>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</si>
  <si>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</si>
  <si>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</si>
  <si>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</si>
  <si>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</si>
  <si>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</si>
  <si>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</si>
  <si>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</si>
  <si>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</si>
  <si>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</si>
  <si>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</si>
  <si>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</si>
  <si>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</si>
  <si>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</si>
  <si>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</si>
  <si>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</si>
  <si>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</si>
  <si>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</si>
  <si>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</si>
  <si>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</si>
  <si>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</si>
  <si>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</si>
  <si>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</si>
  <si>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</si>
  <si>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</si>
  <si>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</si>
  <si>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</si>
  <si>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Aire industrial</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</si>
  <si>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</si>
  <si>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</si>
  <si>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</si>
  <si>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</si>
  <si>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</si>
  <si>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</si>
  <si>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</si>
  <si>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</si>
  <si>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</si>
  <si>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</si>
  <si>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</si>
  <si>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</si>
  <si>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</si>
  <si>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</si>
  <si>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</si>
  <si>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</si>
  <si>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</si>
  <si>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</si>
  <si>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</si>
  <si>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</si>
  <si>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</si>
  <si>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</si>
  <si>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</si>
  <si>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</si>
  <si>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</si>
  <si>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</si>
  <si>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</si>
  <si>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</si>
  <si>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</si>
  <si>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</si>
  <si>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</si>
  <si>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</si>
  <si>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</si>
  <si>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</si>
  <si>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</si>
  <si>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</si>
  <si>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</si>
  <si>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</si>
  <si>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</si>
  <si>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</si>
  <si>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</si>
  <si>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</si>
  <si>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</si>
  <si>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</si>
  <si>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</si>
  <si>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</si>
  <si>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</si>
  <si>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</si>
  <si>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</si>
  <si>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</si>
  <si>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</si>
  <si>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</si>
  <si>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</si>
  <si>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</si>
  <si>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</si>
  <si>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</si>
  <si>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</si>
  <si>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</si>
  <si>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</si>
  <si>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</si>
  <si>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</si>
  <si>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</si>
  <si>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</si>
  <si>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</si>
  <si>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</si>
  <si>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</si>
  <si>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</si>
  <si>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</si>
  <si>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</si>
  <si>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</si>
  <si>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</si>
  <si>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</si>
  <si>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</si>
  <si>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</si>
  <si>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</si>
  <si>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</si>
  <si>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</si>
  <si>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</si>
  <si>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</si>
  <si>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</si>
  <si>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</si>
  <si>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</si>
  <si>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</si>
  <si>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</si>
  <si>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</si>
  <si>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</si>
  <si>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</si>
  <si>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</si>
  <si>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</si>
  <si>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</si>
  <si>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</si>
  <si>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</si>
  <si>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</si>
  <si>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</si>
  <si>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</si>
  <si>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</si>
  <si>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</si>
  <si>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</si>
  <si>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</si>
  <si>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</si>
  <si>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</si>
  <si>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</si>
  <si>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</si>
  <si>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</si>
  <si>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</si>
  <si>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</si>
  <si>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</si>
  <si>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</si>
  <si>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</si>
  <si>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</si>
  <si>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</si>
  <si>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</si>
  <si>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</si>
  <si>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</si>
  <si>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</si>
  <si>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</si>
  <si>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</si>
  <si>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</si>
  <si>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</si>
  <si>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</si>
  <si>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</si>
  <si>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</si>
  <si>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</si>
  <si>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</si>
  <si>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</si>
  <si>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</si>
  <si>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</si>
  <si>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</si>
  <si>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</si>
  <si>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</si>
  <si>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</si>
  <si>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</si>
  <si>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</si>
  <si>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</si>
  <si>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</si>
  <si>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</si>
  <si>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</si>
  <si>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</si>
  <si>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</si>
  <si>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</si>
  <si>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</si>
  <si>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</si>
  <si>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</si>
  <si>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</si>
  <si>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</si>
  <si>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</si>
  <si>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</si>
  <si>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</si>
  <si>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</si>
  <si>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</si>
  <si>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</si>
  <si>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</si>
  <si>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</si>
  <si>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</si>
  <si>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</si>
  <si>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</si>
  <si>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</si>
  <si>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</si>
  <si>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</si>
  <si>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</si>
  <si>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</si>
  <si>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</si>
  <si>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</si>
  <si>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</si>
  <si>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</si>
  <si>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</si>
  <si>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</si>
  <si>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</si>
  <si>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</si>
  <si>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</si>
  <si>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</si>
  <si>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</si>
  <si>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</si>
  <si>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</si>
  <si>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</si>
  <si>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</si>
  <si>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</si>
  <si>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</si>
  <si>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</si>
  <si>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</si>
  <si>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</si>
  <si>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</si>
  <si>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</si>
  <si>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</si>
  <si>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</si>
  <si>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</si>
  <si>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</si>
  <si>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</si>
  <si>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</si>
  <si>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</si>
  <si>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</si>
  <si>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</si>
  <si>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</si>
  <si>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</si>
  <si>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</si>
  <si>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</si>
  <si>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</si>
  <si>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</si>
  <si>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</si>
  <si>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</si>
  <si>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</si>
  <si>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</si>
  <si>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</si>
  <si>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</si>
  <si>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</si>
  <si>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</si>
  <si>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</si>
  <si>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</si>
  <si>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</si>
  <si>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</si>
  <si>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</si>
  <si>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</si>
  <si>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</si>
  <si>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</si>
  <si>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</si>
  <si>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</si>
  <si>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</si>
  <si>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</si>
  <si>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</si>
  <si>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</si>
  <si>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</si>
  <si>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</si>
  <si>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</si>
  <si>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</si>
  <si>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</si>
  <si>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</si>
  <si>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</si>
  <si>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</si>
  <si>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</si>
  <si>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</si>
  <si>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</si>
  <si>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</si>
  <si>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</si>
  <si>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</si>
  <si>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</si>
  <si>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</si>
  <si>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</si>
  <si>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</si>
  <si>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</si>
  <si>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</si>
  <si>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</si>
  <si>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</si>
  <si>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</si>
  <si>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</si>
  <si>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</si>
  <si>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</si>
  <si>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</si>
  <si>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</si>
  <si>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</si>
  <si>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</si>
  <si>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</si>
  <si>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</si>
  <si>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</si>
  <si>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</si>
  <si>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</si>
  <si>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</si>
  <si>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</si>
  <si>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</si>
  <si>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</si>
  <si>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</si>
  <si>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</si>
  <si>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</si>
  <si>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</si>
  <si>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</si>
  <si>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</si>
  <si>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</si>
  <si>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</si>
  <si>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</si>
  <si>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</si>
  <si>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</si>
  <si>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</si>
  <si>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</si>
  <si>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</si>
  <si>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</si>
  <si>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</si>
  <si>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</si>
  <si>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</si>
  <si>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</si>
  <si>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</si>
  <si>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</si>
  <si>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</si>
  <si>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</si>
  <si>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</si>
  <si>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</si>
  <si>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</si>
  <si>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</si>
  <si>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</si>
  <si>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</si>
  <si>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</si>
  <si>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</si>
  <si>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</si>
  <si>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</si>
  <si>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</si>
  <si>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</si>
  <si>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</si>
  <si>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</si>
  <si>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</si>
  <si>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</si>
  <si>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</si>
  <si>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</si>
  <si>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</si>
  <si>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</si>
  <si>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</si>
  <si>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</si>
  <si>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</si>
  <si>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</si>
  <si>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</si>
  <si>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</si>
  <si>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</si>
  <si>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</si>
  <si>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</si>
  <si>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</si>
  <si>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</si>
  <si>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</si>
  <si>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</si>
  <si>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</si>
  <si>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</si>
  <si>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</si>
  <si>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</si>
  <si>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</si>
  <si>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</si>
  <si>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</si>
  <si>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</si>
  <si>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</si>
  <si>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</si>
  <si>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</si>
  <si>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</si>
  <si>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</si>
  <si>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</si>
  <si>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</si>
  <si>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</si>
  <si>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</si>
  <si>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</si>
  <si>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</si>
  <si>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</si>
  <si>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</si>
  <si>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</si>
  <si>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</si>
  <si>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</si>
  <si>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</si>
  <si>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</si>
  <si>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</si>
  <si>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</si>
  <si>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</si>
  <si>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</si>
  <si>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</si>
  <si>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</si>
  <si>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</si>
  <si>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</si>
  <si>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</si>
  <si>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</si>
  <si>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</si>
  <si>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</si>
  <si>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</si>
  <si>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</si>
  <si>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</si>
  <si>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</si>
  <si>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</si>
  <si>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</si>
  <si>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</si>
  <si>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</si>
  <si>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</si>
  <si>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</si>
  <si>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</si>
  <si>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</si>
  <si>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</si>
  <si>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</si>
  <si>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</si>
  <si>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</si>
  <si>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</si>
  <si>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</si>
  <si>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</si>
  <si>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</si>
  <si>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</si>
  <si>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</si>
  <si>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</si>
  <si>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</si>
  <si>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</si>
  <si>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</si>
  <si>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</si>
  <si>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</si>
  <si>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</si>
  <si>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</si>
  <si>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</si>
  <si>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</si>
  <si>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</si>
  <si>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</si>
  <si>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</si>
  <si>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</si>
  <si>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</si>
  <si>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</si>
  <si>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</si>
  <si>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</si>
  <si>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</si>
  <si>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</si>
  <si>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</si>
  <si>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</si>
  <si>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</si>
  <si>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</si>
  <si>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</si>
  <si>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</si>
  <si>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</si>
  <si>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</si>
  <si>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</si>
  <si>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</si>
  <si>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</si>
  <si>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</si>
  <si>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</si>
  <si>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</si>
  <si>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</si>
  <si>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</si>
  <si>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</si>
  <si>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</si>
  <si>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</si>
  <si>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</si>
  <si>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</si>
  <si>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</si>
  <si>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</si>
  <si>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</si>
  <si>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</si>
  <si>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</si>
  <si>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</si>
  <si>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</si>
  <si>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</si>
  <si>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</si>
  <si>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</si>
  <si>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</si>
  <si>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</si>
  <si>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</si>
  <si>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</si>
  <si>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</si>
  <si>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</si>
  <si>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</si>
  <si>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</si>
  <si>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</si>
  <si>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</si>
  <si>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</si>
  <si>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</si>
  <si>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</si>
  <si>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</si>
  <si>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</si>
  <si>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</si>
  <si>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</si>
  <si>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</si>
  <si>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</si>
  <si>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</si>
  <si>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</si>
  <si>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</si>
  <si>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</si>
  <si>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</si>
  <si>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</si>
  <si>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</si>
  <si>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</si>
  <si>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</si>
  <si>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</si>
  <si>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</si>
  <si>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</si>
  <si>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</si>
  <si>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</si>
  <si>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</si>
  <si>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</si>
  <si>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</si>
  <si>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</si>
  <si>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</si>
  <si>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</si>
  <si>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</si>
  <si>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</si>
  <si>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</si>
  <si>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</si>
  <si>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</si>
  <si>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</si>
  <si>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</si>
  <si>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</si>
  <si>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</si>
  <si>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</si>
  <si>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</si>
  <si>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</si>
  <si>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</si>
  <si>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</si>
  <si>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</si>
  <si>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</si>
  <si>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</si>
  <si>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</si>
  <si>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Espesantes de combustible</t>
  </si>
  <si>
    <t>Inhibidores de hielo para sistemas de combustibles</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</si>
  <si>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</si>
  <si>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</si>
  <si>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</si>
  <si>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</si>
  <si>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</si>
  <si>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</si>
  <si>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</si>
  <si>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</si>
  <si>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</si>
  <si>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</si>
  <si>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</si>
  <si>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</si>
  <si>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</si>
  <si>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</si>
  <si>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</si>
  <si>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</si>
  <si>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</si>
  <si>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</si>
  <si>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</si>
  <si>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</si>
  <si>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</si>
  <si>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</si>
  <si>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</si>
  <si>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</si>
  <si>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</si>
  <si>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</si>
  <si>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</si>
  <si>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</si>
  <si>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</si>
  <si>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</si>
  <si>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</si>
  <si>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</si>
  <si>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</si>
  <si>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</si>
  <si>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</si>
  <si>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</si>
  <si>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</si>
  <si>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</si>
  <si>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</si>
  <si>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</si>
  <si>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</si>
  <si>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</si>
  <si>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</si>
  <si>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</si>
  <si>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</si>
  <si>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</si>
  <si>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</si>
  <si>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</si>
  <si>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</si>
  <si>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</si>
  <si>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</si>
  <si>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</si>
  <si>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</si>
  <si>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</si>
  <si>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</si>
  <si>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</si>
  <si>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</si>
  <si>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</si>
  <si>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</si>
  <si>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</si>
  <si>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</si>
  <si>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</si>
  <si>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</si>
  <si>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</si>
  <si>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</si>
  <si>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</si>
  <si>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</si>
  <si>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</si>
  <si>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</si>
  <si>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</si>
  <si>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</si>
  <si>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</si>
  <si>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</si>
  <si>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</si>
  <si>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</si>
  <si>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</si>
  <si>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</si>
  <si>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</si>
  <si>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</si>
  <si>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</si>
  <si>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</si>
  <si>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</si>
  <si>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</si>
  <si>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</si>
  <si>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</si>
  <si>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</si>
  <si>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</si>
  <si>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</si>
  <si>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</si>
  <si>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</si>
  <si>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</si>
  <si>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</si>
  <si>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</si>
  <si>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</si>
  <si>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</si>
  <si>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</si>
  <si>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</si>
  <si>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</si>
  <si>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</si>
  <si>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</si>
  <si>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</si>
  <si>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</si>
  <si>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</si>
  <si>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</si>
  <si>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</si>
  <si>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</si>
  <si>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</si>
  <si>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</si>
  <si>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</si>
  <si>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</si>
  <si>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</si>
  <si>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</si>
  <si>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</si>
  <si>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</si>
  <si>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</si>
  <si>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</si>
  <si>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</si>
  <si>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</si>
  <si>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</si>
  <si>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</si>
  <si>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</si>
  <si>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</si>
  <si>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</si>
  <si>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</si>
  <si>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</si>
  <si>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</si>
  <si>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</si>
  <si>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</si>
  <si>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</si>
  <si>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</si>
  <si>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</si>
  <si>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</si>
  <si>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</si>
  <si>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</si>
  <si>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</si>
  <si>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</si>
  <si>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</si>
  <si>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</si>
  <si>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</si>
  <si>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</si>
  <si>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</si>
  <si>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</si>
  <si>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</si>
  <si>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</si>
  <si>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</si>
  <si>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</si>
  <si>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</si>
  <si>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</si>
  <si>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</si>
  <si>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</si>
  <si>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</si>
  <si>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</si>
  <si>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</si>
  <si>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</si>
  <si>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</si>
  <si>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</si>
  <si>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</si>
  <si>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</si>
  <si>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</si>
  <si>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</si>
  <si>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</si>
  <si>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</si>
  <si>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</si>
  <si>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</si>
  <si>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</si>
  <si>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</si>
  <si>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</si>
  <si>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</si>
  <si>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</si>
  <si>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</si>
  <si>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</si>
  <si>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</si>
  <si>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</si>
  <si>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</si>
  <si>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</si>
  <si>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</si>
  <si>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</si>
  <si>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</si>
  <si>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</si>
  <si>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</si>
  <si>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</si>
  <si>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</si>
  <si>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</si>
  <si>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</si>
  <si>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</si>
  <si>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</si>
  <si>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</si>
  <si>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</si>
  <si>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</si>
  <si>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</si>
  <si>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</si>
  <si>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</si>
  <si>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</si>
  <si>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</si>
  <si>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</si>
  <si>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</si>
  <si>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</si>
  <si>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</si>
  <si>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</si>
  <si>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</si>
  <si>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</si>
  <si>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</si>
  <si>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</si>
  <si>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</si>
  <si>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</si>
  <si>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</si>
  <si>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</si>
  <si>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</si>
  <si>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</si>
  <si>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</si>
  <si>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</si>
  <si>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</si>
  <si>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</si>
  <si>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</si>
  <si>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</si>
  <si>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</si>
  <si>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</si>
  <si>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</si>
  <si>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</si>
  <si>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</si>
  <si>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</si>
  <si>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</si>
  <si>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</si>
  <si>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</si>
  <si>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</si>
  <si>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</si>
  <si>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</si>
  <si>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</si>
  <si>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</si>
  <si>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</si>
  <si>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</si>
  <si>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</si>
  <si>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</si>
  <si>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</si>
  <si>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</si>
  <si>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</si>
  <si>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</si>
  <si>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</si>
  <si>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</si>
  <si>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</si>
  <si>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</si>
  <si>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</si>
  <si>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</si>
  <si>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</si>
  <si>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</si>
  <si>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</si>
  <si>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</si>
  <si>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</si>
  <si>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</si>
  <si>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</si>
  <si>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</si>
  <si>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</si>
  <si>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</si>
  <si>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</si>
  <si>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</si>
  <si>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</si>
  <si>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</si>
  <si>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</si>
  <si>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</si>
  <si>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</si>
  <si>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</si>
  <si>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</si>
  <si>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</si>
  <si>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</si>
  <si>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</si>
  <si>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</si>
  <si>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</si>
  <si>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</si>
  <si>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</si>
  <si>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</si>
  <si>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</si>
  <si>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</si>
  <si>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</si>
  <si>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</si>
  <si>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</si>
  <si>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</si>
  <si>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</si>
  <si>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</si>
  <si>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</si>
  <si>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</si>
  <si>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</si>
  <si>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</si>
  <si>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</si>
  <si>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</si>
  <si>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</si>
  <si>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</si>
  <si>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</si>
  <si>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</si>
  <si>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</si>
  <si>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</si>
  <si>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</si>
  <si>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</si>
  <si>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</si>
  <si>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</si>
  <si>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</si>
  <si>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</si>
  <si>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</si>
  <si>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</si>
  <si>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</si>
  <si>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</si>
  <si>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</si>
  <si>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</si>
  <si>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</si>
  <si>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</si>
  <si>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</si>
  <si>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</si>
  <si>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</si>
  <si>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</si>
  <si>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</si>
  <si>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</si>
  <si>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</si>
  <si>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</si>
  <si>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</si>
  <si>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</si>
  <si>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</si>
  <si>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</si>
  <si>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</si>
  <si>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</si>
  <si>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</si>
  <si>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</si>
  <si>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</si>
  <si>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</si>
  <si>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</si>
  <si>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</si>
  <si>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</si>
  <si>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</si>
  <si>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</si>
  <si>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</si>
  <si>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</si>
  <si>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</si>
  <si>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</si>
  <si>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</si>
  <si>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</si>
  <si>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</si>
  <si>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</si>
  <si>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</si>
  <si>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</si>
  <si>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</si>
  <si>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</si>
  <si>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</si>
  <si>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</si>
  <si>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</si>
  <si>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</si>
  <si>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</si>
  <si>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</si>
  <si>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</si>
  <si>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</si>
  <si>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</si>
  <si>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</si>
  <si>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</si>
  <si>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</si>
  <si>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</si>
  <si>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</si>
  <si>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</si>
  <si>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</si>
  <si>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</si>
  <si>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</si>
  <si>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</si>
  <si>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</si>
  <si>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</si>
  <si>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</si>
  <si>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</si>
  <si>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</si>
  <si>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</si>
  <si>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</si>
  <si>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</si>
  <si>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</si>
  <si>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</si>
  <si>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</si>
  <si>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</si>
  <si>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</si>
  <si>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</si>
  <si>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</si>
  <si>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</si>
  <si>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</si>
  <si>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</si>
  <si>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</si>
  <si>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</si>
  <si>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</si>
  <si>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</si>
  <si>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</si>
  <si>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</si>
  <si>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</si>
  <si>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</si>
  <si>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</si>
  <si>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</si>
  <si>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</si>
  <si>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</si>
  <si>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</si>
  <si>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</si>
  <si>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</si>
  <si>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</si>
  <si>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</si>
  <si>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</si>
  <si>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</si>
  <si>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</si>
  <si>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</si>
  <si>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</si>
  <si>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</si>
  <si>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</si>
  <si>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</si>
  <si>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</si>
  <si>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</si>
  <si>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</si>
  <si>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</si>
  <si>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</si>
  <si>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</si>
  <si>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</si>
  <si>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</si>
  <si>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</si>
  <si>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</si>
  <si>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</si>
  <si>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</si>
  <si>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</si>
  <si>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</si>
  <si>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</si>
  <si>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</si>
  <si>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</si>
  <si>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</si>
  <si>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</si>
  <si>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</si>
  <si>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</si>
  <si>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</si>
  <si>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</si>
  <si>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</si>
  <si>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</si>
  <si>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</si>
  <si>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</si>
  <si>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</si>
  <si>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</si>
  <si>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</si>
  <si>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</si>
  <si>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</si>
  <si>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</si>
  <si>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</si>
  <si>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</si>
  <si>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</si>
  <si>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</si>
  <si>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</si>
  <si>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</si>
  <si>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</si>
  <si>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</si>
  <si>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</si>
  <si>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</si>
  <si>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</si>
  <si>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</si>
  <si>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</si>
  <si>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</si>
  <si>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</si>
  <si>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</si>
  <si>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</si>
  <si>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</si>
  <si>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</si>
  <si>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</si>
  <si>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</si>
  <si>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</si>
  <si>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</si>
  <si>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</si>
  <si>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</si>
  <si>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</si>
  <si>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</si>
  <si>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</si>
  <si>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</si>
  <si>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</si>
  <si>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</si>
  <si>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</si>
  <si>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</si>
  <si>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</si>
  <si>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</si>
  <si>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</si>
  <si>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</si>
  <si>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</si>
  <si>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</si>
  <si>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</si>
  <si>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</si>
  <si>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</si>
  <si>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</si>
  <si>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</si>
  <si>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</si>
  <si>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</si>
  <si>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</si>
  <si>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</si>
  <si>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</si>
  <si>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</si>
  <si>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</si>
  <si>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</si>
  <si>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</si>
  <si>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</si>
  <si>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</si>
  <si>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</si>
  <si>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</si>
  <si>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</si>
  <si>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</si>
  <si>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</si>
  <si>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</si>
  <si>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</si>
  <si>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</si>
  <si>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</si>
  <si>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</si>
  <si>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</si>
  <si>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</si>
  <si>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</si>
  <si>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</si>
  <si>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</si>
  <si>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</si>
  <si>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</si>
  <si>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</si>
  <si>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</si>
  <si>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</si>
  <si>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</si>
  <si>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</si>
  <si>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</si>
  <si>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</si>
  <si>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</si>
  <si>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</si>
  <si>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</si>
  <si>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</si>
  <si>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</si>
  <si>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</si>
  <si>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</si>
  <si>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</si>
  <si>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</si>
  <si>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</si>
  <si>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</si>
  <si>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</si>
  <si>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</si>
  <si>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</si>
  <si>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</si>
  <si>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</si>
  <si>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</si>
  <si>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</si>
  <si>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</si>
  <si>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</si>
  <si>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</si>
  <si>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</si>
  <si>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</si>
  <si>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</si>
  <si>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</si>
  <si>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</si>
  <si>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</si>
  <si>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</si>
  <si>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</si>
  <si>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</si>
  <si>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</si>
  <si>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</si>
  <si>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</si>
  <si>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</si>
  <si>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</si>
  <si>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</si>
  <si>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</si>
  <si>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</si>
  <si>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</si>
  <si>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</si>
  <si>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</si>
  <si>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</si>
  <si>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</si>
  <si>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</si>
  <si>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</si>
  <si>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</si>
  <si>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</si>
  <si>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</si>
  <si>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</si>
  <si>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</si>
  <si>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</si>
  <si>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</si>
  <si>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</si>
  <si>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</si>
  <si>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</si>
  <si>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</si>
  <si>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</si>
  <si>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</si>
  <si>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</si>
  <si>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</si>
  <si>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</si>
  <si>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</si>
  <si>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</si>
  <si>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</si>
  <si>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</si>
  <si>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</si>
  <si>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</si>
  <si>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</si>
  <si>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</si>
  <si>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</si>
  <si>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</si>
  <si>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</si>
  <si>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</si>
  <si>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</si>
  <si>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</si>
  <si>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</si>
  <si>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</si>
  <si>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</si>
  <si>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</si>
  <si>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</si>
  <si>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</si>
  <si>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</si>
  <si>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</si>
  <si>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</si>
  <si>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</si>
  <si>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</si>
  <si>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</si>
  <si>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</si>
  <si>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</si>
  <si>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</si>
  <si>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</si>
  <si>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</si>
  <si>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</si>
  <si>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</si>
  <si>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</si>
  <si>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</si>
  <si>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</si>
  <si>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</si>
  <si>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</si>
  <si>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</si>
  <si>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</si>
  <si>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</si>
  <si>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</si>
  <si>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</si>
  <si>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</si>
  <si>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</si>
  <si>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</si>
  <si>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</si>
  <si>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</si>
  <si>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</si>
  <si>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</si>
  <si>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</si>
  <si>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</si>
  <si>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</si>
  <si>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</si>
  <si>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</si>
  <si>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</si>
  <si>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</si>
  <si>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</si>
  <si>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</si>
  <si>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</si>
  <si>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</si>
  <si>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</si>
  <si>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</si>
  <si>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</si>
  <si>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</si>
  <si>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</si>
  <si>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</si>
  <si>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</si>
  <si>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</si>
  <si>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</si>
  <si>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</si>
  <si>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</si>
  <si>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</si>
  <si>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</si>
  <si>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</si>
  <si>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</si>
  <si>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</si>
  <si>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</si>
  <si>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</si>
  <si>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</si>
  <si>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</si>
  <si>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</si>
  <si>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</si>
  <si>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</si>
  <si>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</si>
  <si>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</si>
  <si>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</si>
  <si>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</si>
  <si>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</si>
  <si>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</si>
  <si>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</si>
  <si>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</si>
  <si>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</si>
  <si>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</si>
  <si>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</si>
  <si>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</si>
  <si>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</si>
  <si>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</si>
  <si>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</si>
  <si>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</si>
  <si>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</si>
  <si>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</si>
  <si>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</si>
  <si>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</si>
  <si>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</si>
  <si>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</si>
  <si>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</si>
  <si>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</si>
  <si>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</si>
  <si>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</si>
  <si>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</si>
  <si>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</si>
  <si>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</si>
  <si>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</si>
  <si>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</si>
  <si>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</si>
  <si>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</si>
  <si>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</si>
  <si>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</si>
  <si>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</si>
  <si>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</si>
  <si>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</si>
  <si>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</si>
  <si>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</si>
  <si>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</si>
  <si>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</si>
  <si>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</si>
  <si>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</si>
  <si>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</si>
  <si>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</si>
  <si>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</si>
  <si>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</si>
  <si>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</si>
  <si>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</si>
  <si>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</si>
  <si>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</si>
  <si>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</si>
  <si>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</si>
  <si>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</si>
  <si>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</si>
  <si>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</si>
  <si>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</si>
  <si>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</si>
  <si>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</si>
  <si>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</si>
  <si>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</si>
  <si>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</si>
  <si>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</si>
  <si>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</si>
  <si>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</si>
  <si>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</si>
  <si>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</si>
  <si>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</si>
  <si>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</si>
  <si>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</si>
  <si>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</si>
  <si>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</si>
  <si>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</si>
  <si>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</si>
  <si>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</si>
  <si>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</si>
  <si>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</si>
  <si>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</si>
  <si>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</si>
  <si>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</si>
  <si>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</si>
  <si>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</si>
  <si>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</si>
  <si>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</si>
  <si>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</si>
  <si>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</si>
  <si>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</si>
  <si>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</si>
  <si>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</si>
  <si>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</si>
  <si>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</si>
  <si>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</si>
  <si>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</si>
  <si>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</si>
  <si>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</si>
  <si>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</si>
  <si>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</si>
  <si>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</si>
  <si>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</si>
  <si>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</si>
  <si>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</si>
  <si>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</si>
  <si>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</si>
  <si>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</si>
  <si>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</si>
  <si>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</si>
  <si>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</si>
  <si>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</si>
  <si>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</si>
  <si>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</si>
  <si>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</si>
  <si>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</si>
  <si>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</si>
  <si>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</si>
  <si>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</si>
  <si>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</si>
  <si>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</si>
  <si>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</si>
  <si>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</si>
  <si>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</si>
  <si>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</si>
  <si>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</si>
  <si>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</si>
  <si>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</si>
  <si>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</si>
  <si>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</si>
  <si>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</si>
  <si>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</si>
  <si>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</si>
  <si>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</si>
  <si>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</si>
  <si>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</si>
  <si>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</si>
  <si>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</si>
  <si>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</si>
  <si>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</si>
  <si>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</si>
  <si>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</si>
  <si>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</si>
  <si>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</si>
  <si>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</si>
  <si>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</si>
  <si>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</si>
  <si>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</si>
  <si>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</si>
  <si>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</si>
  <si>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</si>
  <si>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</si>
  <si>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</si>
  <si>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</si>
  <si>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</si>
  <si>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</si>
  <si>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</si>
  <si>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</si>
  <si>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</si>
  <si>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</si>
  <si>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</si>
  <si>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</si>
  <si>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</si>
  <si>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</si>
  <si>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</si>
  <si>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</si>
  <si>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</si>
  <si>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</si>
  <si>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</si>
  <si>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</si>
  <si>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</si>
  <si>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</si>
  <si>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</si>
  <si>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</si>
  <si>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</si>
  <si>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</si>
  <si>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</si>
  <si>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</si>
  <si>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</si>
  <si>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</si>
  <si>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</si>
  <si>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</si>
  <si>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</si>
  <si>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</si>
  <si>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</si>
  <si>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</si>
  <si>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</si>
  <si>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</si>
  <si>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</si>
  <si>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</si>
  <si>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</si>
  <si>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</si>
  <si>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</si>
  <si>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</si>
  <si>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</si>
  <si>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</si>
  <si>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</si>
  <si>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</si>
  <si>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</si>
  <si>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</si>
  <si>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</si>
  <si>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</si>
  <si>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</si>
  <si>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</si>
  <si>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</si>
  <si>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</si>
  <si>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</si>
  <si>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</si>
  <si>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</si>
  <si>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</si>
  <si>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</si>
  <si>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</si>
  <si>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</si>
  <si>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</si>
  <si>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</si>
  <si>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</si>
  <si>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</si>
  <si>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</si>
  <si>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</si>
  <si>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</si>
  <si>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</si>
  <si>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</si>
  <si>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</si>
  <si>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</si>
  <si>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</si>
  <si>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</si>
  <si>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</si>
  <si>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</si>
  <si>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</si>
  <si>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</si>
  <si>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</si>
  <si>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</si>
  <si>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</si>
  <si>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</si>
  <si>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</si>
  <si>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</si>
  <si>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</si>
  <si>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</si>
  <si>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</si>
  <si>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</si>
  <si>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</si>
  <si>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</si>
  <si>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</si>
  <si>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</si>
  <si>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</si>
  <si>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</si>
  <si>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</si>
  <si>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</si>
  <si>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</si>
  <si>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</si>
  <si>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</si>
  <si>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</si>
  <si>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</si>
  <si>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</si>
  <si>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</si>
  <si>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</si>
  <si>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</si>
  <si>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</si>
  <si>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</si>
  <si>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</si>
  <si>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</si>
  <si>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</si>
  <si>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</si>
  <si>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</si>
  <si>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</si>
  <si>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</si>
  <si>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</si>
  <si>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</si>
  <si>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</si>
  <si>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</si>
  <si>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</si>
  <si>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</si>
  <si>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</si>
  <si>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</si>
  <si>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</si>
  <si>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</si>
  <si>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</si>
  <si>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</si>
  <si>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</si>
  <si>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</si>
  <si>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</si>
  <si>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</si>
  <si>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</si>
  <si>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</si>
  <si>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</si>
  <si>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</si>
  <si>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</si>
  <si>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</si>
  <si>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</si>
  <si>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</si>
  <si>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</si>
  <si>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</si>
  <si>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</si>
  <si>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</si>
  <si>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</si>
  <si>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</si>
  <si>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</si>
  <si>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</si>
  <si>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</si>
  <si>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</si>
  <si>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</si>
  <si>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</si>
  <si>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</si>
  <si>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</si>
  <si>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</si>
  <si>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</si>
  <si>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</si>
  <si>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</si>
  <si>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</si>
  <si>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</si>
  <si>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</si>
  <si>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</si>
  <si>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</si>
  <si>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</si>
  <si>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</si>
  <si>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</si>
  <si>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</si>
  <si>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</si>
  <si>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</si>
  <si>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</si>
  <si>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</si>
  <si>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</si>
  <si>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</si>
  <si>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</si>
  <si>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</si>
  <si>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</si>
  <si>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</si>
  <si>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</si>
  <si>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</si>
  <si>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</si>
  <si>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</si>
  <si>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</si>
  <si>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</si>
  <si>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</si>
  <si>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</si>
  <si>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</si>
  <si>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</si>
  <si>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</si>
  <si>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</si>
  <si>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</si>
  <si>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</si>
  <si>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</si>
  <si>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</si>
  <si>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</si>
  <si>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</si>
  <si>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</si>
  <si>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</si>
  <si>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</si>
  <si>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</si>
  <si>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</si>
  <si>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</si>
  <si>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</si>
  <si>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</si>
  <si>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</si>
  <si>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</si>
  <si>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</si>
  <si>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</si>
  <si>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</si>
  <si>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</si>
  <si>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</si>
  <si>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</si>
  <si>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</si>
  <si>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</si>
  <si>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</si>
  <si>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</si>
  <si>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</si>
  <si>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</si>
  <si>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</si>
  <si>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</si>
  <si>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</si>
  <si>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</si>
  <si>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</si>
  <si>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</si>
  <si>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</si>
  <si>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</si>
  <si>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</si>
  <si>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</si>
  <si>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</si>
  <si>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</si>
  <si>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</si>
  <si>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</si>
  <si>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</si>
  <si>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</si>
  <si>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</si>
  <si>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</si>
  <si>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</si>
  <si>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</si>
  <si>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</si>
  <si>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</si>
  <si>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</si>
  <si>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</si>
  <si>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</si>
  <si>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</si>
  <si>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</si>
  <si>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</si>
  <si>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</si>
  <si>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</si>
  <si>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</si>
  <si>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</si>
  <si>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</si>
  <si>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</si>
  <si>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</si>
  <si>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</si>
  <si>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</si>
  <si>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</si>
  <si>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</si>
  <si>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</si>
  <si>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</si>
  <si>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</si>
  <si>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</si>
  <si>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</si>
  <si>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</si>
  <si>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</si>
  <si>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</si>
  <si>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</si>
  <si>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</si>
  <si>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</si>
  <si>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</si>
  <si>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</si>
  <si>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</si>
  <si>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</si>
  <si>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</si>
  <si>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</si>
  <si>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</si>
  <si>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</si>
  <si>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</si>
  <si>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</si>
  <si>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</si>
  <si>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</si>
  <si>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</si>
  <si>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</si>
  <si>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</si>
  <si>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</si>
  <si>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</si>
  <si>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</si>
  <si>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</si>
  <si>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</si>
  <si>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</si>
  <si>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</si>
  <si>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</si>
  <si>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</si>
  <si>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</si>
  <si>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</si>
  <si>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</si>
  <si>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</si>
  <si>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</si>
  <si>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</si>
  <si>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</si>
  <si>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</si>
  <si>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</si>
  <si>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</si>
  <si>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</si>
  <si>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</si>
  <si>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</si>
  <si>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</si>
  <si>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</si>
  <si>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</si>
  <si>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</si>
  <si>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</si>
  <si>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</si>
  <si>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</si>
  <si>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</si>
  <si>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</si>
  <si>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</si>
  <si>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</si>
  <si>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</si>
  <si>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</si>
  <si>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</si>
  <si>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</si>
  <si>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</si>
  <si>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</si>
  <si>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</si>
  <si>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</si>
  <si>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</si>
  <si>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</si>
  <si>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</si>
  <si>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</si>
  <si>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</si>
  <si>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</si>
  <si>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</si>
  <si>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</si>
  <si>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</si>
  <si>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</si>
  <si>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</si>
  <si>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</si>
  <si>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</si>
  <si>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</si>
  <si>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</si>
  <si>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</si>
  <si>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</si>
  <si>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</si>
  <si>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</si>
  <si>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</si>
  <si>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</si>
  <si>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</si>
  <si>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</si>
  <si>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</si>
  <si>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</si>
  <si>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</si>
  <si>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</si>
  <si>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</si>
  <si>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</si>
  <si>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</si>
  <si>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</si>
  <si>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</si>
  <si>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</si>
  <si>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</si>
  <si>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</si>
  <si>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</si>
  <si>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</si>
  <si>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</si>
  <si>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</si>
  <si>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</si>
  <si>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</si>
  <si>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</si>
  <si>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</si>
  <si>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</si>
  <si>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</si>
  <si>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</si>
  <si>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</si>
  <si>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</si>
  <si>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</si>
  <si>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</si>
  <si>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</si>
  <si>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</si>
  <si>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</si>
  <si>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</si>
  <si>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</si>
  <si>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</si>
  <si>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</si>
  <si>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</si>
  <si>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</si>
  <si>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</si>
  <si>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</si>
  <si>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</si>
  <si>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</si>
  <si>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</si>
  <si>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</si>
  <si>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</si>
  <si>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</si>
  <si>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</si>
  <si>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</si>
  <si>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</si>
  <si>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</si>
  <si>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</si>
  <si>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</si>
  <si>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</si>
  <si>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</si>
  <si>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</si>
  <si>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</si>
  <si>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</si>
  <si>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</si>
  <si>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</si>
  <si>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</si>
  <si>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</si>
  <si>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</si>
  <si>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</si>
  <si>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</si>
  <si>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</si>
  <si>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</si>
  <si>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</si>
  <si>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</si>
  <si>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</si>
  <si>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</si>
  <si>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</si>
  <si>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</si>
  <si>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</si>
  <si>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</si>
  <si>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</si>
  <si>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</si>
  <si>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</si>
  <si>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</si>
  <si>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</si>
  <si>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</si>
  <si>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</si>
  <si>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</si>
  <si>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</si>
  <si>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</si>
  <si>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</si>
  <si>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</si>
  <si>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</si>
  <si>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</si>
  <si>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</si>
  <si>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</si>
  <si>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</si>
  <si>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</si>
  <si>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</si>
  <si>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</si>
  <si>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</si>
  <si>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</si>
  <si>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</si>
  <si>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</si>
  <si>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</si>
  <si>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</si>
  <si>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</si>
  <si>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</si>
  <si>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</si>
  <si>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</si>
  <si>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</si>
  <si>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</si>
  <si>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</si>
  <si>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</si>
  <si>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</si>
  <si>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</si>
  <si>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</si>
  <si>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</si>
  <si>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</si>
  <si>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</si>
  <si>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</si>
  <si>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</si>
  <si>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</si>
  <si>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</si>
  <si>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</si>
  <si>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</si>
  <si>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</si>
  <si>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</si>
  <si>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</si>
  <si>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</si>
  <si>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</si>
  <si>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</si>
  <si>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</si>
  <si>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</si>
  <si>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</si>
  <si>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</si>
  <si>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</si>
  <si>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</si>
  <si>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</si>
  <si>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</si>
  <si>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</si>
  <si>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</si>
  <si>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</si>
  <si>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Caja</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</si>
  <si>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</si>
  <si>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</si>
  <si>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</si>
  <si>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</si>
  <si>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</si>
  <si>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</si>
  <si>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</si>
  <si>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</si>
  <si>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</si>
  <si>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</si>
  <si>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</si>
  <si>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</si>
  <si>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</si>
  <si>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</si>
  <si>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</si>
  <si>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</si>
  <si>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</si>
  <si>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</si>
  <si>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</si>
  <si>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</si>
  <si>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</si>
  <si>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</si>
  <si>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</si>
  <si>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</si>
  <si>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</si>
  <si>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</si>
  <si>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</si>
  <si>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</si>
  <si>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</si>
  <si>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</si>
  <si>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</si>
  <si>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</si>
  <si>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</si>
  <si>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</si>
  <si>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</si>
  <si>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</si>
  <si>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</si>
  <si>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</si>
  <si>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</si>
  <si>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</si>
  <si>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</si>
  <si>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</si>
  <si>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</si>
  <si>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</si>
  <si>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</si>
  <si>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</si>
  <si>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</si>
  <si>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</si>
  <si>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</si>
  <si>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</si>
  <si>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</si>
  <si>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</si>
  <si>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</si>
  <si>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</si>
  <si>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</si>
  <si>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</si>
  <si>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</si>
  <si>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</si>
  <si>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</si>
  <si>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</si>
  <si>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</si>
  <si>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</si>
  <si>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</si>
  <si>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</si>
  <si>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</si>
  <si>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</si>
  <si>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</si>
  <si>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</si>
  <si>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</si>
  <si>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</si>
  <si>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</si>
  <si>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</si>
  <si>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</si>
  <si>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</si>
  <si>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</si>
  <si>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</si>
  <si>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</si>
  <si>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</si>
  <si>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</si>
  <si>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</si>
  <si>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</si>
  <si>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</si>
  <si>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</si>
  <si>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</si>
  <si>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</si>
  <si>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</si>
  <si>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</si>
  <si>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</si>
  <si>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</si>
  <si>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</si>
  <si>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</si>
  <si>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</si>
  <si>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</si>
  <si>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</si>
  <si>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</si>
  <si>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</si>
  <si>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</si>
  <si>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</si>
  <si>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</si>
  <si>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</si>
  <si>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</si>
  <si>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</si>
  <si>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</si>
  <si>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</si>
  <si>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</si>
  <si>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</si>
  <si>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</si>
  <si>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</si>
  <si>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</si>
  <si>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</si>
  <si>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</si>
  <si>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</si>
  <si>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</si>
  <si>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</si>
  <si>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</si>
  <si>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</si>
  <si>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</si>
  <si>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</si>
  <si>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</si>
  <si>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</si>
  <si>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</si>
  <si>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</si>
  <si>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</si>
  <si>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</si>
  <si>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</si>
  <si>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</si>
  <si>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</si>
  <si>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</si>
  <si>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</si>
  <si>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</si>
  <si>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</si>
  <si>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</si>
  <si>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</si>
  <si>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</si>
  <si>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</si>
  <si>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</si>
  <si>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</si>
  <si>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</si>
  <si>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</si>
  <si>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</si>
  <si>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</si>
  <si>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</si>
  <si>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</si>
  <si>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</si>
  <si>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</si>
  <si>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</si>
  <si>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</si>
  <si>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</si>
  <si>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</si>
  <si>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</si>
  <si>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</si>
  <si>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</si>
  <si>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</si>
  <si>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</si>
  <si>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</si>
  <si>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</si>
  <si>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</si>
  <si>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</si>
  <si>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</si>
  <si>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</si>
  <si>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</si>
  <si>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</si>
  <si>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</si>
  <si>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</si>
  <si>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</si>
  <si>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</si>
  <si>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</si>
  <si>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</si>
  <si>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</si>
  <si>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</si>
  <si>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</si>
  <si>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</si>
  <si>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</si>
  <si>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</si>
  <si>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</si>
  <si>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</si>
  <si>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</si>
  <si>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</si>
  <si>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</si>
  <si>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</si>
  <si>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</si>
  <si>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</si>
  <si>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</si>
  <si>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</si>
  <si>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</si>
  <si>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</si>
  <si>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</si>
  <si>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</si>
  <si>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</si>
  <si>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</si>
  <si>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</si>
  <si>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</si>
  <si>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</si>
  <si>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</si>
  <si>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</si>
  <si>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</si>
  <si>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</si>
  <si>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</si>
  <si>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</si>
  <si>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</si>
  <si>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</si>
  <si>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</si>
  <si>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</si>
  <si>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</si>
  <si>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</si>
  <si>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</si>
  <si>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</si>
  <si>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</si>
  <si>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</si>
  <si>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</si>
  <si>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</si>
  <si>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</si>
  <si>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</si>
  <si>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</si>
  <si>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</si>
  <si>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</si>
  <si>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</si>
  <si>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</si>
  <si>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</si>
  <si>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</si>
  <si>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</si>
  <si>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</si>
  <si>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</si>
  <si>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</si>
  <si>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</si>
  <si>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</si>
  <si>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</si>
  <si>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</si>
  <si>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</si>
  <si>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</si>
  <si>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</si>
  <si>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</si>
  <si>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</si>
  <si>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</si>
  <si>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</si>
  <si>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</si>
  <si>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</si>
  <si>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</si>
  <si>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</si>
  <si>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</si>
  <si>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</si>
  <si>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</si>
  <si>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</si>
  <si>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</si>
  <si>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</si>
  <si>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</si>
  <si>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</si>
  <si>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</si>
  <si>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</si>
  <si>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</si>
  <si>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</si>
  <si>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</si>
  <si>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</si>
  <si>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</si>
  <si>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</si>
  <si>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</si>
  <si>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</si>
  <si>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</si>
  <si>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</si>
  <si>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</si>
  <si>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</si>
  <si>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</si>
  <si>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</si>
  <si>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</si>
  <si>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</si>
  <si>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</si>
  <si>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</si>
  <si>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</si>
  <si>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</si>
  <si>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</si>
  <si>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</si>
  <si>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</si>
  <si>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</si>
  <si>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</si>
  <si>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</si>
  <si>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</si>
  <si>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</si>
  <si>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</si>
  <si>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</si>
  <si>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</si>
  <si>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</si>
  <si>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</si>
  <si>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</si>
  <si>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</si>
  <si>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</si>
  <si>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</si>
  <si>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</si>
  <si>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</si>
  <si>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</si>
  <si>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</si>
  <si>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</si>
  <si>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</si>
  <si>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</si>
  <si>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</si>
  <si>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</si>
  <si>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</si>
  <si>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</si>
  <si>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</si>
  <si>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</si>
  <si>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</si>
  <si>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</si>
  <si>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</si>
  <si>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</si>
  <si>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</si>
  <si>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</si>
  <si>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</si>
  <si>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</si>
  <si>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</si>
  <si>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</si>
  <si>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</si>
  <si>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</si>
  <si>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</si>
  <si>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</si>
  <si>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</si>
  <si>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</si>
  <si>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</si>
  <si>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</si>
  <si>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</si>
  <si>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</si>
  <si>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</si>
  <si>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Neumático para llantas de automóviles</t>
  </si>
  <si>
    <t>Llantas para camiones pesados</t>
  </si>
  <si>
    <t>Llantas para automóviles o camionetas</t>
  </si>
  <si>
    <t>Llantas de bicicleta</t>
  </si>
  <si>
    <t>Neumáticos de bicicleta</t>
  </si>
  <si>
    <t>Cordón de llanta</t>
  </si>
  <si>
    <t>Labrado de llanta</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</si>
  <si>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</si>
  <si>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</si>
  <si>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</si>
  <si>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</si>
  <si>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</si>
  <si>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</si>
  <si>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</si>
  <si>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</si>
  <si>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</si>
  <si>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</si>
  <si>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</si>
  <si>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</si>
  <si>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</si>
  <si>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</si>
  <si>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</si>
  <si>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</si>
  <si>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</si>
  <si>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</si>
  <si>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</si>
  <si>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</si>
  <si>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</si>
  <si>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</si>
  <si>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</si>
  <si>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</si>
  <si>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</si>
  <si>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</si>
  <si>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</si>
  <si>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</si>
  <si>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</si>
  <si>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</si>
  <si>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</si>
  <si>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</si>
  <si>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</si>
  <si>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</si>
  <si>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</si>
  <si>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</si>
  <si>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</si>
  <si>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</si>
  <si>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</si>
  <si>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</si>
  <si>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</si>
  <si>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</si>
  <si>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</si>
  <si>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</si>
  <si>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</si>
  <si>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</si>
  <si>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</si>
  <si>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</si>
  <si>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</si>
  <si>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</si>
  <si>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</si>
  <si>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</si>
  <si>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</si>
  <si>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</si>
  <si>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</si>
  <si>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</si>
  <si>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</si>
  <si>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</si>
  <si>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</si>
  <si>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</si>
  <si>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</si>
  <si>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</si>
  <si>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</si>
  <si>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</si>
  <si>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</si>
  <si>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</si>
  <si>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</si>
  <si>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</si>
  <si>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</si>
  <si>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</si>
  <si>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</si>
  <si>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</si>
  <si>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</si>
  <si>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</si>
  <si>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</si>
  <si>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</si>
  <si>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</si>
  <si>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</si>
  <si>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</si>
  <si>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</si>
  <si>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</si>
  <si>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</si>
  <si>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</si>
  <si>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</si>
  <si>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</si>
  <si>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</si>
  <si>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</si>
  <si>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</si>
  <si>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</si>
  <si>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</si>
  <si>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</si>
  <si>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</si>
  <si>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</si>
  <si>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</si>
  <si>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</si>
  <si>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</si>
  <si>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</si>
  <si>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</si>
  <si>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</si>
  <si>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</si>
  <si>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</si>
  <si>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</si>
  <si>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</si>
  <si>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</si>
  <si>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</si>
  <si>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</si>
  <si>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</si>
  <si>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</si>
  <si>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</si>
  <si>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</si>
  <si>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</si>
  <si>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</si>
  <si>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</si>
  <si>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</si>
  <si>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</si>
  <si>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</si>
  <si>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</si>
  <si>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</si>
  <si>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</si>
  <si>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</si>
  <si>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</si>
  <si>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</si>
  <si>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</si>
  <si>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</si>
  <si>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</si>
  <si>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</si>
  <si>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</si>
  <si>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</si>
  <si>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</si>
  <si>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</si>
  <si>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</si>
  <si>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</si>
  <si>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</si>
  <si>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</si>
  <si>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</si>
  <si>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</si>
  <si>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</si>
  <si>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</si>
  <si>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</si>
  <si>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</si>
  <si>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</si>
  <si>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</si>
  <si>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</si>
  <si>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</si>
  <si>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</si>
  <si>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</si>
  <si>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</si>
  <si>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</si>
  <si>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</si>
  <si>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</si>
  <si>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</si>
  <si>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</si>
  <si>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</si>
  <si>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</si>
  <si>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</si>
  <si>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</si>
  <si>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</si>
  <si>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</si>
  <si>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</si>
  <si>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</si>
  <si>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</si>
  <si>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</si>
  <si>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</si>
  <si>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</si>
  <si>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</si>
  <si>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</si>
  <si>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</si>
  <si>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</si>
  <si>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</si>
  <si>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</si>
  <si>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</si>
  <si>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</si>
  <si>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</si>
  <si>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</si>
  <si>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</si>
  <si>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</si>
  <si>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</si>
  <si>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</si>
  <si>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</si>
  <si>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</si>
  <si>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</si>
  <si>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</si>
  <si>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</si>
  <si>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</si>
  <si>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</si>
  <si>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</si>
  <si>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</si>
  <si>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</si>
  <si>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</si>
  <si>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</si>
  <si>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</si>
  <si>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</si>
  <si>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</si>
  <si>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</si>
  <si>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</si>
  <si>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</si>
  <si>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</si>
  <si>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</si>
  <si>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</si>
  <si>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</si>
  <si>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</si>
  <si>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</si>
  <si>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</si>
  <si>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</si>
  <si>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</si>
  <si>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</si>
  <si>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</si>
  <si>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</si>
  <si>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</si>
  <si>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</si>
  <si>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</si>
  <si>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</si>
  <si>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</si>
  <si>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</si>
  <si>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</si>
  <si>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</si>
  <si>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</si>
  <si>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</si>
  <si>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</si>
  <si>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</si>
  <si>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</si>
  <si>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</si>
  <si>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</si>
  <si>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</si>
  <si>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</si>
  <si>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</si>
  <si>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</si>
  <si>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</si>
  <si>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</si>
  <si>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</si>
  <si>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</si>
  <si>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</si>
  <si>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</si>
  <si>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</si>
  <si>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</si>
  <si>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</si>
  <si>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</si>
  <si>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</si>
  <si>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</si>
  <si>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</si>
  <si>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</si>
  <si>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</si>
  <si>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</si>
  <si>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</si>
  <si>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</si>
  <si>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</si>
  <si>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</si>
  <si>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</si>
  <si>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</si>
  <si>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</si>
  <si>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</si>
  <si>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</si>
  <si>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</si>
  <si>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</si>
  <si>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</si>
  <si>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</si>
  <si>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</si>
  <si>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</si>
  <si>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</si>
  <si>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</si>
  <si>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</si>
  <si>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</si>
  <si>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</si>
  <si>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</si>
  <si>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</si>
  <si>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</si>
  <si>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</si>
  <si>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</si>
  <si>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</si>
  <si>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</si>
  <si>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</si>
  <si>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</si>
  <si>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</si>
  <si>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</si>
  <si>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</si>
  <si>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</si>
  <si>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</si>
  <si>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</si>
  <si>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</si>
  <si>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</si>
  <si>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</si>
  <si>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</si>
  <si>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</si>
  <si>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</si>
  <si>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</si>
  <si>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</si>
  <si>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</si>
  <si>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</si>
  <si>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</si>
  <si>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</si>
  <si>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</si>
  <si>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</si>
  <si>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</si>
  <si>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</si>
  <si>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</si>
  <si>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</si>
  <si>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</si>
  <si>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</si>
  <si>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</si>
  <si>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</si>
  <si>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</si>
  <si>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</si>
  <si>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</si>
  <si>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</si>
  <si>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</si>
  <si>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</si>
  <si>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</si>
  <si>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</si>
  <si>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</si>
  <si>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</si>
  <si>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</si>
  <si>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</si>
  <si>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</si>
  <si>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</si>
  <si>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</si>
  <si>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</si>
  <si>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</si>
  <si>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</si>
  <si>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</si>
  <si>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</si>
  <si>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</si>
  <si>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</si>
  <si>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</si>
  <si>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</si>
  <si>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</si>
  <si>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</si>
  <si>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</si>
  <si>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</si>
  <si>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</si>
  <si>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</si>
  <si>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</si>
  <si>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</si>
  <si>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</si>
  <si>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</si>
  <si>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</si>
  <si>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</si>
  <si>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</si>
  <si>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</si>
  <si>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Generadores diesel</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</si>
  <si>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</si>
  <si>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</si>
  <si>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</si>
  <si>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</si>
  <si>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</si>
  <si>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</si>
  <si>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</si>
  <si>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</si>
  <si>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</si>
  <si>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</si>
  <si>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</si>
  <si>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</si>
  <si>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</si>
  <si>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</si>
  <si>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</si>
  <si>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</si>
  <si>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</si>
  <si>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</si>
  <si>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</si>
  <si>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</si>
  <si>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</si>
  <si>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</si>
  <si>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</si>
  <si>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</si>
  <si>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</si>
  <si>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</si>
  <si>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</si>
  <si>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</si>
  <si>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</si>
  <si>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</si>
  <si>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</si>
  <si>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</si>
  <si>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</si>
  <si>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</si>
  <si>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</si>
  <si>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</si>
  <si>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</si>
  <si>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</si>
  <si>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</si>
  <si>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</si>
  <si>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</si>
  <si>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</si>
  <si>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</si>
  <si>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</si>
  <si>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</si>
  <si>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</si>
  <si>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</si>
  <si>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</si>
  <si>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</si>
  <si>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</si>
  <si>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</si>
  <si>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</si>
  <si>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</si>
  <si>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</si>
  <si>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</si>
  <si>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</si>
  <si>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</si>
  <si>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</si>
  <si>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</si>
  <si>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</si>
  <si>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</si>
  <si>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</si>
  <si>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</si>
  <si>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</si>
  <si>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</si>
  <si>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</si>
  <si>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</si>
  <si>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</si>
  <si>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</si>
  <si>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</si>
  <si>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</si>
  <si>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</si>
  <si>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</si>
  <si>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</si>
  <si>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</si>
  <si>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</si>
  <si>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</si>
  <si>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</si>
  <si>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</si>
  <si>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</si>
  <si>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</si>
  <si>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</si>
  <si>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</si>
  <si>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</si>
  <si>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</si>
  <si>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</si>
  <si>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</si>
  <si>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</si>
  <si>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</si>
  <si>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</si>
  <si>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</si>
  <si>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</si>
  <si>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</si>
  <si>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</si>
  <si>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</si>
  <si>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</si>
  <si>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</si>
  <si>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</si>
  <si>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</si>
  <si>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</si>
  <si>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</si>
  <si>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</si>
  <si>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</si>
  <si>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</si>
  <si>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</si>
  <si>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</si>
  <si>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</si>
  <si>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</si>
  <si>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</si>
  <si>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</si>
  <si>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</si>
  <si>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</si>
  <si>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</si>
  <si>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</si>
  <si>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</si>
  <si>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</si>
  <si>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</si>
  <si>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</si>
  <si>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</si>
  <si>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</si>
  <si>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</si>
  <si>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</si>
  <si>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</si>
  <si>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</si>
  <si>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</si>
  <si>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</si>
  <si>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</si>
  <si>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</si>
  <si>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</si>
  <si>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</si>
  <si>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</si>
  <si>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</si>
  <si>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</si>
  <si>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</si>
  <si>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</si>
  <si>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</si>
  <si>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</si>
  <si>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</si>
  <si>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</si>
  <si>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</si>
  <si>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</si>
  <si>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</si>
  <si>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</si>
  <si>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</si>
  <si>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</si>
  <si>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</si>
  <si>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</si>
  <si>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</si>
  <si>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</si>
  <si>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</si>
  <si>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</si>
  <si>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</si>
  <si>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</si>
  <si>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</si>
  <si>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</si>
  <si>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</si>
  <si>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</si>
  <si>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</si>
  <si>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</si>
  <si>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</si>
  <si>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</si>
  <si>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</si>
  <si>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</si>
  <si>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</si>
  <si>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</si>
  <si>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</si>
  <si>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</si>
  <si>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</si>
  <si>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</si>
  <si>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</si>
  <si>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</si>
  <si>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</si>
  <si>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</si>
  <si>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</si>
  <si>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</si>
  <si>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</si>
  <si>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</si>
  <si>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</si>
  <si>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</si>
  <si>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</si>
  <si>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</si>
  <si>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</si>
  <si>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</si>
  <si>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</si>
  <si>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</si>
  <si>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</si>
  <si>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</si>
  <si>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</si>
  <si>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</si>
  <si>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</si>
  <si>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</si>
  <si>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</si>
  <si>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</si>
  <si>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</si>
  <si>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</si>
  <si>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</si>
  <si>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</si>
  <si>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</si>
  <si>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</si>
  <si>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</si>
  <si>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</si>
  <si>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</si>
  <si>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</si>
  <si>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</si>
  <si>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</si>
  <si>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</si>
  <si>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</si>
  <si>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</si>
  <si>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</si>
  <si>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</si>
  <si>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</si>
  <si>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</si>
  <si>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</si>
  <si>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</si>
  <si>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</si>
  <si>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</si>
  <si>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</si>
  <si>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</si>
  <si>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</si>
  <si>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</si>
  <si>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</si>
  <si>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</si>
  <si>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</si>
  <si>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</si>
  <si>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</si>
  <si>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</si>
  <si>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</si>
  <si>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</si>
  <si>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</si>
  <si>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</si>
  <si>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</si>
  <si>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</si>
  <si>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</si>
  <si>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</si>
  <si>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</si>
  <si>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</si>
  <si>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</si>
  <si>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</si>
  <si>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</si>
  <si>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</si>
  <si>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</si>
  <si>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</si>
  <si>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</si>
  <si>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</si>
  <si>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</si>
  <si>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</si>
  <si>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</si>
  <si>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</si>
  <si>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</si>
  <si>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</si>
  <si>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</si>
  <si>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</si>
  <si>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</si>
  <si>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</si>
  <si>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</si>
  <si>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</si>
  <si>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</si>
  <si>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</si>
  <si>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</si>
  <si>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</si>
  <si>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</si>
  <si>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</si>
  <si>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</si>
  <si>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</si>
  <si>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</si>
  <si>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</si>
  <si>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</si>
  <si>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</si>
  <si>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</si>
  <si>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</si>
  <si>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</si>
  <si>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</si>
  <si>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</si>
  <si>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</si>
  <si>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</si>
  <si>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Escalas</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</si>
  <si>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</si>
  <si>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</si>
  <si>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</si>
  <si>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</si>
  <si>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</si>
  <si>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</si>
  <si>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</si>
  <si>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</si>
  <si>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</si>
  <si>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</si>
  <si>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</si>
  <si>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</si>
  <si>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</si>
  <si>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</si>
  <si>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</si>
  <si>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</si>
  <si>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</si>
  <si>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</si>
  <si>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</si>
  <si>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</si>
  <si>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</si>
  <si>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</si>
  <si>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</si>
  <si>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</si>
  <si>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</si>
  <si>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</si>
  <si>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</si>
  <si>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</si>
  <si>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</si>
  <si>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</si>
  <si>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</si>
  <si>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</si>
  <si>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</si>
  <si>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</si>
  <si>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</si>
  <si>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</si>
  <si>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</si>
  <si>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</si>
  <si>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</si>
  <si>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</si>
  <si>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</si>
  <si>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</si>
  <si>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</si>
  <si>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</si>
  <si>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</si>
  <si>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</si>
  <si>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</si>
  <si>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</si>
  <si>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</si>
  <si>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</si>
  <si>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</si>
  <si>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</si>
  <si>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</si>
  <si>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</si>
  <si>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</si>
  <si>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</si>
  <si>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</si>
  <si>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</si>
  <si>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</si>
  <si>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</si>
  <si>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</si>
  <si>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</si>
  <si>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</si>
  <si>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</si>
  <si>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</si>
  <si>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</si>
  <si>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</si>
  <si>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</si>
  <si>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</si>
  <si>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</si>
  <si>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</si>
  <si>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</si>
  <si>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</si>
  <si>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</si>
  <si>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</si>
  <si>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</si>
  <si>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</si>
  <si>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</si>
  <si>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</si>
  <si>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</si>
  <si>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</si>
  <si>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</si>
  <si>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</si>
  <si>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</si>
  <si>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</si>
  <si>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</si>
  <si>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</si>
  <si>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</si>
  <si>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</si>
  <si>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</si>
  <si>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</si>
  <si>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</si>
  <si>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</si>
  <si>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</si>
  <si>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</si>
  <si>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</si>
  <si>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</si>
  <si>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</si>
  <si>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</si>
  <si>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</si>
  <si>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</si>
  <si>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</si>
  <si>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</si>
  <si>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</si>
  <si>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</si>
  <si>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</si>
  <si>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</si>
  <si>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</si>
  <si>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</si>
  <si>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</si>
  <si>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</si>
  <si>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</si>
  <si>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</si>
  <si>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</si>
  <si>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</si>
  <si>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</si>
  <si>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</si>
  <si>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</si>
  <si>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</si>
  <si>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</si>
  <si>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</si>
  <si>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</si>
  <si>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</si>
  <si>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</si>
  <si>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</si>
  <si>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</si>
  <si>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</si>
  <si>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</si>
  <si>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</si>
  <si>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</si>
  <si>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</si>
  <si>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</si>
  <si>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</si>
  <si>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</si>
  <si>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</si>
  <si>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</si>
  <si>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</si>
  <si>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</si>
  <si>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</si>
  <si>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</si>
  <si>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</si>
  <si>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</si>
  <si>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</si>
  <si>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</si>
  <si>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</si>
  <si>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</si>
  <si>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</si>
  <si>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</si>
  <si>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</si>
  <si>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</si>
  <si>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</si>
  <si>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</si>
  <si>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</si>
  <si>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</si>
  <si>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</si>
  <si>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</si>
  <si>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</si>
  <si>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</si>
  <si>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</si>
  <si>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</si>
  <si>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</si>
  <si>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</si>
  <si>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</si>
  <si>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</si>
  <si>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</si>
  <si>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</si>
  <si>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</si>
  <si>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</si>
  <si>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</si>
  <si>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</si>
  <si>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</si>
  <si>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</si>
  <si>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</si>
  <si>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</si>
  <si>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</si>
  <si>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</si>
  <si>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</si>
  <si>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</si>
  <si>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</si>
  <si>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</si>
  <si>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</si>
  <si>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</si>
  <si>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</si>
  <si>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</si>
  <si>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</si>
  <si>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</si>
  <si>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</si>
  <si>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</si>
  <si>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</si>
  <si>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</si>
  <si>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</si>
  <si>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</si>
  <si>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</si>
  <si>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</si>
  <si>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</si>
  <si>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</si>
  <si>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</si>
  <si>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</si>
  <si>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</si>
  <si>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</si>
  <si>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</si>
  <si>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</si>
  <si>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</si>
  <si>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</si>
  <si>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</si>
  <si>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</si>
  <si>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</si>
  <si>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</si>
  <si>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</si>
  <si>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</si>
  <si>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</si>
  <si>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</si>
  <si>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</si>
  <si>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</si>
  <si>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</si>
  <si>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</si>
  <si>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</si>
  <si>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</si>
  <si>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</si>
  <si>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</si>
  <si>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</si>
  <si>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</si>
  <si>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</si>
  <si>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</si>
  <si>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</si>
  <si>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</si>
  <si>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</si>
  <si>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</si>
  <si>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</si>
  <si>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</si>
  <si>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</si>
  <si>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</si>
  <si>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</si>
  <si>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</si>
  <si>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</si>
  <si>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</si>
  <si>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</si>
  <si>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</si>
  <si>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</si>
  <si>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</si>
  <si>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</si>
  <si>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</si>
  <si>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</si>
  <si>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</si>
  <si>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</si>
  <si>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</si>
  <si>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</si>
  <si>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</si>
  <si>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</si>
  <si>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</si>
  <si>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</si>
  <si>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</si>
  <si>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</si>
  <si>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</si>
  <si>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</si>
  <si>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</si>
  <si>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</si>
  <si>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</si>
  <si>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</si>
  <si>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</si>
  <si>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</si>
  <si>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</si>
  <si>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</si>
  <si>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</si>
  <si>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</si>
  <si>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</si>
  <si>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</si>
  <si>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</si>
  <si>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</si>
  <si>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</si>
  <si>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</si>
  <si>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</si>
  <si>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</si>
  <si>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</si>
  <si>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</si>
  <si>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</si>
  <si>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</si>
  <si>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</si>
  <si>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</si>
  <si>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</si>
  <si>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</si>
  <si>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</si>
  <si>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</si>
  <si>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</si>
  <si>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</si>
  <si>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</si>
  <si>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</si>
  <si>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</si>
  <si>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</si>
  <si>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</si>
  <si>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</si>
  <si>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</si>
  <si>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</si>
  <si>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</si>
  <si>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</si>
  <si>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</si>
  <si>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</si>
  <si>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</si>
  <si>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</si>
  <si>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</si>
  <si>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</si>
  <si>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</si>
  <si>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</si>
  <si>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</si>
  <si>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</si>
  <si>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</si>
  <si>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</si>
  <si>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</si>
  <si>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</si>
  <si>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</si>
  <si>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</si>
  <si>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</si>
  <si>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</si>
  <si>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</si>
  <si>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</si>
  <si>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</si>
  <si>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</si>
  <si>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</si>
  <si>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</si>
  <si>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</si>
  <si>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</si>
  <si>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</si>
  <si>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</si>
  <si>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</si>
  <si>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</si>
  <si>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</si>
  <si>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</si>
  <si>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</si>
  <si>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</si>
  <si>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</si>
  <si>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</si>
  <si>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</si>
  <si>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</si>
  <si>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</si>
  <si>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</si>
  <si>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</si>
  <si>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</si>
  <si>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</si>
  <si>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</si>
  <si>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</si>
  <si>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</si>
  <si>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</si>
  <si>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</si>
  <si>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</si>
  <si>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</si>
  <si>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</si>
  <si>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</si>
  <si>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</si>
  <si>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</si>
  <si>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</si>
  <si>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</si>
  <si>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</si>
  <si>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</si>
  <si>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</si>
  <si>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</si>
  <si>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</si>
  <si>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</si>
  <si>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</si>
  <si>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</si>
  <si>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</si>
  <si>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</si>
  <si>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</si>
  <si>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</si>
  <si>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</si>
  <si>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</si>
  <si>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</si>
  <si>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</si>
  <si>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</si>
  <si>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</si>
  <si>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</si>
  <si>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</si>
  <si>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</si>
  <si>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</si>
  <si>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</si>
  <si>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</si>
  <si>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</si>
  <si>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</si>
  <si>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</si>
  <si>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</si>
  <si>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</si>
  <si>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</si>
  <si>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</si>
  <si>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</si>
  <si>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</si>
  <si>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</si>
  <si>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</si>
  <si>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</si>
  <si>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</si>
  <si>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</si>
  <si>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</si>
  <si>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</si>
  <si>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</si>
  <si>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</si>
  <si>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</si>
  <si>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</si>
  <si>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</si>
  <si>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</si>
  <si>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</si>
  <si>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</si>
  <si>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</si>
  <si>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</si>
  <si>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</si>
  <si>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</si>
  <si>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</si>
  <si>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</si>
  <si>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</si>
  <si>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</si>
  <si>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</si>
  <si>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</si>
  <si>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</si>
  <si>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</si>
  <si>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</si>
  <si>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</si>
  <si>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</si>
  <si>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</si>
  <si>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</si>
  <si>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</si>
  <si>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</si>
  <si>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</si>
  <si>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</si>
  <si>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</si>
  <si>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</si>
  <si>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</si>
  <si>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</si>
  <si>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</si>
  <si>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</si>
  <si>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</si>
  <si>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</si>
  <si>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</si>
  <si>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</si>
  <si>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</si>
  <si>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</si>
  <si>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</si>
  <si>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</si>
  <si>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</si>
  <si>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</si>
  <si>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</si>
  <si>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</si>
  <si>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</si>
  <si>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</si>
  <si>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</si>
  <si>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</si>
  <si>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</si>
  <si>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</si>
  <si>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</si>
  <si>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</si>
  <si>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</si>
  <si>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</si>
  <si>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</si>
  <si>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</si>
  <si>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</si>
  <si>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</si>
  <si>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</si>
  <si>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</si>
  <si>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</si>
  <si>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</si>
  <si>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</si>
  <si>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</si>
  <si>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</si>
  <si>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</si>
  <si>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</si>
  <si>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</si>
  <si>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</si>
  <si>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</si>
  <si>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</si>
  <si>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</si>
  <si>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</si>
  <si>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</si>
  <si>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</si>
  <si>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</si>
  <si>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</si>
  <si>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</si>
  <si>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</si>
  <si>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</si>
  <si>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</si>
  <si>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</si>
  <si>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</si>
  <si>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</si>
  <si>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</si>
  <si>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</si>
  <si>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</si>
  <si>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</si>
  <si>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</si>
  <si>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</si>
  <si>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</si>
  <si>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</si>
  <si>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</si>
  <si>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</si>
  <si>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</si>
  <si>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</si>
  <si>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</si>
  <si>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</si>
  <si>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</si>
  <si>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</si>
  <si>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</si>
  <si>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</si>
  <si>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</si>
  <si>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</si>
  <si>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</si>
  <si>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</si>
  <si>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</si>
  <si>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</si>
  <si>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Aislamiento de espuma</t>
  </si>
  <si>
    <t>Revestimiento de aislamiento térmico</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</si>
  <si>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</si>
  <si>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</si>
  <si>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</si>
  <si>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</si>
  <si>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</si>
  <si>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</si>
  <si>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</si>
  <si>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</si>
  <si>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</si>
  <si>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</si>
  <si>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</si>
  <si>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</si>
  <si>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</si>
  <si>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</si>
  <si>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</si>
  <si>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</si>
  <si>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</si>
  <si>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</si>
  <si>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</si>
  <si>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</si>
  <si>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</si>
  <si>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</si>
  <si>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</si>
  <si>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</si>
  <si>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</si>
  <si>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</si>
  <si>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</si>
  <si>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</si>
  <si>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</si>
  <si>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</si>
  <si>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</si>
  <si>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</si>
  <si>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</si>
  <si>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</si>
  <si>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</si>
  <si>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</si>
  <si>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</si>
  <si>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</si>
  <si>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</si>
  <si>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</si>
  <si>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</si>
  <si>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</si>
  <si>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</si>
  <si>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</si>
  <si>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</si>
  <si>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</si>
  <si>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</si>
  <si>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</si>
  <si>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</si>
  <si>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</si>
  <si>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</si>
  <si>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</si>
  <si>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</si>
  <si>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</si>
  <si>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</si>
  <si>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</si>
  <si>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</si>
  <si>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</si>
  <si>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</si>
  <si>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</si>
  <si>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</si>
  <si>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</si>
  <si>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</si>
  <si>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</si>
  <si>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</si>
  <si>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</si>
  <si>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</si>
  <si>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</si>
  <si>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</si>
  <si>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</si>
  <si>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</si>
  <si>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</si>
  <si>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</si>
  <si>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</si>
  <si>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</si>
  <si>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</si>
  <si>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</si>
  <si>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</si>
  <si>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</si>
  <si>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</si>
  <si>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</si>
  <si>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</si>
  <si>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</si>
  <si>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</si>
  <si>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</si>
  <si>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</si>
  <si>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</si>
  <si>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</si>
  <si>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</si>
  <si>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</si>
  <si>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</si>
  <si>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</si>
  <si>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</si>
  <si>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</si>
  <si>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</si>
  <si>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</si>
  <si>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</si>
  <si>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</si>
  <si>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</si>
  <si>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</si>
  <si>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</si>
  <si>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</si>
  <si>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</si>
  <si>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</si>
  <si>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</si>
  <si>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</si>
  <si>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</si>
  <si>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</si>
  <si>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</si>
  <si>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</si>
  <si>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</si>
  <si>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</si>
  <si>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</si>
  <si>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</si>
  <si>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</si>
  <si>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</si>
  <si>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</si>
  <si>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</si>
  <si>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</si>
  <si>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</si>
  <si>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</si>
  <si>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</si>
  <si>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</si>
  <si>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</si>
  <si>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</si>
  <si>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</si>
  <si>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</si>
  <si>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</si>
  <si>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</si>
  <si>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</si>
  <si>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</si>
  <si>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</si>
  <si>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</si>
  <si>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</si>
  <si>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</si>
  <si>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</si>
  <si>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</si>
  <si>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</si>
  <si>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</si>
  <si>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</si>
  <si>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</si>
  <si>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</si>
  <si>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</si>
  <si>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</si>
  <si>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</si>
  <si>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</si>
  <si>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</si>
  <si>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</si>
  <si>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</si>
  <si>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</si>
  <si>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</si>
  <si>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</si>
  <si>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</si>
  <si>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</si>
  <si>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</si>
  <si>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</si>
  <si>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</si>
  <si>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</si>
  <si>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</si>
  <si>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</si>
  <si>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</si>
  <si>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</si>
  <si>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</si>
  <si>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</si>
  <si>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</si>
  <si>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</si>
  <si>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</si>
  <si>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</si>
  <si>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</si>
  <si>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</si>
  <si>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</si>
  <si>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</si>
  <si>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</si>
  <si>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</si>
  <si>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</si>
  <si>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</si>
  <si>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</si>
  <si>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</si>
  <si>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</si>
  <si>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</si>
  <si>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</si>
  <si>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</si>
  <si>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</si>
  <si>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</si>
  <si>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</si>
  <si>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</si>
  <si>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</si>
  <si>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</si>
  <si>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</si>
  <si>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</si>
  <si>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</si>
  <si>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</si>
  <si>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</si>
  <si>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</si>
  <si>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</si>
  <si>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</si>
  <si>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</si>
  <si>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</si>
  <si>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</si>
  <si>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</si>
  <si>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</si>
  <si>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</si>
  <si>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</si>
  <si>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</si>
  <si>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</si>
  <si>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</si>
  <si>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</si>
  <si>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</si>
  <si>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</si>
  <si>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</si>
  <si>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</si>
  <si>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</si>
  <si>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</si>
  <si>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</si>
  <si>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</si>
  <si>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</si>
  <si>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</si>
  <si>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</si>
  <si>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</si>
  <si>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</si>
  <si>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</si>
  <si>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</si>
  <si>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</si>
  <si>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</si>
  <si>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</si>
  <si>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</si>
  <si>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</si>
  <si>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</si>
  <si>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</si>
  <si>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</si>
  <si>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</si>
  <si>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</si>
  <si>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</si>
  <si>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</si>
  <si>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</si>
  <si>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</si>
  <si>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</si>
  <si>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</si>
  <si>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</si>
  <si>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</si>
  <si>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</si>
  <si>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</si>
  <si>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</si>
  <si>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</si>
  <si>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</si>
  <si>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</si>
  <si>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</si>
  <si>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</si>
  <si>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</si>
  <si>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</si>
  <si>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</si>
  <si>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</si>
  <si>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</si>
  <si>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</si>
  <si>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</si>
  <si>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</si>
  <si>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</si>
  <si>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</si>
  <si>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</si>
  <si>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</si>
  <si>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Crematorio</t>
  </si>
  <si>
    <t>Galería de arte</t>
  </si>
  <si>
    <t>Monumentos prehistóricos</t>
  </si>
  <si>
    <t>Oficina de admisión</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</si>
  <si>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</si>
  <si>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</si>
  <si>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</si>
  <si>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</si>
  <si>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</si>
  <si>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</si>
  <si>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</si>
  <si>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</si>
  <si>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</si>
  <si>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</si>
  <si>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</si>
  <si>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</si>
  <si>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</si>
  <si>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</si>
  <si>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</si>
  <si>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</si>
  <si>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</si>
  <si>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</si>
  <si>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</si>
  <si>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</si>
  <si>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</si>
  <si>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</si>
  <si>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</si>
  <si>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</si>
  <si>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</si>
  <si>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</si>
  <si>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</si>
  <si>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Pisos</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</si>
  <si>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</si>
  <si>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</si>
  <si>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</si>
  <si>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</si>
  <si>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</si>
  <si>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</si>
  <si>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</si>
  <si>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</si>
  <si>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</si>
  <si>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</si>
  <si>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</si>
  <si>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</si>
  <si>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</si>
  <si>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</si>
  <si>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</si>
  <si>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</si>
  <si>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</si>
  <si>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</si>
  <si>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</si>
  <si>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</si>
  <si>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</si>
  <si>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</si>
  <si>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</si>
  <si>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</si>
  <si>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</si>
  <si>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</si>
  <si>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</si>
  <si>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</si>
  <si>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</si>
  <si>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</si>
  <si>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</si>
  <si>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</si>
  <si>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</si>
  <si>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</si>
  <si>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</si>
  <si>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</si>
  <si>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</si>
  <si>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</si>
  <si>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</si>
  <si>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</si>
  <si>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</si>
  <si>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</si>
  <si>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</si>
  <si>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</si>
  <si>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</si>
  <si>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</si>
  <si>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</si>
  <si>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</si>
  <si>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</si>
  <si>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</si>
  <si>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</si>
  <si>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</si>
  <si>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</si>
  <si>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</si>
  <si>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</si>
  <si>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</si>
  <si>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</si>
  <si>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</si>
  <si>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</si>
  <si>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</si>
  <si>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</si>
  <si>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</si>
  <si>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</si>
  <si>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</si>
  <si>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</si>
  <si>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</si>
  <si>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</si>
  <si>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</si>
  <si>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</si>
  <si>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</si>
  <si>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</si>
  <si>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</si>
  <si>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</si>
  <si>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</si>
  <si>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</si>
  <si>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</si>
  <si>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</si>
  <si>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</si>
  <si>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</si>
  <si>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</si>
  <si>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</si>
  <si>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</si>
  <si>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</si>
  <si>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</si>
  <si>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</si>
  <si>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</si>
  <si>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</si>
  <si>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</si>
  <si>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</si>
  <si>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</si>
  <si>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</si>
  <si>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</si>
  <si>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</si>
  <si>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</si>
  <si>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</si>
  <si>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</si>
  <si>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</si>
  <si>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</si>
  <si>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</si>
  <si>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</si>
  <si>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</si>
  <si>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</si>
  <si>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</si>
  <si>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</si>
  <si>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</si>
  <si>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</si>
  <si>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</si>
  <si>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</si>
  <si>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</si>
  <si>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</si>
  <si>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</si>
  <si>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</si>
  <si>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</si>
  <si>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</si>
  <si>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</si>
  <si>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</si>
  <si>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</si>
  <si>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</si>
  <si>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</si>
  <si>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</si>
  <si>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</si>
  <si>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</si>
  <si>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</si>
  <si>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</si>
  <si>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</si>
  <si>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</si>
  <si>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</si>
  <si>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</si>
  <si>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</si>
  <si>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</si>
  <si>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</si>
  <si>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</si>
  <si>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</si>
  <si>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</si>
  <si>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</si>
  <si>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</si>
  <si>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</si>
  <si>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</si>
  <si>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</si>
  <si>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</si>
  <si>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</si>
  <si>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</si>
  <si>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</si>
  <si>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</si>
  <si>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</si>
  <si>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</si>
  <si>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</si>
  <si>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</si>
  <si>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</si>
  <si>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</si>
  <si>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</si>
  <si>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</si>
  <si>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</si>
  <si>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</si>
  <si>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</si>
  <si>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</si>
  <si>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</si>
  <si>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</si>
  <si>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</si>
  <si>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</si>
  <si>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</si>
  <si>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</si>
  <si>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</si>
  <si>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</si>
  <si>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</si>
  <si>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</si>
  <si>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</si>
  <si>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</si>
  <si>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</si>
  <si>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</si>
  <si>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</si>
  <si>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</si>
  <si>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</si>
  <si>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</si>
  <si>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</si>
  <si>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</si>
  <si>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</si>
  <si>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</si>
  <si>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</si>
  <si>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</si>
  <si>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</si>
  <si>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</si>
  <si>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</si>
  <si>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</si>
  <si>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</si>
  <si>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</si>
  <si>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</si>
  <si>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</si>
  <si>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</si>
  <si>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</si>
  <si>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</si>
  <si>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</si>
  <si>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</si>
  <si>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</si>
  <si>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</si>
  <si>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</si>
  <si>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</si>
  <si>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</si>
  <si>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</si>
  <si>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</si>
  <si>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</si>
  <si>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</si>
  <si>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</si>
  <si>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</si>
  <si>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</si>
  <si>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</si>
  <si>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</si>
  <si>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</si>
  <si>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</si>
  <si>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</si>
  <si>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</si>
  <si>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</si>
  <si>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</si>
  <si>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</si>
  <si>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</si>
  <si>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</si>
  <si>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</si>
  <si>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</si>
  <si>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</si>
  <si>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</si>
  <si>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</si>
  <si>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</si>
  <si>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</si>
  <si>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</si>
  <si>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</si>
  <si>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</si>
  <si>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</si>
  <si>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</si>
  <si>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</si>
  <si>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</si>
  <si>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</si>
  <si>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</si>
  <si>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</si>
  <si>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</si>
  <si>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</si>
  <si>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</si>
  <si>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</si>
  <si>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</si>
  <si>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</si>
  <si>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</si>
  <si>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</si>
  <si>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</si>
  <si>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</si>
  <si>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</si>
  <si>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</si>
  <si>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</si>
  <si>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</si>
  <si>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</si>
  <si>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</si>
  <si>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</si>
  <si>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</si>
  <si>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</si>
  <si>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</si>
  <si>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</si>
  <si>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</si>
  <si>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</si>
  <si>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</si>
  <si>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</si>
  <si>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</si>
  <si>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</si>
  <si>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</si>
  <si>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</si>
  <si>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</si>
  <si>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</si>
  <si>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</si>
  <si>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</si>
  <si>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</si>
  <si>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</si>
  <si>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</si>
  <si>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</si>
  <si>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</si>
  <si>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</si>
  <si>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</si>
  <si>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</si>
  <si>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</si>
  <si>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</si>
  <si>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</si>
  <si>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</si>
  <si>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</si>
  <si>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</si>
  <si>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</si>
  <si>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</si>
  <si>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</si>
  <si>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</si>
  <si>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</si>
  <si>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</si>
  <si>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</si>
  <si>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</si>
  <si>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</si>
  <si>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</si>
  <si>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</si>
  <si>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</si>
  <si>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</si>
  <si>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</si>
  <si>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</si>
  <si>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</si>
  <si>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</si>
  <si>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</si>
  <si>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</si>
  <si>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</si>
  <si>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</si>
  <si>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</si>
  <si>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</si>
  <si>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</si>
  <si>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</si>
  <si>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</si>
  <si>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</si>
  <si>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</si>
  <si>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</si>
  <si>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</si>
  <si>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</si>
  <si>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</si>
  <si>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</si>
  <si>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</si>
  <si>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</si>
  <si>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</si>
  <si>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</si>
  <si>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</si>
  <si>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</si>
  <si>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</si>
  <si>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</si>
  <si>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</si>
  <si>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</si>
  <si>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</si>
  <si>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</si>
  <si>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</si>
  <si>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</si>
  <si>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</si>
  <si>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</si>
  <si>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</si>
  <si>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</si>
  <si>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</si>
  <si>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</si>
  <si>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</si>
  <si>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</si>
  <si>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</si>
  <si>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</si>
  <si>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</si>
  <si>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</si>
  <si>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</si>
  <si>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</si>
  <si>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</si>
  <si>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</si>
  <si>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</si>
  <si>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</si>
  <si>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</si>
  <si>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</si>
  <si>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</si>
  <si>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</si>
  <si>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</si>
  <si>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</si>
  <si>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</si>
  <si>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</si>
  <si>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</si>
  <si>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</si>
  <si>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</si>
  <si>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</si>
  <si>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</si>
  <si>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</si>
  <si>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</si>
  <si>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</si>
  <si>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</si>
  <si>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</si>
  <si>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</si>
  <si>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</si>
  <si>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</si>
  <si>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</si>
  <si>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</si>
  <si>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</si>
  <si>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</si>
  <si>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</si>
  <si>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</si>
  <si>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</si>
  <si>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</si>
  <si>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</si>
  <si>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</si>
  <si>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</si>
  <si>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</si>
  <si>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</si>
  <si>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</si>
  <si>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</si>
  <si>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</si>
  <si>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</si>
  <si>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</si>
  <si>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</si>
  <si>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</si>
  <si>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</si>
  <si>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</si>
  <si>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</si>
  <si>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</si>
  <si>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</si>
  <si>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</si>
  <si>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</si>
  <si>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</si>
  <si>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</si>
  <si>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</si>
  <si>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</si>
  <si>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</si>
  <si>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</si>
  <si>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</si>
  <si>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</si>
  <si>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</si>
  <si>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</si>
  <si>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</si>
  <si>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</si>
  <si>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</si>
  <si>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</si>
  <si>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</si>
  <si>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</si>
  <si>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</si>
  <si>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</si>
  <si>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</si>
  <si>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</si>
  <si>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</si>
  <si>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</si>
  <si>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</si>
  <si>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</si>
  <si>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</si>
  <si>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</si>
  <si>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</si>
  <si>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</si>
  <si>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</si>
  <si>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</si>
  <si>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</si>
  <si>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</si>
  <si>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</si>
  <si>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</si>
  <si>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</si>
  <si>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</si>
  <si>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</si>
  <si>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</si>
  <si>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</si>
  <si>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</si>
  <si>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</si>
  <si>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</si>
  <si>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</si>
  <si>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</si>
  <si>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</si>
  <si>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</si>
  <si>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</si>
  <si>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</si>
  <si>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</si>
  <si>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</si>
  <si>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</si>
  <si>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</si>
  <si>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</si>
  <si>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</si>
  <si>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</si>
  <si>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</si>
  <si>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</si>
  <si>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</si>
  <si>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</si>
  <si>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</si>
  <si>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</si>
  <si>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</si>
  <si>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</si>
  <si>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</si>
  <si>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</si>
  <si>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</si>
  <si>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</si>
  <si>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</si>
  <si>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</si>
  <si>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</si>
  <si>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</si>
  <si>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</si>
  <si>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</si>
  <si>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</si>
  <si>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</si>
  <si>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</si>
  <si>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</si>
  <si>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</si>
  <si>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</si>
  <si>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</si>
  <si>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</si>
  <si>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</si>
  <si>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</si>
  <si>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</si>
  <si>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</si>
  <si>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</si>
  <si>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</si>
  <si>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</si>
  <si>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</si>
  <si>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</si>
  <si>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</si>
  <si>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</si>
  <si>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</si>
  <si>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</si>
  <si>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</si>
  <si>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</si>
  <si>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</si>
  <si>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</si>
  <si>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</si>
  <si>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</si>
  <si>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</si>
  <si>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</si>
  <si>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</si>
  <si>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</si>
  <si>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</si>
  <si>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</si>
  <si>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</si>
  <si>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</si>
  <si>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</si>
  <si>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</si>
  <si>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</si>
  <si>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</si>
  <si>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</si>
  <si>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</si>
  <si>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</si>
  <si>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</si>
  <si>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</si>
  <si>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</si>
  <si>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</si>
  <si>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</si>
  <si>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</si>
  <si>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</si>
  <si>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</si>
  <si>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</si>
  <si>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</si>
  <si>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</si>
  <si>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</si>
  <si>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</si>
  <si>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</si>
  <si>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</si>
  <si>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</si>
  <si>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</si>
  <si>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</si>
  <si>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</si>
  <si>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</si>
  <si>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</si>
  <si>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</si>
  <si>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</si>
  <si>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</si>
  <si>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</si>
  <si>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</si>
  <si>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</si>
  <si>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</si>
  <si>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</si>
  <si>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</si>
  <si>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</si>
  <si>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</si>
  <si>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</si>
  <si>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</si>
  <si>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</si>
  <si>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</si>
  <si>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</si>
  <si>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</si>
  <si>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</si>
  <si>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</si>
  <si>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</si>
  <si>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</si>
  <si>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</si>
  <si>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</si>
  <si>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</si>
  <si>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</si>
  <si>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</si>
  <si>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</si>
  <si>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</si>
  <si>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</si>
  <si>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</si>
  <si>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</si>
  <si>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</si>
  <si>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</si>
  <si>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</si>
  <si>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</si>
  <si>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</si>
  <si>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</si>
  <si>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</si>
  <si>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</si>
  <si>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</si>
  <si>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</si>
  <si>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</si>
  <si>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</si>
  <si>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</si>
  <si>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</si>
  <si>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</si>
  <si>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</si>
  <si>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</si>
  <si>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</si>
  <si>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</si>
  <si>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</si>
  <si>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</si>
  <si>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</si>
  <si>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</si>
  <si>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</si>
  <si>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</si>
  <si>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</si>
  <si>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</si>
  <si>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</si>
  <si>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</si>
  <si>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</si>
  <si>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</si>
  <si>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</si>
  <si>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</si>
  <si>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</si>
  <si>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</si>
  <si>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</si>
  <si>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</si>
  <si>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</si>
  <si>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</si>
  <si>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</si>
  <si>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</si>
  <si>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</si>
  <si>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</si>
  <si>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</si>
  <si>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</si>
  <si>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</si>
  <si>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</si>
  <si>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</si>
  <si>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</si>
  <si>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</si>
  <si>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</si>
  <si>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</si>
  <si>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</si>
  <si>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</si>
  <si>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</si>
  <si>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</si>
  <si>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</si>
  <si>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</si>
  <si>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</si>
  <si>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</si>
  <si>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</si>
  <si>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</si>
  <si>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</si>
  <si>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</si>
  <si>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</si>
  <si>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</si>
  <si>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</si>
  <si>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</si>
  <si>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</si>
  <si>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</si>
  <si>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</si>
  <si>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</si>
  <si>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</si>
  <si>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</si>
  <si>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</si>
  <si>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</si>
  <si>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</si>
  <si>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</si>
  <si>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</si>
  <si>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</si>
  <si>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</si>
  <si>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</si>
  <si>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</si>
  <si>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</si>
  <si>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</si>
  <si>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</si>
  <si>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</si>
  <si>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</si>
  <si>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</si>
  <si>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</si>
  <si>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</si>
  <si>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</si>
  <si>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</si>
  <si>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</si>
  <si>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</si>
  <si>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</si>
  <si>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</si>
  <si>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</si>
  <si>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</si>
  <si>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</si>
  <si>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</si>
  <si>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</si>
  <si>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</si>
  <si>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</si>
  <si>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</si>
  <si>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</si>
  <si>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</si>
  <si>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</si>
  <si>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</si>
  <si>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</si>
  <si>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</si>
  <si>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</si>
  <si>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</si>
  <si>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</si>
  <si>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</si>
  <si>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</si>
  <si>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</si>
  <si>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</si>
  <si>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</si>
  <si>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</si>
  <si>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</si>
  <si>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</si>
  <si>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</si>
  <si>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</si>
  <si>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</si>
  <si>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</si>
  <si>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</si>
  <si>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</si>
  <si>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</si>
  <si>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</si>
  <si>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</si>
  <si>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</si>
  <si>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</si>
  <si>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</si>
  <si>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</si>
  <si>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</si>
  <si>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</si>
  <si>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</si>
  <si>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</si>
  <si>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</si>
  <si>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</si>
  <si>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</si>
  <si>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</si>
  <si>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</si>
  <si>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</si>
  <si>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</si>
  <si>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</si>
  <si>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</si>
  <si>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</si>
  <si>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</si>
  <si>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</si>
  <si>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</si>
  <si>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</si>
  <si>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</si>
  <si>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</si>
  <si>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</si>
  <si>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</si>
  <si>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</si>
  <si>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</si>
  <si>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</si>
  <si>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</si>
  <si>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</si>
  <si>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</si>
  <si>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</si>
  <si>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</si>
  <si>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</si>
  <si>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</si>
  <si>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</si>
  <si>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</si>
  <si>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</si>
  <si>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</si>
  <si>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</si>
  <si>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</si>
  <si>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</si>
  <si>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</si>
  <si>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</si>
  <si>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</si>
  <si>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</si>
  <si>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</si>
  <si>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</si>
  <si>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</si>
  <si>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</si>
  <si>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</si>
  <si>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</si>
  <si>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</si>
  <si>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</si>
  <si>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</si>
  <si>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</si>
  <si>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</si>
  <si>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</si>
  <si>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</si>
  <si>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</si>
  <si>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Montante de dos extremos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</si>
  <si>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</si>
  <si>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</si>
  <si>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</si>
  <si>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</si>
  <si>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</si>
  <si>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</si>
  <si>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</si>
  <si>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</si>
  <si>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</si>
  <si>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</si>
  <si>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</si>
  <si>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</si>
  <si>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</si>
  <si>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</si>
  <si>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</si>
  <si>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</si>
  <si>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</si>
  <si>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</si>
  <si>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</si>
  <si>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</si>
  <si>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</si>
  <si>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</si>
  <si>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</si>
  <si>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</si>
  <si>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</si>
  <si>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</si>
  <si>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</si>
  <si>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</si>
  <si>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</si>
  <si>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</si>
  <si>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</si>
  <si>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</si>
  <si>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</si>
  <si>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</si>
  <si>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</si>
  <si>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</si>
  <si>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</si>
  <si>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</si>
  <si>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</si>
  <si>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</si>
  <si>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</si>
  <si>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</si>
  <si>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</si>
  <si>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</si>
  <si>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</si>
  <si>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</si>
  <si>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</si>
  <si>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</si>
  <si>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</si>
  <si>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</si>
  <si>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</si>
  <si>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</si>
  <si>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</si>
  <si>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</si>
  <si>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</si>
  <si>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</si>
  <si>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</si>
  <si>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</si>
  <si>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</si>
  <si>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</si>
  <si>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</si>
  <si>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</si>
  <si>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</si>
  <si>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</si>
  <si>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</si>
  <si>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</si>
  <si>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</si>
  <si>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</si>
  <si>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</si>
  <si>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</si>
  <si>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</si>
  <si>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</si>
  <si>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</si>
  <si>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</si>
  <si>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</si>
  <si>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</si>
  <si>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</si>
  <si>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</si>
  <si>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</si>
  <si>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</si>
  <si>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</si>
  <si>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</si>
  <si>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</si>
  <si>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</si>
  <si>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</si>
  <si>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</si>
  <si>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</si>
  <si>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</si>
  <si>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</si>
  <si>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</si>
  <si>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</si>
  <si>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</si>
  <si>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</si>
  <si>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</si>
  <si>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</si>
  <si>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</si>
  <si>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</si>
  <si>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</si>
  <si>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</si>
  <si>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</si>
  <si>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</si>
  <si>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</si>
  <si>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</si>
  <si>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</si>
  <si>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</si>
  <si>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</si>
  <si>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</si>
  <si>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</si>
  <si>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</si>
  <si>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</si>
  <si>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</si>
  <si>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</si>
  <si>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</si>
  <si>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</si>
  <si>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</si>
  <si>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</si>
  <si>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</si>
  <si>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</si>
  <si>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</si>
  <si>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</si>
  <si>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</si>
  <si>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</si>
  <si>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</si>
  <si>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</si>
  <si>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</si>
  <si>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</si>
  <si>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</si>
  <si>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</si>
  <si>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</si>
  <si>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</si>
  <si>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</si>
  <si>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</si>
  <si>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</si>
  <si>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</si>
  <si>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</si>
  <si>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</si>
  <si>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</si>
  <si>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</si>
  <si>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</si>
  <si>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</si>
  <si>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</si>
  <si>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</si>
  <si>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</si>
  <si>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</si>
  <si>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</si>
  <si>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</si>
  <si>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</si>
  <si>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</si>
  <si>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</si>
  <si>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</si>
  <si>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Diluyentes para pinturas</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</si>
  <si>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</si>
  <si>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</si>
  <si>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</si>
  <si>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</si>
  <si>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</si>
  <si>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</si>
  <si>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</si>
  <si>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</si>
  <si>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</si>
  <si>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</si>
  <si>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</si>
  <si>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</si>
  <si>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</si>
  <si>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</si>
  <si>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</si>
  <si>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</si>
  <si>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</si>
  <si>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</si>
  <si>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</si>
  <si>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</si>
  <si>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</si>
  <si>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</si>
  <si>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</si>
  <si>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</si>
  <si>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</si>
  <si>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</si>
  <si>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</si>
  <si>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</si>
  <si>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</si>
  <si>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</si>
  <si>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</si>
  <si>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</si>
  <si>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</si>
  <si>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</si>
  <si>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</si>
  <si>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</si>
  <si>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</si>
  <si>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</si>
  <si>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</si>
  <si>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</si>
  <si>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</si>
  <si>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</si>
  <si>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</si>
  <si>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</si>
  <si>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</si>
  <si>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</si>
  <si>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</si>
  <si>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</si>
  <si>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</si>
  <si>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</si>
  <si>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</si>
  <si>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</si>
  <si>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</si>
  <si>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</si>
  <si>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</si>
  <si>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</si>
  <si>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</si>
  <si>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</si>
  <si>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</si>
  <si>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</si>
  <si>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</si>
  <si>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</si>
  <si>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</si>
  <si>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</si>
  <si>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</si>
  <si>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</si>
  <si>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</si>
  <si>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</si>
  <si>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</si>
  <si>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</si>
  <si>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</si>
  <si>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</si>
  <si>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</si>
  <si>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</si>
  <si>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</si>
  <si>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</si>
  <si>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</si>
  <si>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</si>
  <si>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</si>
  <si>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</si>
  <si>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</si>
  <si>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</si>
  <si>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</si>
  <si>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</si>
  <si>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</si>
  <si>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</si>
  <si>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</si>
  <si>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</si>
  <si>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</si>
  <si>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</si>
  <si>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</si>
  <si>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</si>
  <si>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</si>
  <si>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</si>
  <si>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</si>
  <si>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</si>
  <si>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</si>
  <si>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</si>
  <si>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</si>
  <si>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</si>
  <si>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</si>
  <si>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</si>
  <si>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</si>
  <si>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</si>
  <si>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</si>
  <si>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</si>
  <si>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</si>
  <si>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</si>
  <si>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</si>
  <si>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</si>
  <si>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</si>
  <si>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</si>
  <si>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</si>
  <si>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</si>
  <si>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</si>
  <si>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</si>
  <si>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</si>
  <si>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</si>
  <si>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</si>
  <si>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</si>
  <si>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</si>
  <si>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</si>
  <si>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</si>
  <si>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</si>
  <si>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</si>
  <si>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</si>
  <si>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</si>
  <si>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</si>
  <si>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</si>
  <si>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</si>
  <si>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</si>
  <si>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</si>
  <si>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</si>
  <si>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</si>
  <si>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</si>
  <si>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</si>
  <si>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</si>
  <si>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</si>
  <si>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</si>
  <si>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</si>
  <si>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</si>
  <si>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</si>
  <si>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</si>
  <si>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</si>
  <si>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</si>
  <si>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</si>
  <si>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</si>
  <si>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</si>
  <si>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</si>
  <si>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</si>
  <si>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</si>
  <si>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</si>
  <si>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</si>
  <si>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</si>
  <si>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</si>
  <si>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</si>
  <si>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</si>
  <si>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</si>
  <si>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</si>
  <si>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</si>
  <si>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</si>
  <si>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</si>
  <si>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</si>
  <si>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</si>
  <si>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</si>
  <si>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</si>
  <si>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</si>
  <si>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</si>
  <si>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</si>
  <si>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</si>
  <si>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</si>
  <si>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</si>
  <si>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</si>
  <si>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</si>
  <si>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</si>
  <si>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</si>
  <si>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</si>
  <si>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</si>
  <si>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</si>
  <si>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</si>
  <si>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</si>
  <si>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</si>
  <si>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</si>
  <si>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</si>
  <si>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</si>
  <si>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</si>
  <si>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</si>
  <si>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</si>
  <si>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</si>
  <si>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</si>
  <si>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</si>
  <si>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</si>
  <si>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</si>
  <si>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</si>
  <si>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</si>
  <si>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</si>
  <si>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</si>
  <si>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</si>
  <si>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</si>
  <si>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</si>
  <si>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</si>
  <si>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</si>
  <si>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</si>
  <si>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</si>
  <si>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</si>
  <si>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</si>
  <si>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</si>
  <si>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</si>
  <si>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</si>
  <si>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</si>
  <si>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</si>
  <si>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</si>
  <si>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</si>
  <si>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</si>
  <si>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</si>
  <si>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</si>
  <si>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</si>
  <si>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</si>
  <si>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</si>
  <si>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</si>
  <si>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</si>
  <si>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</si>
  <si>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</si>
  <si>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</si>
  <si>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</si>
  <si>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</si>
  <si>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</si>
  <si>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</si>
  <si>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</si>
  <si>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</si>
  <si>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</si>
  <si>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</si>
  <si>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</si>
  <si>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</si>
  <si>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</si>
  <si>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</si>
  <si>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</si>
  <si>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</si>
  <si>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</si>
  <si>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</si>
  <si>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</si>
  <si>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</si>
  <si>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</si>
  <si>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</si>
  <si>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</si>
  <si>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</si>
  <si>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</si>
  <si>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</si>
  <si>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</si>
  <si>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</si>
  <si>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</si>
  <si>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</si>
  <si>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</si>
  <si>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</si>
  <si>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</si>
  <si>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</si>
  <si>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</si>
  <si>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</si>
  <si>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</si>
  <si>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</si>
  <si>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</si>
  <si>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</si>
  <si>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</si>
  <si>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</si>
  <si>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</si>
  <si>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</si>
  <si>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</si>
  <si>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</si>
  <si>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</si>
  <si>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</si>
  <si>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</si>
  <si>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</si>
  <si>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</si>
  <si>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</si>
  <si>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</si>
  <si>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</si>
  <si>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</si>
  <si>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</si>
  <si>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</si>
  <si>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</si>
  <si>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</si>
  <si>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</si>
  <si>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</si>
  <si>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</si>
  <si>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</si>
  <si>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</si>
  <si>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</si>
  <si>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</si>
  <si>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</si>
  <si>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</si>
  <si>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</si>
  <si>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</si>
  <si>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</si>
  <si>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</si>
  <si>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</si>
  <si>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</si>
  <si>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</si>
  <si>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</si>
  <si>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</si>
  <si>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</si>
  <si>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</si>
  <si>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</si>
  <si>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</si>
  <si>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</si>
  <si>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</si>
  <si>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</si>
  <si>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</si>
  <si>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</si>
  <si>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</si>
  <si>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</si>
  <si>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</si>
  <si>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</si>
  <si>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</si>
  <si>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</si>
  <si>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</si>
  <si>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</si>
  <si>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</si>
  <si>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</si>
  <si>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</si>
  <si>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</si>
  <si>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</si>
  <si>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</si>
  <si>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</si>
  <si>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</si>
  <si>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</si>
  <si>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</si>
  <si>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</si>
  <si>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</si>
  <si>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</si>
  <si>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</si>
  <si>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</si>
  <si>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</si>
  <si>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</si>
  <si>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</si>
  <si>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</si>
  <si>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</si>
  <si>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</si>
  <si>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</si>
  <si>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</si>
  <si>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</si>
  <si>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</si>
  <si>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</si>
  <si>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</si>
  <si>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</si>
  <si>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</si>
  <si>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</si>
  <si>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</si>
  <si>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</si>
  <si>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</si>
  <si>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</si>
  <si>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</si>
  <si>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</si>
  <si>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</si>
  <si>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</si>
  <si>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</si>
  <si>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</si>
  <si>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</si>
  <si>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</si>
  <si>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</si>
  <si>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</si>
  <si>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</si>
  <si>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</si>
  <si>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</si>
  <si>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</si>
  <si>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</si>
  <si>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</si>
  <si>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</si>
  <si>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</si>
  <si>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</si>
  <si>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</si>
  <si>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</si>
  <si>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</si>
  <si>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</si>
  <si>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</si>
  <si>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</si>
  <si>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</si>
  <si>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</si>
  <si>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</si>
  <si>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</si>
  <si>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</si>
  <si>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</si>
  <si>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</si>
  <si>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</si>
  <si>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</si>
  <si>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</si>
  <si>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</si>
  <si>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</si>
  <si>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</si>
  <si>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</si>
  <si>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</si>
  <si>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</si>
  <si>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</si>
  <si>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</si>
  <si>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</si>
  <si>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</si>
  <si>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</si>
  <si>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</si>
  <si>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</si>
  <si>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</si>
  <si>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</si>
  <si>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</si>
  <si>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</si>
  <si>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</si>
  <si>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</si>
  <si>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</si>
  <si>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</si>
  <si>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</si>
  <si>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</si>
  <si>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</si>
  <si>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</si>
  <si>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</si>
  <si>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</si>
  <si>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</si>
  <si>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</si>
  <si>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</si>
  <si>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</si>
  <si>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</si>
  <si>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</si>
  <si>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</si>
  <si>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</si>
  <si>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</si>
  <si>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</si>
  <si>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</si>
  <si>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</si>
  <si>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</si>
  <si>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</si>
  <si>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</si>
  <si>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</si>
  <si>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</si>
  <si>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</si>
  <si>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</si>
  <si>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</si>
  <si>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</si>
  <si>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</si>
  <si>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</si>
  <si>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</si>
  <si>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</si>
  <si>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</si>
  <si>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</si>
  <si>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</si>
  <si>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</si>
  <si>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</si>
  <si>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</si>
  <si>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</si>
  <si>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</si>
  <si>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</si>
  <si>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</si>
  <si>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</si>
  <si>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</si>
  <si>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</si>
  <si>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</si>
  <si>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</si>
  <si>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</si>
  <si>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</si>
  <si>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</si>
  <si>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</si>
  <si>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</si>
  <si>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</si>
  <si>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</si>
  <si>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</si>
  <si>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</si>
  <si>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</si>
  <si>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</si>
  <si>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</si>
  <si>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</si>
  <si>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</si>
  <si>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</si>
  <si>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</si>
  <si>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</si>
  <si>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</si>
  <si>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</si>
  <si>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</si>
  <si>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</si>
  <si>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</si>
  <si>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</si>
  <si>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</si>
  <si>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</si>
  <si>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</si>
  <si>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</si>
  <si>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</si>
  <si>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</si>
  <si>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</si>
  <si>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</si>
  <si>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</si>
  <si>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</si>
  <si>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</si>
  <si>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</si>
  <si>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</si>
  <si>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</si>
  <si>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</si>
  <si>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</si>
  <si>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</si>
  <si>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</si>
  <si>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</si>
  <si>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</si>
  <si>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</si>
  <si>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</si>
  <si>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</si>
  <si>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</si>
  <si>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</si>
  <si>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</si>
  <si>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</si>
  <si>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</si>
  <si>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</si>
  <si>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</si>
  <si>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</si>
  <si>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</si>
  <si>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</si>
  <si>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</si>
  <si>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</si>
  <si>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</si>
  <si>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</si>
  <si>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</si>
  <si>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</si>
  <si>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</si>
  <si>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</si>
  <si>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</si>
  <si>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</si>
  <si>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</si>
  <si>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</si>
  <si>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</si>
  <si>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</si>
  <si>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</si>
  <si>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</si>
  <si>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</si>
  <si>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</si>
  <si>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</si>
  <si>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</si>
  <si>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</si>
  <si>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</si>
  <si>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</si>
  <si>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</si>
  <si>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</si>
  <si>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</si>
  <si>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</si>
  <si>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</si>
  <si>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</si>
  <si>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</si>
  <si>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</si>
  <si>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</si>
  <si>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</si>
  <si>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</si>
  <si>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</si>
  <si>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</si>
  <si>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</si>
  <si>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</si>
  <si>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</si>
  <si>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</si>
  <si>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</si>
  <si>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</si>
  <si>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</si>
  <si>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</si>
  <si>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</si>
  <si>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</si>
  <si>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</si>
  <si>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</si>
  <si>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</si>
  <si>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</si>
  <si>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</si>
  <si>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</si>
  <si>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</si>
  <si>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</si>
  <si>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</si>
  <si>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</si>
  <si>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</si>
  <si>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</si>
  <si>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</si>
  <si>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</si>
  <si>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</si>
  <si>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</si>
  <si>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</si>
  <si>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</si>
  <si>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</si>
  <si>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</si>
  <si>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</si>
  <si>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</si>
  <si>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</si>
  <si>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</si>
  <si>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</si>
  <si>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</si>
  <si>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</si>
  <si>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</si>
  <si>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</si>
  <si>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</si>
  <si>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</si>
  <si>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</si>
  <si>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</si>
  <si>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</si>
  <si>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</si>
  <si>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</si>
  <si>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</si>
  <si>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</si>
  <si>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</si>
  <si>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</si>
  <si>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</si>
  <si>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</si>
  <si>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</si>
  <si>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</si>
  <si>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</si>
  <si>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</si>
  <si>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</si>
  <si>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</si>
  <si>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</si>
  <si>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</si>
  <si>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</si>
  <si>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</si>
  <si>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</si>
  <si>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</si>
  <si>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</si>
  <si>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</si>
  <si>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</si>
  <si>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</si>
  <si>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</si>
  <si>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</si>
  <si>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</si>
  <si>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</si>
  <si>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</si>
  <si>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</si>
  <si>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</si>
  <si>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</si>
  <si>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</si>
  <si>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</si>
  <si>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</si>
  <si>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</si>
  <si>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</si>
  <si>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</si>
  <si>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</si>
  <si>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</si>
  <si>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</si>
  <si>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</si>
  <si>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</si>
  <si>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</si>
  <si>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</si>
  <si>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</si>
  <si>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</si>
  <si>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</si>
  <si>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</si>
  <si>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</si>
  <si>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</si>
  <si>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</si>
  <si>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</si>
  <si>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</si>
  <si>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</si>
  <si>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</si>
  <si>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</si>
  <si>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</si>
  <si>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</si>
  <si>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</si>
  <si>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</si>
  <si>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</si>
  <si>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</si>
  <si>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</si>
  <si>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</si>
  <si>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</si>
  <si>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</si>
  <si>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</si>
  <si>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</si>
  <si>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</si>
  <si>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</si>
  <si>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</si>
  <si>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</si>
  <si>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</si>
  <si>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</si>
  <si>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</si>
  <si>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</si>
  <si>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</si>
  <si>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</si>
  <si>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</si>
  <si>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</si>
  <si>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</si>
  <si>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</si>
  <si>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</si>
  <si>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</si>
  <si>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</si>
  <si>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</si>
  <si>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</si>
  <si>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</si>
  <si>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</si>
  <si>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</si>
  <si>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</si>
  <si>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</si>
  <si>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</si>
  <si>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</si>
  <si>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</si>
  <si>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</si>
  <si>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</si>
  <si>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</si>
  <si>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</si>
  <si>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</si>
  <si>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</si>
  <si>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</si>
  <si>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</si>
  <si>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</si>
  <si>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</si>
  <si>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</si>
  <si>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</si>
  <si>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</si>
  <si>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</si>
  <si>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</si>
  <si>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</si>
  <si>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</si>
  <si>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</si>
  <si>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</si>
  <si>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</si>
  <si>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</si>
  <si>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</si>
  <si>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</si>
  <si>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</si>
  <si>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</si>
  <si>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</si>
  <si>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</si>
  <si>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</si>
  <si>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</si>
  <si>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</si>
  <si>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</si>
  <si>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</si>
  <si>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</si>
  <si>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</si>
  <si>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</si>
  <si>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</si>
  <si>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</si>
  <si>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</si>
  <si>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</si>
  <si>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</si>
  <si>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</si>
  <si>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</si>
  <si>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</si>
  <si>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</si>
  <si>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</si>
  <si>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</si>
  <si>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</si>
  <si>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</si>
  <si>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</si>
  <si>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</si>
  <si>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</si>
  <si>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</si>
  <si>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</si>
  <si>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</si>
  <si>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</si>
  <si>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</si>
  <si>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</si>
  <si>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</si>
  <si>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</si>
  <si>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</si>
  <si>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</si>
  <si>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</si>
  <si>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</si>
  <si>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</si>
  <si>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</si>
  <si>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</si>
  <si>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</si>
  <si>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</si>
  <si>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</si>
  <si>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</si>
  <si>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</si>
  <si>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</si>
  <si>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</si>
  <si>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</si>
  <si>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</si>
  <si>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</si>
  <si>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</si>
  <si>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</si>
  <si>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</si>
  <si>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</si>
  <si>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</si>
  <si>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</si>
  <si>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</si>
  <si>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</si>
  <si>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</si>
  <si>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</si>
  <si>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</si>
  <si>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</si>
  <si>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</si>
  <si>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</si>
  <si>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</si>
  <si>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</si>
  <si>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</si>
  <si>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</si>
  <si>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</si>
  <si>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</si>
  <si>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</si>
  <si>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</si>
  <si>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</si>
  <si>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</si>
  <si>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</si>
  <si>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</si>
  <si>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</si>
  <si>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</si>
  <si>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</si>
  <si>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</si>
  <si>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</si>
  <si>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</si>
  <si>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</si>
  <si>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</si>
  <si>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</si>
  <si>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</si>
  <si>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</si>
  <si>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</si>
  <si>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</si>
  <si>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</si>
  <si>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</si>
  <si>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</si>
  <si>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</si>
  <si>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</si>
  <si>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</si>
  <si>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</si>
  <si>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</si>
  <si>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</si>
  <si>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</si>
  <si>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</si>
  <si>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</si>
  <si>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</si>
  <si>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</si>
  <si>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</si>
  <si>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</si>
  <si>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</si>
  <si>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</si>
  <si>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</si>
  <si>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</si>
  <si>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</si>
  <si>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</si>
  <si>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</si>
  <si>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</si>
  <si>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</si>
  <si>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</si>
  <si>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</si>
  <si>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</si>
  <si>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</si>
  <si>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</si>
  <si>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</si>
  <si>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</si>
  <si>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</si>
  <si>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</si>
  <si>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</si>
  <si>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</si>
  <si>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</si>
  <si>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</si>
  <si>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</si>
  <si>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</si>
  <si>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</si>
  <si>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</si>
  <si>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</si>
  <si>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</si>
  <si>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</si>
  <si>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</si>
  <si>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</si>
  <si>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</si>
  <si>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</si>
  <si>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</si>
  <si>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</si>
  <si>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</si>
  <si>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</si>
  <si>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</si>
  <si>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</si>
  <si>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</si>
  <si>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</si>
  <si>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</si>
  <si>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</si>
  <si>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</si>
  <si>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</si>
  <si>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</si>
  <si>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</si>
  <si>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</si>
  <si>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</si>
  <si>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</si>
  <si>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</si>
  <si>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</si>
  <si>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</si>
  <si>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</si>
  <si>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</si>
  <si>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</si>
  <si>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</si>
  <si>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</si>
  <si>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</si>
  <si>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</si>
  <si>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</si>
  <si>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</si>
  <si>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</si>
  <si>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</si>
  <si>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</si>
  <si>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</si>
  <si>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</si>
  <si>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</si>
  <si>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</si>
  <si>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</si>
  <si>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</si>
  <si>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</si>
  <si>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</si>
  <si>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</si>
  <si>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</si>
  <si>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</si>
  <si>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</si>
  <si>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</si>
  <si>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</si>
  <si>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</si>
  <si>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</si>
  <si>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</si>
  <si>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</si>
  <si>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</si>
  <si>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</si>
  <si>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</si>
  <si>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</si>
  <si>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</si>
  <si>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</si>
  <si>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</si>
  <si>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</si>
  <si>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</si>
  <si>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</si>
  <si>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</si>
  <si>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</si>
  <si>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</si>
  <si>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</si>
  <si>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</si>
  <si>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</si>
  <si>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</si>
  <si>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</si>
  <si>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</si>
  <si>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</si>
  <si>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</si>
  <si>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</si>
  <si>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</si>
  <si>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</si>
  <si>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</si>
  <si>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</si>
  <si>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</si>
  <si>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</si>
  <si>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</si>
  <si>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</si>
  <si>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</si>
  <si>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</si>
  <si>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</si>
  <si>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</si>
  <si>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</si>
  <si>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</si>
  <si>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</si>
  <si>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</si>
  <si>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</si>
  <si>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</si>
  <si>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</si>
  <si>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</si>
  <si>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</si>
  <si>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</si>
  <si>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</si>
  <si>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</si>
  <si>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</si>
  <si>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</si>
  <si>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</si>
  <si>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</si>
  <si>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</si>
  <si>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</si>
  <si>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</si>
  <si>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</si>
  <si>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</si>
  <si>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</si>
  <si>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</si>
  <si>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</si>
  <si>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</si>
  <si>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</si>
  <si>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</si>
  <si>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</si>
  <si>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</si>
  <si>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</si>
  <si>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</si>
  <si>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</si>
  <si>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</si>
  <si>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</si>
  <si>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</si>
  <si>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</si>
  <si>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</si>
  <si>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</si>
  <si>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</si>
  <si>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</si>
  <si>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</si>
  <si>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</si>
  <si>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</si>
  <si>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</si>
  <si>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</si>
  <si>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</si>
  <si>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</si>
  <si>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</si>
  <si>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</si>
  <si>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</si>
  <si>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</si>
  <si>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</si>
  <si>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</si>
  <si>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</si>
  <si>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</si>
  <si>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</si>
  <si>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</si>
  <si>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</si>
  <si>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</si>
  <si>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</si>
  <si>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</si>
  <si>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</si>
  <si>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</si>
  <si>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</si>
  <si>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</si>
  <si>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</si>
  <si>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</si>
  <si>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</si>
  <si>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</si>
  <si>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</si>
  <si>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</si>
  <si>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</si>
  <si>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</si>
  <si>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</si>
  <si>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</si>
  <si>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</si>
  <si>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</si>
  <si>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</si>
  <si>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</si>
  <si>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</si>
  <si>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</si>
  <si>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</si>
  <si>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</si>
  <si>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</si>
  <si>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</si>
  <si>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</si>
  <si>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</si>
  <si>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</si>
  <si>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</si>
  <si>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</si>
  <si>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</si>
  <si>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</si>
  <si>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</si>
  <si>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</si>
  <si>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</si>
  <si>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</si>
  <si>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</si>
  <si>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</si>
  <si>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</si>
  <si>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</si>
  <si>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</si>
  <si>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</si>
  <si>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</si>
  <si>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</si>
  <si>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</si>
  <si>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</si>
  <si>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</si>
  <si>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</si>
  <si>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</si>
  <si>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</si>
  <si>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</si>
  <si>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</si>
  <si>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</si>
  <si>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</si>
  <si>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</si>
  <si>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</si>
  <si>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</si>
  <si>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</si>
  <si>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</si>
  <si>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</si>
  <si>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</si>
  <si>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</si>
  <si>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</si>
  <si>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</si>
  <si>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</si>
  <si>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</si>
  <si>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</si>
  <si>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</si>
  <si>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</si>
  <si>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</si>
  <si>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</si>
  <si>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</si>
  <si>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</si>
  <si>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</si>
  <si>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</si>
  <si>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</si>
  <si>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</si>
  <si>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</si>
  <si>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</si>
  <si>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</si>
  <si>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</si>
  <si>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</si>
  <si>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</si>
  <si>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</si>
  <si>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</si>
  <si>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</si>
  <si>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</si>
  <si>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</si>
  <si>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</si>
  <si>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</si>
  <si>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</si>
  <si>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</si>
  <si>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</si>
  <si>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</si>
  <si>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</si>
  <si>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</si>
  <si>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</si>
  <si>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</si>
  <si>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</si>
  <si>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</si>
  <si>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</si>
  <si>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</si>
  <si>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</si>
  <si>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</si>
  <si>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</si>
  <si>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</si>
  <si>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</si>
  <si>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</si>
  <si>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</si>
  <si>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</si>
  <si>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</si>
  <si>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</si>
  <si>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</si>
  <si>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</si>
  <si>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</si>
  <si>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</si>
  <si>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</si>
  <si>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</si>
  <si>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</si>
  <si>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</si>
  <si>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</si>
  <si>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</si>
  <si>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</si>
  <si>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</si>
  <si>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</si>
  <si>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</si>
  <si>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</si>
  <si>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</si>
  <si>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</si>
  <si>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</si>
  <si>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</si>
  <si>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</si>
  <si>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</si>
  <si>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</si>
  <si>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</si>
  <si>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</si>
  <si>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</si>
  <si>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</si>
  <si>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</si>
  <si>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</si>
  <si>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</si>
  <si>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</si>
  <si>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</si>
  <si>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</si>
  <si>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</si>
  <si>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</si>
  <si>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</si>
  <si>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</si>
  <si>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</si>
  <si>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</si>
  <si>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</si>
  <si>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</si>
  <si>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</si>
  <si>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</si>
  <si>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</si>
  <si>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</si>
  <si>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</si>
  <si>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</si>
  <si>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</si>
  <si>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</si>
  <si>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</si>
  <si>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</si>
  <si>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</si>
  <si>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</si>
  <si>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</si>
  <si>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</si>
  <si>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</si>
  <si>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</si>
  <si>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</si>
  <si>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</si>
  <si>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</si>
  <si>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</si>
  <si>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</si>
  <si>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</si>
  <si>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</si>
  <si>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</si>
  <si>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</si>
  <si>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</si>
  <si>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</si>
  <si>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</si>
  <si>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</si>
  <si>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</si>
  <si>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</si>
  <si>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</si>
  <si>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</si>
  <si>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</si>
  <si>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</si>
  <si>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</si>
  <si>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</si>
  <si>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</si>
  <si>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</si>
  <si>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</si>
  <si>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</si>
  <si>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</si>
  <si>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</si>
  <si>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</si>
  <si>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</si>
  <si>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</si>
  <si>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</si>
  <si>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</si>
  <si>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</si>
  <si>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</si>
  <si>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</si>
  <si>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</si>
  <si>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</si>
  <si>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</si>
  <si>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</si>
  <si>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</si>
  <si>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</si>
  <si>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</si>
  <si>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</si>
  <si>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</si>
  <si>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</si>
  <si>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</si>
  <si>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</si>
  <si>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</si>
  <si>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</si>
  <si>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</si>
  <si>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</si>
  <si>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</si>
  <si>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</si>
  <si>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</si>
  <si>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</si>
  <si>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</si>
  <si>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</si>
  <si>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</si>
  <si>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</si>
  <si>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Cables aéreos</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</si>
  <si>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</si>
  <si>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</si>
  <si>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</si>
  <si>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</si>
  <si>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</si>
  <si>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</si>
  <si>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</si>
  <si>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</si>
  <si>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</si>
  <si>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</si>
  <si>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</si>
  <si>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</si>
  <si>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</si>
  <si>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</si>
  <si>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</si>
  <si>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</si>
  <si>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</si>
  <si>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</si>
  <si>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</si>
  <si>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</si>
  <si>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</si>
  <si>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</si>
  <si>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</si>
  <si>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</si>
  <si>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</si>
  <si>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</si>
  <si>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</si>
  <si>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</si>
  <si>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</si>
  <si>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</si>
  <si>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</si>
  <si>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</si>
  <si>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</si>
  <si>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</si>
  <si>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</si>
  <si>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</si>
  <si>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</si>
  <si>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</si>
  <si>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</si>
  <si>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</si>
  <si>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</si>
  <si>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</si>
  <si>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</si>
  <si>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</si>
  <si>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</si>
  <si>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</si>
  <si>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</si>
  <si>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</si>
  <si>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</si>
  <si>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</si>
  <si>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</si>
  <si>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</si>
  <si>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</si>
  <si>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</si>
  <si>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</si>
  <si>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</si>
  <si>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</si>
  <si>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</si>
  <si>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</si>
  <si>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</si>
  <si>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</si>
  <si>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</si>
  <si>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</si>
  <si>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</si>
  <si>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</si>
  <si>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</si>
  <si>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</si>
  <si>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</si>
  <si>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</si>
  <si>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</si>
  <si>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</si>
  <si>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</si>
  <si>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</si>
  <si>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</si>
  <si>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</si>
  <si>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</si>
  <si>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</si>
  <si>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</si>
  <si>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</si>
  <si>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</si>
  <si>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</si>
  <si>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</si>
  <si>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</si>
  <si>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</si>
  <si>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</si>
  <si>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</si>
  <si>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</si>
  <si>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</si>
  <si>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</si>
  <si>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</si>
  <si>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</si>
  <si>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</si>
  <si>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</si>
  <si>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</si>
  <si>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</si>
  <si>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</si>
  <si>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</si>
  <si>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</si>
  <si>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</si>
  <si>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</si>
  <si>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</si>
  <si>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</si>
  <si>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</si>
  <si>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</si>
  <si>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</si>
  <si>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</si>
  <si>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</si>
  <si>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</si>
  <si>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</si>
  <si>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</si>
  <si>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</si>
  <si>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</si>
  <si>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</si>
  <si>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</si>
  <si>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</si>
  <si>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</si>
  <si>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</si>
  <si>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</si>
  <si>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</si>
  <si>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</si>
  <si>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</si>
  <si>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</si>
  <si>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</si>
  <si>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</si>
  <si>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</si>
  <si>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</si>
  <si>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</si>
  <si>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</si>
  <si>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</si>
  <si>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</si>
  <si>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</si>
  <si>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</si>
  <si>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</si>
  <si>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</si>
  <si>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</si>
  <si>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</si>
  <si>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</si>
  <si>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</si>
  <si>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</si>
  <si>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</si>
  <si>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</si>
  <si>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</si>
  <si>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</si>
  <si>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</si>
  <si>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</si>
  <si>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</si>
  <si>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</si>
  <si>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</si>
  <si>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</si>
  <si>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</si>
  <si>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</si>
  <si>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</si>
  <si>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</si>
  <si>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</si>
  <si>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</si>
  <si>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</si>
  <si>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</si>
  <si>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</si>
  <si>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</si>
  <si>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</si>
  <si>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</si>
  <si>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</si>
  <si>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</si>
  <si>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</si>
  <si>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</si>
  <si>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</si>
  <si>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</si>
  <si>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</si>
  <si>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</si>
  <si>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</si>
  <si>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</si>
  <si>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</si>
  <si>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</si>
  <si>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</si>
  <si>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</si>
  <si>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</si>
  <si>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</si>
  <si>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</si>
  <si>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</si>
  <si>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</si>
  <si>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</si>
  <si>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</si>
  <si>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</si>
  <si>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</si>
  <si>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</si>
  <si>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</si>
  <si>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</si>
  <si>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</si>
  <si>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</si>
  <si>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</si>
  <si>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</si>
  <si>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</si>
  <si>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</si>
  <si>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</si>
  <si>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</si>
  <si>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</si>
  <si>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</si>
  <si>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</si>
  <si>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</si>
  <si>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</si>
  <si>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</si>
  <si>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</si>
  <si>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</si>
  <si>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</si>
  <si>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</si>
  <si>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</si>
  <si>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</si>
  <si>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</si>
  <si>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</si>
  <si>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</si>
  <si>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</si>
  <si>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</si>
  <si>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</si>
  <si>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</si>
  <si>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</si>
  <si>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</si>
  <si>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</si>
  <si>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</si>
  <si>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</si>
  <si>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</si>
  <si>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</si>
  <si>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</si>
  <si>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</si>
  <si>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</si>
  <si>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</si>
  <si>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</si>
  <si>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</si>
  <si>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</si>
  <si>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</si>
  <si>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</si>
  <si>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</si>
  <si>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</si>
  <si>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</si>
  <si>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</si>
  <si>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</si>
  <si>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</si>
  <si>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</si>
  <si>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</si>
  <si>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</si>
  <si>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</si>
  <si>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</si>
  <si>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</si>
  <si>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</si>
  <si>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</si>
  <si>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</si>
  <si>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</si>
  <si>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</si>
  <si>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</si>
  <si>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</si>
  <si>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</si>
  <si>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</si>
  <si>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</si>
  <si>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</si>
  <si>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</si>
  <si>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</si>
  <si>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</si>
  <si>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</si>
  <si>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</si>
  <si>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</si>
  <si>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</si>
  <si>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</si>
  <si>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</si>
  <si>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</si>
  <si>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</si>
  <si>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</si>
  <si>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</si>
  <si>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</si>
  <si>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</si>
  <si>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</si>
  <si>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</si>
  <si>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</si>
  <si>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</si>
  <si>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</si>
  <si>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</si>
  <si>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</si>
  <si>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</si>
  <si>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</si>
  <si>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</si>
  <si>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</si>
  <si>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</si>
  <si>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</si>
  <si>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</si>
  <si>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</si>
  <si>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</si>
  <si>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</si>
  <si>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</si>
  <si>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</si>
  <si>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</si>
  <si>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</si>
  <si>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</si>
  <si>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</si>
  <si>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</si>
  <si>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</si>
  <si>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</si>
  <si>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</si>
  <si>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</si>
  <si>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</si>
  <si>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</si>
  <si>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</si>
  <si>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</si>
  <si>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</si>
  <si>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</si>
  <si>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</si>
  <si>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</si>
  <si>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</si>
  <si>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</si>
  <si>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</si>
  <si>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</si>
  <si>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</si>
  <si>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</si>
  <si>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</si>
  <si>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</si>
  <si>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</si>
  <si>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</si>
  <si>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</si>
  <si>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</si>
  <si>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</si>
  <si>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</si>
  <si>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</si>
  <si>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</si>
  <si>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</si>
  <si>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</si>
  <si>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</si>
  <si>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</si>
  <si>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</si>
  <si>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</si>
  <si>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</si>
  <si>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</si>
  <si>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</si>
  <si>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</si>
  <si>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</si>
  <si>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</si>
  <si>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</si>
  <si>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</si>
  <si>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</si>
  <si>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</si>
  <si>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</si>
  <si>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</si>
  <si>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</si>
  <si>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</si>
  <si>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</si>
  <si>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</si>
  <si>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</si>
  <si>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</si>
  <si>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</si>
  <si>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</si>
  <si>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</si>
  <si>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</si>
  <si>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</si>
  <si>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</si>
  <si>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</si>
  <si>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</si>
  <si>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</si>
  <si>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</si>
  <si>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</si>
  <si>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</si>
  <si>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</si>
  <si>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</si>
  <si>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</si>
  <si>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</si>
  <si>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</si>
  <si>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</si>
  <si>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</si>
  <si>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</si>
  <si>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</si>
  <si>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</si>
  <si>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</si>
  <si>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</si>
  <si>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</si>
  <si>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</si>
  <si>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</si>
  <si>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</si>
  <si>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</si>
  <si>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</si>
  <si>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</si>
  <si>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</si>
  <si>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</si>
  <si>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</si>
  <si>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</si>
  <si>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</si>
  <si>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</si>
  <si>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</si>
  <si>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</si>
  <si>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</si>
  <si>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</si>
  <si>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</si>
  <si>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</si>
  <si>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</si>
  <si>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</si>
  <si>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</si>
  <si>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</si>
  <si>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</si>
  <si>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</si>
  <si>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</si>
  <si>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</si>
  <si>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</si>
  <si>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</si>
  <si>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</si>
  <si>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</si>
  <si>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</si>
  <si>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</si>
  <si>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</si>
  <si>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</si>
  <si>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</si>
  <si>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</si>
  <si>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</si>
  <si>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</si>
  <si>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</si>
  <si>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</si>
  <si>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</si>
  <si>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</si>
  <si>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</si>
  <si>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</si>
  <si>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</si>
  <si>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</si>
  <si>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</si>
  <si>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</si>
  <si>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</si>
  <si>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</si>
  <si>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</si>
  <si>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</si>
  <si>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</si>
  <si>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</si>
  <si>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</si>
  <si>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</si>
  <si>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</si>
  <si>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</si>
  <si>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</si>
  <si>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</si>
  <si>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</si>
  <si>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</si>
  <si>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</si>
  <si>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</si>
  <si>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</si>
  <si>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</si>
  <si>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</si>
  <si>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</si>
  <si>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</si>
  <si>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</si>
  <si>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</si>
  <si>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</si>
  <si>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</si>
  <si>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</si>
  <si>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</si>
  <si>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</si>
  <si>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</si>
  <si>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</si>
  <si>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</si>
  <si>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</si>
  <si>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</si>
  <si>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</si>
  <si>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</si>
  <si>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</si>
  <si>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</si>
  <si>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</si>
  <si>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</si>
  <si>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</si>
  <si>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</si>
  <si>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</si>
  <si>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</si>
  <si>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</si>
  <si>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</si>
  <si>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</si>
  <si>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</si>
  <si>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</si>
  <si>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</si>
  <si>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</si>
  <si>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</si>
  <si>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</si>
  <si>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</si>
  <si>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</si>
  <si>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</si>
  <si>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</si>
  <si>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</si>
  <si>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</si>
  <si>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</si>
  <si>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</si>
  <si>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</si>
  <si>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</si>
  <si>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</si>
  <si>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</si>
  <si>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</si>
  <si>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</si>
  <si>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</si>
  <si>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</si>
  <si>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</si>
  <si>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</si>
  <si>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</si>
  <si>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</si>
  <si>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</si>
  <si>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</si>
  <si>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</si>
  <si>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</si>
  <si>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</si>
  <si>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</si>
  <si>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</si>
  <si>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</si>
  <si>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</si>
  <si>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</si>
  <si>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</si>
  <si>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</si>
  <si>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</si>
  <si>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</si>
  <si>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</si>
  <si>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</si>
  <si>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</si>
  <si>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</si>
  <si>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</si>
  <si>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</si>
  <si>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</si>
  <si>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</si>
  <si>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</si>
  <si>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</si>
  <si>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</si>
  <si>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</si>
  <si>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</si>
  <si>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</si>
  <si>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</si>
  <si>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</si>
  <si>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</si>
  <si>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</si>
  <si>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</si>
  <si>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</si>
  <si>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</si>
  <si>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</si>
  <si>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</si>
  <si>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</si>
  <si>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</si>
  <si>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</si>
  <si>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</si>
  <si>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</si>
  <si>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</si>
  <si>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</si>
  <si>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</si>
  <si>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</si>
  <si>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</si>
  <si>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</si>
  <si>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</si>
  <si>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</si>
  <si>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</si>
  <si>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</si>
  <si>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</si>
  <si>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</si>
  <si>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</si>
  <si>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</si>
  <si>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</si>
  <si>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</si>
  <si>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</si>
  <si>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</si>
  <si>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</si>
  <si>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</si>
  <si>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</si>
  <si>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</si>
  <si>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</si>
  <si>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</si>
  <si>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</si>
  <si>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</si>
  <si>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</si>
  <si>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</si>
  <si>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</si>
  <si>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</si>
  <si>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</si>
  <si>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</si>
  <si>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</si>
  <si>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</si>
  <si>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</si>
  <si>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</si>
  <si>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</si>
  <si>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</si>
  <si>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</si>
  <si>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</si>
  <si>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</si>
  <si>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</si>
  <si>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</si>
  <si>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</si>
  <si>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</si>
  <si>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</si>
  <si>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</si>
  <si>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</si>
  <si>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</si>
  <si>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</si>
  <si>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</si>
  <si>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</si>
  <si>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</si>
  <si>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</si>
  <si>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</si>
  <si>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</si>
  <si>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</si>
  <si>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</si>
  <si>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</si>
  <si>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</si>
  <si>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</si>
  <si>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</si>
  <si>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</si>
  <si>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</si>
  <si>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</si>
  <si>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</si>
  <si>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</si>
  <si>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</si>
  <si>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</si>
  <si>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</si>
  <si>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</si>
  <si>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</si>
  <si>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</si>
  <si>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</si>
  <si>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</si>
  <si>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</si>
  <si>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</si>
  <si>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</si>
  <si>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</si>
  <si>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</si>
  <si>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</si>
  <si>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</si>
  <si>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</si>
  <si>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</si>
  <si>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</si>
  <si>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</si>
  <si>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</si>
  <si>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</si>
  <si>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</si>
  <si>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</si>
  <si>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</si>
  <si>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</si>
  <si>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</si>
  <si>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</si>
  <si>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</si>
  <si>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</si>
  <si>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</si>
  <si>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</si>
  <si>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</si>
  <si>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</si>
  <si>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</si>
  <si>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</si>
  <si>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</si>
  <si>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</si>
  <si>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</si>
  <si>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</si>
  <si>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</si>
  <si>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</si>
  <si>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</si>
  <si>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</si>
  <si>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</si>
  <si>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</si>
  <si>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</si>
  <si>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</si>
  <si>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</si>
  <si>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</si>
  <si>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</si>
  <si>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</si>
  <si>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</si>
  <si>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</si>
  <si>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</si>
  <si>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</si>
  <si>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</si>
  <si>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</si>
  <si>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</si>
  <si>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</si>
  <si>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</si>
  <si>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</si>
  <si>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</si>
  <si>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</si>
  <si>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</si>
  <si>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</si>
  <si>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</si>
  <si>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</si>
  <si>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</si>
  <si>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</si>
  <si>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</si>
  <si>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</si>
  <si>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</si>
  <si>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</si>
  <si>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</si>
  <si>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</si>
  <si>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</si>
  <si>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</si>
  <si>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</si>
  <si>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</si>
  <si>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</si>
  <si>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</si>
  <si>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</si>
  <si>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</si>
  <si>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</si>
  <si>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</si>
  <si>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</si>
  <si>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</si>
  <si>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</si>
  <si>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</si>
  <si>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</si>
  <si>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</si>
  <si>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</si>
  <si>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</si>
  <si>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</si>
  <si>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</si>
  <si>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</si>
  <si>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</si>
  <si>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</si>
  <si>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</si>
  <si>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</si>
  <si>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</si>
  <si>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</si>
  <si>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</si>
  <si>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</si>
  <si>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</si>
  <si>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</si>
  <si>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</si>
  <si>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</si>
  <si>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</si>
  <si>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</si>
  <si>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</si>
  <si>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</si>
  <si>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</si>
  <si>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</si>
  <si>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</si>
  <si>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</si>
  <si>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</si>
  <si>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</si>
  <si>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</si>
  <si>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</si>
  <si>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</si>
  <si>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</si>
  <si>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</si>
  <si>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</si>
  <si>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</si>
  <si>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</si>
  <si>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</si>
  <si>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</si>
  <si>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</si>
  <si>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</si>
  <si>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</si>
  <si>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</si>
  <si>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</si>
  <si>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</si>
  <si>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</si>
  <si>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</si>
  <si>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</si>
  <si>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</si>
  <si>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</si>
  <si>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</si>
  <si>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</si>
  <si>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</si>
  <si>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</si>
  <si>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</si>
  <si>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</si>
  <si>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</si>
  <si>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</si>
  <si>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</si>
  <si>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</si>
  <si>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</si>
  <si>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</si>
  <si>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</si>
  <si>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</si>
  <si>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</si>
  <si>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</si>
  <si>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</si>
  <si>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</si>
  <si>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</si>
  <si>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</si>
  <si>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</si>
  <si>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</si>
  <si>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</si>
  <si>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</si>
  <si>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</si>
  <si>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</si>
  <si>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</si>
  <si>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</si>
  <si>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</si>
  <si>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</si>
  <si>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</si>
  <si>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</si>
  <si>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</si>
  <si>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</si>
  <si>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</si>
  <si>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</si>
  <si>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</si>
  <si>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</si>
  <si>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</si>
  <si>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</si>
  <si>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</si>
  <si>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</si>
  <si>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</si>
  <si>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</si>
  <si>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</si>
  <si>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</si>
  <si>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</si>
  <si>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</si>
  <si>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</si>
  <si>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</si>
  <si>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</si>
  <si>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</si>
  <si>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</si>
  <si>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</si>
  <si>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</si>
  <si>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</si>
  <si>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</si>
  <si>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</si>
  <si>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</si>
  <si>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</si>
  <si>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</si>
  <si>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</si>
  <si>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</si>
  <si>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</si>
  <si>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</si>
  <si>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</si>
  <si>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</si>
  <si>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</si>
  <si>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</si>
  <si>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</si>
  <si>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</si>
  <si>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</si>
  <si>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</si>
  <si>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</si>
  <si>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</si>
  <si>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</si>
  <si>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</si>
  <si>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</si>
  <si>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</si>
  <si>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</si>
  <si>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</si>
  <si>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</si>
  <si>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</si>
  <si>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</si>
  <si>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</si>
  <si>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</si>
  <si>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</si>
  <si>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</si>
  <si>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</si>
  <si>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</si>
  <si>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</si>
  <si>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</si>
  <si>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</si>
  <si>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</si>
  <si>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</si>
  <si>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</si>
  <si>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</si>
  <si>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</si>
  <si>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</si>
  <si>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</si>
  <si>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</si>
  <si>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</si>
  <si>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</si>
  <si>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</si>
  <si>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</si>
  <si>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</si>
  <si>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</si>
  <si>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</si>
  <si>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</si>
  <si>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</si>
  <si>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</si>
  <si>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</si>
  <si>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</si>
  <si>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</si>
  <si>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</si>
  <si>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</si>
  <si>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</si>
  <si>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</si>
  <si>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</si>
  <si>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</si>
  <si>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</si>
  <si>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</si>
  <si>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</si>
  <si>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</si>
  <si>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</si>
  <si>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</si>
  <si>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</si>
  <si>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</si>
  <si>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</si>
  <si>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</si>
  <si>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</si>
  <si>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</si>
  <si>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</si>
  <si>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</si>
  <si>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</si>
  <si>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</si>
  <si>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</si>
  <si>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</si>
  <si>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</si>
  <si>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</si>
  <si>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</si>
  <si>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</si>
  <si>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</si>
  <si>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</si>
  <si>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</si>
  <si>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</si>
  <si>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</si>
  <si>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</si>
  <si>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</si>
  <si>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</si>
  <si>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</si>
  <si>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</si>
  <si>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</si>
  <si>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</si>
  <si>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</si>
  <si>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</si>
  <si>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</si>
  <si>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</si>
  <si>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</si>
  <si>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</si>
  <si>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</si>
  <si>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</si>
  <si>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</si>
  <si>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</si>
  <si>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</si>
  <si>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</si>
  <si>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</si>
  <si>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</si>
  <si>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</si>
  <si>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</si>
  <si>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</si>
  <si>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</si>
  <si>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</si>
  <si>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</si>
  <si>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</si>
  <si>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</si>
  <si>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</si>
  <si>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</si>
  <si>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</si>
  <si>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</si>
  <si>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</si>
  <si>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</si>
  <si>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</si>
  <si>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</si>
  <si>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</si>
  <si>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</si>
  <si>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</si>
  <si>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</si>
  <si>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</si>
  <si>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</si>
  <si>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</si>
  <si>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</si>
  <si>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</si>
  <si>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</si>
  <si>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</si>
  <si>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</si>
  <si>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</si>
  <si>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</si>
  <si>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</si>
  <si>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</si>
  <si>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</si>
  <si>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</si>
  <si>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</si>
  <si>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</si>
  <si>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</si>
  <si>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</si>
  <si>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</si>
  <si>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</si>
  <si>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</si>
  <si>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</si>
  <si>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</si>
  <si>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</si>
  <si>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</si>
  <si>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</si>
  <si>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</si>
  <si>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</si>
  <si>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</si>
  <si>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</si>
  <si>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</si>
  <si>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</si>
  <si>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</si>
  <si>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</si>
  <si>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</si>
  <si>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</si>
  <si>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</si>
  <si>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</si>
  <si>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</si>
  <si>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</si>
  <si>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</si>
  <si>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</si>
  <si>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</si>
  <si>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</si>
  <si>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</si>
  <si>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</si>
  <si>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</si>
  <si>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</si>
  <si>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</si>
  <si>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</si>
  <si>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</si>
  <si>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</si>
  <si>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</si>
  <si>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</si>
  <si>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</si>
  <si>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</si>
  <si>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</si>
  <si>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</si>
  <si>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</si>
  <si>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</si>
  <si>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</si>
  <si>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</si>
  <si>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</si>
  <si>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</si>
  <si>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</si>
  <si>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</si>
  <si>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</si>
  <si>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</si>
  <si>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</si>
  <si>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</si>
  <si>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</si>
  <si>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</si>
  <si>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</si>
  <si>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</si>
  <si>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</si>
  <si>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</si>
  <si>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</si>
  <si>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</si>
  <si>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</si>
  <si>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</si>
  <si>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</si>
  <si>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</si>
  <si>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</si>
  <si>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</si>
  <si>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</si>
  <si>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</si>
  <si>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</si>
  <si>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</si>
  <si>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</si>
  <si>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</si>
  <si>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</si>
  <si>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</si>
  <si>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</si>
  <si>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</si>
  <si>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</si>
  <si>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</si>
  <si>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</si>
  <si>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</si>
  <si>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</si>
  <si>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</si>
  <si>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</si>
  <si>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</si>
  <si>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</si>
  <si>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</si>
  <si>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</si>
  <si>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</si>
  <si>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</si>
  <si>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</si>
  <si>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</si>
  <si>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</si>
  <si>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</si>
  <si>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</si>
  <si>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</si>
  <si>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</si>
  <si>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</si>
  <si>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</si>
  <si>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</si>
  <si>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</si>
  <si>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</si>
  <si>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</si>
  <si>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</si>
  <si>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</si>
  <si>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</si>
  <si>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</si>
  <si>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</si>
  <si>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</si>
  <si>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</si>
  <si>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</si>
  <si>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</si>
  <si>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</si>
  <si>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</si>
  <si>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</si>
  <si>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</si>
  <si>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</si>
  <si>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</si>
  <si>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</si>
  <si>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</si>
  <si>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</si>
  <si>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</si>
  <si>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</si>
  <si>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</si>
  <si>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</si>
  <si>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</si>
  <si>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</si>
  <si>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</si>
  <si>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</si>
  <si>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</si>
  <si>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</si>
  <si>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</si>
  <si>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</si>
  <si>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</si>
  <si>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</si>
  <si>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</si>
  <si>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</si>
  <si>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</si>
  <si>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</si>
  <si>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</si>
  <si>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</si>
  <si>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</si>
  <si>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</si>
  <si>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</si>
  <si>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</si>
  <si>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</si>
  <si>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</si>
  <si>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</si>
  <si>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</si>
  <si>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</si>
  <si>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</si>
  <si>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</si>
  <si>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</si>
  <si>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</si>
  <si>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</si>
  <si>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</si>
  <si>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</si>
  <si>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</si>
  <si>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</si>
  <si>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</si>
  <si>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</si>
  <si>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</si>
  <si>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</si>
  <si>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</si>
  <si>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</si>
  <si>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</si>
  <si>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</si>
  <si>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</si>
  <si>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</si>
  <si>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</si>
  <si>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</si>
  <si>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</si>
  <si>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</si>
  <si>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</si>
  <si>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</si>
  <si>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</si>
  <si>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</si>
  <si>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</si>
  <si>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</si>
  <si>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</si>
  <si>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</si>
  <si>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</si>
  <si>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</si>
  <si>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</si>
  <si>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</si>
  <si>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</si>
  <si>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</si>
  <si>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</si>
  <si>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</si>
  <si>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</si>
  <si>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</si>
  <si>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</si>
  <si>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</si>
  <si>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</si>
  <si>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</si>
  <si>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</si>
  <si>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</si>
  <si>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</si>
  <si>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</si>
  <si>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</si>
  <si>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</si>
  <si>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</si>
  <si>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</si>
  <si>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</si>
  <si>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</si>
  <si>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</si>
  <si>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</si>
  <si>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</si>
  <si>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</si>
  <si>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</si>
  <si>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</si>
  <si>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</si>
  <si>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</si>
  <si>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</si>
  <si>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</si>
  <si>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</si>
  <si>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</si>
  <si>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</si>
  <si>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</si>
  <si>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</si>
  <si>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</si>
  <si>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</si>
  <si>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</si>
  <si>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</si>
  <si>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</si>
  <si>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</si>
  <si>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</si>
  <si>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</si>
  <si>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</si>
  <si>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</si>
  <si>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</si>
  <si>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</si>
  <si>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</si>
  <si>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</si>
  <si>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</si>
  <si>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</si>
  <si>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</si>
  <si>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</si>
  <si>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</si>
  <si>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</si>
  <si>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</si>
  <si>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</si>
  <si>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</si>
  <si>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</si>
  <si>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</si>
  <si>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</si>
  <si>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</si>
  <si>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</si>
  <si>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</si>
  <si>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</si>
  <si>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</si>
  <si>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</si>
  <si>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</si>
  <si>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</si>
  <si>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</si>
  <si>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</si>
  <si>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</si>
  <si>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</si>
  <si>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</si>
  <si>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</si>
  <si>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</si>
  <si>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</si>
  <si>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</si>
  <si>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</si>
  <si>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</si>
  <si>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</si>
  <si>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</si>
  <si>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</si>
  <si>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</si>
  <si>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</si>
  <si>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</si>
  <si>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</si>
  <si>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</si>
  <si>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</si>
  <si>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</si>
  <si>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</si>
  <si>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</si>
  <si>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</si>
  <si>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</si>
  <si>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</si>
  <si>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</si>
  <si>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</si>
  <si>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</si>
  <si>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</si>
  <si>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</si>
  <si>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</si>
  <si>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</si>
  <si>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</si>
  <si>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</si>
  <si>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</si>
  <si>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</si>
  <si>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</si>
  <si>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</si>
  <si>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</si>
  <si>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</si>
  <si>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</si>
  <si>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</si>
  <si>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</si>
  <si>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</si>
  <si>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</si>
  <si>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</si>
  <si>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</si>
  <si>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</si>
  <si>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</si>
  <si>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</si>
  <si>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</si>
  <si>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</si>
  <si>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</si>
  <si>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</si>
  <si>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</si>
  <si>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</si>
  <si>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</si>
  <si>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</si>
  <si>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</si>
  <si>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</si>
  <si>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</si>
  <si>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</si>
  <si>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</si>
  <si>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</si>
  <si>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</si>
  <si>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</si>
  <si>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</si>
  <si>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</si>
  <si>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</si>
  <si>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</si>
  <si>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</si>
  <si>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</si>
  <si>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</si>
  <si>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</si>
  <si>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</si>
  <si>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</si>
  <si>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</si>
  <si>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</si>
  <si>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</si>
  <si>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</si>
  <si>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</si>
  <si>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</si>
  <si>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</si>
  <si>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</si>
  <si>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</si>
  <si>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</si>
  <si>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</si>
  <si>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</si>
  <si>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</si>
  <si>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</si>
  <si>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</si>
  <si>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</si>
  <si>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</si>
  <si>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</si>
  <si>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</si>
  <si>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</si>
  <si>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</si>
  <si>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</si>
  <si>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</si>
  <si>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</si>
  <si>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</si>
  <si>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</si>
  <si>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</si>
  <si>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</si>
  <si>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</si>
  <si>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</si>
  <si>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</si>
  <si>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</si>
  <si>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</si>
  <si>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</si>
  <si>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</si>
  <si>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</si>
  <si>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</si>
  <si>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</si>
  <si>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</si>
  <si>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</si>
  <si>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</si>
  <si>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</si>
  <si>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</si>
  <si>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</si>
  <si>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</si>
  <si>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</si>
  <si>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</si>
  <si>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</si>
  <si>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</si>
  <si>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</si>
  <si>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</si>
  <si>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</si>
  <si>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</si>
  <si>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</si>
  <si>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</si>
  <si>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</si>
  <si>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</si>
  <si>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</si>
  <si>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</si>
  <si>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</si>
  <si>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</si>
  <si>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</si>
  <si>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</si>
  <si>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</si>
  <si>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</si>
  <si>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</si>
  <si>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</si>
  <si>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</si>
  <si>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</si>
  <si>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</si>
  <si>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</si>
  <si>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</si>
  <si>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</si>
  <si>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</si>
  <si>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</si>
  <si>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</si>
  <si>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</si>
  <si>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</si>
  <si>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</si>
  <si>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</si>
  <si>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</si>
  <si>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</si>
  <si>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</si>
  <si>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</si>
  <si>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</si>
  <si>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</si>
  <si>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</si>
  <si>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</si>
  <si>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</si>
  <si>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</si>
  <si>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</si>
  <si>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</si>
  <si>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</si>
  <si>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</si>
  <si>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</si>
  <si>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</si>
  <si>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</si>
  <si>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</si>
  <si>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</si>
  <si>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</si>
  <si>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</si>
  <si>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</si>
  <si>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</si>
  <si>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</si>
  <si>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</si>
  <si>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</si>
  <si>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</si>
  <si>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</si>
  <si>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</si>
  <si>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</si>
  <si>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</si>
  <si>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</si>
  <si>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</si>
  <si>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</si>
  <si>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</si>
  <si>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</si>
  <si>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</si>
  <si>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</si>
  <si>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</si>
  <si>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</si>
  <si>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</si>
  <si>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</si>
  <si>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</si>
  <si>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</si>
  <si>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</si>
  <si>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</si>
  <si>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</si>
  <si>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</si>
  <si>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</si>
  <si>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</si>
  <si>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</si>
  <si>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</si>
  <si>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</si>
  <si>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</si>
  <si>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</si>
  <si>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</si>
  <si>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</si>
  <si>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</si>
  <si>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</si>
  <si>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</si>
  <si>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</si>
  <si>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</si>
  <si>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</si>
  <si>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</si>
  <si>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</si>
  <si>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</si>
  <si>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</si>
  <si>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</si>
  <si>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</si>
  <si>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</si>
  <si>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</si>
  <si>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</si>
  <si>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</si>
  <si>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</si>
  <si>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</si>
  <si>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</si>
  <si>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</si>
  <si>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</si>
  <si>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</si>
  <si>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</si>
  <si>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</si>
  <si>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</si>
  <si>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</si>
  <si>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</si>
  <si>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</si>
  <si>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</si>
  <si>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</si>
  <si>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</si>
  <si>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</si>
  <si>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</si>
  <si>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</si>
  <si>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</si>
  <si>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</si>
  <si>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</si>
  <si>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</si>
  <si>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</si>
  <si>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</si>
  <si>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</si>
  <si>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</si>
  <si>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</si>
  <si>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</si>
  <si>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</si>
  <si>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</si>
  <si>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</si>
  <si>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</si>
  <si>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</si>
  <si>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</si>
  <si>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</si>
  <si>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</si>
  <si>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</si>
  <si>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</si>
  <si>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</si>
  <si>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</si>
  <si>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</si>
  <si>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</si>
  <si>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</si>
  <si>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</si>
  <si>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</si>
  <si>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</si>
  <si>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</si>
  <si>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</si>
  <si>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</si>
  <si>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</si>
  <si>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</si>
  <si>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</si>
  <si>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</si>
  <si>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</si>
  <si>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</si>
  <si>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</si>
  <si>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</si>
  <si>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</si>
  <si>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</si>
  <si>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</si>
  <si>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</si>
  <si>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</si>
  <si>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</si>
  <si>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</si>
  <si>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</si>
  <si>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</si>
  <si>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</si>
  <si>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</si>
  <si>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</si>
  <si>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</si>
  <si>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</si>
  <si>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</si>
  <si>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</si>
  <si>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</si>
  <si>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</si>
  <si>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</si>
  <si>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</si>
  <si>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</si>
  <si>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</si>
  <si>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</si>
  <si>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</si>
  <si>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</si>
  <si>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</si>
  <si>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</si>
  <si>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</si>
  <si>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</si>
  <si>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</si>
  <si>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</si>
  <si>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</si>
  <si>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</si>
  <si>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</si>
  <si>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</si>
  <si>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</si>
  <si>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</si>
  <si>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</si>
  <si>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</si>
  <si>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</si>
  <si>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</si>
  <si>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</si>
  <si>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</si>
  <si>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</si>
  <si>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</si>
  <si>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</si>
  <si>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</si>
  <si>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</si>
  <si>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</si>
  <si>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</si>
  <si>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</si>
  <si>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</si>
  <si>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</si>
  <si>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</si>
  <si>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</si>
  <si>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</si>
  <si>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</si>
  <si>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</si>
  <si>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</si>
  <si>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</si>
  <si>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</si>
  <si>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</si>
  <si>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</si>
  <si>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</si>
  <si>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</si>
  <si>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</si>
  <si>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</si>
  <si>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</si>
  <si>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</si>
  <si>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</si>
  <si>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</si>
  <si>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</si>
  <si>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</si>
  <si>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</si>
  <si>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</si>
  <si>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</si>
  <si>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</si>
  <si>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</si>
  <si>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</si>
  <si>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</si>
  <si>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</si>
  <si>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</si>
  <si>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</si>
  <si>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</si>
  <si>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</si>
  <si>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</si>
  <si>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</si>
  <si>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</si>
  <si>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</si>
  <si>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</si>
  <si>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</si>
  <si>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</si>
  <si>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</si>
  <si>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</si>
  <si>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</si>
  <si>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</si>
  <si>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</si>
  <si>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</si>
  <si>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</si>
  <si>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</si>
  <si>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</si>
  <si>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</si>
  <si>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</si>
  <si>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</si>
  <si>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</si>
  <si>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</si>
  <si>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</si>
  <si>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</si>
  <si>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</si>
  <si>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</si>
  <si>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</si>
  <si>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</si>
  <si>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</si>
  <si>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</si>
  <si>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</si>
  <si>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</si>
  <si>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</si>
  <si>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</si>
  <si>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</si>
  <si>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</si>
  <si>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</si>
  <si>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</si>
  <si>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</si>
  <si>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</si>
  <si>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</si>
  <si>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</si>
  <si>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</si>
  <si>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</si>
  <si>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</si>
  <si>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</si>
  <si>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</si>
  <si>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</si>
  <si>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</si>
  <si>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</si>
  <si>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</si>
  <si>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</si>
  <si>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</si>
  <si>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</si>
  <si>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</si>
  <si>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</si>
  <si>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</si>
  <si>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</si>
  <si>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</si>
  <si>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</si>
  <si>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</si>
  <si>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</si>
  <si>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</si>
  <si>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</si>
  <si>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</si>
  <si>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</si>
  <si>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</si>
  <si>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</si>
  <si>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</si>
  <si>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</si>
  <si>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</si>
  <si>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</si>
  <si>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</si>
  <si>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</si>
  <si>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</si>
  <si>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</si>
  <si>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</si>
  <si>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</si>
  <si>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</si>
  <si>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</si>
  <si>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</si>
  <si>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</si>
  <si>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</si>
  <si>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</si>
  <si>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</si>
  <si>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</si>
  <si>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</si>
  <si>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</si>
  <si>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</si>
  <si>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</si>
  <si>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</si>
  <si>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</si>
  <si>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</si>
  <si>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</si>
  <si>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</si>
  <si>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</si>
  <si>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</si>
  <si>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</si>
  <si>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</si>
  <si>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</si>
  <si>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</si>
  <si>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</si>
  <si>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</si>
  <si>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</si>
  <si>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</si>
  <si>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</si>
  <si>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</si>
  <si>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</si>
  <si>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</si>
  <si>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</si>
  <si>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</si>
  <si>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</si>
  <si>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</si>
  <si>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</si>
  <si>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</si>
  <si>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</si>
  <si>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</si>
  <si>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</si>
  <si>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</si>
  <si>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</si>
  <si>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</si>
  <si>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</si>
  <si>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</si>
  <si>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</si>
  <si>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</si>
  <si>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</si>
  <si>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</si>
  <si>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</si>
  <si>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</si>
  <si>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</si>
  <si>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</si>
  <si>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</si>
  <si>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</si>
  <si>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</si>
  <si>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</si>
  <si>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</si>
  <si>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</si>
  <si>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</si>
  <si>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</si>
  <si>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</si>
  <si>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</si>
  <si>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</si>
  <si>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</si>
  <si>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</si>
  <si>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</si>
  <si>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</si>
  <si>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</si>
  <si>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</si>
  <si>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</si>
  <si>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</si>
  <si>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</si>
  <si>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</si>
  <si>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</si>
  <si>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</si>
  <si>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</si>
  <si>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</si>
  <si>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</si>
  <si>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</si>
  <si>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</si>
  <si>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</si>
  <si>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</si>
  <si>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</si>
  <si>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</si>
  <si>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</si>
  <si>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</si>
  <si>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</si>
  <si>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</si>
  <si>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</si>
  <si>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</si>
  <si>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</si>
  <si>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</si>
  <si>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</si>
  <si>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</si>
  <si>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</si>
  <si>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</si>
  <si>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</si>
  <si>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</si>
  <si>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</si>
  <si>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</si>
  <si>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</si>
  <si>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</si>
  <si>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</si>
  <si>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</si>
  <si>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</si>
  <si>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</si>
  <si>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</si>
  <si>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</si>
  <si>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</si>
  <si>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</si>
  <si>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</si>
  <si>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</si>
  <si>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</si>
  <si>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</si>
  <si>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</si>
  <si>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</si>
  <si>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</si>
  <si>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</si>
  <si>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</si>
  <si>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</si>
  <si>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</si>
  <si>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</si>
  <si>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</si>
  <si>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</si>
  <si>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</si>
  <si>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</si>
  <si>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</si>
  <si>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</si>
  <si>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</si>
  <si>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</si>
  <si>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</si>
  <si>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</si>
  <si>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</si>
  <si>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</si>
  <si>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</si>
  <si>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</si>
  <si>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</si>
  <si>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</si>
  <si>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</si>
  <si>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</si>
  <si>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</si>
  <si>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</si>
  <si>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</si>
  <si>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</si>
  <si>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</si>
  <si>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</si>
  <si>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</si>
  <si>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</si>
  <si>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</si>
  <si>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</si>
  <si>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</si>
  <si>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</si>
  <si>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</si>
  <si>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</si>
  <si>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</si>
  <si>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</si>
  <si>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</si>
  <si>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</si>
  <si>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</si>
  <si>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</si>
  <si>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</si>
  <si>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</si>
  <si>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</si>
  <si>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</si>
  <si>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</si>
  <si>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</si>
  <si>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</si>
  <si>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</si>
  <si>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</si>
  <si>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</si>
  <si>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</si>
  <si>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</si>
  <si>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</si>
  <si>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</si>
  <si>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</si>
  <si>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</si>
  <si>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</si>
  <si>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</si>
  <si>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</si>
  <si>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</si>
  <si>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</si>
  <si>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</si>
  <si>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</si>
  <si>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</si>
  <si>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</si>
  <si>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</si>
  <si>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</si>
  <si>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</si>
  <si>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</si>
  <si>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</si>
  <si>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</si>
  <si>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</si>
  <si>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</si>
  <si>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</si>
  <si>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</si>
  <si>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</si>
  <si>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</si>
  <si>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</si>
  <si>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</si>
  <si>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</si>
  <si>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</si>
  <si>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</si>
  <si>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</si>
  <si>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</si>
  <si>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</si>
  <si>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</si>
  <si>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</si>
  <si>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</si>
  <si>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</si>
  <si>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</si>
  <si>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</si>
  <si>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</si>
  <si>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</si>
  <si>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</si>
  <si>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</si>
  <si>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</si>
  <si>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</si>
  <si>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</si>
  <si>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</si>
  <si>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</si>
  <si>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</si>
  <si>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</si>
  <si>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</si>
  <si>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</si>
  <si>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</si>
  <si>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</si>
  <si>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</si>
  <si>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</si>
  <si>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</si>
  <si>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</si>
  <si>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</si>
  <si>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</si>
  <si>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</si>
  <si>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</si>
  <si>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</si>
  <si>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</si>
  <si>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</si>
  <si>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</si>
  <si>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</si>
  <si>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</si>
  <si>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</si>
  <si>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</si>
  <si>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</si>
  <si>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</si>
  <si>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</si>
  <si>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</si>
  <si>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</si>
  <si>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</si>
  <si>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</si>
  <si>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</si>
  <si>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</si>
  <si>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</si>
  <si>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</si>
  <si>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</si>
  <si>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</si>
  <si>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</si>
  <si>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</si>
  <si>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</si>
  <si>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</si>
  <si>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</si>
  <si>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</si>
  <si>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</si>
  <si>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</si>
  <si>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</si>
  <si>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</si>
  <si>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</si>
  <si>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</si>
  <si>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</si>
  <si>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</si>
  <si>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</si>
  <si>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</si>
  <si>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</si>
  <si>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</si>
  <si>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</si>
  <si>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</si>
  <si>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</si>
  <si>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</si>
  <si>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</si>
  <si>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</si>
  <si>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</si>
  <si>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</si>
  <si>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</si>
  <si>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</si>
  <si>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</si>
  <si>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</si>
  <si>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</si>
  <si>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</si>
  <si>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</si>
  <si>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</si>
  <si>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</si>
  <si>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</si>
  <si>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</si>
  <si>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</si>
  <si>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</si>
  <si>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</si>
  <si>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</si>
  <si>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</si>
  <si>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</si>
  <si>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</si>
  <si>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</si>
  <si>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</si>
  <si>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</si>
  <si>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</si>
  <si>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</si>
  <si>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</si>
  <si>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</si>
  <si>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</si>
  <si>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</si>
  <si>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</si>
  <si>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</si>
  <si>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</si>
  <si>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</si>
  <si>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</si>
  <si>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</si>
  <si>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</si>
  <si>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</si>
  <si>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</si>
  <si>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</si>
  <si>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</si>
  <si>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</si>
  <si>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</si>
  <si>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</si>
  <si>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</si>
  <si>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</si>
  <si>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</si>
  <si>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</si>
  <si>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</si>
  <si>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</si>
  <si>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</si>
  <si>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</si>
  <si>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</si>
  <si>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</si>
  <si>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</si>
  <si>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</si>
  <si>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</si>
  <si>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</si>
  <si>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</si>
  <si>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</si>
  <si>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</si>
  <si>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</si>
  <si>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</si>
  <si>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</si>
  <si>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</si>
  <si>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</si>
  <si>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</si>
  <si>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</si>
  <si>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</si>
  <si>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</si>
  <si>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</si>
  <si>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</si>
  <si>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</si>
  <si>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</si>
  <si>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</si>
  <si>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</si>
  <si>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</si>
  <si>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</si>
  <si>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</si>
  <si>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</si>
  <si>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</si>
  <si>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</si>
  <si>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</si>
  <si>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</si>
  <si>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</si>
  <si>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</si>
  <si>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</si>
  <si>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</si>
  <si>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</si>
  <si>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</si>
  <si>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</si>
  <si>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</si>
  <si>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</si>
  <si>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</si>
  <si>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</si>
  <si>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</si>
  <si>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</si>
  <si>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</si>
  <si>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</si>
  <si>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</si>
  <si>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</si>
  <si>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</si>
  <si>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</si>
  <si>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</si>
  <si>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</si>
  <si>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</si>
  <si>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</si>
  <si>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</si>
  <si>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</si>
  <si>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</si>
  <si>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</si>
  <si>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</si>
  <si>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</si>
  <si>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</si>
  <si>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</si>
  <si>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</si>
  <si>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</si>
  <si>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</si>
  <si>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</si>
  <si>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</si>
  <si>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</si>
  <si>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</si>
  <si>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</si>
  <si>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</si>
  <si>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</si>
  <si>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</si>
  <si>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</si>
  <si>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</si>
  <si>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</si>
  <si>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</si>
  <si>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</si>
  <si>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</si>
  <si>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</si>
  <si>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</si>
  <si>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</si>
  <si>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</si>
  <si>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</si>
  <si>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</si>
  <si>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</si>
  <si>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</si>
  <si>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</si>
  <si>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</si>
  <si>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</si>
  <si>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</si>
  <si>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</si>
  <si>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</si>
  <si>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</si>
  <si>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</si>
  <si>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</si>
  <si>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</si>
  <si>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</si>
  <si>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</si>
  <si>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</si>
  <si>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</si>
  <si>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</si>
  <si>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</si>
  <si>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</si>
  <si>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</si>
  <si>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</si>
  <si>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</si>
  <si>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</si>
  <si>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</si>
  <si>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</si>
  <si>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</si>
  <si>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</si>
  <si>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</si>
  <si>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</si>
  <si>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</si>
  <si>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</si>
  <si>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</si>
  <si>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</si>
  <si>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</si>
  <si>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</si>
  <si>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</si>
  <si>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</si>
  <si>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</si>
  <si>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</si>
  <si>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</si>
  <si>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</si>
  <si>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</si>
  <si>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</si>
  <si>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</si>
  <si>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</si>
  <si>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</si>
  <si>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</si>
  <si>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</si>
  <si>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</si>
  <si>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</si>
  <si>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</si>
  <si>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</si>
  <si>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</si>
  <si>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</si>
  <si>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</si>
  <si>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</si>
  <si>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</si>
  <si>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</si>
  <si>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</si>
  <si>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</si>
  <si>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</si>
  <si>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</si>
  <si>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</si>
  <si>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</si>
  <si>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</si>
  <si>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</si>
  <si>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</si>
  <si>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</si>
  <si>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</si>
  <si>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</si>
  <si>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</si>
  <si>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</si>
  <si>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</si>
  <si>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</si>
  <si>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</si>
  <si>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</si>
  <si>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</si>
  <si>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</si>
  <si>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</si>
  <si>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</si>
  <si>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</si>
  <si>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</si>
  <si>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</si>
  <si>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</si>
  <si>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</si>
  <si>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</si>
  <si>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</si>
  <si>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</si>
  <si>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</si>
  <si>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</si>
  <si>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</si>
  <si>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</si>
  <si>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</si>
  <si>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</si>
  <si>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</si>
  <si>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</si>
  <si>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</si>
  <si>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</si>
  <si>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</si>
  <si>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</si>
  <si>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</si>
  <si>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</si>
  <si>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</si>
  <si>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</si>
  <si>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</si>
  <si>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</si>
  <si>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</si>
  <si>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</si>
  <si>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</si>
  <si>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</si>
  <si>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</si>
  <si>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</si>
  <si>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</si>
  <si>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</si>
  <si>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</si>
  <si>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</si>
  <si>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</si>
  <si>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</si>
  <si>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</si>
  <si>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</si>
  <si>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</si>
  <si>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</si>
  <si>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</si>
  <si>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</si>
  <si>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</si>
  <si>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</si>
  <si>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</si>
  <si>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</si>
  <si>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</si>
  <si>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</si>
  <si>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</si>
  <si>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</si>
  <si>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</si>
  <si>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</si>
  <si>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</si>
  <si>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</si>
  <si>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</si>
  <si>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</si>
  <si>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</si>
  <si>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</si>
  <si>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</si>
  <si>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</si>
  <si>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</si>
  <si>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</si>
  <si>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</si>
  <si>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</si>
  <si>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</si>
  <si>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</si>
  <si>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</si>
  <si>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</si>
  <si>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</si>
  <si>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</si>
  <si>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</si>
  <si>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</si>
  <si>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</si>
  <si>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</si>
  <si>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</si>
  <si>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</si>
  <si>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</si>
  <si>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</si>
  <si>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</si>
  <si>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</si>
  <si>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</si>
  <si>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</si>
  <si>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</si>
  <si>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</si>
  <si>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</si>
  <si>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</si>
  <si>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</si>
  <si>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</si>
  <si>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</si>
  <si>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</si>
  <si>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</si>
  <si>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</si>
  <si>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</si>
  <si>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</si>
  <si>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</si>
  <si>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</si>
  <si>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</si>
  <si>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</si>
  <si>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</si>
  <si>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</si>
  <si>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</si>
  <si>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</si>
  <si>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</si>
  <si>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</si>
  <si>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</si>
  <si>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</si>
  <si>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</si>
  <si>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</si>
  <si>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</si>
  <si>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</si>
  <si>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</si>
  <si>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</si>
  <si>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</si>
  <si>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</si>
  <si>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</si>
  <si>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</si>
  <si>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</si>
  <si>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</si>
  <si>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</si>
  <si>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</si>
  <si>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</si>
  <si>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</si>
  <si>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</si>
  <si>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</si>
  <si>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</si>
  <si>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</si>
  <si>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</si>
  <si>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</si>
  <si>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</si>
  <si>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</si>
  <si>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</si>
  <si>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</si>
  <si>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</si>
  <si>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</si>
  <si>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</si>
  <si>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</si>
  <si>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</si>
  <si>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</si>
  <si>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</si>
  <si>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</si>
  <si>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</si>
  <si>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</si>
  <si>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</si>
  <si>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</si>
  <si>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</si>
  <si>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</si>
  <si>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</si>
  <si>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</si>
  <si>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</si>
  <si>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</si>
  <si>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</si>
  <si>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</si>
  <si>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</si>
  <si>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</si>
  <si>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</si>
  <si>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</si>
  <si>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</si>
  <si>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</si>
  <si>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</si>
  <si>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</si>
  <si>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</si>
  <si>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</si>
  <si>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</si>
  <si>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</si>
  <si>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</si>
  <si>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</si>
  <si>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</si>
  <si>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</si>
  <si>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</si>
  <si>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</si>
  <si>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</si>
  <si>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</si>
  <si>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</si>
  <si>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</si>
  <si>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</si>
  <si>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</si>
  <si>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</si>
  <si>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</si>
  <si>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</si>
  <si>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</si>
  <si>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</si>
  <si>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</si>
  <si>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</si>
  <si>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</si>
  <si>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</si>
  <si>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</si>
  <si>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</si>
  <si>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</si>
  <si>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</si>
  <si>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</si>
  <si>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</si>
  <si>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</si>
  <si>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</si>
  <si>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</si>
  <si>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</si>
  <si>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</si>
  <si>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</si>
  <si>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</si>
  <si>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</si>
  <si>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</si>
  <si>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</si>
  <si>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</si>
  <si>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</si>
  <si>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</si>
  <si>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</si>
  <si>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</si>
  <si>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</si>
  <si>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</si>
  <si>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</si>
  <si>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</si>
  <si>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</si>
  <si>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</si>
  <si>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</si>
  <si>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</si>
  <si>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</si>
  <si>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</si>
  <si>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</si>
  <si>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</si>
  <si>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</si>
  <si>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</si>
  <si>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</si>
  <si>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</si>
  <si>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</si>
  <si>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</si>
  <si>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</si>
  <si>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</si>
  <si>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</si>
  <si>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</si>
  <si>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</si>
  <si>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</si>
  <si>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</si>
  <si>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</si>
  <si>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</si>
  <si>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</si>
  <si>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</si>
  <si>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</si>
  <si>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</si>
  <si>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</si>
  <si>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</si>
  <si>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</si>
  <si>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</si>
  <si>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</si>
  <si>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</si>
  <si>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</si>
  <si>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</si>
  <si>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</si>
  <si>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</si>
  <si>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</si>
  <si>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</si>
  <si>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</si>
  <si>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</si>
  <si>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</si>
  <si>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</si>
  <si>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</si>
  <si>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</si>
  <si>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</si>
  <si>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</si>
  <si>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</si>
  <si>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</si>
  <si>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</si>
  <si>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</si>
  <si>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</si>
  <si>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</si>
  <si>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</si>
  <si>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</si>
  <si>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</si>
  <si>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</si>
  <si>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</si>
  <si>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</si>
  <si>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</si>
  <si>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</si>
  <si>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</si>
  <si>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</si>
  <si>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</si>
  <si>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</si>
  <si>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</si>
  <si>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</si>
  <si>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</si>
  <si>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</si>
  <si>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</si>
  <si>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</si>
  <si>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</si>
  <si>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</si>
  <si>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</si>
  <si>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</si>
  <si>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</si>
  <si>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</si>
  <si>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</si>
  <si>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</si>
  <si>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</si>
  <si>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</si>
  <si>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</si>
  <si>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</si>
  <si>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</si>
  <si>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</si>
  <si>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</si>
  <si>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</si>
  <si>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</si>
  <si>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</si>
  <si>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</si>
  <si>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</si>
  <si>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</si>
  <si>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</si>
  <si>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</si>
  <si>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</si>
  <si>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</si>
  <si>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</si>
  <si>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</si>
  <si>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</si>
  <si>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</si>
  <si>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</si>
  <si>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</si>
  <si>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</si>
  <si>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</si>
  <si>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</si>
  <si>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</si>
  <si>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</si>
  <si>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</si>
  <si>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</si>
  <si>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</si>
  <si>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</si>
  <si>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</si>
  <si>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</si>
  <si>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</si>
  <si>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</si>
  <si>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</si>
  <si>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</si>
  <si>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</si>
  <si>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</si>
  <si>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</si>
  <si>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</si>
  <si>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</si>
  <si>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</si>
  <si>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</si>
  <si>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</si>
  <si>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</si>
  <si>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</si>
  <si>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</si>
  <si>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</si>
  <si>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</si>
  <si>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</si>
  <si>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</si>
  <si>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</si>
  <si>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</si>
  <si>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</si>
  <si>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</si>
  <si>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</si>
  <si>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</si>
  <si>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</si>
  <si>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</si>
  <si>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</si>
  <si>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</si>
  <si>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</si>
  <si>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</si>
  <si>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</si>
  <si>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</si>
  <si>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</si>
  <si>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</si>
  <si>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</si>
  <si>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</si>
  <si>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</si>
  <si>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</si>
  <si>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</si>
  <si>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</si>
  <si>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</si>
  <si>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</si>
  <si>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</si>
  <si>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</si>
  <si>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</si>
  <si>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</si>
  <si>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</si>
  <si>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</si>
  <si>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</si>
  <si>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</si>
  <si>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</si>
  <si>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</si>
  <si>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</si>
  <si>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</si>
  <si>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</si>
  <si>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</si>
  <si>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</si>
  <si>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</si>
  <si>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</si>
  <si>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</si>
  <si>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</si>
  <si>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</si>
  <si>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</si>
  <si>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</si>
  <si>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</si>
  <si>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</si>
  <si>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</si>
  <si>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</si>
  <si>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</si>
  <si>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</si>
  <si>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</si>
  <si>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</si>
  <si>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</si>
  <si>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</si>
  <si>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</si>
  <si>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</si>
  <si>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</si>
  <si>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</si>
  <si>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</si>
  <si>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</si>
  <si>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</si>
  <si>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</si>
  <si>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</si>
  <si>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</si>
  <si>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</si>
  <si>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</si>
  <si>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</si>
  <si>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</si>
  <si>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</si>
  <si>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</si>
  <si>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</si>
  <si>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</si>
  <si>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</si>
  <si>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</si>
  <si>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</si>
  <si>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</si>
  <si>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</si>
  <si>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</si>
  <si>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</si>
  <si>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</si>
  <si>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</si>
  <si>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</si>
  <si>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</si>
  <si>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</si>
  <si>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</si>
  <si>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</si>
  <si>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</si>
  <si>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</si>
  <si>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</si>
  <si>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</si>
  <si>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</si>
  <si>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</si>
  <si>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</si>
  <si>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</si>
  <si>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</si>
  <si>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</si>
  <si>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</si>
  <si>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</si>
  <si>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</si>
  <si>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</si>
  <si>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</si>
  <si>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</si>
  <si>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</si>
  <si>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</si>
  <si>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</si>
  <si>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</si>
  <si>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</si>
  <si>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</si>
  <si>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</si>
  <si>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</si>
  <si>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</si>
  <si>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</si>
  <si>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</si>
  <si>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</si>
  <si>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</si>
  <si>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</si>
  <si>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</si>
  <si>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</si>
  <si>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</si>
  <si>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</si>
  <si>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</si>
  <si>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</si>
  <si>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</si>
  <si>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</si>
  <si>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</si>
  <si>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</si>
  <si>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</si>
  <si>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</si>
  <si>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</si>
  <si>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</si>
  <si>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</si>
  <si>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</si>
  <si>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</si>
  <si>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</si>
  <si>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</si>
  <si>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</si>
  <si>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</si>
  <si>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</si>
  <si>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</si>
  <si>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</si>
  <si>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</si>
  <si>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</si>
  <si>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</si>
  <si>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</si>
  <si>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</si>
  <si>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</si>
  <si>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</si>
  <si>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</si>
  <si>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</si>
  <si>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</si>
  <si>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</si>
  <si>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</si>
  <si>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</si>
  <si>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</si>
  <si>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</si>
  <si>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</si>
  <si>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</si>
  <si>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</si>
  <si>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</si>
  <si>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</si>
  <si>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</si>
  <si>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</si>
  <si>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</si>
  <si>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</si>
  <si>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</si>
  <si>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</si>
  <si>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</si>
  <si>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</si>
  <si>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</si>
  <si>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</si>
  <si>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</si>
  <si>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</si>
  <si>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</si>
  <si>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</si>
  <si>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</si>
  <si>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</si>
  <si>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</si>
  <si>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</si>
  <si>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</si>
  <si>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</si>
  <si>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</si>
  <si>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</si>
  <si>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</si>
  <si>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</si>
  <si>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</si>
  <si>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</si>
  <si>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</si>
  <si>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</si>
  <si>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</si>
  <si>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</si>
  <si>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</si>
  <si>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</si>
  <si>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</si>
  <si>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</si>
  <si>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</si>
  <si>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</si>
  <si>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</si>
  <si>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</si>
  <si>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</si>
  <si>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</si>
  <si>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</si>
  <si>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</si>
  <si>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</si>
  <si>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</si>
  <si>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</si>
  <si>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</si>
  <si>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</si>
  <si>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</si>
  <si>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</si>
  <si>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</si>
  <si>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</si>
  <si>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</si>
  <si>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</si>
  <si>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</si>
  <si>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</si>
  <si>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</si>
  <si>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</si>
  <si>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</si>
  <si>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</si>
  <si>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</si>
  <si>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</si>
  <si>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</si>
  <si>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</si>
  <si>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</si>
  <si>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</si>
  <si>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</si>
  <si>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</si>
  <si>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</si>
  <si>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</si>
  <si>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</si>
  <si>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</si>
  <si>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</si>
  <si>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</si>
  <si>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</si>
  <si>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</si>
  <si>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</si>
  <si>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</si>
  <si>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</si>
  <si>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</si>
  <si>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</si>
  <si>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</si>
  <si>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</si>
  <si>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</si>
  <si>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</si>
  <si>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</si>
  <si>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</si>
  <si>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</si>
  <si>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</si>
  <si>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</si>
  <si>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</si>
  <si>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</si>
  <si>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</si>
  <si>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</si>
  <si>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</si>
  <si>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</si>
  <si>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</si>
  <si>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</si>
  <si>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</si>
  <si>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</si>
  <si>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</si>
  <si>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</si>
  <si>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</si>
  <si>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</si>
  <si>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</si>
  <si>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</si>
  <si>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</si>
  <si>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</si>
  <si>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</si>
  <si>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</si>
  <si>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</si>
  <si>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</si>
  <si>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</si>
  <si>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</si>
  <si>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</si>
  <si>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</si>
  <si>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</si>
  <si>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</si>
  <si>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</si>
  <si>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</si>
  <si>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</si>
  <si>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</si>
  <si>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</si>
  <si>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</si>
  <si>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</si>
  <si>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</si>
  <si>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</si>
  <si>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</si>
  <si>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</si>
  <si>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</si>
  <si>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</si>
  <si>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</si>
  <si>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</si>
  <si>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</si>
  <si>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</si>
  <si>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</si>
  <si>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</si>
  <si>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</si>
  <si>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</si>
  <si>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</si>
  <si>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</si>
  <si>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</si>
  <si>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</si>
  <si>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</si>
  <si>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</si>
  <si>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</si>
  <si>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</si>
  <si>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</si>
  <si>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</si>
  <si>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</si>
  <si>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</si>
  <si>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</si>
  <si>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</si>
  <si>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</si>
  <si>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</si>
  <si>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</si>
  <si>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</si>
  <si>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</si>
  <si>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</si>
  <si>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</si>
  <si>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</si>
  <si>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</si>
  <si>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</si>
  <si>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</si>
  <si>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</si>
  <si>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</si>
  <si>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</si>
  <si>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</si>
  <si>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</si>
  <si>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</si>
  <si>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</si>
  <si>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</si>
  <si>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</si>
  <si>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</si>
  <si>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</si>
  <si>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</si>
  <si>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</si>
  <si>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</si>
  <si>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</si>
  <si>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</si>
  <si>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</si>
  <si>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</si>
  <si>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</si>
  <si>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</si>
  <si>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</si>
  <si>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</si>
  <si>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</si>
  <si>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</si>
  <si>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</si>
  <si>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</si>
  <si>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</si>
  <si>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</si>
  <si>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</si>
  <si>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</si>
  <si>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</si>
  <si>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</si>
  <si>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</si>
  <si>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</si>
  <si>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</si>
  <si>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</si>
  <si>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</si>
  <si>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</si>
  <si>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</si>
  <si>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</si>
  <si>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</si>
  <si>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</si>
  <si>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</si>
  <si>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</si>
  <si>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</si>
  <si>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</si>
  <si>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</si>
  <si>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</si>
  <si>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</si>
  <si>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</si>
  <si>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</si>
  <si>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</si>
  <si>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</si>
  <si>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</si>
  <si>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</si>
  <si>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</si>
  <si>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</si>
  <si>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</si>
  <si>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</si>
  <si>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</si>
  <si>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</si>
  <si>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</si>
  <si>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</si>
  <si>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</si>
  <si>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</si>
  <si>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</si>
  <si>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</si>
  <si>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</si>
  <si>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</si>
  <si>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</si>
  <si>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</si>
  <si>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</si>
  <si>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</si>
  <si>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</si>
  <si>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</si>
  <si>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</si>
  <si>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</si>
  <si>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</si>
  <si>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</si>
  <si>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</si>
  <si>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</si>
  <si>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</si>
  <si>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</si>
  <si>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</si>
  <si>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</si>
  <si>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</si>
  <si>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</si>
  <si>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</si>
  <si>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</si>
  <si>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</si>
  <si>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</si>
  <si>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</si>
  <si>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</si>
  <si>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</si>
  <si>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</si>
  <si>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</si>
  <si>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</si>
  <si>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</si>
  <si>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</si>
  <si>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</si>
  <si>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</si>
  <si>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</si>
  <si>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</si>
  <si>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</si>
  <si>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</si>
  <si>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</si>
  <si>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</si>
  <si>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</si>
  <si>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</si>
  <si>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</si>
  <si>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</si>
  <si>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</si>
  <si>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</si>
  <si>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</si>
  <si>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</si>
  <si>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</si>
  <si>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</si>
  <si>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</si>
  <si>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</si>
  <si>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</si>
  <si>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</si>
  <si>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</si>
  <si>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</si>
  <si>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</si>
  <si>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</si>
  <si>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</si>
  <si>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</si>
  <si>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</si>
  <si>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</si>
  <si>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</si>
  <si>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</si>
  <si>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</si>
  <si>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</si>
  <si>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</si>
  <si>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</si>
  <si>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</si>
  <si>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</si>
  <si>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</si>
  <si>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</si>
  <si>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</si>
  <si>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</si>
  <si>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</si>
  <si>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</si>
  <si>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</si>
  <si>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</si>
  <si>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</si>
  <si>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</si>
  <si>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</si>
  <si>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</si>
  <si>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</si>
  <si>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</si>
  <si>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</si>
  <si>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</si>
  <si>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</si>
  <si>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</si>
  <si>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</si>
  <si>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</si>
  <si>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</si>
  <si>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</si>
  <si>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</si>
  <si>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</si>
  <si>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</si>
  <si>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</si>
  <si>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</si>
  <si>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</si>
  <si>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</si>
  <si>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</si>
  <si>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</si>
  <si>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</si>
  <si>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</si>
  <si>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</si>
  <si>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</si>
  <si>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</si>
  <si>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</si>
  <si>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</si>
  <si>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</si>
  <si>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</si>
  <si>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</si>
  <si>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</si>
  <si>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</si>
  <si>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</si>
  <si>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</si>
  <si>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</si>
  <si>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</si>
  <si>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</si>
  <si>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</si>
  <si>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</si>
  <si>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</si>
  <si>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</si>
  <si>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</si>
  <si>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</si>
  <si>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</si>
  <si>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</si>
  <si>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</si>
  <si>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</si>
  <si>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</si>
  <si>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</si>
  <si>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</si>
  <si>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</si>
  <si>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</si>
  <si>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</si>
  <si>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</si>
  <si>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</si>
  <si>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</si>
  <si>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</si>
  <si>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</si>
  <si>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</si>
  <si>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</si>
  <si>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</si>
  <si>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</si>
  <si>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</si>
  <si>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</si>
  <si>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</si>
  <si>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</si>
  <si>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</si>
  <si>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</si>
  <si>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</si>
  <si>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</si>
  <si>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</si>
  <si>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</si>
  <si>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</si>
  <si>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</si>
  <si>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</si>
  <si>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</si>
  <si>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</si>
  <si>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</si>
  <si>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</si>
  <si>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</si>
  <si>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</si>
  <si>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</si>
  <si>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</si>
  <si>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</si>
  <si>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</si>
  <si>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</si>
  <si>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</si>
  <si>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</si>
  <si>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</si>
  <si>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</si>
  <si>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</si>
  <si>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</si>
  <si>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</si>
  <si>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</si>
  <si>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</si>
  <si>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</si>
  <si>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</si>
  <si>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</si>
  <si>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</si>
  <si>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</si>
  <si>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</si>
  <si>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</si>
  <si>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</si>
  <si>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</si>
  <si>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</si>
  <si>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</si>
  <si>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</si>
  <si>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</si>
  <si>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</si>
  <si>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</si>
  <si>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</si>
  <si>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</si>
  <si>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</si>
  <si>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</si>
  <si>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</si>
  <si>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</si>
  <si>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</si>
  <si>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</si>
  <si>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</si>
  <si>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</si>
  <si>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</si>
  <si>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</si>
  <si>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</si>
  <si>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</si>
  <si>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</si>
  <si>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</si>
  <si>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</si>
  <si>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</si>
  <si>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</si>
  <si>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</si>
  <si>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</si>
  <si>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</si>
  <si>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</si>
  <si>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</si>
  <si>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</si>
  <si>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</si>
  <si>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</si>
  <si>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</si>
  <si>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</si>
  <si>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</si>
  <si>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</si>
  <si>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</si>
  <si>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</si>
  <si>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</si>
  <si>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</si>
  <si>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</si>
  <si>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</si>
  <si>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</si>
  <si>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</si>
  <si>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</si>
  <si>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</si>
  <si>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</si>
  <si>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</si>
  <si>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</si>
  <si>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</si>
  <si>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</si>
  <si>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</si>
  <si>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</si>
  <si>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</si>
  <si>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</si>
  <si>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</si>
  <si>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</si>
  <si>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</si>
  <si>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</si>
  <si>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</si>
  <si>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</si>
  <si>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</si>
  <si>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</si>
  <si>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</si>
  <si>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</si>
  <si>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</si>
  <si>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</si>
  <si>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</si>
  <si>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</si>
  <si>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</si>
  <si>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</si>
  <si>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</si>
  <si>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</si>
  <si>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</si>
  <si>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</si>
  <si>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</si>
  <si>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</si>
  <si>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</si>
  <si>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</si>
  <si>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</si>
  <si>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</si>
  <si>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</si>
  <si>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</si>
  <si>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</si>
  <si>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</si>
  <si>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</si>
  <si>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</si>
  <si>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</si>
  <si>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</si>
  <si>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</si>
  <si>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</si>
  <si>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</si>
  <si>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</si>
  <si>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</si>
  <si>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</si>
  <si>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</si>
  <si>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</si>
  <si>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</si>
  <si>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</si>
  <si>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</si>
  <si>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</si>
  <si>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</si>
  <si>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</si>
  <si>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</si>
  <si>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</si>
  <si>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</si>
  <si>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</si>
  <si>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</si>
  <si>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</si>
  <si>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</si>
  <si>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</si>
  <si>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</si>
  <si>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</si>
  <si>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</si>
  <si>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</si>
  <si>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</si>
  <si>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</si>
  <si>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</si>
  <si>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</si>
  <si>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</si>
  <si>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</si>
  <si>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</si>
  <si>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</si>
  <si>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</si>
  <si>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</si>
  <si>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</si>
  <si>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</si>
  <si>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</si>
  <si>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</si>
  <si>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</si>
  <si>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</si>
  <si>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</si>
  <si>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</si>
  <si>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</si>
  <si>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</si>
  <si>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</si>
  <si>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</si>
  <si>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</si>
  <si>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</si>
  <si>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</si>
  <si>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</si>
  <si>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</si>
  <si>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</si>
  <si>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</si>
  <si>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</si>
  <si>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</si>
  <si>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</si>
  <si>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</si>
  <si>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</si>
  <si>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</si>
  <si>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</si>
  <si>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</si>
  <si>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</si>
  <si>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</si>
  <si>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</si>
  <si>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</si>
  <si>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</si>
  <si>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</si>
  <si>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</si>
  <si>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</si>
  <si>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</si>
  <si>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</si>
  <si>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</si>
  <si>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</si>
  <si>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</si>
  <si>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</si>
  <si>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</si>
  <si>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</si>
  <si>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</si>
  <si>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</si>
  <si>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</si>
  <si>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</si>
  <si>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</si>
  <si>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</si>
  <si>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</si>
  <si>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</si>
  <si>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</si>
  <si>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</si>
  <si>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</si>
  <si>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</si>
  <si>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</si>
  <si>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</si>
  <si>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</si>
  <si>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</si>
  <si>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</si>
  <si>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</si>
  <si>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</si>
  <si>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</si>
  <si>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</si>
  <si>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</si>
  <si>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</si>
  <si>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</si>
  <si>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</si>
  <si>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</si>
  <si>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</si>
  <si>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</si>
  <si>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</si>
  <si>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</si>
  <si>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</si>
  <si>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</si>
  <si>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</si>
  <si>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</si>
  <si>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</si>
  <si>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</si>
  <si>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</si>
  <si>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</si>
  <si>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</si>
  <si>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</si>
  <si>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</si>
  <si>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</si>
  <si>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</si>
  <si>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</si>
  <si>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</si>
  <si>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</si>
  <si>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</si>
  <si>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</si>
  <si>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</si>
  <si>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</si>
  <si>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</si>
  <si>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</si>
  <si>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</si>
  <si>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</si>
  <si>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</si>
  <si>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</si>
  <si>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</si>
  <si>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</si>
  <si>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</si>
  <si>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</si>
  <si>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</si>
  <si>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</si>
  <si>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</si>
  <si>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</si>
  <si>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</si>
  <si>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</si>
  <si>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</si>
  <si>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</si>
  <si>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</si>
  <si>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</si>
  <si>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</si>
  <si>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</si>
  <si>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</si>
  <si>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</si>
  <si>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</si>
  <si>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</si>
  <si>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</si>
  <si>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</si>
  <si>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</si>
  <si>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</si>
  <si>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</si>
  <si>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</si>
  <si>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</si>
  <si>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</si>
  <si>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</si>
  <si>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</si>
  <si>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</si>
  <si>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</si>
  <si>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</si>
  <si>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</si>
  <si>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</si>
  <si>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</si>
  <si>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</si>
  <si>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</si>
  <si>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</si>
  <si>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</si>
  <si>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</si>
  <si>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</si>
  <si>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</si>
  <si>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</si>
  <si>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</si>
  <si>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</si>
  <si>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</si>
  <si>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</si>
  <si>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</si>
  <si>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</si>
  <si>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</si>
  <si>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</si>
  <si>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</si>
  <si>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</si>
  <si>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</si>
  <si>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</si>
  <si>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</si>
  <si>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</si>
  <si>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</si>
  <si>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</si>
  <si>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</si>
  <si>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</si>
  <si>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</si>
  <si>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</si>
  <si>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</si>
  <si>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</si>
  <si>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</si>
  <si>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</si>
  <si>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</si>
  <si>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</si>
  <si>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</si>
  <si>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</si>
  <si>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</si>
  <si>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</si>
  <si>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</si>
  <si>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</si>
  <si>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</si>
  <si>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</si>
  <si>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</si>
  <si>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</si>
  <si>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</si>
  <si>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</si>
  <si>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</si>
  <si>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</si>
  <si>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</si>
  <si>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</si>
  <si>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</si>
  <si>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</si>
  <si>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</si>
  <si>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</si>
  <si>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</si>
  <si>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</si>
  <si>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</si>
  <si>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</si>
  <si>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</si>
  <si>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</si>
  <si>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</si>
  <si>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</si>
  <si>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</si>
  <si>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</si>
  <si>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</si>
  <si>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</si>
  <si>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</si>
  <si>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</si>
  <si>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</si>
  <si>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</si>
  <si>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</si>
  <si>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</si>
  <si>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</si>
  <si>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</si>
  <si>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</si>
  <si>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</si>
  <si>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</si>
  <si>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</si>
  <si>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</si>
  <si>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</si>
  <si>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</si>
  <si>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</si>
  <si>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</si>
  <si>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</si>
  <si>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</si>
  <si>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</si>
  <si>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</si>
  <si>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</si>
  <si>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</si>
  <si>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</si>
  <si>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</si>
  <si>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</si>
  <si>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</si>
  <si>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</si>
  <si>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</si>
  <si>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</si>
  <si>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</si>
  <si>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</si>
  <si>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</si>
  <si>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</si>
  <si>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</si>
  <si>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</si>
  <si>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</si>
  <si>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</si>
  <si>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</si>
  <si>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</si>
  <si>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</si>
  <si>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</si>
  <si>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</si>
  <si>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</si>
  <si>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</si>
  <si>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</si>
  <si>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</si>
  <si>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</si>
  <si>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</si>
  <si>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</si>
  <si>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</si>
  <si>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</si>
  <si>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</si>
  <si>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</si>
  <si>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</si>
  <si>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</si>
  <si>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</si>
  <si>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</si>
  <si>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</si>
  <si>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</si>
  <si>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</si>
  <si>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</si>
  <si>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</si>
  <si>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</si>
  <si>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</si>
  <si>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</si>
  <si>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</si>
  <si>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</si>
  <si>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</si>
  <si>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</si>
  <si>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</si>
  <si>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</si>
  <si>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</si>
  <si>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</si>
  <si>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</si>
  <si>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</si>
  <si>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</si>
  <si>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</si>
  <si>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</si>
  <si>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</si>
  <si>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</si>
  <si>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</si>
  <si>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</si>
  <si>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</si>
  <si>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</si>
  <si>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</si>
  <si>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</si>
  <si>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</si>
  <si>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</si>
  <si>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</si>
  <si>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</si>
  <si>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</si>
  <si>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</si>
  <si>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</si>
  <si>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</si>
  <si>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</si>
  <si>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</si>
  <si>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</si>
  <si>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</si>
  <si>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</si>
  <si>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</si>
  <si>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</si>
  <si>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</si>
  <si>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</si>
  <si>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</si>
  <si>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</si>
  <si>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</si>
  <si>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</si>
  <si>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</si>
  <si>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</si>
  <si>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</si>
  <si>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</si>
  <si>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</si>
  <si>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</si>
  <si>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</si>
  <si>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</si>
  <si>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</si>
  <si>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</si>
  <si>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</si>
  <si>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</si>
  <si>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</si>
  <si>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</si>
  <si>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</si>
  <si>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</si>
  <si>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</si>
  <si>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</si>
  <si>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</si>
  <si>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</si>
  <si>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</si>
  <si>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</si>
  <si>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</si>
  <si>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</si>
  <si>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</si>
  <si>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</si>
  <si>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</si>
  <si>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</si>
  <si>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</si>
  <si>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</si>
  <si>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</si>
  <si>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</si>
  <si>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</si>
  <si>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</si>
  <si>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</si>
  <si>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</si>
  <si>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</si>
  <si>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</si>
  <si>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</si>
  <si>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</si>
  <si>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</si>
  <si>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</si>
  <si>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</si>
  <si>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</si>
  <si>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</si>
  <si>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</si>
  <si>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</si>
  <si>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</si>
  <si>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</si>
  <si>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</si>
  <si>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</si>
  <si>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</si>
  <si>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</si>
  <si>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</si>
  <si>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</si>
  <si>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</si>
  <si>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</si>
  <si>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</si>
  <si>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</si>
  <si>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</si>
  <si>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</si>
  <si>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</si>
  <si>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</si>
  <si>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</si>
  <si>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</si>
  <si>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</si>
  <si>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</si>
  <si>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</si>
  <si>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</si>
  <si>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</si>
  <si>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</si>
  <si>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</si>
  <si>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</si>
  <si>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</si>
  <si>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</si>
  <si>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</si>
  <si>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</si>
  <si>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</si>
  <si>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</si>
  <si>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</si>
  <si>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</si>
  <si>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</si>
  <si>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</si>
  <si>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</si>
  <si>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</si>
  <si>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</si>
  <si>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</si>
  <si>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</si>
  <si>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</si>
  <si>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</si>
  <si>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</si>
  <si>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</si>
  <si>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</si>
  <si>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</si>
  <si>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</si>
  <si>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</si>
  <si>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</si>
  <si>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</si>
  <si>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</si>
  <si>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</si>
  <si>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</si>
  <si>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</si>
  <si>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</si>
  <si>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</si>
  <si>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</si>
  <si>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</si>
  <si>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</si>
  <si>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</si>
  <si>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</si>
  <si>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</si>
  <si>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</si>
  <si>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</si>
  <si>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</si>
  <si>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</si>
  <si>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</si>
  <si>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</si>
  <si>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</si>
  <si>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</si>
  <si>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</si>
  <si>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</si>
  <si>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</si>
  <si>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</si>
  <si>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</si>
  <si>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</si>
  <si>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</si>
  <si>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</si>
  <si>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</si>
  <si>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</si>
  <si>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</si>
  <si>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</si>
  <si>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</si>
  <si>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</si>
  <si>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</si>
  <si>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</si>
  <si>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</si>
  <si>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</si>
  <si>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</si>
  <si>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</si>
  <si>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</si>
  <si>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</si>
  <si>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</si>
  <si>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</si>
  <si>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</si>
  <si>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</si>
  <si>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</si>
  <si>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</si>
  <si>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</si>
  <si>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</si>
  <si>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</si>
  <si>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</si>
  <si>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</si>
  <si>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</si>
  <si>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</si>
  <si>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</si>
  <si>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</si>
  <si>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</si>
  <si>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</si>
  <si>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</si>
  <si>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</si>
  <si>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</si>
  <si>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</si>
  <si>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</si>
  <si>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</si>
  <si>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</si>
  <si>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</si>
  <si>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</si>
  <si>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</si>
  <si>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</si>
  <si>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</si>
  <si>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</si>
  <si>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</si>
  <si>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</si>
  <si>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</si>
  <si>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</si>
  <si>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</si>
  <si>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</si>
  <si>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</si>
  <si>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</si>
  <si>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</si>
  <si>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</si>
  <si>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</si>
  <si>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</si>
  <si>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</si>
  <si>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</si>
  <si>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</si>
  <si>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</si>
  <si>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</si>
  <si>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</si>
  <si>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</si>
  <si>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</si>
  <si>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</si>
  <si>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</si>
  <si>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</si>
  <si>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</si>
  <si>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</si>
  <si>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</si>
  <si>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</si>
  <si>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</si>
  <si>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</si>
  <si>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</si>
  <si>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</si>
  <si>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</si>
  <si>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</si>
  <si>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</si>
  <si>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</si>
  <si>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</si>
  <si>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</si>
  <si>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</si>
  <si>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</si>
  <si>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</si>
  <si>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</si>
  <si>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</si>
  <si>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</si>
  <si>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</si>
  <si>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</si>
  <si>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</si>
  <si>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</si>
  <si>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</si>
  <si>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</si>
  <si>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</si>
  <si>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</si>
  <si>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</si>
  <si>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</si>
  <si>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</si>
  <si>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</si>
  <si>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</si>
  <si>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</si>
  <si>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</si>
  <si>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</si>
  <si>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</si>
  <si>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</si>
  <si>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</si>
  <si>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</si>
  <si>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</si>
  <si>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</si>
  <si>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</si>
  <si>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</si>
  <si>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</si>
  <si>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</si>
  <si>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</si>
  <si>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</si>
  <si>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</si>
  <si>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</si>
  <si>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</si>
  <si>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</si>
  <si>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</si>
  <si>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</si>
  <si>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</si>
  <si>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</si>
  <si>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</si>
  <si>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</si>
  <si>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</si>
  <si>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</si>
  <si>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</si>
  <si>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</si>
  <si>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</si>
  <si>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</si>
  <si>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</si>
  <si>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</si>
  <si>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</si>
  <si>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</si>
  <si>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</si>
  <si>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</si>
  <si>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</si>
  <si>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</si>
  <si>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</si>
  <si>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</si>
  <si>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</si>
  <si>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</si>
  <si>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</si>
  <si>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</si>
  <si>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</si>
  <si>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</si>
  <si>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</si>
  <si>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</si>
  <si>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</si>
  <si>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</si>
  <si>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</si>
  <si>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</si>
  <si>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</si>
  <si>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</si>
  <si>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</si>
  <si>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</si>
  <si>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</si>
  <si>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</si>
  <si>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</si>
  <si>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</si>
  <si>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</si>
  <si>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</si>
  <si>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</si>
  <si>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</si>
  <si>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</si>
  <si>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</si>
  <si>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</si>
  <si>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</si>
  <si>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</si>
  <si>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</si>
  <si>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</si>
  <si>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</si>
  <si>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</si>
  <si>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</si>
  <si>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</si>
  <si>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</si>
  <si>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</si>
  <si>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</si>
  <si>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</si>
  <si>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</si>
  <si>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</si>
  <si>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</si>
  <si>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</si>
  <si>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</si>
  <si>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</si>
  <si>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</si>
  <si>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</si>
  <si>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</si>
  <si>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</si>
  <si>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</si>
  <si>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</si>
  <si>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</si>
  <si>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</si>
  <si>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</si>
  <si>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</si>
  <si>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</si>
  <si>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</si>
  <si>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</si>
  <si>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</si>
  <si>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</si>
  <si>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</si>
  <si>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</si>
  <si>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</si>
  <si>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</si>
  <si>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</si>
  <si>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</si>
  <si>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</si>
  <si>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</si>
  <si>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</si>
  <si>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</si>
  <si>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</si>
  <si>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</si>
  <si>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</si>
  <si>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</si>
  <si>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</si>
  <si>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</si>
  <si>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</si>
  <si>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</si>
  <si>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</si>
  <si>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</si>
  <si>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</si>
  <si>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</si>
  <si>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</si>
  <si>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</si>
  <si>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</si>
  <si>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</si>
  <si>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</si>
  <si>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</si>
  <si>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</si>
  <si>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</si>
  <si>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</si>
  <si>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</si>
  <si>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</si>
  <si>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</si>
  <si>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</si>
  <si>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</si>
  <si>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</si>
  <si>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</si>
  <si>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</si>
  <si>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</si>
  <si>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</si>
  <si>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</si>
  <si>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</si>
  <si>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</si>
  <si>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</si>
  <si>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</si>
  <si>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</si>
  <si>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</si>
  <si>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</si>
  <si>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</si>
  <si>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</si>
  <si>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</si>
  <si>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</si>
  <si>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</si>
  <si>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</si>
  <si>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</si>
  <si>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</si>
  <si>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</si>
  <si>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</si>
  <si>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</si>
  <si>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</si>
  <si>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</si>
  <si>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</si>
  <si>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</si>
  <si>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</si>
  <si>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</si>
  <si>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</si>
  <si>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</si>
  <si>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</si>
  <si>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</si>
  <si>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</si>
  <si>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</si>
  <si>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</si>
  <si>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</si>
  <si>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</si>
  <si>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</si>
  <si>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</si>
  <si>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</si>
  <si>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</si>
  <si>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</si>
  <si>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</si>
  <si>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</si>
  <si>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</si>
  <si>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</si>
  <si>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</si>
  <si>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</si>
  <si>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</si>
  <si>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</si>
  <si>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</si>
  <si>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</si>
  <si>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</si>
  <si>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</si>
  <si>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</si>
  <si>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</si>
  <si>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</si>
  <si>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</si>
  <si>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</si>
  <si>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</si>
  <si>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</si>
  <si>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</si>
  <si>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</si>
  <si>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</si>
  <si>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</si>
  <si>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</si>
  <si>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</si>
  <si>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</si>
  <si>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</si>
  <si>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</si>
  <si>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</si>
  <si>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</si>
  <si>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</si>
  <si>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</si>
  <si>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</si>
  <si>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</si>
  <si>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</si>
  <si>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</si>
  <si>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</si>
  <si>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</si>
  <si>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</si>
  <si>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</si>
  <si>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</si>
  <si>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</si>
  <si>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</si>
  <si>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</si>
  <si>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</si>
  <si>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</si>
  <si>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</si>
  <si>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</si>
  <si>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</si>
  <si>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</si>
  <si>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</si>
  <si>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</si>
  <si>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</si>
  <si>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</si>
  <si>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</si>
  <si>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</si>
  <si>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</si>
  <si>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</si>
  <si>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</si>
  <si>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</si>
  <si>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</si>
  <si>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</si>
  <si>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</si>
  <si>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</si>
  <si>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</si>
  <si>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</si>
  <si>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</si>
  <si>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</si>
  <si>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</si>
  <si>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</si>
  <si>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</si>
  <si>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</si>
  <si>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</si>
  <si>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</si>
  <si>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</si>
  <si>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</si>
  <si>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</si>
  <si>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</si>
  <si>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</si>
  <si>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</si>
  <si>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</si>
  <si>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</si>
  <si>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</si>
  <si>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</si>
  <si>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</si>
  <si>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</si>
  <si>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</si>
  <si>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</si>
  <si>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</si>
  <si>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</si>
  <si>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</si>
  <si>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</si>
  <si>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</si>
  <si>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</si>
  <si>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</si>
  <si>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</si>
  <si>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</si>
  <si>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</si>
  <si>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</si>
  <si>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</si>
  <si>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</si>
  <si>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</si>
  <si>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</si>
  <si>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</si>
  <si>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</si>
  <si>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</si>
  <si>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</si>
  <si>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</si>
  <si>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</si>
  <si>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</si>
  <si>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</si>
  <si>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</si>
  <si>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</si>
  <si>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</si>
  <si>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</si>
  <si>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</si>
  <si>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</si>
  <si>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</si>
  <si>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</si>
  <si>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</si>
  <si>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</si>
  <si>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</si>
  <si>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</si>
  <si>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</si>
  <si>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</si>
  <si>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</si>
  <si>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</si>
  <si>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</si>
  <si>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</si>
  <si>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</si>
  <si>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</si>
  <si>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</si>
  <si>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</si>
  <si>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</si>
  <si>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</si>
  <si>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</si>
  <si>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</si>
  <si>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</si>
  <si>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</si>
  <si>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</si>
  <si>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</si>
  <si>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</si>
  <si>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</si>
  <si>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</si>
  <si>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</si>
  <si>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</si>
  <si>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</si>
  <si>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</si>
  <si>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</si>
  <si>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</si>
  <si>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</si>
  <si>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</si>
  <si>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</si>
  <si>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</si>
  <si>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</si>
  <si>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</si>
  <si>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</si>
  <si>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</si>
  <si>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</si>
  <si>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</si>
  <si>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</si>
  <si>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</si>
  <si>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</si>
  <si>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</si>
  <si>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</si>
  <si>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</si>
  <si>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</si>
  <si>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</si>
  <si>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</si>
  <si>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</si>
  <si>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</si>
  <si>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</si>
  <si>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</si>
  <si>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</si>
  <si>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</si>
  <si>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</si>
  <si>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</si>
  <si>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</si>
  <si>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</si>
  <si>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</si>
  <si>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</si>
  <si>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</si>
  <si>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</si>
  <si>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</si>
  <si>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</si>
  <si>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</si>
  <si>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</si>
  <si>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</si>
  <si>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</si>
  <si>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</si>
  <si>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</si>
  <si>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</si>
  <si>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</si>
  <si>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</si>
  <si>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</si>
  <si>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</si>
  <si>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</si>
  <si>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</si>
  <si>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</si>
  <si>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</si>
  <si>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</si>
  <si>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</si>
  <si>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</si>
  <si>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</si>
  <si>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</si>
  <si>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</si>
  <si>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</si>
  <si>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</si>
  <si>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</si>
  <si>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</si>
  <si>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</si>
  <si>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</si>
  <si>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</si>
  <si>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</si>
  <si>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</si>
  <si>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</si>
  <si>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</si>
  <si>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</si>
  <si>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</si>
  <si>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</si>
  <si>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</si>
  <si>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</si>
  <si>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</si>
  <si>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</si>
  <si>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</si>
  <si>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</si>
  <si>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</si>
  <si>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</si>
  <si>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</si>
  <si>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</si>
  <si>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</si>
  <si>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</si>
  <si>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</si>
  <si>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</si>
  <si>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</si>
  <si>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</si>
  <si>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</si>
  <si>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</si>
  <si>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</si>
  <si>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</si>
  <si>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</si>
  <si>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</si>
  <si>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</si>
  <si>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</si>
  <si>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</si>
  <si>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</si>
  <si>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</si>
  <si>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</si>
  <si>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</si>
  <si>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</si>
  <si>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</si>
  <si>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</si>
  <si>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</si>
  <si>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</si>
  <si>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</si>
  <si>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</si>
  <si>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</si>
  <si>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</si>
  <si>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</si>
  <si>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</si>
  <si>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</si>
  <si>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</si>
  <si>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</si>
  <si>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</si>
  <si>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</si>
  <si>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</si>
  <si>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</si>
  <si>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</si>
  <si>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</si>
  <si>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</si>
  <si>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</si>
  <si>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</si>
  <si>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</si>
  <si>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</si>
  <si>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</si>
  <si>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</si>
  <si>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</si>
  <si>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</si>
  <si>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</si>
  <si>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</si>
  <si>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</si>
  <si>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</si>
  <si>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</si>
  <si>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</si>
  <si>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</si>
  <si>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</si>
  <si>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</si>
  <si>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</si>
  <si>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</si>
  <si>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</si>
  <si>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</si>
  <si>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</si>
  <si>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</si>
  <si>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</si>
  <si>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</si>
  <si>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</si>
  <si>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</si>
  <si>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</si>
  <si>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</si>
  <si>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</si>
  <si>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</si>
  <si>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</si>
  <si>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</si>
  <si>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</si>
  <si>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</si>
  <si>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</si>
  <si>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</si>
  <si>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</si>
  <si>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</si>
  <si>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</si>
  <si>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</si>
  <si>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</si>
  <si>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</si>
  <si>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</si>
  <si>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</si>
  <si>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</si>
  <si>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</si>
  <si>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</si>
  <si>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</si>
  <si>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</si>
  <si>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</si>
  <si>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</si>
  <si>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</si>
  <si>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</si>
  <si>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</si>
  <si>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</si>
  <si>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</si>
  <si>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</si>
  <si>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</si>
  <si>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</si>
  <si>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</si>
  <si>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</si>
  <si>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</si>
  <si>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</si>
  <si>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</si>
  <si>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</si>
  <si>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</si>
  <si>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</si>
  <si>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</si>
  <si>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</si>
  <si>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</si>
  <si>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</si>
  <si>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</si>
  <si>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</si>
  <si>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</si>
  <si>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</si>
  <si>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</si>
  <si>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</si>
  <si>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</si>
  <si>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</si>
  <si>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</si>
  <si>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</si>
  <si>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</si>
  <si>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</si>
  <si>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</si>
  <si>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</si>
  <si>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</si>
  <si>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</si>
  <si>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</si>
  <si>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</si>
  <si>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</si>
  <si>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</si>
  <si>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</si>
  <si>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</si>
  <si>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</si>
  <si>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</si>
  <si>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</si>
  <si>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</si>
  <si>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</si>
  <si>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</si>
  <si>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</si>
  <si>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</si>
  <si>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</si>
  <si>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</si>
  <si>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</si>
  <si>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</si>
  <si>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</si>
  <si>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</si>
  <si>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</si>
  <si>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</si>
  <si>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</si>
  <si>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</si>
  <si>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</si>
  <si>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</si>
  <si>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</si>
  <si>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</si>
  <si>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</si>
  <si>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</si>
  <si>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</si>
  <si>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</si>
  <si>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</si>
  <si>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</si>
  <si>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</si>
  <si>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</si>
  <si>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</si>
  <si>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</si>
  <si>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</si>
  <si>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</si>
  <si>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</si>
  <si>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</si>
  <si>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</si>
  <si>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</si>
  <si>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</si>
  <si>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</si>
  <si>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</si>
  <si>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</si>
  <si>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</si>
  <si>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</si>
  <si>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</si>
  <si>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</si>
  <si>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</si>
  <si>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</si>
  <si>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</si>
  <si>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</si>
  <si>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</si>
  <si>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</si>
  <si>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</si>
  <si>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</si>
  <si>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</si>
  <si>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</si>
  <si>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</si>
  <si>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</si>
  <si>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</si>
  <si>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</si>
  <si>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</si>
  <si>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</si>
  <si>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</si>
  <si>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</si>
  <si>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</si>
  <si>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</si>
  <si>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</si>
  <si>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</si>
  <si>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</si>
  <si>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</si>
  <si>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</si>
  <si>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</si>
  <si>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</si>
  <si>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</si>
  <si>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</si>
  <si>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</si>
  <si>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</si>
  <si>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</si>
  <si>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</si>
  <si>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</si>
  <si>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</si>
  <si>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</si>
  <si>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</si>
  <si>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</si>
  <si>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</si>
  <si>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</si>
  <si>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</si>
  <si>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</si>
  <si>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</si>
  <si>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</si>
  <si>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</si>
  <si>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</si>
  <si>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</si>
  <si>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</si>
  <si>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</si>
  <si>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</si>
  <si>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</si>
  <si>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</si>
  <si>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</si>
  <si>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</si>
  <si>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</si>
  <si>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</si>
  <si>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</si>
  <si>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</si>
  <si>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</si>
  <si>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</si>
  <si>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</si>
  <si>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</si>
  <si>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</si>
  <si>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</si>
  <si>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</si>
  <si>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</si>
  <si>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</si>
  <si>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</si>
  <si>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</si>
  <si>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</si>
  <si>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</si>
  <si>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</si>
  <si>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</si>
  <si>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</si>
  <si>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</si>
  <si>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</si>
  <si>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</si>
  <si>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</si>
  <si>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</si>
  <si>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</si>
  <si>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</si>
  <si>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</si>
  <si>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</si>
  <si>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</si>
  <si>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</si>
  <si>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</si>
  <si>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</si>
  <si>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</si>
  <si>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</si>
  <si>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</si>
  <si>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</si>
  <si>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</si>
  <si>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</si>
  <si>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</si>
  <si>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</si>
  <si>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</si>
  <si>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</si>
  <si>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</si>
  <si>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</si>
  <si>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</si>
  <si>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</si>
  <si>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</si>
  <si>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</si>
  <si>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</si>
  <si>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</si>
  <si>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</si>
  <si>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</si>
  <si>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</si>
  <si>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</si>
  <si>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</si>
  <si>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</si>
  <si>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</si>
  <si>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</si>
  <si>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</si>
  <si>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</si>
  <si>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</si>
  <si>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</si>
  <si>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</si>
  <si>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</si>
  <si>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</si>
  <si>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</si>
  <si>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</si>
  <si>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</si>
  <si>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</si>
  <si>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</si>
  <si>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</si>
  <si>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</si>
  <si>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</si>
  <si>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</si>
  <si>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</si>
  <si>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</si>
  <si>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</si>
  <si>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</si>
  <si>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</si>
  <si>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</si>
  <si>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</si>
  <si>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</si>
  <si>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</si>
  <si>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</si>
  <si>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</si>
  <si>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</si>
  <si>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</si>
  <si>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</si>
  <si>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</si>
  <si>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</si>
  <si>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</si>
  <si>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</si>
  <si>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</si>
  <si>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</si>
  <si>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</si>
  <si>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</si>
  <si>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</si>
  <si>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</si>
  <si>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</si>
  <si>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</si>
  <si>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</si>
  <si>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</si>
  <si>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</si>
  <si>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</si>
  <si>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</si>
  <si>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</si>
  <si>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</si>
  <si>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</si>
  <si>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</si>
  <si>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</si>
  <si>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</si>
  <si>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</si>
  <si>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</si>
  <si>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</si>
  <si>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</si>
  <si>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</si>
  <si>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</si>
  <si>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</si>
  <si>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</si>
  <si>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</si>
  <si>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</si>
  <si>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</si>
  <si>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</si>
  <si>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</si>
  <si>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</si>
  <si>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</si>
  <si>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</si>
  <si>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</si>
  <si>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</si>
  <si>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</si>
  <si>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</si>
  <si>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</si>
  <si>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</si>
  <si>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</si>
  <si>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</si>
  <si>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</si>
  <si>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</si>
  <si>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</si>
  <si>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</si>
  <si>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</si>
  <si>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</si>
  <si>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</si>
  <si>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</si>
  <si>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</si>
  <si>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</si>
  <si>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</si>
  <si>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</si>
  <si>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</si>
  <si>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</si>
  <si>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</si>
  <si>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</si>
  <si>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</si>
  <si>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</si>
  <si>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</si>
  <si>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</si>
  <si>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</si>
  <si>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</si>
  <si>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</si>
  <si>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</si>
  <si>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</si>
  <si>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</si>
  <si>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</si>
  <si>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</si>
  <si>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</si>
  <si>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</si>
  <si>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</si>
  <si>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</si>
  <si>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</si>
  <si>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</si>
  <si>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</si>
  <si>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</si>
  <si>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</si>
  <si>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</si>
  <si>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</si>
  <si>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</si>
  <si>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</si>
  <si>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</si>
  <si>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</si>
  <si>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</si>
  <si>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</si>
  <si>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</si>
  <si>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</si>
  <si>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</si>
  <si>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</si>
  <si>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</si>
  <si>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</si>
  <si>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</si>
  <si>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</si>
  <si>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</si>
  <si>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</si>
  <si>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</si>
  <si>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</si>
  <si>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</si>
  <si>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</si>
  <si>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</si>
  <si>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</si>
  <si>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</si>
  <si>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</si>
  <si>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</si>
  <si>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</si>
  <si>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</si>
  <si>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</si>
  <si>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</si>
  <si>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</si>
  <si>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</si>
  <si>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</si>
  <si>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</si>
  <si>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</si>
  <si>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</si>
  <si>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</si>
  <si>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</si>
  <si>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</si>
  <si>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</si>
  <si>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</si>
  <si>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</si>
  <si>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</si>
  <si>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</si>
  <si>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</si>
  <si>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</si>
  <si>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</si>
  <si>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</si>
  <si>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</si>
  <si>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</si>
  <si>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</si>
  <si>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</si>
  <si>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</si>
  <si>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</si>
  <si>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</si>
  <si>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</si>
  <si>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</si>
  <si>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</si>
  <si>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</si>
  <si>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</si>
  <si>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</si>
  <si>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</si>
  <si>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</si>
  <si>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</si>
  <si>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</si>
  <si>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</si>
  <si>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</si>
  <si>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</si>
  <si>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</si>
  <si>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</si>
  <si>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</si>
  <si>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</si>
  <si>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</si>
  <si>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</si>
  <si>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</si>
  <si>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</si>
  <si>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</si>
  <si>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</si>
  <si>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</si>
  <si>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</si>
  <si>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</si>
  <si>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</si>
  <si>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</si>
  <si>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</si>
  <si>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</si>
  <si>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</si>
  <si>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</si>
  <si>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</si>
  <si>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</si>
  <si>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</si>
  <si>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</si>
  <si>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</si>
  <si>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</si>
  <si>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</si>
  <si>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</si>
  <si>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</si>
  <si>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</si>
  <si>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</si>
  <si>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</si>
  <si>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</si>
  <si>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</si>
  <si>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</si>
  <si>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</si>
  <si>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</si>
  <si>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</si>
  <si>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</si>
  <si>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</si>
  <si>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</si>
  <si>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</si>
  <si>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</si>
  <si>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</si>
  <si>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</si>
  <si>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</si>
  <si>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</si>
  <si>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</si>
  <si>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</si>
  <si>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</si>
  <si>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</si>
  <si>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</si>
  <si>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</si>
  <si>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</si>
  <si>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</si>
  <si>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</si>
  <si>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</si>
  <si>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</si>
  <si>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</si>
  <si>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</si>
  <si>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</si>
  <si>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</si>
  <si>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</si>
  <si>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</si>
  <si>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</si>
  <si>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</si>
  <si>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</si>
  <si>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</si>
  <si>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</si>
  <si>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</si>
  <si>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</si>
  <si>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</si>
  <si>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</si>
  <si>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</si>
  <si>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</si>
  <si>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</si>
  <si>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</si>
  <si>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</si>
  <si>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</si>
  <si>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</si>
  <si>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</si>
  <si>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</si>
  <si>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</si>
  <si>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</si>
  <si>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</si>
  <si>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</si>
  <si>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</si>
  <si>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</si>
  <si>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</si>
  <si>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</si>
  <si>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</si>
  <si>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</si>
  <si>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</si>
  <si>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</si>
  <si>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</si>
  <si>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</si>
  <si>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</si>
  <si>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</si>
  <si>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</si>
  <si>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</si>
  <si>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</si>
  <si>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</si>
  <si>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</si>
  <si>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</si>
  <si>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</si>
  <si>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</si>
  <si>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</si>
  <si>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</si>
  <si>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</si>
  <si>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</si>
  <si>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</si>
  <si>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</si>
  <si>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</si>
  <si>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</si>
  <si>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</si>
  <si>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</si>
  <si>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</si>
  <si>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</si>
  <si>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</si>
  <si>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</si>
  <si>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</si>
  <si>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</si>
  <si>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</si>
  <si>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</si>
  <si>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</si>
  <si>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</si>
  <si>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</si>
  <si>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</si>
  <si>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</si>
  <si>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</si>
  <si>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</si>
  <si>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</si>
  <si>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</si>
  <si>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</si>
  <si>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</si>
  <si>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</si>
  <si>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</si>
  <si>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</si>
  <si>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</si>
  <si>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</si>
  <si>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</si>
  <si>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</si>
  <si>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</si>
  <si>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</si>
  <si>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</si>
  <si>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</si>
  <si>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</si>
  <si>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</si>
  <si>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</si>
  <si>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</si>
  <si>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</si>
  <si>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</si>
  <si>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</si>
  <si>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</si>
  <si>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</si>
  <si>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</si>
  <si>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</si>
  <si>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</si>
  <si>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</si>
  <si>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</si>
  <si>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</si>
  <si>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</si>
  <si>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</si>
  <si>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</si>
  <si>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</si>
  <si>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</si>
  <si>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</si>
  <si>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</si>
  <si>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</si>
  <si>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</si>
  <si>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</si>
  <si>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</si>
  <si>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</si>
  <si>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</si>
  <si>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</si>
  <si>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</si>
  <si>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</si>
  <si>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</si>
  <si>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</si>
  <si>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</si>
  <si>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</si>
  <si>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</si>
  <si>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</si>
  <si>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</si>
  <si>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</si>
  <si>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</si>
  <si>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</si>
  <si>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</si>
  <si>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</si>
  <si>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</si>
  <si>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</si>
  <si>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</si>
  <si>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</si>
  <si>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</si>
  <si>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</si>
  <si>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</si>
  <si>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</si>
  <si>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</si>
  <si>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</si>
  <si>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</si>
  <si>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</si>
  <si>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</si>
  <si>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</si>
  <si>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</si>
  <si>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</si>
  <si>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</si>
  <si>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</si>
  <si>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</si>
  <si>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</si>
  <si>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</si>
  <si>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</si>
  <si>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</si>
  <si>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</si>
  <si>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</si>
  <si>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</si>
  <si>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</si>
  <si>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</si>
  <si>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</si>
  <si>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</si>
  <si>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</si>
  <si>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</si>
  <si>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</si>
  <si>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</si>
  <si>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</si>
  <si>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</si>
  <si>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</si>
  <si>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</si>
  <si>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</si>
  <si>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</si>
  <si>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</si>
  <si>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</si>
  <si>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</si>
  <si>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</si>
  <si>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</si>
  <si>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</si>
  <si>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</si>
  <si>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</si>
  <si>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</si>
  <si>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</si>
  <si>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</si>
  <si>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</si>
  <si>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</si>
  <si>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</si>
  <si>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</si>
  <si>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</si>
  <si>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</si>
  <si>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</si>
  <si>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</si>
  <si>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</si>
  <si>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</si>
  <si>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</si>
  <si>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</si>
  <si>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</si>
  <si>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</si>
  <si>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</si>
  <si>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</si>
  <si>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</si>
  <si>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</si>
  <si>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</si>
  <si>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</si>
  <si>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</si>
  <si>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</si>
  <si>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</si>
  <si>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</si>
  <si>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</si>
  <si>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</si>
  <si>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</si>
  <si>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</si>
  <si>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</si>
  <si>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</si>
  <si>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</si>
  <si>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</si>
  <si>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</si>
  <si>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</si>
  <si>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</si>
  <si>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</si>
  <si>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</si>
  <si>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</si>
  <si>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</si>
  <si>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</si>
  <si>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</si>
  <si>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</si>
  <si>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</si>
  <si>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</si>
  <si>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</si>
  <si>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</si>
  <si>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</si>
  <si>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</si>
  <si>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</si>
  <si>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</si>
  <si>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</si>
  <si>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</si>
  <si>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</si>
  <si>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</si>
  <si>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</si>
  <si>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</si>
  <si>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</si>
  <si>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</si>
  <si>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</si>
  <si>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</si>
  <si>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</si>
  <si>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</si>
  <si>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</si>
  <si>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</si>
  <si>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</si>
  <si>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</si>
  <si>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</si>
  <si>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</si>
  <si>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</si>
  <si>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</si>
  <si>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</si>
  <si>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</si>
  <si>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</si>
  <si>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</si>
  <si>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</si>
  <si>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</si>
  <si>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</si>
  <si>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</si>
  <si>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</si>
  <si>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</si>
  <si>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</si>
  <si>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</si>
  <si>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</si>
  <si>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</si>
  <si>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</si>
  <si>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</si>
  <si>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</si>
  <si>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</si>
  <si>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Barreras</t>
  </si>
  <si>
    <t>Bastones anti motines</t>
  </si>
  <si>
    <t>Sistema de control de filas</t>
  </si>
  <si>
    <t>Esposas</t>
  </si>
  <si>
    <t>Cachiporras</t>
  </si>
  <si>
    <t>Analizadores de alcohol</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</si>
  <si>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</si>
  <si>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</si>
  <si>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</si>
  <si>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</si>
  <si>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</si>
  <si>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</si>
  <si>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</si>
  <si>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</si>
  <si>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</si>
  <si>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</si>
  <si>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</si>
  <si>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</si>
  <si>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</si>
  <si>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</si>
  <si>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</si>
  <si>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</si>
  <si>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</si>
  <si>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</si>
  <si>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</si>
  <si>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</si>
  <si>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</si>
  <si>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</si>
  <si>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</si>
  <si>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</si>
  <si>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</si>
  <si>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</si>
  <si>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</si>
  <si>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</si>
  <si>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</si>
  <si>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</si>
  <si>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</si>
  <si>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</si>
  <si>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</si>
  <si>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</si>
  <si>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</si>
  <si>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</si>
  <si>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</si>
  <si>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</si>
  <si>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</si>
  <si>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</si>
  <si>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</si>
  <si>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</si>
  <si>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</si>
  <si>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</si>
  <si>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</si>
  <si>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</si>
  <si>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</si>
  <si>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</si>
  <si>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</si>
  <si>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</si>
  <si>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</si>
  <si>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</si>
  <si>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</si>
  <si>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</si>
  <si>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</si>
  <si>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</si>
  <si>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</si>
  <si>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</si>
  <si>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</si>
  <si>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</si>
  <si>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</si>
  <si>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</si>
  <si>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</si>
  <si>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</si>
  <si>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</si>
  <si>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</si>
  <si>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</si>
  <si>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</si>
  <si>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</si>
  <si>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</si>
  <si>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</si>
  <si>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</si>
  <si>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</si>
  <si>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</si>
  <si>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</si>
  <si>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</si>
  <si>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</si>
  <si>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</si>
  <si>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</si>
  <si>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</si>
  <si>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</si>
  <si>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</si>
  <si>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</si>
  <si>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</si>
  <si>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</si>
  <si>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</si>
  <si>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</si>
  <si>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</si>
  <si>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</si>
  <si>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</si>
  <si>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</si>
  <si>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</si>
  <si>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</si>
  <si>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</si>
  <si>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</si>
  <si>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</si>
  <si>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</si>
  <si>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</si>
  <si>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</si>
  <si>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</si>
  <si>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</si>
  <si>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</si>
  <si>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</si>
  <si>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</si>
  <si>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</si>
  <si>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</si>
  <si>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</si>
  <si>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</si>
  <si>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</si>
  <si>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</si>
  <si>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</si>
  <si>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</si>
  <si>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</si>
  <si>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</si>
  <si>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</si>
  <si>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</si>
  <si>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</si>
  <si>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</si>
  <si>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</si>
  <si>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</si>
  <si>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</si>
  <si>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</si>
  <si>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</si>
  <si>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</si>
  <si>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</si>
  <si>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</si>
  <si>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</si>
  <si>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</si>
  <si>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</si>
  <si>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</si>
  <si>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</si>
  <si>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</si>
  <si>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</si>
  <si>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</si>
  <si>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</si>
  <si>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</si>
  <si>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</si>
  <si>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</si>
  <si>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</si>
  <si>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</si>
  <si>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</si>
  <si>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</si>
  <si>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</si>
  <si>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</si>
  <si>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</si>
  <si>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</si>
  <si>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</si>
  <si>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</si>
  <si>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</si>
  <si>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Repelentes para ataques caninos</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</si>
  <si>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</si>
  <si>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</si>
  <si>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</si>
  <si>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</si>
  <si>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</si>
  <si>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</si>
  <si>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</si>
  <si>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</si>
  <si>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</si>
  <si>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</si>
  <si>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</si>
  <si>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</si>
  <si>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</si>
  <si>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</si>
  <si>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</si>
  <si>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</si>
  <si>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</si>
  <si>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</si>
  <si>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</si>
  <si>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</si>
  <si>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</si>
  <si>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</si>
  <si>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</si>
  <si>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</si>
  <si>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</si>
  <si>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</si>
  <si>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</si>
  <si>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</si>
  <si>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</si>
  <si>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</si>
  <si>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</si>
  <si>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</si>
  <si>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</si>
  <si>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</si>
  <si>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</si>
  <si>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</si>
  <si>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</si>
  <si>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</si>
  <si>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</si>
  <si>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</si>
  <si>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</si>
  <si>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</si>
  <si>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</si>
  <si>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</si>
  <si>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</si>
  <si>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</si>
  <si>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</si>
  <si>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</si>
  <si>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</si>
  <si>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</si>
  <si>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</si>
  <si>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</si>
  <si>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</si>
  <si>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</si>
  <si>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</si>
  <si>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</si>
  <si>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</si>
  <si>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</si>
  <si>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</si>
  <si>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</si>
  <si>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</si>
  <si>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</si>
  <si>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</si>
  <si>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</si>
  <si>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</si>
  <si>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</si>
  <si>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</si>
  <si>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</si>
  <si>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</si>
  <si>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</si>
  <si>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</si>
  <si>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</si>
  <si>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</si>
  <si>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</si>
  <si>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</si>
  <si>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</si>
  <si>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</si>
  <si>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</si>
  <si>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</si>
  <si>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</si>
  <si>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</si>
  <si>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</si>
  <si>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</si>
  <si>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</si>
  <si>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</si>
  <si>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</si>
  <si>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</si>
  <si>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</si>
  <si>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</si>
  <si>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</si>
  <si>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</si>
  <si>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</si>
  <si>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</si>
  <si>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</si>
  <si>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</si>
  <si>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</si>
  <si>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</si>
  <si>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</si>
  <si>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</si>
  <si>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</si>
  <si>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</si>
  <si>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</si>
  <si>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</si>
  <si>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</si>
  <si>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</si>
  <si>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</si>
  <si>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</si>
  <si>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</si>
  <si>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</si>
  <si>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</si>
  <si>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</si>
  <si>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</si>
  <si>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</si>
  <si>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</si>
  <si>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</si>
  <si>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</si>
  <si>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</si>
  <si>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</si>
  <si>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</si>
  <si>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</si>
  <si>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</si>
  <si>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</si>
  <si>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</si>
  <si>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</si>
  <si>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</si>
  <si>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</si>
  <si>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</si>
  <si>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</si>
  <si>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</si>
  <si>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</si>
  <si>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</si>
  <si>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</si>
  <si>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</si>
  <si>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</si>
  <si>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</si>
  <si>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</si>
  <si>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</si>
  <si>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</si>
  <si>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</si>
  <si>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</si>
  <si>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</si>
  <si>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</si>
  <si>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</si>
  <si>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</si>
  <si>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</si>
  <si>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</si>
  <si>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</si>
  <si>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</si>
  <si>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</si>
  <si>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</si>
  <si>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</si>
  <si>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</si>
  <si>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</si>
  <si>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</si>
  <si>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</si>
  <si>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</si>
  <si>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</si>
  <si>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</si>
  <si>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</si>
  <si>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</si>
  <si>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</si>
  <si>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</si>
  <si>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</si>
  <si>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</si>
  <si>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</si>
  <si>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</si>
  <si>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</si>
  <si>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</si>
  <si>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</si>
  <si>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</si>
  <si>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</si>
  <si>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</si>
  <si>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</si>
  <si>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</si>
  <si>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</si>
  <si>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</si>
  <si>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</si>
  <si>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</si>
  <si>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</si>
  <si>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</si>
  <si>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</si>
  <si>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</si>
  <si>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</si>
  <si>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</si>
  <si>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</si>
  <si>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</si>
  <si>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</si>
  <si>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</si>
  <si>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</si>
  <si>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</si>
  <si>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</si>
  <si>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</si>
  <si>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</si>
  <si>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</si>
  <si>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</si>
  <si>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</si>
  <si>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</si>
  <si>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</si>
  <si>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</si>
  <si>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</si>
  <si>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</si>
  <si>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</si>
  <si>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</si>
  <si>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</si>
  <si>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</si>
  <si>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</si>
  <si>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</si>
  <si>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</si>
  <si>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</si>
  <si>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</si>
  <si>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</si>
  <si>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</si>
  <si>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</si>
  <si>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</si>
  <si>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</si>
  <si>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</si>
  <si>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</si>
  <si>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</si>
  <si>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</si>
  <si>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</si>
  <si>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</si>
  <si>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</si>
  <si>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</si>
  <si>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</si>
  <si>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</si>
  <si>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</si>
  <si>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</si>
  <si>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</si>
  <si>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</si>
  <si>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</si>
  <si>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</si>
  <si>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</si>
  <si>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</si>
  <si>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</si>
  <si>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</si>
  <si>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</si>
  <si>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</si>
  <si>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</si>
  <si>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</si>
  <si>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</si>
  <si>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</si>
  <si>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</si>
  <si>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</si>
  <si>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</si>
  <si>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</si>
  <si>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</si>
  <si>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</si>
  <si>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</si>
  <si>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</si>
  <si>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</si>
  <si>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</si>
  <si>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</si>
  <si>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</si>
  <si>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</si>
  <si>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</si>
  <si>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</si>
  <si>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</si>
  <si>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</si>
  <si>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</si>
  <si>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</si>
  <si>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</si>
  <si>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</si>
  <si>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</si>
  <si>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</si>
  <si>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</si>
  <si>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</si>
  <si>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</si>
  <si>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</si>
  <si>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</si>
  <si>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</si>
  <si>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</si>
  <si>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</si>
  <si>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</si>
  <si>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</si>
  <si>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</si>
  <si>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</si>
  <si>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</si>
  <si>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</si>
  <si>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</si>
  <si>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</si>
  <si>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</si>
  <si>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</si>
  <si>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</si>
  <si>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</si>
  <si>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</si>
  <si>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</si>
  <si>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</si>
  <si>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</si>
  <si>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</si>
  <si>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</si>
  <si>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</si>
  <si>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</si>
  <si>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</si>
  <si>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</si>
  <si>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</si>
  <si>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</si>
  <si>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</si>
  <si>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</si>
  <si>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</si>
  <si>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</si>
  <si>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</si>
  <si>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</si>
  <si>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</si>
  <si>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</si>
  <si>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</si>
  <si>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</si>
  <si>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</si>
  <si>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</si>
  <si>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</si>
  <si>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</si>
  <si>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</si>
  <si>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</si>
  <si>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</si>
  <si>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</si>
  <si>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</si>
  <si>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</si>
  <si>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</si>
  <si>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</si>
  <si>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</si>
  <si>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</si>
  <si>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</si>
  <si>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</si>
  <si>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</si>
  <si>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</si>
  <si>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</si>
  <si>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</si>
  <si>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</si>
  <si>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</si>
  <si>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</si>
  <si>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</si>
  <si>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</si>
  <si>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</si>
  <si>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</si>
  <si>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</si>
  <si>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</si>
  <si>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</si>
  <si>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</si>
  <si>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</si>
  <si>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</si>
  <si>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</si>
  <si>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</si>
  <si>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</si>
  <si>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</si>
  <si>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</si>
  <si>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</si>
  <si>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</si>
  <si>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</si>
  <si>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</si>
  <si>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</si>
  <si>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</si>
  <si>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</si>
  <si>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</si>
  <si>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</si>
  <si>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</si>
  <si>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</si>
  <si>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</si>
  <si>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</si>
  <si>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</si>
  <si>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</si>
  <si>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</si>
  <si>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</si>
  <si>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</si>
  <si>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</si>
  <si>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</si>
  <si>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</si>
  <si>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</si>
  <si>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</si>
  <si>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</si>
  <si>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</si>
  <si>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</si>
  <si>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</si>
  <si>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</si>
  <si>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</si>
  <si>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</si>
  <si>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</si>
  <si>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</si>
  <si>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</si>
  <si>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</si>
  <si>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</si>
  <si>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</si>
  <si>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</si>
  <si>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</si>
  <si>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</si>
  <si>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</si>
  <si>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</si>
  <si>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</si>
  <si>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</si>
  <si>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</si>
  <si>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</si>
  <si>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</si>
  <si>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</si>
  <si>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</si>
  <si>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</si>
  <si>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</si>
  <si>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</si>
  <si>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</si>
  <si>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</si>
  <si>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</si>
  <si>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</si>
  <si>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</si>
  <si>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</si>
  <si>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</si>
  <si>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</si>
  <si>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</si>
  <si>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</si>
  <si>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</si>
  <si>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</si>
  <si>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</si>
  <si>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</si>
  <si>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</si>
  <si>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</si>
  <si>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</si>
  <si>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</si>
  <si>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</si>
  <si>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</si>
  <si>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</si>
  <si>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</si>
  <si>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</si>
  <si>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</si>
  <si>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</si>
  <si>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</si>
  <si>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</si>
  <si>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</si>
  <si>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</si>
  <si>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</si>
  <si>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</si>
  <si>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</si>
  <si>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</si>
  <si>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</si>
  <si>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</si>
  <si>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</si>
  <si>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</si>
  <si>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</si>
  <si>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</si>
  <si>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</si>
  <si>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</si>
  <si>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</si>
  <si>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</si>
  <si>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</si>
  <si>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</si>
  <si>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</si>
  <si>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</si>
  <si>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</si>
  <si>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</si>
  <si>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</si>
  <si>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</si>
  <si>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</si>
  <si>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</si>
  <si>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</si>
  <si>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</si>
  <si>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</si>
  <si>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</si>
  <si>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</si>
  <si>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</si>
  <si>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</si>
  <si>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</si>
  <si>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</si>
  <si>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</si>
  <si>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</si>
  <si>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</si>
  <si>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</si>
  <si>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</si>
  <si>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</si>
  <si>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</si>
  <si>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</si>
  <si>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</si>
  <si>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</si>
  <si>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</si>
  <si>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</si>
  <si>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</si>
  <si>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</si>
  <si>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</si>
  <si>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</si>
  <si>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</si>
  <si>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</si>
  <si>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</si>
  <si>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</si>
  <si>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</si>
  <si>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</si>
  <si>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</si>
  <si>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</si>
  <si>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</si>
  <si>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</si>
  <si>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</si>
  <si>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</si>
  <si>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</si>
  <si>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</si>
  <si>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</si>
  <si>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</si>
  <si>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</si>
  <si>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</si>
  <si>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</si>
  <si>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</si>
  <si>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</si>
  <si>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</si>
  <si>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</si>
  <si>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</si>
  <si>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</si>
  <si>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</si>
  <si>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</si>
  <si>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</si>
  <si>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</si>
  <si>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</si>
  <si>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</si>
  <si>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</si>
  <si>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</si>
  <si>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</si>
  <si>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</si>
  <si>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</si>
  <si>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</si>
  <si>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</si>
  <si>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</si>
  <si>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</si>
  <si>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</si>
  <si>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</si>
  <si>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</si>
  <si>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</si>
  <si>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</si>
  <si>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</si>
  <si>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</si>
  <si>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</si>
  <si>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</si>
  <si>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</si>
  <si>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</si>
  <si>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</si>
  <si>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</si>
  <si>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</si>
  <si>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</si>
  <si>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</si>
  <si>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</si>
  <si>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</si>
  <si>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</si>
  <si>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</si>
  <si>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</si>
  <si>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</si>
  <si>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</si>
  <si>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</si>
  <si>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</si>
  <si>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</si>
  <si>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</si>
  <si>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</si>
  <si>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</si>
  <si>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</si>
  <si>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</si>
  <si>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</si>
  <si>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</si>
  <si>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</si>
  <si>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</si>
  <si>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</si>
  <si>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</si>
  <si>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</si>
  <si>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</si>
  <si>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</si>
  <si>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</si>
  <si>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</si>
  <si>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</si>
  <si>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</si>
  <si>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</si>
  <si>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</si>
  <si>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</si>
  <si>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</si>
  <si>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</si>
  <si>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</si>
  <si>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</si>
  <si>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</si>
  <si>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</si>
  <si>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</si>
  <si>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</si>
  <si>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</si>
  <si>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</si>
  <si>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</si>
  <si>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</si>
  <si>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</si>
  <si>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</si>
  <si>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</si>
  <si>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</si>
  <si>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</si>
  <si>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</si>
  <si>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</si>
  <si>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</si>
  <si>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</si>
  <si>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</si>
  <si>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</si>
  <si>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</si>
  <si>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</si>
  <si>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</si>
  <si>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</si>
  <si>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</si>
  <si>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</si>
  <si>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</si>
  <si>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</si>
  <si>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</si>
  <si>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</si>
  <si>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</si>
  <si>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</si>
  <si>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</si>
  <si>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</si>
  <si>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</si>
  <si>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</si>
  <si>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</si>
  <si>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</si>
  <si>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</si>
  <si>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</si>
  <si>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</si>
  <si>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</si>
  <si>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</si>
  <si>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</si>
  <si>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</si>
  <si>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</si>
  <si>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</si>
  <si>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</si>
  <si>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</si>
  <si>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</si>
  <si>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</si>
  <si>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</si>
  <si>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</si>
  <si>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</si>
  <si>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</si>
  <si>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</si>
  <si>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</si>
  <si>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</si>
  <si>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</si>
  <si>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</si>
  <si>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</si>
  <si>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</si>
  <si>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</si>
  <si>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</si>
  <si>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</si>
  <si>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</si>
  <si>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</si>
  <si>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</si>
  <si>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</si>
  <si>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</si>
  <si>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</si>
  <si>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</si>
  <si>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</si>
  <si>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</si>
  <si>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</si>
  <si>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</si>
  <si>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</si>
  <si>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</si>
  <si>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</si>
  <si>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</si>
  <si>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</si>
  <si>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</si>
  <si>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</si>
  <si>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</si>
  <si>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</si>
  <si>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</si>
  <si>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</si>
  <si>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</si>
  <si>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</si>
  <si>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</si>
  <si>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</si>
  <si>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</si>
  <si>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</si>
  <si>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</si>
  <si>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</si>
  <si>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</si>
  <si>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</si>
  <si>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</si>
  <si>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</si>
  <si>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</si>
  <si>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</si>
  <si>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</si>
  <si>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</si>
  <si>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</si>
  <si>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</si>
  <si>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</si>
  <si>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</si>
  <si>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</si>
  <si>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</si>
  <si>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</si>
  <si>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</si>
  <si>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</si>
  <si>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</si>
  <si>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</si>
  <si>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</si>
  <si>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</si>
  <si>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</si>
  <si>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</si>
  <si>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</si>
  <si>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</si>
  <si>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</si>
  <si>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</si>
  <si>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</si>
  <si>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</si>
  <si>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</si>
  <si>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</si>
  <si>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</si>
  <si>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</si>
  <si>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</si>
  <si>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</si>
  <si>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</si>
  <si>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</si>
  <si>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</si>
  <si>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</si>
  <si>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</si>
  <si>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</si>
  <si>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</si>
  <si>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</si>
  <si>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</si>
  <si>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</si>
  <si>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</si>
  <si>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</si>
  <si>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</si>
  <si>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</si>
  <si>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</si>
  <si>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</si>
  <si>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</si>
  <si>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</si>
  <si>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</si>
  <si>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</si>
  <si>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</si>
  <si>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</si>
  <si>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</si>
  <si>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</si>
  <si>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</si>
  <si>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</si>
  <si>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</si>
  <si>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</si>
  <si>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</si>
  <si>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</si>
  <si>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</si>
  <si>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</si>
  <si>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</si>
  <si>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</si>
  <si>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</si>
  <si>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</si>
  <si>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</si>
  <si>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</si>
  <si>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</si>
  <si>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</si>
  <si>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</si>
  <si>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</si>
  <si>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</si>
  <si>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</si>
  <si>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</si>
  <si>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</si>
  <si>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</si>
  <si>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</si>
  <si>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</si>
  <si>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</si>
  <si>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</si>
  <si>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</si>
  <si>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</si>
  <si>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</si>
  <si>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</si>
  <si>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</si>
  <si>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</si>
  <si>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</si>
  <si>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</si>
  <si>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</si>
  <si>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</si>
  <si>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</si>
  <si>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</si>
  <si>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</si>
  <si>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</si>
  <si>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</si>
  <si>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</si>
  <si>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</si>
  <si>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</si>
  <si>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</si>
  <si>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</si>
  <si>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</si>
  <si>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</si>
  <si>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</si>
  <si>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</si>
  <si>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</si>
  <si>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</si>
  <si>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</si>
  <si>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</si>
  <si>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</si>
  <si>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</si>
  <si>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</si>
  <si>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</si>
  <si>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</si>
  <si>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</si>
  <si>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</si>
  <si>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</si>
  <si>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</si>
  <si>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</si>
  <si>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</si>
  <si>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</si>
  <si>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</si>
  <si>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</si>
  <si>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</si>
  <si>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</si>
  <si>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</si>
  <si>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</si>
  <si>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</si>
  <si>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</si>
  <si>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</si>
  <si>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</si>
  <si>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</si>
  <si>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</si>
  <si>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</si>
  <si>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</si>
  <si>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</si>
  <si>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</si>
  <si>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</si>
  <si>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</si>
  <si>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</si>
  <si>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</si>
  <si>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</si>
  <si>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</si>
  <si>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</si>
  <si>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</si>
  <si>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</si>
  <si>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</si>
  <si>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</si>
  <si>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</si>
  <si>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</si>
  <si>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</si>
  <si>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</si>
  <si>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</si>
  <si>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</si>
  <si>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</si>
  <si>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</si>
  <si>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</si>
  <si>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</si>
  <si>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</si>
  <si>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</si>
  <si>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</si>
  <si>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</si>
  <si>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</si>
  <si>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</si>
  <si>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</si>
  <si>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</si>
  <si>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</si>
  <si>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</si>
  <si>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</si>
  <si>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</si>
  <si>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</si>
  <si>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</si>
  <si>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</si>
  <si>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</si>
  <si>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</si>
  <si>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</si>
  <si>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</si>
  <si>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</si>
  <si>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</si>
  <si>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</si>
  <si>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</si>
  <si>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</si>
  <si>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</si>
  <si>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</si>
  <si>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</si>
  <si>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</si>
  <si>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</si>
  <si>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</si>
  <si>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</si>
  <si>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</si>
  <si>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</si>
  <si>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</si>
  <si>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</si>
  <si>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</si>
  <si>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</si>
  <si>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</si>
  <si>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</si>
  <si>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</si>
  <si>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</si>
  <si>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</si>
  <si>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</si>
  <si>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</si>
  <si>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</si>
  <si>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</si>
  <si>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</si>
  <si>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</si>
  <si>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</si>
  <si>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</si>
  <si>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</si>
  <si>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</si>
  <si>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</si>
  <si>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</si>
  <si>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</si>
  <si>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</si>
  <si>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</si>
  <si>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</si>
  <si>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</si>
  <si>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</si>
  <si>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</si>
  <si>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</si>
  <si>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</si>
  <si>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</si>
  <si>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</si>
  <si>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</si>
  <si>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</si>
  <si>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</si>
  <si>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</si>
  <si>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</si>
  <si>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</si>
  <si>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</si>
  <si>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</si>
  <si>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</si>
  <si>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</si>
  <si>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</si>
  <si>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</si>
  <si>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</si>
  <si>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</si>
  <si>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</si>
  <si>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</si>
  <si>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</si>
  <si>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</si>
  <si>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</si>
  <si>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</si>
  <si>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</si>
  <si>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</si>
  <si>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</si>
  <si>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</si>
  <si>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</si>
  <si>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</si>
  <si>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</si>
  <si>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</si>
  <si>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</si>
  <si>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</si>
  <si>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</si>
  <si>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</si>
  <si>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</si>
  <si>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</si>
  <si>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</si>
  <si>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</si>
  <si>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</si>
  <si>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</si>
  <si>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</si>
  <si>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</si>
  <si>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</si>
  <si>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</si>
  <si>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</si>
  <si>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</si>
  <si>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</si>
  <si>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</si>
  <si>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</si>
  <si>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</si>
  <si>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</si>
  <si>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</si>
  <si>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</si>
  <si>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</si>
  <si>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</si>
  <si>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</si>
  <si>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</si>
  <si>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</si>
  <si>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</si>
  <si>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</si>
  <si>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</si>
  <si>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</si>
  <si>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</si>
  <si>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</si>
  <si>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</si>
  <si>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</si>
  <si>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</si>
  <si>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</si>
  <si>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</si>
  <si>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</si>
  <si>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</si>
  <si>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</si>
  <si>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</si>
  <si>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</si>
  <si>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</si>
  <si>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</si>
  <si>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</si>
  <si>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</si>
  <si>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</si>
  <si>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</si>
  <si>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</si>
  <si>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</si>
  <si>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</si>
  <si>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</si>
  <si>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</si>
  <si>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</si>
  <si>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</si>
  <si>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</si>
  <si>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</si>
  <si>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</si>
  <si>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</si>
  <si>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</si>
  <si>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</si>
  <si>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</si>
  <si>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</si>
  <si>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</si>
  <si>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</si>
  <si>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</si>
  <si>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</si>
  <si>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</si>
  <si>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</si>
  <si>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</si>
  <si>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</si>
  <si>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</si>
  <si>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</si>
  <si>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</si>
  <si>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</si>
  <si>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</si>
  <si>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</si>
  <si>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</si>
  <si>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</si>
  <si>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</si>
  <si>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</si>
  <si>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</si>
  <si>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</si>
  <si>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</si>
  <si>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</si>
  <si>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</si>
  <si>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</si>
  <si>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</si>
  <si>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</si>
  <si>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</si>
  <si>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</si>
  <si>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</si>
  <si>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</si>
  <si>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</si>
  <si>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</si>
  <si>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</si>
  <si>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</si>
  <si>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</si>
  <si>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</si>
  <si>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</si>
  <si>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</si>
  <si>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</si>
  <si>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</si>
  <si>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</si>
  <si>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</si>
  <si>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</si>
  <si>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</si>
  <si>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</si>
  <si>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</si>
  <si>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</si>
  <si>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</si>
  <si>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</si>
  <si>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</si>
  <si>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</si>
  <si>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</si>
  <si>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</si>
  <si>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</si>
  <si>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</si>
  <si>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</si>
  <si>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</si>
  <si>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</si>
  <si>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</si>
  <si>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</si>
  <si>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</si>
  <si>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</si>
  <si>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</si>
  <si>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</si>
  <si>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</si>
  <si>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</si>
  <si>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</si>
  <si>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</si>
  <si>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</si>
  <si>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</si>
  <si>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</si>
  <si>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</si>
  <si>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</si>
  <si>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</si>
  <si>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</si>
  <si>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</si>
  <si>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</si>
  <si>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</si>
  <si>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</si>
  <si>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</si>
  <si>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</si>
  <si>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</si>
  <si>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</si>
  <si>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</si>
  <si>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</si>
  <si>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</si>
  <si>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</si>
  <si>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</si>
  <si>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</si>
  <si>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</si>
  <si>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</si>
  <si>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</si>
  <si>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</si>
  <si>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</si>
  <si>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</si>
  <si>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</si>
  <si>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</si>
  <si>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</si>
  <si>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</si>
  <si>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</si>
  <si>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</si>
  <si>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</si>
  <si>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</si>
  <si>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</si>
  <si>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</si>
  <si>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</si>
  <si>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</si>
  <si>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</si>
  <si>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</si>
  <si>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</si>
  <si>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</si>
  <si>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</si>
  <si>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</si>
  <si>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</si>
  <si>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</si>
  <si>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</si>
  <si>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</si>
  <si>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</si>
  <si>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</si>
  <si>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</si>
  <si>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</si>
  <si>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</si>
  <si>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</si>
  <si>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</si>
  <si>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</si>
  <si>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</si>
  <si>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</si>
  <si>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</si>
  <si>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</si>
  <si>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</si>
  <si>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</si>
  <si>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</si>
  <si>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</si>
  <si>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</si>
  <si>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</si>
  <si>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</si>
  <si>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</si>
  <si>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</si>
  <si>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</si>
  <si>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</si>
  <si>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</si>
  <si>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</si>
  <si>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</si>
  <si>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</si>
  <si>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</si>
  <si>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</si>
  <si>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</si>
  <si>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</si>
  <si>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</si>
  <si>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</si>
  <si>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</si>
  <si>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</si>
  <si>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</si>
  <si>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</si>
  <si>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</si>
  <si>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</si>
  <si>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</si>
  <si>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</si>
  <si>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</si>
  <si>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</si>
  <si>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</si>
  <si>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</si>
  <si>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</si>
  <si>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</si>
  <si>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</si>
  <si>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</si>
  <si>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</si>
  <si>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</si>
  <si>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</si>
  <si>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</si>
  <si>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</si>
  <si>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</si>
  <si>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</si>
  <si>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</si>
  <si>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</si>
  <si>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</si>
  <si>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</si>
  <si>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</si>
  <si>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</si>
  <si>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</si>
  <si>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</si>
  <si>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</si>
  <si>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</si>
  <si>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</si>
  <si>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</si>
  <si>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</si>
  <si>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</si>
  <si>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</si>
  <si>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</si>
  <si>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</si>
  <si>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</si>
  <si>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</si>
  <si>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</si>
  <si>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</si>
  <si>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</si>
  <si>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</si>
  <si>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</si>
  <si>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</si>
  <si>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</si>
  <si>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</si>
  <si>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</si>
  <si>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</si>
  <si>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</si>
  <si>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</si>
  <si>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</si>
  <si>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</si>
  <si>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</si>
  <si>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</si>
  <si>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</si>
  <si>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</si>
  <si>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</si>
  <si>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</si>
  <si>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</si>
  <si>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</si>
  <si>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</si>
  <si>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</si>
  <si>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</si>
  <si>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</si>
  <si>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</si>
  <si>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</si>
  <si>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</si>
  <si>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</si>
  <si>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</si>
  <si>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</si>
  <si>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</si>
  <si>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</si>
  <si>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</si>
  <si>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</si>
  <si>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</si>
  <si>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</si>
  <si>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</si>
  <si>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</si>
  <si>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</si>
  <si>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</si>
  <si>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</si>
  <si>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</si>
  <si>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</si>
  <si>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</si>
  <si>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</si>
  <si>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</si>
  <si>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</si>
  <si>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</si>
  <si>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</si>
  <si>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</si>
  <si>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</si>
  <si>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</si>
  <si>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</si>
  <si>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</si>
  <si>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</si>
  <si>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</si>
  <si>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</si>
  <si>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</si>
  <si>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</si>
  <si>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</si>
  <si>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</si>
  <si>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</si>
  <si>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</si>
  <si>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</si>
  <si>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</si>
  <si>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</si>
  <si>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</si>
  <si>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</si>
  <si>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</si>
  <si>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</si>
  <si>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</si>
  <si>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</si>
  <si>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</si>
  <si>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</si>
  <si>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</si>
  <si>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</si>
  <si>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</si>
  <si>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</si>
  <si>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</si>
  <si>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</si>
  <si>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</si>
  <si>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</si>
  <si>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</si>
  <si>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</si>
  <si>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</si>
  <si>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</si>
  <si>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</si>
  <si>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</si>
  <si>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</si>
  <si>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</si>
  <si>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</si>
  <si>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</si>
  <si>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</si>
  <si>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</si>
  <si>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</si>
  <si>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</si>
  <si>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</si>
  <si>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</si>
  <si>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</si>
  <si>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</si>
  <si>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</si>
  <si>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</si>
  <si>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</si>
  <si>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</si>
  <si>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</si>
  <si>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</si>
  <si>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</si>
  <si>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</si>
  <si>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</si>
  <si>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</si>
  <si>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</si>
  <si>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</si>
  <si>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</si>
  <si>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</si>
  <si>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</si>
  <si>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</si>
  <si>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</si>
  <si>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</si>
  <si>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</si>
  <si>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</si>
  <si>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</si>
  <si>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</si>
  <si>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</si>
  <si>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</si>
  <si>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</si>
  <si>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</si>
  <si>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</si>
  <si>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</si>
  <si>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</si>
  <si>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</si>
  <si>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</si>
  <si>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</si>
  <si>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</si>
  <si>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</si>
  <si>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</si>
  <si>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</si>
  <si>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</si>
  <si>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</si>
  <si>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</si>
  <si>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</si>
  <si>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</si>
  <si>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</si>
  <si>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</si>
  <si>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</si>
  <si>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</si>
  <si>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</si>
  <si>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</si>
  <si>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</si>
  <si>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</si>
  <si>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</si>
  <si>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</si>
  <si>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</si>
  <si>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</si>
  <si>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</si>
  <si>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</si>
  <si>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</si>
  <si>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</si>
  <si>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</si>
  <si>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</si>
  <si>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</si>
  <si>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</si>
  <si>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</si>
  <si>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</si>
  <si>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</si>
  <si>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</si>
  <si>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</si>
  <si>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</si>
  <si>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</si>
  <si>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</si>
  <si>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</si>
  <si>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</si>
  <si>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</si>
  <si>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</si>
  <si>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</si>
  <si>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</si>
  <si>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</si>
  <si>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</si>
  <si>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</si>
  <si>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</si>
  <si>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</si>
  <si>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</si>
  <si>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</si>
  <si>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</si>
  <si>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</si>
  <si>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</si>
  <si>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</si>
  <si>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</si>
  <si>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</si>
  <si>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</si>
  <si>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</si>
  <si>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</si>
  <si>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</si>
  <si>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</si>
  <si>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</si>
  <si>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</si>
  <si>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</si>
  <si>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</si>
  <si>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</si>
  <si>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</si>
  <si>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</si>
  <si>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</si>
  <si>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</si>
  <si>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</si>
  <si>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</si>
  <si>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</si>
  <si>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</si>
  <si>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</si>
  <si>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</si>
  <si>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</si>
  <si>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</si>
  <si>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</si>
  <si>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</si>
  <si>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</si>
  <si>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</si>
  <si>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</si>
  <si>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</si>
  <si>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</si>
  <si>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</si>
  <si>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</si>
  <si>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</si>
  <si>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</si>
  <si>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</si>
  <si>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</si>
  <si>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</si>
  <si>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</si>
  <si>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</si>
  <si>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</si>
  <si>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</si>
  <si>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</si>
  <si>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</si>
  <si>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</si>
  <si>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</si>
  <si>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</si>
  <si>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</si>
  <si>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</si>
  <si>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</si>
  <si>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</si>
  <si>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</si>
  <si>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</si>
  <si>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</si>
  <si>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</si>
  <si>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</si>
  <si>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</si>
  <si>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</si>
  <si>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</si>
  <si>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</si>
  <si>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</si>
  <si>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</si>
  <si>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</si>
  <si>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</si>
  <si>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</si>
  <si>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</si>
  <si>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</si>
  <si>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</si>
  <si>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</si>
  <si>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</si>
  <si>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</si>
  <si>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</si>
  <si>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</si>
  <si>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</si>
  <si>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</si>
  <si>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</si>
  <si>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</si>
  <si>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</si>
  <si>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</si>
  <si>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</si>
  <si>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</si>
  <si>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</si>
  <si>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</si>
  <si>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</si>
  <si>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</si>
  <si>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</si>
  <si>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</si>
  <si>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</si>
  <si>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</si>
  <si>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</si>
  <si>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</si>
  <si>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</si>
  <si>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</si>
  <si>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</si>
  <si>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</si>
  <si>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</si>
  <si>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</si>
  <si>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</si>
  <si>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</si>
  <si>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</si>
  <si>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</si>
  <si>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</si>
  <si>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</si>
  <si>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</si>
  <si>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</si>
  <si>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</si>
  <si>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</si>
  <si>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</si>
  <si>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</si>
  <si>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</si>
  <si>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</si>
  <si>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</si>
  <si>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</si>
  <si>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</si>
  <si>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</si>
  <si>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</si>
  <si>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</si>
  <si>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</si>
  <si>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</si>
  <si>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</si>
  <si>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</si>
  <si>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</si>
  <si>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</si>
  <si>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</si>
  <si>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</si>
  <si>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</si>
  <si>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</si>
  <si>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</si>
  <si>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</si>
  <si>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</si>
  <si>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</si>
  <si>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</si>
  <si>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</si>
  <si>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</si>
  <si>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</si>
  <si>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</si>
  <si>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</si>
  <si>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</si>
  <si>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</si>
  <si>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</si>
  <si>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</si>
  <si>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</si>
  <si>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</si>
  <si>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</si>
  <si>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</si>
  <si>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</si>
  <si>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</si>
  <si>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</si>
  <si>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</si>
  <si>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</si>
  <si>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</si>
  <si>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</si>
  <si>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</si>
  <si>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</si>
  <si>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</si>
  <si>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</si>
  <si>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</si>
  <si>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</si>
  <si>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</si>
  <si>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</si>
  <si>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</si>
  <si>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</si>
  <si>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</si>
  <si>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</si>
  <si>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</si>
  <si>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</si>
  <si>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</si>
  <si>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</si>
  <si>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</si>
  <si>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</si>
  <si>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</si>
  <si>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</si>
  <si>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</si>
  <si>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</si>
  <si>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</si>
  <si>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</si>
  <si>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</si>
  <si>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</si>
  <si>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</si>
  <si>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</si>
  <si>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</si>
  <si>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</si>
  <si>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</si>
  <si>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</si>
  <si>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</si>
  <si>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</si>
  <si>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</si>
  <si>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</si>
  <si>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</si>
  <si>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</si>
  <si>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</si>
  <si>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</si>
  <si>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</si>
  <si>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</si>
  <si>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</si>
  <si>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</si>
  <si>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</si>
  <si>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</si>
  <si>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</si>
  <si>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</si>
  <si>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</si>
  <si>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</si>
  <si>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</si>
  <si>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</si>
  <si>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</si>
  <si>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</si>
  <si>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</si>
  <si>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</si>
  <si>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</si>
  <si>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</si>
  <si>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</si>
  <si>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</si>
  <si>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</si>
  <si>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</si>
  <si>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</si>
  <si>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</si>
  <si>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</si>
  <si>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</si>
  <si>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</si>
  <si>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</si>
  <si>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</si>
  <si>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</si>
  <si>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</si>
  <si>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</si>
  <si>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</si>
  <si>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</si>
  <si>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</si>
  <si>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</si>
  <si>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</si>
  <si>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</si>
  <si>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</si>
  <si>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</si>
  <si>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</si>
  <si>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</si>
  <si>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</si>
  <si>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</si>
  <si>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</si>
  <si>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</si>
  <si>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</si>
  <si>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</si>
  <si>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</si>
  <si>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</si>
  <si>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</si>
  <si>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</si>
  <si>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</si>
  <si>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</si>
  <si>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</si>
  <si>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</si>
  <si>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</si>
  <si>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</si>
  <si>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</si>
  <si>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</si>
  <si>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</si>
  <si>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</si>
  <si>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</si>
  <si>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</si>
  <si>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</si>
  <si>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</si>
  <si>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</si>
  <si>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</si>
  <si>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</si>
  <si>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</si>
  <si>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</si>
  <si>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</si>
  <si>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</si>
  <si>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</si>
  <si>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</si>
  <si>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</si>
  <si>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</si>
  <si>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</si>
  <si>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</si>
  <si>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</si>
  <si>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</si>
  <si>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</si>
  <si>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</si>
  <si>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</si>
  <si>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</si>
  <si>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</si>
  <si>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</si>
  <si>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</si>
  <si>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</si>
  <si>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</si>
  <si>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</si>
  <si>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</si>
  <si>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</si>
  <si>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</si>
  <si>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</si>
  <si>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</si>
  <si>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</si>
  <si>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</si>
  <si>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</si>
  <si>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</si>
  <si>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</si>
  <si>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</si>
  <si>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</si>
  <si>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</si>
  <si>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</si>
  <si>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</si>
  <si>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</si>
  <si>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</si>
  <si>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</si>
  <si>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</si>
  <si>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</si>
  <si>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</si>
  <si>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</si>
  <si>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</si>
  <si>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</si>
  <si>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</si>
  <si>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</si>
  <si>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</si>
  <si>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</si>
  <si>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</si>
  <si>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</si>
  <si>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</si>
  <si>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</si>
  <si>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</si>
  <si>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</si>
  <si>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</si>
  <si>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</si>
  <si>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</si>
  <si>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</si>
  <si>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</si>
  <si>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</si>
  <si>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</si>
  <si>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</si>
  <si>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</si>
  <si>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</si>
  <si>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</si>
  <si>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</si>
  <si>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</si>
  <si>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</si>
  <si>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</si>
  <si>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</si>
  <si>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</si>
  <si>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</si>
  <si>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</si>
  <si>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</si>
  <si>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</si>
  <si>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</si>
  <si>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</si>
  <si>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</si>
  <si>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</si>
  <si>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</si>
  <si>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</si>
  <si>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</si>
  <si>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</si>
  <si>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</si>
  <si>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</si>
  <si>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</si>
  <si>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</si>
  <si>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</si>
  <si>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</si>
  <si>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</si>
  <si>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</si>
  <si>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</si>
  <si>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</si>
  <si>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</si>
  <si>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</si>
  <si>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</si>
  <si>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</si>
  <si>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</si>
  <si>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</si>
  <si>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</si>
  <si>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</si>
  <si>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</si>
  <si>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</si>
  <si>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</si>
  <si>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</si>
  <si>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</si>
  <si>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</si>
  <si>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</si>
  <si>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</si>
  <si>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</si>
  <si>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</si>
  <si>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</si>
  <si>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</si>
  <si>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</si>
  <si>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</si>
  <si>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</si>
  <si>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</si>
  <si>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</si>
  <si>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</si>
  <si>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</si>
  <si>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</si>
  <si>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</si>
  <si>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</si>
  <si>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</si>
  <si>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</si>
  <si>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</si>
  <si>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</si>
  <si>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</si>
  <si>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</si>
  <si>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</si>
  <si>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</si>
  <si>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</si>
  <si>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</si>
  <si>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</si>
  <si>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</si>
  <si>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</si>
  <si>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</si>
  <si>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</si>
  <si>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</si>
  <si>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</si>
  <si>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</si>
  <si>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</si>
  <si>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</si>
  <si>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</si>
  <si>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</si>
  <si>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</si>
  <si>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</si>
  <si>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</si>
  <si>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</si>
  <si>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</si>
  <si>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</si>
  <si>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</si>
  <si>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</si>
  <si>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</si>
  <si>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</si>
  <si>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</si>
  <si>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</si>
  <si>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</si>
  <si>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</si>
  <si>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</si>
  <si>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</si>
  <si>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</si>
  <si>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</si>
  <si>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</si>
  <si>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</si>
  <si>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</si>
  <si>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</si>
  <si>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</si>
  <si>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</si>
  <si>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</si>
  <si>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</si>
  <si>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</si>
  <si>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</si>
  <si>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</si>
  <si>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</si>
  <si>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</si>
  <si>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</si>
  <si>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</si>
  <si>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</si>
  <si>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</si>
  <si>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</si>
  <si>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</si>
  <si>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</si>
  <si>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</si>
  <si>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</si>
  <si>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</si>
  <si>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</si>
  <si>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</si>
  <si>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</si>
  <si>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</si>
  <si>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</si>
  <si>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</si>
  <si>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</si>
  <si>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</si>
  <si>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</si>
  <si>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</si>
  <si>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</si>
  <si>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</si>
  <si>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</si>
  <si>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</si>
  <si>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</si>
  <si>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</si>
  <si>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</si>
  <si>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</si>
  <si>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</si>
  <si>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</si>
  <si>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</si>
  <si>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</si>
  <si>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</si>
  <si>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</si>
  <si>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</si>
  <si>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</si>
  <si>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</si>
  <si>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</si>
  <si>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</si>
  <si>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</si>
  <si>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</si>
  <si>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</si>
  <si>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</si>
  <si>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</si>
  <si>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</si>
  <si>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</si>
  <si>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</si>
  <si>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</si>
  <si>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</si>
  <si>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</si>
  <si>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</si>
  <si>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</si>
  <si>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</si>
  <si>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</si>
  <si>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</si>
  <si>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</si>
  <si>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</si>
  <si>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</si>
  <si>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</si>
  <si>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</si>
  <si>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</si>
  <si>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</si>
  <si>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</si>
  <si>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</si>
  <si>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</si>
  <si>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</si>
  <si>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</si>
  <si>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</si>
  <si>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</si>
  <si>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</si>
  <si>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</si>
  <si>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</si>
  <si>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</si>
  <si>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</si>
  <si>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</si>
  <si>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</si>
  <si>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</si>
  <si>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</si>
  <si>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</si>
  <si>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</si>
  <si>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</si>
  <si>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</si>
  <si>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</si>
  <si>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</si>
  <si>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</si>
  <si>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</si>
  <si>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</si>
  <si>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</si>
  <si>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</si>
  <si>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</si>
  <si>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</si>
  <si>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</si>
  <si>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</si>
  <si>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</si>
  <si>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</si>
  <si>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</si>
  <si>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</si>
  <si>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</si>
  <si>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</si>
  <si>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</si>
  <si>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</si>
  <si>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</si>
  <si>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</si>
  <si>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</si>
  <si>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</si>
  <si>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</si>
  <si>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</si>
  <si>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</si>
  <si>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</si>
  <si>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</si>
  <si>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</si>
  <si>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</si>
  <si>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</si>
  <si>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</si>
  <si>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</si>
  <si>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</si>
  <si>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</si>
  <si>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</si>
  <si>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</si>
  <si>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</si>
  <si>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</si>
  <si>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</si>
  <si>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</si>
  <si>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</si>
  <si>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</si>
  <si>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</si>
  <si>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</si>
  <si>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</si>
  <si>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</si>
  <si>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</si>
  <si>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</si>
  <si>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</si>
  <si>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</si>
  <si>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</si>
  <si>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</si>
  <si>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</si>
  <si>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</si>
  <si>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</si>
  <si>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</si>
  <si>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</si>
  <si>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</si>
  <si>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</si>
  <si>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</si>
  <si>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</si>
  <si>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</si>
  <si>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</si>
  <si>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</si>
  <si>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</si>
  <si>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</si>
  <si>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</si>
  <si>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</si>
  <si>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</si>
  <si>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</si>
  <si>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</si>
  <si>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</si>
  <si>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</si>
  <si>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</si>
  <si>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</si>
  <si>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</si>
  <si>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</si>
  <si>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</si>
  <si>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</si>
  <si>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</si>
  <si>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</si>
  <si>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</si>
  <si>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</si>
  <si>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</si>
  <si>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</si>
  <si>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</si>
  <si>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</si>
  <si>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</si>
  <si>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</si>
  <si>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</si>
  <si>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</si>
  <si>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</si>
  <si>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</si>
  <si>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</si>
  <si>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</si>
  <si>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</si>
  <si>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</si>
  <si>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</si>
  <si>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</si>
  <si>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</si>
  <si>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</si>
  <si>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</si>
  <si>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</si>
  <si>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</si>
  <si>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</si>
  <si>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</si>
  <si>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</si>
  <si>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</si>
  <si>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</si>
  <si>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</si>
  <si>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</si>
  <si>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</si>
  <si>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</si>
  <si>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</si>
  <si>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</si>
  <si>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</si>
  <si>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</si>
  <si>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</si>
  <si>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</si>
  <si>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</si>
  <si>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</si>
  <si>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</si>
  <si>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</si>
  <si>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</si>
  <si>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</si>
  <si>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</si>
  <si>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</si>
  <si>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</si>
  <si>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</si>
  <si>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</si>
  <si>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</si>
  <si>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</si>
  <si>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</si>
  <si>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</si>
  <si>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</si>
  <si>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</si>
  <si>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</si>
  <si>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</si>
  <si>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</si>
  <si>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</si>
  <si>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</si>
  <si>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</si>
  <si>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</si>
  <si>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</si>
  <si>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</si>
  <si>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</si>
  <si>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</si>
  <si>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</si>
  <si>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</si>
  <si>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</si>
  <si>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</si>
  <si>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</si>
  <si>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</si>
  <si>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</si>
  <si>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</si>
  <si>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</si>
  <si>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</si>
  <si>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</si>
  <si>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</si>
  <si>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</si>
  <si>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</si>
  <si>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</si>
  <si>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</si>
  <si>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</si>
  <si>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</si>
  <si>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</si>
  <si>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</si>
  <si>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</si>
  <si>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</si>
  <si>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</si>
  <si>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</si>
  <si>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</si>
  <si>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</si>
  <si>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</si>
  <si>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</si>
  <si>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</si>
  <si>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</si>
  <si>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</si>
  <si>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</si>
  <si>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</si>
  <si>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</si>
  <si>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</si>
  <si>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</si>
  <si>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</si>
  <si>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</si>
  <si>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</si>
  <si>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</si>
  <si>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</si>
  <si>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</si>
  <si>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</si>
  <si>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</si>
  <si>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</si>
  <si>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</si>
  <si>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</si>
  <si>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</si>
  <si>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</si>
  <si>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</si>
  <si>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</si>
  <si>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</si>
  <si>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</si>
  <si>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</si>
  <si>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</si>
  <si>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</si>
  <si>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</si>
  <si>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</si>
  <si>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</si>
  <si>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</si>
  <si>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</si>
  <si>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</si>
  <si>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</si>
  <si>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</si>
  <si>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</si>
  <si>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</si>
  <si>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</si>
  <si>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</si>
  <si>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</si>
  <si>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</si>
  <si>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</si>
  <si>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</si>
  <si>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</si>
  <si>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</si>
  <si>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</si>
  <si>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</si>
  <si>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</si>
  <si>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</si>
  <si>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</si>
  <si>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</si>
  <si>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</si>
  <si>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</si>
  <si>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</si>
  <si>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</si>
  <si>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</si>
  <si>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</si>
  <si>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</si>
  <si>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</si>
  <si>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</si>
  <si>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</si>
  <si>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</si>
  <si>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</si>
  <si>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</si>
  <si>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</si>
  <si>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</si>
  <si>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</si>
  <si>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</si>
  <si>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</si>
  <si>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</si>
  <si>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</si>
  <si>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</si>
  <si>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</si>
  <si>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</si>
  <si>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</si>
  <si>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</si>
  <si>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</si>
  <si>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</si>
  <si>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</si>
  <si>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</si>
  <si>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</si>
  <si>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</si>
  <si>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</si>
  <si>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</si>
  <si>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</si>
  <si>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</si>
  <si>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</si>
  <si>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</si>
  <si>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</si>
  <si>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</si>
  <si>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</si>
  <si>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</si>
  <si>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</si>
  <si>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</si>
  <si>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</si>
  <si>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</si>
  <si>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</si>
  <si>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</si>
  <si>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</si>
  <si>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</si>
  <si>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</si>
  <si>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</si>
  <si>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</si>
  <si>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</si>
  <si>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</si>
  <si>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</si>
  <si>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</si>
  <si>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</si>
  <si>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</si>
  <si>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</si>
  <si>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</si>
  <si>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</si>
  <si>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</si>
  <si>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</si>
  <si>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</si>
  <si>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</si>
  <si>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</si>
  <si>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</si>
  <si>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</si>
  <si>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</si>
  <si>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</si>
  <si>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</si>
  <si>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</si>
  <si>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</si>
  <si>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</si>
  <si>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</si>
  <si>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</si>
  <si>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</si>
  <si>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</si>
  <si>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</si>
  <si>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</si>
  <si>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</si>
  <si>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</si>
  <si>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</si>
  <si>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</si>
  <si>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</si>
  <si>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</si>
  <si>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</si>
  <si>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</si>
  <si>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</si>
  <si>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</si>
  <si>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</si>
  <si>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</si>
  <si>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</si>
  <si>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</si>
  <si>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</si>
  <si>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</si>
  <si>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</si>
  <si>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</si>
  <si>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</si>
  <si>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</si>
  <si>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</si>
  <si>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</si>
  <si>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</si>
  <si>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</si>
  <si>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</si>
  <si>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</si>
  <si>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</si>
  <si>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</si>
  <si>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</si>
  <si>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</si>
  <si>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</si>
  <si>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</si>
  <si>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</si>
  <si>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</si>
  <si>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</si>
  <si>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</si>
  <si>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</si>
  <si>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</si>
  <si>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</si>
  <si>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</si>
  <si>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</si>
  <si>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</si>
  <si>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</si>
  <si>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</si>
  <si>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</si>
  <si>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</si>
  <si>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</si>
  <si>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</si>
  <si>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</si>
  <si>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</si>
  <si>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</si>
  <si>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</si>
  <si>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</si>
  <si>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</si>
  <si>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</si>
  <si>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</si>
  <si>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</si>
  <si>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</si>
  <si>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</si>
  <si>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</si>
  <si>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</si>
  <si>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</si>
  <si>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</si>
  <si>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</si>
  <si>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</si>
  <si>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</si>
  <si>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</si>
  <si>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</si>
  <si>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</si>
  <si>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</si>
  <si>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</si>
  <si>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</si>
  <si>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</si>
  <si>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</si>
  <si>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</si>
  <si>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</si>
  <si>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</si>
  <si>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</si>
  <si>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</si>
  <si>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</si>
  <si>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</si>
  <si>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</si>
  <si>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</si>
  <si>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</si>
  <si>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</si>
  <si>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</si>
  <si>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</si>
  <si>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</si>
  <si>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</si>
  <si>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</si>
  <si>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</si>
  <si>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</si>
  <si>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</si>
  <si>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</si>
  <si>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</si>
  <si>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</si>
  <si>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</si>
  <si>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</si>
  <si>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</si>
  <si>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</si>
  <si>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</si>
  <si>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</si>
  <si>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</si>
  <si>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</si>
  <si>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</si>
  <si>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</si>
  <si>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</si>
  <si>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</si>
  <si>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</si>
  <si>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</si>
  <si>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</si>
  <si>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</si>
  <si>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</si>
  <si>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</si>
  <si>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</si>
  <si>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</si>
  <si>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</si>
  <si>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</si>
  <si>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</si>
  <si>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</si>
  <si>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</si>
  <si>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</si>
  <si>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</si>
  <si>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</si>
  <si>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</si>
  <si>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</si>
  <si>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</si>
  <si>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</si>
  <si>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</si>
  <si>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</si>
  <si>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</si>
  <si>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</si>
  <si>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</si>
  <si>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</si>
  <si>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</si>
  <si>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</si>
  <si>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</si>
  <si>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</si>
  <si>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</si>
  <si>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</si>
  <si>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</si>
  <si>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</si>
  <si>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</si>
  <si>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</si>
  <si>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</si>
  <si>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</si>
  <si>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</si>
  <si>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</si>
  <si>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</si>
  <si>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</si>
  <si>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</si>
  <si>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</si>
  <si>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</si>
  <si>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</si>
  <si>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</si>
  <si>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</si>
  <si>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</si>
  <si>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</si>
  <si>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</si>
  <si>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</si>
  <si>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</si>
  <si>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</si>
  <si>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</si>
  <si>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</si>
  <si>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</si>
  <si>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</si>
  <si>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</si>
  <si>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</si>
  <si>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</si>
  <si>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</si>
  <si>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</si>
  <si>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</si>
  <si>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</si>
  <si>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</si>
  <si>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</si>
  <si>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</si>
  <si>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</si>
  <si>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</si>
  <si>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</si>
  <si>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</si>
  <si>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</si>
  <si>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</si>
  <si>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</si>
  <si>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</si>
  <si>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</si>
  <si>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</si>
  <si>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</si>
  <si>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</si>
  <si>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</si>
  <si>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</si>
  <si>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</si>
  <si>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</si>
  <si>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</si>
  <si>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</si>
  <si>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</si>
  <si>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</si>
  <si>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</si>
  <si>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</si>
  <si>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</si>
  <si>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</si>
  <si>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</si>
  <si>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</si>
  <si>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</si>
  <si>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</si>
  <si>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</si>
  <si>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</si>
  <si>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</si>
  <si>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</si>
  <si>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</si>
  <si>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</si>
  <si>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</si>
  <si>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</si>
  <si>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</si>
  <si>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</si>
  <si>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</si>
  <si>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</si>
  <si>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</si>
  <si>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</si>
  <si>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</si>
  <si>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</si>
  <si>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</si>
  <si>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</si>
  <si>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</si>
  <si>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</si>
  <si>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</si>
  <si>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</si>
  <si>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</si>
  <si>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</si>
  <si>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</si>
  <si>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</si>
  <si>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</si>
  <si>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</si>
  <si>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</si>
  <si>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</si>
  <si>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</si>
  <si>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</si>
  <si>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</si>
  <si>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</si>
  <si>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</si>
  <si>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</si>
  <si>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</si>
  <si>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</si>
  <si>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</si>
  <si>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</si>
  <si>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</si>
  <si>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</si>
  <si>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</si>
  <si>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</si>
  <si>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</si>
  <si>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</si>
  <si>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</si>
  <si>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</si>
  <si>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</si>
  <si>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</si>
  <si>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</si>
  <si>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</si>
  <si>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</si>
  <si>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</si>
  <si>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</si>
  <si>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</si>
  <si>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</si>
  <si>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</si>
  <si>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</si>
  <si>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</si>
  <si>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</si>
  <si>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</si>
  <si>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</si>
  <si>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</si>
  <si>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</si>
  <si>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</si>
  <si>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</si>
  <si>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</si>
  <si>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</si>
  <si>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</si>
  <si>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</si>
  <si>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</si>
  <si>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</si>
  <si>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</si>
  <si>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</si>
  <si>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</si>
  <si>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</si>
  <si>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</si>
  <si>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</si>
  <si>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</si>
  <si>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</si>
  <si>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</si>
  <si>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</si>
  <si>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</si>
  <si>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</si>
  <si>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</si>
  <si>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</si>
  <si>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</si>
  <si>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</si>
  <si>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</si>
  <si>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</si>
  <si>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</si>
  <si>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</si>
  <si>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</si>
  <si>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</si>
  <si>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</si>
  <si>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</si>
  <si>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</si>
  <si>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</si>
  <si>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</si>
  <si>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</si>
  <si>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</si>
  <si>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</si>
  <si>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</si>
  <si>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</si>
  <si>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</si>
  <si>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</si>
  <si>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</si>
  <si>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</si>
  <si>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</si>
  <si>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</si>
  <si>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</si>
  <si>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</si>
  <si>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</si>
  <si>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</si>
  <si>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</si>
  <si>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</si>
  <si>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</si>
  <si>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</si>
  <si>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</si>
  <si>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</si>
  <si>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</si>
  <si>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</si>
  <si>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</si>
  <si>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</si>
  <si>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</si>
  <si>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</si>
  <si>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</si>
  <si>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</si>
  <si>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</si>
  <si>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</si>
  <si>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</si>
  <si>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</si>
  <si>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</si>
  <si>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</si>
  <si>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</si>
  <si>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</si>
  <si>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</si>
  <si>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</si>
  <si>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</si>
  <si>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</si>
  <si>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</si>
  <si>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</si>
  <si>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</si>
  <si>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</si>
  <si>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</si>
  <si>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</si>
  <si>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</si>
  <si>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</si>
  <si>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</si>
  <si>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</si>
  <si>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</si>
  <si>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</si>
  <si>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</si>
  <si>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</si>
  <si>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</si>
  <si>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</si>
  <si>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</si>
  <si>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</si>
  <si>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</si>
  <si>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</si>
  <si>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</si>
  <si>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</si>
  <si>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</si>
  <si>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</si>
  <si>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</si>
  <si>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</si>
  <si>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</si>
  <si>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</si>
  <si>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</si>
  <si>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</si>
  <si>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</si>
  <si>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</si>
  <si>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</si>
  <si>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</si>
  <si>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</si>
  <si>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</si>
  <si>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</si>
  <si>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</si>
  <si>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</si>
  <si>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</si>
  <si>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</si>
  <si>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</si>
  <si>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</si>
  <si>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</si>
  <si>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</si>
  <si>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</si>
  <si>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</si>
  <si>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</si>
  <si>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</si>
  <si>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</si>
  <si>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</si>
  <si>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</si>
  <si>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</si>
  <si>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</si>
  <si>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</si>
  <si>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</si>
  <si>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</si>
  <si>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</si>
  <si>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</si>
  <si>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</si>
  <si>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</si>
  <si>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</si>
  <si>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</si>
  <si>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</si>
  <si>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</si>
  <si>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</si>
  <si>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</si>
  <si>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</si>
  <si>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</si>
  <si>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</si>
  <si>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</si>
  <si>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</si>
  <si>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</si>
  <si>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</si>
  <si>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</si>
  <si>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</si>
  <si>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</si>
  <si>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</si>
  <si>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</si>
  <si>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</si>
  <si>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</si>
  <si>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</si>
  <si>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</si>
  <si>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</si>
  <si>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</si>
  <si>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</si>
  <si>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</si>
  <si>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</si>
  <si>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</si>
  <si>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</si>
  <si>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</si>
  <si>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</si>
  <si>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</si>
  <si>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</si>
  <si>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</si>
  <si>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</si>
  <si>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</si>
  <si>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</si>
  <si>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</si>
  <si>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</si>
  <si>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</si>
  <si>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</si>
  <si>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</si>
  <si>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</si>
  <si>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</si>
  <si>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</si>
  <si>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</si>
  <si>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</si>
  <si>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</si>
  <si>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</si>
  <si>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</si>
  <si>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</si>
  <si>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</si>
  <si>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</si>
  <si>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</si>
  <si>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</si>
  <si>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</si>
  <si>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</si>
  <si>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</si>
  <si>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</si>
  <si>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</si>
  <si>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</si>
  <si>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</si>
  <si>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</si>
  <si>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</si>
  <si>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</si>
  <si>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</si>
  <si>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</si>
  <si>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</si>
  <si>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</si>
  <si>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</si>
  <si>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</si>
  <si>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</si>
  <si>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</si>
  <si>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</si>
  <si>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</si>
  <si>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</si>
  <si>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</si>
  <si>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</si>
  <si>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</si>
  <si>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</si>
  <si>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</si>
  <si>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</si>
  <si>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</si>
  <si>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</si>
  <si>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</si>
  <si>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</si>
  <si>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</si>
  <si>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</si>
  <si>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</si>
  <si>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</si>
  <si>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</si>
  <si>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</si>
  <si>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</si>
  <si>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</si>
  <si>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</si>
  <si>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</si>
  <si>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</si>
  <si>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</si>
  <si>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</si>
  <si>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</si>
  <si>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</si>
  <si>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</si>
  <si>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</si>
  <si>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</si>
  <si>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</si>
  <si>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</si>
  <si>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</si>
  <si>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</si>
  <si>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</si>
  <si>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</si>
  <si>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</si>
  <si>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</si>
  <si>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</si>
  <si>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</si>
  <si>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</si>
  <si>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 para hombre</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</si>
  <si>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</si>
  <si>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</si>
  <si>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</si>
  <si>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</si>
  <si>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</si>
  <si>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</si>
  <si>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</si>
  <si>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</si>
  <si>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</si>
  <si>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</si>
  <si>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</si>
  <si>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</si>
  <si>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</si>
  <si>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</si>
  <si>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</si>
  <si>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</si>
  <si>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</si>
  <si>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</si>
  <si>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</si>
  <si>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</si>
  <si>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</si>
  <si>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</si>
  <si>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</si>
  <si>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</si>
  <si>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</si>
  <si>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</si>
  <si>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</si>
  <si>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</si>
  <si>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</si>
  <si>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</si>
  <si>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</si>
  <si>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</si>
  <si>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</si>
  <si>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</si>
  <si>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</si>
  <si>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</si>
  <si>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</si>
  <si>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</si>
  <si>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</si>
  <si>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</si>
  <si>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</si>
  <si>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</si>
  <si>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</si>
  <si>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</si>
  <si>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</si>
  <si>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</si>
  <si>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</si>
  <si>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</si>
  <si>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</si>
  <si>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</si>
  <si>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</si>
  <si>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</si>
  <si>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</si>
  <si>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</si>
  <si>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</si>
  <si>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</si>
  <si>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</si>
  <si>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</si>
  <si>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</si>
  <si>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</si>
  <si>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</si>
  <si>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</si>
  <si>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</si>
  <si>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</si>
  <si>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</si>
  <si>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</si>
  <si>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</si>
  <si>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</si>
  <si>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</si>
  <si>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</si>
  <si>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</si>
  <si>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</si>
  <si>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</si>
  <si>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</si>
  <si>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</si>
  <si>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</si>
  <si>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</si>
  <si>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</si>
  <si>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</si>
  <si>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</si>
  <si>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</si>
  <si>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</si>
  <si>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</si>
  <si>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</si>
  <si>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</si>
  <si>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</si>
  <si>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</si>
  <si>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</si>
  <si>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</si>
  <si>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</si>
  <si>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</si>
  <si>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</si>
  <si>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</si>
  <si>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</si>
  <si>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</si>
  <si>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</si>
  <si>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</si>
  <si>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</si>
  <si>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</si>
  <si>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</si>
  <si>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</si>
  <si>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</si>
  <si>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</si>
  <si>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</si>
  <si>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</si>
  <si>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</si>
  <si>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</si>
  <si>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</si>
  <si>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</si>
  <si>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</si>
  <si>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</si>
  <si>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</si>
  <si>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</si>
  <si>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</si>
  <si>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</si>
  <si>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</si>
  <si>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</si>
  <si>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</si>
  <si>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</si>
  <si>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</si>
  <si>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</si>
  <si>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</si>
  <si>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</si>
  <si>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</si>
  <si>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</si>
  <si>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</si>
  <si>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</si>
  <si>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</si>
  <si>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</si>
  <si>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</si>
  <si>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</si>
  <si>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</si>
  <si>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</si>
  <si>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</si>
  <si>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</si>
  <si>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</si>
  <si>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</si>
  <si>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</si>
  <si>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</si>
  <si>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</si>
  <si>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</si>
  <si>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</si>
  <si>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</si>
  <si>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</si>
  <si>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</si>
  <si>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</si>
  <si>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</si>
  <si>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</si>
  <si>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</si>
  <si>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</si>
  <si>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</si>
  <si>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</si>
  <si>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</si>
  <si>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</si>
  <si>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</si>
  <si>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</si>
  <si>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</si>
  <si>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</si>
  <si>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</si>
  <si>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</si>
  <si>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</si>
  <si>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</si>
  <si>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</si>
  <si>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</si>
  <si>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</si>
  <si>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</si>
  <si>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</si>
  <si>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</si>
  <si>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</si>
  <si>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</si>
  <si>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</si>
  <si>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</si>
  <si>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</si>
  <si>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</si>
  <si>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</si>
  <si>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</si>
  <si>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</si>
  <si>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</si>
  <si>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</si>
  <si>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</si>
  <si>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</si>
  <si>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</si>
  <si>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</si>
  <si>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</si>
  <si>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</si>
  <si>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</si>
  <si>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</si>
  <si>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</si>
  <si>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</si>
  <si>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</si>
  <si>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</si>
  <si>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</si>
  <si>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</si>
  <si>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</si>
  <si>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</si>
  <si>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</si>
  <si>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</si>
  <si>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</si>
  <si>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</si>
  <si>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</si>
  <si>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</si>
  <si>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</si>
  <si>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</si>
  <si>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</si>
  <si>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</si>
  <si>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</si>
  <si>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</si>
  <si>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</si>
  <si>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</si>
  <si>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</si>
  <si>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</si>
  <si>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</si>
  <si>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</si>
  <si>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</si>
  <si>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</si>
  <si>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</si>
  <si>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</si>
  <si>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</si>
  <si>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</si>
  <si>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</si>
  <si>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</si>
  <si>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</si>
  <si>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</si>
  <si>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</si>
  <si>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</si>
  <si>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</si>
  <si>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</si>
  <si>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</si>
  <si>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</si>
  <si>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</si>
  <si>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</si>
  <si>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</si>
  <si>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</si>
  <si>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</si>
  <si>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</si>
  <si>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</si>
  <si>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</si>
  <si>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</si>
  <si>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</si>
  <si>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</si>
  <si>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</si>
  <si>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</si>
  <si>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</si>
  <si>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</si>
  <si>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</si>
  <si>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</si>
  <si>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</si>
  <si>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</si>
  <si>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</si>
  <si>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</si>
  <si>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</si>
  <si>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</si>
  <si>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</si>
  <si>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</si>
  <si>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</si>
  <si>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</si>
  <si>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</si>
  <si>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</si>
  <si>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</si>
  <si>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</si>
  <si>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</si>
  <si>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</si>
  <si>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</si>
  <si>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</si>
  <si>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</si>
  <si>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</si>
  <si>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</si>
  <si>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</si>
  <si>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</si>
  <si>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</si>
  <si>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</si>
  <si>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</si>
  <si>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</si>
  <si>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</si>
  <si>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</si>
  <si>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</si>
  <si>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</si>
  <si>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</si>
  <si>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</si>
  <si>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</si>
  <si>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</si>
  <si>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</si>
  <si>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</si>
  <si>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</si>
  <si>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</si>
  <si>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</si>
  <si>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</si>
  <si>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</si>
  <si>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</si>
  <si>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</si>
  <si>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</si>
  <si>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</si>
  <si>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</si>
  <si>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</si>
  <si>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</si>
  <si>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</si>
  <si>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</si>
  <si>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</si>
  <si>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</si>
  <si>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</si>
  <si>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</si>
  <si>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</si>
  <si>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</si>
  <si>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</si>
  <si>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</si>
  <si>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</si>
  <si>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</si>
  <si>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</si>
  <si>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</si>
  <si>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</si>
  <si>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</si>
  <si>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</si>
  <si>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</si>
  <si>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</si>
  <si>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</si>
  <si>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</si>
  <si>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</si>
  <si>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</si>
  <si>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</si>
  <si>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</si>
  <si>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</si>
  <si>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</si>
  <si>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</si>
  <si>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</si>
  <si>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</si>
  <si>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</si>
  <si>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</si>
  <si>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</si>
  <si>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</si>
  <si>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</si>
  <si>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</si>
  <si>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</si>
  <si>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</si>
  <si>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</si>
  <si>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</si>
  <si>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</si>
  <si>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</si>
  <si>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</si>
  <si>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</si>
  <si>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</si>
  <si>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</si>
  <si>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</si>
  <si>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</si>
  <si>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</si>
  <si>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</si>
  <si>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</si>
  <si>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</si>
  <si>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</si>
  <si>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</si>
  <si>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</si>
  <si>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</si>
  <si>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</si>
  <si>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</si>
  <si>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</si>
  <si>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</si>
  <si>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</si>
  <si>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</si>
  <si>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</si>
  <si>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</si>
  <si>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</si>
  <si>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</si>
  <si>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</si>
  <si>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</si>
  <si>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</si>
  <si>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</si>
  <si>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</si>
  <si>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</si>
  <si>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</si>
  <si>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</si>
  <si>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</si>
  <si>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</si>
  <si>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</si>
  <si>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</si>
  <si>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</si>
  <si>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</si>
  <si>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</si>
  <si>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</si>
  <si>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</si>
  <si>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</si>
  <si>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</si>
  <si>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</si>
  <si>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</si>
  <si>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</si>
  <si>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</si>
  <si>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</si>
  <si>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</si>
  <si>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</si>
  <si>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</si>
  <si>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</si>
  <si>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</si>
  <si>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</si>
  <si>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</si>
  <si>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</si>
  <si>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</si>
  <si>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</si>
  <si>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</si>
  <si>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</si>
  <si>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</si>
  <si>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</si>
  <si>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</si>
  <si>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</si>
  <si>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</si>
  <si>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</si>
  <si>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</si>
  <si>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</si>
  <si>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</si>
  <si>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</si>
  <si>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</si>
  <si>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</si>
  <si>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</si>
  <si>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</si>
  <si>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</si>
  <si>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</si>
  <si>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</si>
  <si>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</si>
  <si>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</si>
  <si>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</si>
  <si>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</si>
  <si>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</si>
  <si>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</si>
  <si>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</si>
  <si>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</si>
  <si>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</si>
  <si>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</si>
  <si>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</si>
  <si>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</si>
  <si>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</si>
  <si>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</si>
  <si>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</si>
  <si>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</si>
  <si>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</si>
  <si>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</si>
  <si>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</si>
  <si>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</si>
  <si>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</si>
  <si>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</si>
  <si>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</si>
  <si>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</si>
  <si>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</si>
  <si>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</si>
  <si>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</si>
  <si>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</si>
  <si>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</si>
  <si>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</si>
  <si>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</si>
  <si>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</si>
  <si>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</si>
  <si>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</si>
  <si>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</si>
  <si>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</si>
  <si>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</si>
  <si>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</si>
  <si>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</si>
  <si>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</si>
  <si>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</si>
  <si>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</si>
  <si>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</si>
  <si>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</si>
  <si>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</si>
  <si>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</si>
  <si>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</si>
  <si>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</si>
  <si>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</si>
  <si>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</si>
  <si>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</si>
  <si>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</si>
  <si>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</si>
  <si>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</si>
  <si>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</si>
  <si>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</si>
  <si>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</si>
  <si>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</si>
  <si>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</si>
  <si>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</si>
  <si>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</si>
  <si>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</si>
  <si>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</si>
  <si>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</si>
  <si>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</si>
  <si>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</si>
  <si>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</si>
  <si>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</si>
  <si>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</si>
  <si>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</si>
  <si>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</si>
  <si>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</si>
  <si>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</si>
  <si>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</si>
  <si>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</si>
  <si>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</si>
  <si>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</si>
  <si>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</si>
  <si>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</si>
  <si>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</si>
  <si>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</si>
  <si>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</si>
  <si>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</si>
  <si>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</si>
  <si>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</si>
  <si>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</si>
  <si>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</si>
  <si>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</si>
  <si>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</si>
  <si>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</si>
  <si>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</si>
  <si>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</si>
  <si>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</si>
  <si>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</si>
  <si>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</si>
  <si>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</si>
  <si>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</si>
  <si>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</si>
  <si>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</si>
  <si>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</si>
  <si>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</si>
  <si>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</si>
  <si>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</si>
  <si>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</si>
  <si>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</si>
  <si>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</si>
  <si>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</si>
  <si>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</si>
  <si>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</si>
  <si>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</si>
  <si>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</si>
  <si>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</si>
  <si>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</si>
  <si>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</si>
  <si>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</si>
  <si>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</si>
  <si>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</si>
  <si>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</si>
  <si>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</si>
  <si>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</si>
  <si>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</si>
  <si>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</si>
  <si>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</si>
  <si>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</si>
  <si>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</si>
  <si>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</si>
  <si>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</si>
  <si>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</si>
  <si>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</si>
  <si>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</si>
  <si>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</si>
  <si>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</si>
  <si>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</si>
  <si>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</si>
  <si>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</si>
  <si>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</si>
  <si>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</si>
  <si>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</si>
  <si>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</si>
  <si>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</si>
  <si>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</si>
  <si>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</si>
  <si>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</si>
  <si>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</si>
  <si>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</si>
  <si>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</si>
  <si>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</si>
  <si>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</si>
  <si>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</si>
  <si>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</si>
  <si>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</si>
  <si>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</si>
  <si>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</si>
  <si>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</si>
  <si>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</si>
  <si>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</si>
  <si>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</si>
  <si>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</si>
  <si>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</si>
  <si>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</si>
  <si>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</si>
  <si>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</si>
  <si>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</si>
  <si>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</si>
  <si>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</si>
  <si>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</si>
  <si>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</si>
  <si>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</si>
  <si>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</si>
  <si>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</si>
  <si>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</si>
  <si>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</si>
  <si>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</si>
  <si>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</si>
  <si>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</si>
  <si>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</si>
  <si>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</si>
  <si>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</si>
  <si>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</si>
  <si>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</si>
  <si>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</si>
  <si>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</si>
  <si>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</si>
  <si>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</si>
  <si>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</si>
  <si>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</si>
  <si>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</si>
  <si>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</si>
  <si>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</si>
  <si>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</si>
  <si>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</si>
  <si>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</si>
  <si>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</si>
  <si>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</si>
  <si>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</si>
  <si>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</si>
  <si>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</si>
  <si>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</si>
  <si>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</si>
  <si>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</si>
  <si>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</si>
  <si>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</si>
  <si>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</si>
  <si>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</si>
  <si>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</si>
  <si>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</si>
  <si>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</si>
  <si>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</si>
  <si>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</si>
  <si>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</si>
  <si>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</si>
  <si>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</si>
  <si>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</si>
  <si>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</si>
  <si>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</si>
  <si>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</si>
  <si>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</si>
  <si>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</si>
  <si>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</si>
  <si>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</si>
  <si>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</si>
  <si>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</si>
  <si>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</si>
  <si>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</si>
  <si>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</si>
  <si>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</si>
  <si>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</si>
  <si>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</si>
  <si>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</si>
  <si>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</si>
  <si>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</si>
  <si>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</si>
  <si>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</si>
  <si>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</si>
  <si>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</si>
  <si>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</si>
  <si>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</si>
  <si>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</si>
  <si>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</si>
  <si>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</si>
  <si>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</si>
  <si>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</si>
  <si>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</si>
  <si>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</si>
  <si>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</si>
  <si>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</si>
  <si>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</si>
  <si>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</si>
  <si>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</si>
  <si>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</si>
  <si>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</si>
  <si>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</si>
  <si>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</si>
  <si>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</si>
  <si>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</si>
  <si>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</si>
  <si>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</si>
  <si>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</si>
  <si>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</si>
  <si>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</si>
  <si>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</si>
  <si>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</si>
  <si>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</si>
  <si>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</si>
  <si>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</si>
  <si>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</si>
  <si>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</si>
  <si>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</si>
  <si>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</si>
  <si>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</si>
  <si>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</si>
  <si>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</si>
  <si>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</si>
  <si>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</si>
  <si>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</si>
  <si>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</si>
  <si>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</si>
  <si>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</si>
  <si>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</si>
  <si>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</si>
  <si>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</si>
  <si>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</si>
  <si>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</si>
  <si>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</si>
  <si>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</si>
  <si>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</si>
  <si>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</si>
  <si>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</si>
  <si>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</si>
  <si>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</si>
  <si>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</si>
  <si>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</si>
  <si>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</si>
  <si>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</si>
  <si>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</si>
  <si>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</si>
  <si>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</si>
  <si>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</si>
  <si>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</si>
  <si>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</si>
  <si>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</si>
  <si>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</si>
  <si>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</si>
  <si>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</si>
  <si>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</si>
  <si>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</si>
  <si>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</si>
  <si>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</si>
  <si>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</si>
  <si>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</si>
  <si>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</si>
  <si>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</si>
  <si>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</si>
  <si>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</si>
  <si>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</si>
  <si>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</si>
  <si>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</si>
  <si>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</si>
  <si>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</si>
  <si>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</si>
  <si>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</si>
  <si>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</si>
  <si>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</si>
  <si>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</si>
  <si>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</si>
  <si>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</si>
  <si>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</si>
  <si>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</si>
  <si>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</si>
  <si>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</si>
  <si>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</si>
  <si>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</si>
  <si>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</si>
  <si>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</si>
  <si>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</si>
  <si>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</si>
  <si>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</si>
  <si>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</si>
  <si>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</si>
  <si>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</si>
  <si>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</si>
  <si>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</si>
  <si>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</si>
  <si>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</si>
  <si>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</si>
  <si>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</si>
  <si>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</si>
  <si>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</si>
  <si>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</si>
  <si>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</si>
  <si>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</si>
  <si>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</si>
  <si>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</si>
  <si>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</si>
  <si>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</si>
  <si>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</si>
  <si>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</si>
  <si>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</si>
  <si>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</si>
  <si>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</si>
  <si>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</si>
  <si>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</si>
  <si>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</si>
  <si>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</si>
  <si>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</si>
  <si>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</si>
  <si>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</si>
  <si>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</si>
  <si>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</si>
  <si>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</si>
  <si>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</si>
  <si>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</si>
  <si>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</si>
  <si>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</si>
  <si>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</si>
  <si>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</si>
  <si>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</si>
  <si>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</si>
  <si>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</si>
  <si>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</si>
  <si>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</si>
  <si>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</si>
  <si>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</si>
  <si>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</si>
  <si>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</si>
  <si>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</si>
  <si>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</si>
  <si>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</si>
  <si>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</si>
  <si>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</si>
  <si>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</si>
  <si>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</si>
  <si>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</si>
  <si>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</si>
  <si>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</si>
  <si>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</si>
  <si>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</si>
  <si>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</si>
  <si>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</si>
  <si>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</si>
  <si>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</si>
  <si>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</si>
  <si>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</si>
  <si>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</si>
  <si>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</si>
  <si>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</si>
  <si>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</si>
  <si>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</si>
  <si>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</si>
  <si>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</si>
  <si>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</si>
  <si>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</si>
  <si>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</si>
  <si>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</si>
  <si>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</si>
  <si>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</si>
  <si>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</si>
  <si>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</si>
  <si>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</si>
  <si>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</si>
  <si>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</si>
  <si>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</si>
  <si>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</si>
  <si>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</si>
  <si>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</si>
  <si>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</si>
  <si>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</si>
  <si>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</si>
  <si>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</si>
  <si>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</si>
  <si>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</si>
  <si>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</si>
  <si>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</si>
  <si>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</si>
  <si>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</si>
  <si>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</si>
  <si>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</si>
  <si>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</si>
  <si>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</si>
  <si>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</si>
  <si>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</si>
  <si>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</si>
  <si>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</si>
  <si>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</si>
  <si>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</si>
  <si>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</si>
  <si>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</si>
  <si>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</si>
  <si>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</si>
  <si>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</si>
  <si>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</si>
  <si>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</si>
  <si>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</si>
  <si>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</si>
  <si>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</si>
  <si>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</si>
  <si>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</si>
  <si>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</si>
  <si>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</si>
  <si>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</si>
  <si>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</si>
  <si>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</si>
  <si>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</si>
  <si>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</si>
  <si>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</si>
  <si>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</si>
  <si>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</si>
  <si>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</si>
  <si>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</si>
  <si>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</si>
  <si>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</si>
  <si>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</si>
  <si>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</si>
  <si>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</si>
  <si>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</si>
  <si>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</si>
  <si>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</si>
  <si>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</si>
  <si>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</si>
  <si>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</si>
  <si>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</si>
  <si>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</si>
  <si>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</si>
  <si>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</si>
  <si>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</si>
  <si>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</si>
  <si>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</si>
  <si>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</si>
  <si>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</si>
  <si>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</si>
  <si>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</si>
  <si>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</si>
  <si>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</si>
  <si>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</si>
  <si>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</si>
  <si>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</si>
  <si>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</si>
  <si>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</si>
  <si>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</si>
  <si>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</si>
  <si>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</si>
  <si>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</si>
  <si>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</si>
  <si>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</si>
  <si>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</si>
  <si>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</si>
  <si>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</si>
  <si>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</si>
  <si>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</si>
  <si>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</si>
  <si>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</si>
  <si>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</si>
  <si>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</si>
  <si>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</si>
  <si>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</si>
  <si>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</si>
  <si>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</si>
  <si>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</si>
  <si>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</si>
  <si>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</si>
  <si>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</si>
  <si>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</si>
  <si>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</si>
  <si>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</si>
  <si>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</si>
  <si>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</si>
  <si>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</si>
  <si>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</si>
  <si>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</si>
  <si>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</si>
  <si>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</si>
  <si>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</si>
  <si>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</si>
  <si>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</si>
  <si>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</si>
  <si>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</si>
  <si>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</si>
  <si>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</si>
  <si>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</si>
  <si>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</si>
  <si>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</si>
  <si>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</si>
  <si>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</si>
  <si>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</si>
  <si>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</si>
  <si>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</si>
  <si>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</si>
  <si>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</si>
  <si>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</si>
  <si>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</si>
  <si>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</si>
  <si>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</si>
  <si>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</si>
  <si>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</si>
  <si>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</si>
  <si>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</si>
  <si>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</si>
  <si>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</si>
  <si>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</si>
  <si>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</si>
  <si>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</si>
  <si>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</si>
  <si>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</si>
  <si>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</si>
  <si>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</si>
  <si>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</si>
  <si>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</si>
  <si>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</si>
  <si>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</si>
  <si>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</si>
  <si>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</si>
  <si>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</si>
  <si>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</si>
  <si>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</si>
  <si>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</si>
  <si>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</si>
  <si>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</si>
  <si>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</si>
  <si>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</si>
  <si>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</si>
  <si>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</si>
  <si>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</si>
  <si>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</si>
  <si>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</si>
  <si>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</si>
  <si>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</si>
  <si>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</si>
  <si>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</si>
  <si>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</si>
  <si>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</si>
  <si>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</si>
  <si>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</si>
  <si>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</si>
  <si>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</si>
  <si>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</si>
  <si>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</si>
  <si>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</si>
  <si>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</si>
  <si>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</si>
  <si>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</si>
  <si>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</si>
  <si>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</si>
  <si>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</si>
  <si>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</si>
  <si>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</si>
  <si>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</si>
  <si>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</si>
  <si>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</si>
  <si>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</si>
  <si>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</si>
  <si>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</si>
  <si>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</si>
  <si>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</si>
  <si>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</si>
  <si>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</si>
  <si>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</si>
  <si>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</si>
  <si>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</si>
  <si>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</si>
  <si>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</si>
  <si>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</si>
  <si>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</si>
  <si>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</si>
  <si>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</si>
  <si>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</si>
  <si>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</si>
  <si>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</si>
  <si>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</si>
  <si>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</si>
  <si>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</si>
  <si>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</si>
  <si>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</si>
  <si>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</si>
  <si>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</si>
  <si>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</si>
  <si>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</si>
  <si>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</si>
  <si>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</si>
  <si>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</si>
  <si>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</si>
  <si>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</si>
  <si>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</si>
  <si>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</si>
  <si>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</si>
  <si>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</si>
  <si>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</si>
  <si>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</si>
  <si>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</si>
  <si>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</si>
  <si>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</si>
  <si>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</si>
  <si>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</si>
  <si>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</si>
  <si>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</si>
  <si>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</si>
  <si>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</si>
  <si>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</si>
  <si>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</si>
  <si>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</si>
  <si>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</si>
  <si>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</si>
  <si>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</si>
  <si>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</si>
  <si>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</si>
  <si>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</si>
  <si>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</si>
  <si>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</si>
  <si>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</si>
  <si>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</si>
  <si>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</si>
  <si>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</si>
  <si>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</si>
  <si>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</si>
  <si>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</si>
  <si>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</si>
  <si>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</si>
  <si>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</si>
  <si>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</si>
  <si>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</si>
  <si>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</si>
  <si>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</si>
  <si>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</si>
  <si>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</si>
  <si>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</si>
  <si>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</si>
  <si>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</si>
  <si>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</si>
  <si>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</si>
  <si>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</si>
  <si>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</si>
  <si>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</si>
  <si>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</si>
  <si>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</si>
  <si>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</si>
  <si>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</si>
  <si>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</si>
  <si>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</si>
  <si>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</si>
  <si>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</si>
  <si>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</si>
  <si>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</si>
  <si>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</si>
  <si>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</si>
  <si>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</si>
  <si>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</si>
  <si>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</si>
  <si>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</si>
  <si>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</si>
  <si>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</si>
  <si>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</si>
  <si>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</si>
  <si>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</si>
  <si>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</si>
  <si>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</si>
  <si>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</si>
  <si>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</si>
  <si>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</si>
  <si>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</si>
  <si>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</si>
  <si>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</si>
  <si>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</si>
  <si>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</si>
  <si>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</si>
  <si>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</si>
  <si>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</si>
  <si>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</si>
  <si>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</si>
  <si>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</si>
  <si>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</si>
  <si>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</si>
  <si>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</si>
  <si>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</si>
  <si>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</si>
  <si>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</si>
  <si>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</si>
  <si>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</si>
  <si>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</si>
  <si>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</si>
  <si>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</si>
  <si>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</si>
  <si>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</si>
  <si>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</si>
  <si>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</si>
  <si>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</si>
  <si>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</si>
  <si>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</si>
  <si>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</si>
  <si>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</si>
  <si>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</si>
  <si>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</si>
  <si>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</si>
  <si>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</si>
  <si>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</si>
  <si>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</si>
  <si>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</si>
  <si>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</si>
  <si>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</si>
  <si>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</si>
  <si>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</si>
  <si>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</si>
  <si>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</si>
  <si>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</si>
  <si>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</si>
  <si>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</si>
  <si>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</si>
  <si>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</si>
  <si>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</si>
  <si>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</si>
  <si>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</si>
  <si>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</si>
  <si>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</si>
  <si>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</si>
  <si>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</si>
  <si>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</si>
  <si>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</si>
  <si>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</si>
  <si>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</si>
  <si>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</si>
  <si>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</si>
  <si>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</si>
  <si>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</si>
  <si>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</si>
  <si>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</si>
  <si>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</si>
  <si>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</si>
  <si>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</si>
  <si>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</si>
  <si>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</si>
  <si>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</si>
  <si>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</si>
  <si>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</si>
  <si>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</si>
  <si>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</si>
  <si>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</si>
  <si>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</si>
  <si>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</si>
  <si>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</si>
  <si>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</si>
  <si>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</si>
  <si>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</si>
  <si>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</si>
  <si>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</si>
  <si>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</si>
  <si>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</si>
  <si>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</si>
  <si>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</si>
  <si>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</si>
  <si>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</si>
  <si>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</si>
  <si>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</si>
  <si>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</si>
  <si>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</si>
  <si>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</si>
  <si>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</si>
  <si>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</si>
  <si>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</si>
  <si>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</si>
  <si>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</si>
  <si>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</si>
  <si>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</si>
  <si>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</si>
  <si>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</si>
  <si>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</si>
  <si>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</si>
  <si>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</si>
  <si>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</si>
  <si>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</si>
  <si>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</si>
  <si>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</si>
  <si>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</si>
  <si>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</si>
  <si>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</si>
  <si>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</si>
  <si>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</si>
  <si>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</si>
  <si>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</si>
  <si>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</si>
  <si>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</si>
  <si>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</si>
  <si>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</si>
  <si>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</si>
  <si>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</si>
  <si>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</si>
  <si>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</si>
  <si>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</si>
  <si>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</si>
  <si>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</si>
  <si>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</si>
  <si>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</si>
  <si>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</si>
  <si>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</si>
  <si>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</si>
  <si>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</si>
  <si>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</si>
  <si>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</si>
  <si>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</si>
  <si>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</si>
  <si>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</si>
  <si>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</si>
  <si>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</si>
  <si>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</si>
  <si>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</si>
  <si>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</si>
  <si>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</si>
  <si>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</si>
  <si>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</si>
  <si>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</si>
  <si>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</si>
  <si>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</si>
  <si>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</si>
  <si>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</si>
  <si>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</si>
  <si>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</si>
  <si>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</si>
  <si>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</si>
  <si>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</si>
  <si>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</si>
  <si>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</si>
  <si>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</si>
  <si>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</si>
  <si>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</si>
  <si>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</si>
  <si>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</si>
  <si>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</si>
  <si>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</si>
  <si>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</si>
  <si>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</si>
  <si>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</si>
  <si>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</si>
  <si>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</si>
  <si>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</si>
  <si>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</si>
  <si>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</si>
  <si>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</si>
  <si>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</si>
  <si>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</si>
  <si>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</si>
  <si>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</si>
  <si>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</si>
  <si>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</si>
  <si>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</si>
  <si>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</si>
  <si>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</si>
  <si>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</si>
  <si>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</si>
  <si>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</si>
  <si>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</si>
  <si>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</si>
  <si>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</si>
  <si>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</si>
  <si>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</si>
  <si>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</si>
  <si>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</si>
  <si>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</si>
  <si>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</si>
  <si>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</si>
  <si>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</si>
  <si>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</si>
  <si>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</si>
  <si>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</si>
  <si>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</si>
  <si>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</si>
  <si>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</si>
  <si>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</si>
  <si>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</si>
  <si>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</si>
  <si>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</si>
  <si>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</si>
  <si>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</si>
  <si>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</si>
  <si>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</si>
  <si>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</si>
  <si>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</si>
  <si>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</si>
  <si>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</si>
  <si>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</si>
  <si>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</si>
  <si>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</si>
  <si>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</si>
  <si>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</si>
  <si>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</si>
  <si>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</si>
  <si>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</si>
  <si>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</si>
  <si>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</si>
  <si>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</si>
  <si>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</si>
  <si>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</si>
  <si>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</si>
  <si>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</si>
  <si>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</si>
  <si>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</si>
  <si>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</si>
  <si>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</si>
  <si>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</si>
  <si>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</si>
  <si>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</si>
  <si>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</si>
  <si>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</si>
  <si>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</si>
  <si>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</si>
  <si>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</si>
  <si>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</si>
  <si>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</si>
  <si>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</si>
  <si>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</si>
  <si>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</si>
  <si>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</si>
  <si>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</si>
  <si>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</si>
  <si>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</si>
  <si>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</si>
  <si>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</si>
  <si>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</si>
  <si>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</si>
  <si>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</si>
  <si>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</si>
  <si>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</si>
  <si>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</si>
  <si>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</si>
  <si>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</si>
  <si>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</si>
  <si>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</si>
  <si>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</si>
  <si>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</si>
  <si>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</si>
  <si>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</si>
  <si>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</si>
  <si>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</si>
  <si>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</si>
  <si>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</si>
  <si>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</si>
  <si>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</si>
  <si>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</si>
  <si>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</si>
  <si>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</si>
  <si>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</si>
  <si>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</si>
  <si>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</si>
  <si>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</si>
  <si>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</si>
  <si>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</si>
  <si>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</si>
  <si>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</si>
  <si>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</si>
  <si>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</si>
  <si>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</si>
  <si>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</si>
  <si>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</si>
  <si>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</si>
  <si>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</si>
  <si>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</si>
  <si>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</si>
  <si>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</si>
  <si>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</si>
  <si>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</si>
  <si>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</si>
  <si>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</si>
  <si>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</si>
  <si>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</si>
  <si>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</si>
  <si>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</si>
  <si>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</si>
  <si>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</si>
  <si>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</si>
  <si>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</si>
  <si>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</si>
  <si>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</si>
  <si>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</si>
  <si>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</si>
  <si>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</si>
  <si>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</si>
  <si>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</si>
  <si>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</si>
  <si>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</si>
  <si>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</si>
  <si>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</si>
  <si>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</si>
  <si>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</si>
  <si>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</si>
  <si>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</si>
  <si>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</si>
  <si>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</si>
  <si>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</si>
  <si>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</si>
  <si>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</si>
  <si>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</si>
  <si>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</si>
  <si>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</si>
  <si>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</si>
  <si>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</si>
  <si>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</si>
  <si>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</si>
  <si>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Castañuelas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</si>
  <si>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</si>
  <si>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</si>
  <si>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</si>
  <si>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</si>
  <si>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</si>
  <si>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</si>
  <si>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</si>
  <si>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</si>
  <si>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</si>
  <si>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</si>
  <si>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</si>
  <si>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</si>
  <si>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</si>
  <si>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</si>
  <si>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</si>
  <si>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</si>
  <si>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</si>
  <si>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</si>
  <si>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</si>
  <si>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</si>
  <si>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</si>
  <si>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</si>
  <si>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</si>
  <si>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</si>
  <si>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</si>
  <si>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</si>
  <si>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</si>
  <si>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</si>
  <si>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</si>
  <si>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</si>
  <si>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</si>
  <si>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</si>
  <si>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</si>
  <si>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</si>
  <si>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</si>
  <si>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</si>
  <si>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</si>
  <si>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</si>
  <si>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</si>
  <si>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</si>
  <si>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</si>
  <si>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</si>
  <si>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</si>
  <si>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</si>
  <si>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</si>
  <si>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</si>
  <si>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</si>
  <si>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</si>
  <si>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</si>
  <si>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</si>
  <si>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</si>
  <si>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</si>
  <si>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</si>
  <si>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</si>
  <si>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</si>
  <si>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</si>
  <si>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</si>
  <si>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</si>
  <si>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</si>
  <si>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</si>
  <si>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</si>
  <si>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</si>
  <si>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</si>
  <si>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</si>
  <si>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</si>
  <si>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</si>
  <si>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</si>
  <si>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</si>
  <si>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</si>
  <si>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</si>
  <si>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</si>
  <si>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</si>
  <si>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</si>
  <si>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</si>
  <si>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</si>
  <si>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</si>
  <si>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</si>
  <si>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</si>
  <si>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</si>
  <si>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</si>
  <si>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</si>
  <si>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</si>
  <si>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</si>
  <si>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</si>
  <si>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</si>
  <si>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</si>
  <si>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</si>
  <si>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</si>
  <si>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</si>
  <si>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</si>
  <si>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</si>
  <si>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</si>
  <si>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</si>
  <si>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</si>
  <si>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</si>
  <si>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</si>
  <si>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</si>
  <si>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</si>
  <si>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</si>
  <si>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</si>
  <si>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</si>
  <si>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</si>
  <si>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</si>
  <si>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</si>
  <si>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</si>
  <si>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</si>
  <si>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</si>
  <si>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</si>
  <si>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</si>
  <si>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</si>
  <si>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</si>
  <si>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</si>
  <si>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</si>
  <si>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</si>
  <si>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</si>
  <si>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</si>
  <si>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</si>
  <si>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</si>
  <si>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</si>
  <si>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</si>
  <si>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</si>
  <si>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</si>
  <si>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</si>
  <si>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</si>
  <si>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</si>
  <si>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</si>
  <si>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</si>
  <si>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</si>
  <si>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</si>
  <si>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</si>
  <si>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</si>
  <si>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</si>
  <si>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</si>
  <si>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</si>
  <si>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</si>
  <si>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</si>
  <si>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</si>
  <si>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</si>
  <si>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</si>
  <si>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</si>
  <si>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</si>
  <si>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</si>
  <si>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</si>
  <si>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</si>
  <si>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</si>
  <si>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</si>
  <si>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</si>
  <si>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</si>
  <si>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</si>
  <si>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</si>
  <si>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</si>
  <si>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</si>
  <si>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</si>
  <si>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</si>
  <si>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</si>
  <si>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</si>
  <si>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</si>
  <si>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</si>
  <si>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</si>
  <si>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</si>
  <si>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</si>
  <si>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</si>
  <si>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</si>
  <si>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</si>
  <si>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</si>
  <si>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</si>
  <si>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</si>
  <si>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</si>
  <si>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</si>
  <si>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</si>
  <si>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</si>
  <si>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</si>
  <si>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</si>
  <si>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</si>
  <si>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</si>
  <si>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</si>
  <si>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</si>
  <si>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</si>
  <si>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</si>
  <si>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</si>
  <si>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</si>
  <si>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</si>
  <si>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</si>
  <si>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</si>
  <si>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</si>
  <si>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</si>
  <si>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</si>
  <si>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</si>
  <si>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</si>
  <si>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</si>
  <si>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</si>
  <si>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</si>
  <si>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</si>
  <si>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</si>
  <si>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</si>
  <si>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</si>
  <si>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</si>
  <si>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</si>
  <si>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</si>
  <si>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</si>
  <si>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</si>
  <si>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</si>
  <si>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</si>
  <si>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</si>
  <si>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</si>
  <si>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</si>
  <si>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</si>
  <si>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</si>
  <si>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</si>
  <si>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</si>
  <si>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</si>
  <si>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</si>
  <si>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</si>
  <si>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</si>
  <si>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</si>
  <si>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</si>
  <si>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</si>
  <si>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</si>
  <si>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</si>
  <si>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</si>
  <si>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</si>
  <si>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</si>
  <si>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</si>
  <si>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</si>
  <si>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</si>
  <si>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</si>
  <si>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</si>
  <si>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</si>
  <si>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</si>
  <si>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</si>
  <si>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</si>
  <si>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</si>
  <si>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</si>
  <si>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</si>
  <si>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</si>
  <si>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</si>
  <si>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</si>
  <si>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</si>
  <si>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</si>
  <si>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</si>
  <si>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</si>
  <si>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</si>
  <si>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</si>
  <si>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</si>
  <si>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</si>
  <si>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</si>
  <si>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</si>
  <si>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</si>
  <si>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</si>
  <si>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</si>
  <si>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</si>
  <si>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</si>
  <si>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</si>
  <si>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</si>
  <si>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</si>
  <si>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</si>
  <si>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</si>
  <si>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</si>
  <si>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</si>
  <si>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</si>
  <si>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</si>
  <si>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</si>
  <si>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</si>
  <si>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</si>
  <si>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</si>
  <si>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</si>
  <si>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</si>
  <si>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</si>
  <si>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</si>
  <si>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</si>
  <si>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</si>
  <si>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</si>
  <si>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</si>
  <si>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</si>
  <si>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</si>
  <si>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</si>
  <si>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</si>
  <si>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</si>
  <si>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</si>
  <si>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</si>
  <si>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</si>
  <si>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</si>
  <si>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</si>
  <si>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</si>
  <si>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</si>
  <si>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</si>
  <si>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</si>
  <si>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</si>
  <si>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</si>
  <si>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</si>
  <si>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</si>
  <si>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</si>
  <si>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</si>
  <si>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</si>
  <si>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</si>
  <si>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</si>
  <si>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</si>
  <si>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</si>
  <si>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</si>
  <si>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</si>
  <si>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</si>
  <si>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</si>
  <si>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</si>
  <si>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</si>
  <si>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</si>
  <si>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</si>
  <si>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</si>
  <si>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</si>
  <si>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</si>
  <si>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</si>
  <si>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</si>
  <si>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</si>
  <si>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</si>
  <si>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</si>
  <si>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</si>
  <si>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</si>
  <si>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</si>
  <si>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</si>
  <si>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</si>
  <si>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</si>
  <si>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</si>
  <si>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</si>
  <si>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</si>
  <si>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</si>
  <si>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</si>
  <si>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</si>
  <si>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</si>
  <si>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</si>
  <si>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</si>
  <si>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</si>
  <si>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</si>
  <si>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</si>
  <si>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</si>
  <si>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</si>
  <si>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</si>
  <si>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</si>
  <si>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</si>
  <si>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</si>
  <si>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</si>
  <si>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</si>
  <si>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</si>
  <si>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</si>
  <si>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</si>
  <si>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</si>
  <si>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</si>
  <si>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</si>
  <si>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</si>
  <si>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</si>
  <si>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</si>
  <si>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</si>
  <si>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</si>
  <si>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</si>
  <si>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</si>
  <si>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</si>
  <si>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</si>
  <si>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</si>
  <si>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</si>
  <si>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</si>
  <si>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</si>
  <si>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</si>
  <si>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</si>
  <si>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</si>
  <si>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</si>
  <si>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</si>
  <si>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</si>
  <si>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</si>
  <si>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</si>
  <si>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</si>
  <si>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</si>
  <si>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</si>
  <si>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</si>
  <si>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</si>
  <si>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</si>
  <si>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</si>
  <si>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</si>
  <si>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</si>
  <si>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</si>
  <si>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</si>
  <si>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</si>
  <si>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</si>
  <si>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</si>
  <si>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</si>
  <si>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</si>
  <si>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</si>
  <si>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</si>
  <si>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</si>
  <si>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</si>
  <si>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</si>
  <si>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</si>
  <si>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</si>
  <si>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</si>
  <si>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</si>
  <si>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</si>
  <si>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</si>
  <si>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</si>
  <si>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</si>
  <si>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</si>
  <si>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</si>
  <si>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</si>
  <si>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</si>
  <si>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</si>
  <si>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</si>
  <si>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</si>
  <si>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</si>
  <si>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</si>
  <si>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</si>
  <si>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</si>
  <si>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</si>
  <si>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</si>
  <si>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</si>
  <si>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</si>
  <si>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</si>
  <si>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</si>
  <si>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</si>
  <si>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</si>
  <si>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</si>
  <si>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</si>
  <si>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</si>
  <si>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</si>
  <si>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</si>
  <si>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</si>
  <si>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</si>
  <si>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</si>
  <si>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</si>
  <si>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</si>
  <si>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</si>
  <si>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</si>
  <si>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</si>
  <si>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</si>
  <si>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</si>
  <si>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</si>
  <si>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</si>
  <si>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</si>
  <si>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</si>
  <si>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</si>
  <si>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</si>
  <si>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</si>
  <si>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</si>
  <si>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</si>
  <si>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</si>
  <si>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</si>
  <si>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</si>
  <si>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</si>
  <si>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</si>
  <si>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</si>
  <si>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</si>
  <si>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</si>
  <si>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</si>
  <si>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</si>
  <si>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</si>
  <si>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</si>
  <si>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</si>
  <si>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</si>
  <si>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</si>
  <si>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</si>
  <si>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</si>
  <si>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</si>
  <si>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</si>
  <si>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</si>
  <si>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</si>
  <si>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</si>
  <si>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</si>
  <si>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</si>
  <si>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</si>
  <si>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</si>
  <si>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</si>
  <si>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</si>
  <si>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</si>
  <si>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</si>
  <si>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</si>
  <si>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</si>
  <si>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</si>
  <si>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</si>
  <si>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</si>
  <si>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</si>
  <si>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</si>
  <si>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</si>
  <si>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</si>
  <si>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</si>
  <si>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</si>
  <si>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</si>
  <si>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</si>
  <si>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</si>
  <si>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</si>
  <si>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</si>
  <si>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</si>
  <si>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</si>
  <si>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</si>
  <si>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</si>
  <si>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</si>
  <si>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</si>
  <si>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</si>
  <si>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</si>
  <si>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</si>
  <si>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</si>
  <si>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</si>
  <si>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</si>
  <si>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</si>
  <si>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</si>
  <si>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</si>
  <si>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</si>
  <si>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</si>
  <si>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</si>
  <si>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</si>
  <si>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</si>
  <si>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</si>
  <si>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</si>
  <si>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</si>
  <si>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</si>
  <si>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</si>
  <si>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</si>
  <si>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</si>
  <si>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</si>
  <si>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</si>
  <si>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</si>
  <si>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</si>
  <si>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</si>
  <si>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</si>
  <si>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</si>
  <si>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</si>
  <si>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</si>
  <si>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</si>
  <si>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</si>
  <si>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</si>
  <si>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</si>
  <si>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</si>
  <si>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</si>
  <si>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</si>
  <si>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</si>
  <si>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</si>
  <si>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</si>
  <si>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</si>
  <si>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</si>
  <si>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</si>
  <si>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</si>
  <si>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</si>
  <si>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</si>
  <si>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</si>
  <si>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</si>
  <si>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</si>
  <si>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</si>
  <si>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</si>
  <si>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</si>
  <si>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</si>
  <si>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</si>
  <si>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</si>
  <si>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</si>
  <si>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</si>
  <si>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</si>
  <si>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</si>
  <si>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</si>
  <si>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</si>
  <si>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</si>
  <si>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</si>
  <si>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</si>
  <si>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</si>
  <si>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</si>
  <si>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</si>
  <si>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</si>
  <si>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</si>
  <si>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</si>
  <si>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</si>
  <si>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</si>
  <si>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</si>
  <si>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</si>
  <si>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</si>
  <si>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</si>
  <si>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</si>
  <si>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</si>
  <si>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</si>
  <si>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</si>
  <si>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</si>
  <si>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</si>
  <si>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</si>
  <si>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</si>
  <si>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</si>
  <si>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</si>
  <si>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</si>
  <si>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</si>
  <si>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</si>
  <si>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</si>
  <si>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</si>
  <si>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</si>
  <si>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</si>
  <si>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</si>
  <si>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</si>
  <si>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</si>
  <si>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</si>
  <si>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</si>
  <si>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</si>
  <si>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</si>
  <si>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</si>
  <si>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</si>
  <si>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</si>
  <si>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</si>
  <si>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</si>
  <si>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</si>
  <si>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</si>
  <si>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</si>
  <si>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</si>
  <si>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</si>
  <si>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</si>
  <si>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</si>
  <si>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</si>
  <si>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</si>
  <si>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</si>
  <si>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</si>
  <si>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</si>
  <si>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</si>
  <si>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</si>
  <si>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</si>
  <si>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</si>
  <si>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</si>
  <si>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</si>
  <si>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</si>
  <si>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</si>
  <si>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</si>
  <si>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</si>
  <si>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</si>
  <si>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</si>
  <si>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</si>
  <si>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</si>
  <si>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</si>
  <si>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</si>
  <si>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</si>
  <si>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</si>
  <si>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</si>
  <si>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</si>
  <si>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</si>
  <si>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</si>
  <si>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</si>
  <si>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</si>
  <si>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</si>
  <si>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</si>
  <si>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</si>
  <si>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</si>
  <si>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</si>
  <si>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</si>
  <si>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</si>
  <si>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</si>
  <si>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</si>
  <si>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</si>
  <si>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</si>
  <si>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</si>
  <si>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</si>
  <si>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</si>
  <si>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</si>
  <si>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</si>
  <si>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</si>
  <si>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</si>
  <si>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</si>
  <si>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</si>
  <si>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</si>
  <si>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</si>
  <si>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</si>
  <si>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</si>
  <si>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</si>
  <si>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</si>
  <si>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</si>
  <si>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</si>
  <si>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</si>
  <si>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</si>
  <si>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</si>
  <si>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</si>
  <si>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</si>
  <si>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</si>
  <si>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</si>
  <si>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</si>
  <si>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</si>
  <si>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</si>
  <si>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</si>
  <si>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</si>
  <si>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</si>
  <si>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</si>
  <si>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</si>
  <si>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</si>
  <si>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</si>
  <si>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</si>
  <si>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</si>
  <si>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</si>
  <si>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</si>
  <si>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</si>
  <si>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</si>
  <si>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</si>
  <si>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</si>
  <si>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</si>
  <si>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</si>
  <si>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</si>
  <si>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</si>
  <si>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</si>
  <si>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</si>
  <si>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</si>
  <si>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</si>
  <si>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</si>
  <si>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</si>
  <si>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</si>
  <si>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</si>
  <si>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</si>
  <si>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</si>
  <si>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</si>
  <si>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</si>
  <si>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</si>
  <si>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</si>
  <si>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</si>
  <si>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</si>
  <si>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</si>
  <si>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</si>
  <si>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</si>
  <si>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</si>
  <si>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</si>
  <si>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</si>
  <si>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</si>
  <si>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</si>
  <si>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</si>
  <si>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</si>
  <si>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</si>
  <si>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</si>
  <si>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</si>
  <si>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</si>
  <si>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</si>
  <si>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</si>
  <si>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</si>
  <si>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</si>
  <si>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</si>
  <si>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</si>
  <si>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</si>
  <si>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</si>
  <si>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</si>
  <si>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</si>
  <si>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</si>
  <si>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</si>
  <si>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</si>
  <si>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</si>
  <si>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</si>
  <si>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</si>
  <si>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</si>
  <si>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</si>
  <si>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</si>
  <si>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</si>
  <si>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</si>
  <si>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</si>
  <si>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</si>
  <si>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</si>
  <si>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</si>
  <si>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</si>
  <si>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</si>
  <si>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</si>
  <si>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</si>
  <si>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</si>
  <si>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</si>
  <si>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</si>
  <si>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Servicios de mantenimiento de ascensores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</si>
  <si>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</si>
  <si>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</si>
  <si>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</si>
  <si>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</si>
  <si>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</si>
  <si>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</si>
  <si>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</si>
  <si>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</si>
  <si>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</si>
  <si>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</si>
  <si>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</si>
  <si>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</si>
  <si>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</si>
  <si>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</si>
  <si>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</si>
  <si>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</si>
  <si>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</si>
  <si>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</si>
  <si>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</si>
  <si>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</si>
  <si>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</si>
  <si>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</si>
  <si>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</si>
  <si>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</si>
  <si>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</si>
  <si>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</si>
  <si>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</si>
  <si>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</si>
  <si>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</si>
  <si>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</si>
  <si>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</si>
  <si>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</si>
  <si>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</si>
  <si>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</si>
  <si>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</si>
  <si>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</si>
  <si>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</si>
  <si>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</si>
  <si>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</si>
  <si>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</si>
  <si>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</si>
  <si>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</si>
  <si>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</si>
  <si>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</si>
  <si>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</si>
  <si>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</si>
  <si>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</si>
  <si>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</si>
  <si>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</si>
  <si>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</si>
  <si>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</si>
  <si>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</si>
  <si>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</si>
  <si>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</si>
  <si>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</si>
  <si>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</si>
  <si>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</si>
  <si>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</si>
  <si>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</si>
  <si>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</si>
  <si>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</si>
  <si>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</si>
  <si>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</si>
  <si>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</si>
  <si>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</si>
  <si>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</si>
  <si>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</si>
  <si>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</si>
  <si>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</si>
  <si>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Construcción de apartamentos</t>
  </si>
  <si>
    <t>Construcción casera uni-familiar</t>
  </si>
  <si>
    <t>Construcción de centrales eléctricas</t>
  </si>
  <si>
    <t>Pavimentar o hacer la superficie de carreteras o caminos</t>
  </si>
  <si>
    <t>Construcción de puentes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</si>
  <si>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</si>
  <si>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</si>
  <si>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</si>
  <si>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</si>
  <si>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</si>
  <si>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</si>
  <si>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</si>
  <si>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</si>
  <si>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</si>
  <si>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</si>
  <si>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</si>
  <si>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</si>
  <si>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</si>
  <si>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</si>
  <si>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</si>
  <si>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</si>
  <si>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</si>
  <si>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</si>
  <si>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</si>
  <si>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</si>
  <si>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</si>
  <si>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</si>
  <si>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</si>
  <si>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</si>
  <si>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</si>
  <si>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</si>
  <si>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</si>
  <si>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</si>
  <si>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</si>
  <si>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</si>
  <si>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</si>
  <si>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</si>
  <si>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</si>
  <si>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</si>
  <si>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</si>
  <si>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</si>
  <si>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</si>
  <si>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</si>
  <si>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</si>
  <si>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</si>
  <si>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</si>
  <si>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</si>
  <si>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</si>
  <si>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</si>
  <si>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</si>
  <si>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</si>
  <si>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</si>
  <si>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</si>
  <si>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</si>
  <si>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</si>
  <si>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</si>
  <si>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</si>
  <si>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</si>
  <si>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</si>
  <si>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</si>
  <si>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</si>
  <si>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</si>
  <si>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</si>
  <si>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</si>
  <si>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</si>
  <si>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</si>
  <si>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</si>
  <si>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</si>
  <si>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</si>
  <si>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</si>
  <si>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</si>
  <si>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</si>
  <si>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</si>
  <si>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</si>
  <si>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</si>
  <si>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</si>
  <si>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</si>
  <si>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</si>
  <si>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</si>
  <si>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</si>
  <si>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</si>
  <si>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</si>
  <si>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</si>
  <si>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</si>
  <si>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</si>
  <si>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</si>
  <si>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</si>
  <si>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</si>
  <si>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</si>
  <si>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</si>
  <si>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</si>
  <si>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</si>
  <si>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</si>
  <si>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</si>
  <si>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</si>
  <si>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</si>
  <si>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</si>
  <si>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</si>
  <si>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</si>
  <si>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</si>
  <si>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</si>
  <si>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</si>
  <si>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</si>
  <si>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</si>
  <si>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</si>
  <si>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</si>
  <si>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</si>
  <si>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</si>
  <si>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</si>
  <si>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</si>
  <si>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</si>
  <si>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</si>
  <si>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</si>
  <si>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</si>
  <si>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</si>
  <si>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</si>
  <si>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</si>
  <si>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</si>
  <si>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</si>
  <si>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</si>
  <si>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</si>
  <si>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</si>
  <si>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</si>
  <si>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</si>
  <si>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</si>
  <si>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</si>
  <si>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</si>
  <si>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</si>
  <si>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</si>
  <si>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</si>
  <si>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</si>
  <si>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</si>
  <si>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</si>
  <si>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</si>
  <si>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</si>
  <si>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</si>
  <si>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</si>
  <si>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</si>
  <si>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</si>
  <si>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</si>
  <si>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</si>
  <si>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</si>
  <si>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</si>
  <si>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</si>
  <si>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</si>
  <si>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</si>
  <si>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</si>
  <si>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</si>
  <si>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</si>
  <si>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</si>
  <si>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</si>
  <si>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</si>
  <si>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</si>
  <si>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</si>
  <si>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</si>
  <si>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</si>
  <si>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</si>
  <si>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</si>
  <si>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</si>
  <si>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</si>
  <si>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</si>
  <si>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</si>
  <si>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</si>
  <si>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</si>
  <si>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</si>
  <si>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</si>
  <si>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</si>
  <si>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</si>
  <si>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</si>
  <si>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</si>
  <si>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</si>
  <si>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</si>
  <si>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</si>
  <si>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</si>
  <si>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</si>
  <si>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</si>
  <si>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</si>
  <si>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</si>
  <si>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</si>
  <si>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</si>
  <si>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</si>
  <si>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</si>
  <si>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</si>
  <si>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</si>
  <si>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</si>
  <si>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</si>
  <si>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</si>
  <si>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</si>
  <si>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</si>
  <si>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</si>
  <si>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</si>
  <si>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</si>
  <si>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</si>
  <si>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</si>
  <si>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</si>
  <si>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</si>
  <si>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</si>
  <si>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</si>
  <si>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</si>
  <si>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</si>
  <si>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</si>
  <si>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</si>
  <si>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</si>
  <si>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</si>
  <si>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</si>
  <si>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</si>
  <si>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</si>
  <si>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</si>
  <si>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</si>
  <si>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</si>
  <si>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</si>
  <si>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</si>
  <si>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</si>
  <si>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</si>
  <si>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</si>
  <si>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</si>
  <si>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</si>
  <si>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</si>
  <si>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</si>
  <si>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</si>
  <si>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</si>
  <si>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</si>
  <si>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</si>
  <si>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</si>
  <si>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</si>
  <si>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</si>
  <si>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</si>
  <si>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</si>
  <si>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</si>
  <si>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</si>
  <si>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</si>
  <si>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</si>
  <si>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</si>
  <si>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</si>
  <si>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</si>
  <si>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</si>
  <si>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</si>
  <si>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</si>
  <si>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</si>
  <si>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</si>
  <si>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</si>
  <si>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</si>
  <si>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</si>
  <si>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</si>
  <si>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</si>
  <si>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</si>
  <si>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</si>
  <si>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</si>
  <si>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</si>
  <si>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</si>
  <si>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</si>
  <si>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</si>
  <si>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</si>
  <si>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</si>
  <si>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</si>
  <si>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</si>
  <si>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</si>
  <si>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</si>
  <si>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</si>
  <si>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</si>
  <si>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</si>
  <si>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</si>
  <si>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</si>
  <si>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</si>
  <si>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</si>
  <si>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</si>
  <si>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</si>
  <si>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</si>
  <si>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</si>
  <si>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</si>
  <si>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</si>
  <si>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</si>
  <si>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</si>
  <si>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</si>
  <si>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</si>
  <si>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</si>
  <si>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</si>
  <si>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</si>
  <si>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</si>
  <si>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</si>
  <si>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</si>
  <si>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</si>
  <si>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</si>
  <si>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</si>
  <si>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</si>
  <si>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</si>
  <si>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</si>
  <si>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</si>
  <si>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</si>
  <si>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</si>
  <si>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</si>
  <si>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</si>
  <si>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</si>
  <si>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</si>
  <si>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</si>
  <si>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</si>
  <si>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</si>
  <si>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</si>
  <si>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</si>
  <si>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</si>
  <si>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</si>
  <si>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</si>
  <si>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</si>
  <si>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</si>
  <si>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</si>
  <si>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</si>
  <si>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</si>
  <si>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</si>
  <si>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</si>
  <si>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</si>
  <si>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</si>
  <si>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</si>
  <si>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</si>
  <si>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</si>
  <si>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</si>
  <si>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</si>
  <si>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</si>
  <si>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</si>
  <si>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</si>
  <si>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</si>
  <si>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</si>
  <si>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</si>
  <si>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</si>
  <si>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</si>
  <si>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</si>
  <si>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</si>
  <si>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</si>
  <si>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</si>
  <si>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</si>
  <si>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</si>
  <si>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</si>
  <si>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</si>
  <si>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</si>
  <si>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</si>
  <si>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</si>
  <si>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</si>
  <si>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</si>
  <si>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</si>
  <si>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</si>
  <si>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</si>
  <si>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</si>
  <si>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</si>
  <si>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</si>
  <si>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</si>
  <si>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</si>
  <si>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</si>
  <si>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</si>
  <si>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</si>
  <si>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</si>
  <si>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</si>
  <si>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</si>
  <si>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</si>
  <si>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</si>
  <si>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</si>
  <si>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</si>
  <si>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</si>
  <si>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</si>
  <si>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</si>
  <si>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</si>
  <si>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</si>
  <si>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</si>
  <si>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</si>
  <si>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</si>
  <si>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</si>
  <si>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</si>
  <si>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</si>
  <si>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</si>
  <si>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</si>
  <si>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</si>
  <si>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</si>
  <si>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</si>
  <si>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</si>
  <si>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</si>
  <si>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</si>
  <si>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</si>
  <si>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</si>
  <si>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</si>
  <si>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</si>
  <si>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</si>
  <si>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</si>
  <si>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</si>
  <si>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</si>
  <si>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</si>
  <si>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</si>
  <si>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</si>
  <si>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</si>
  <si>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</si>
  <si>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</si>
  <si>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</si>
  <si>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</si>
  <si>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</si>
  <si>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</si>
  <si>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</si>
  <si>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</si>
  <si>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</si>
  <si>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</si>
  <si>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</si>
  <si>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</si>
  <si>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</si>
  <si>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</si>
  <si>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</si>
  <si>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</si>
  <si>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</si>
  <si>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</si>
  <si>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</si>
  <si>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</si>
  <si>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</si>
  <si>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</si>
  <si>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</si>
  <si>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</si>
  <si>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</si>
  <si>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</si>
  <si>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</si>
  <si>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</si>
  <si>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</si>
  <si>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</si>
  <si>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</si>
  <si>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</si>
  <si>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</si>
  <si>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</si>
  <si>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</si>
  <si>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</si>
  <si>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</si>
  <si>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</si>
  <si>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</si>
  <si>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</si>
  <si>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</si>
  <si>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</si>
  <si>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</si>
  <si>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</si>
  <si>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</si>
  <si>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</si>
  <si>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</si>
  <si>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</si>
  <si>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</si>
  <si>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</si>
  <si>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</si>
  <si>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</si>
  <si>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</si>
  <si>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</si>
  <si>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</si>
  <si>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</si>
  <si>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</si>
  <si>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</si>
  <si>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</si>
  <si>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</si>
  <si>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</si>
  <si>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</si>
  <si>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</si>
  <si>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</si>
  <si>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</si>
  <si>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</si>
  <si>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</si>
  <si>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</si>
  <si>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</si>
  <si>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</si>
  <si>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</si>
  <si>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</si>
  <si>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</si>
  <si>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</si>
  <si>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</si>
  <si>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</si>
  <si>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</si>
  <si>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</si>
  <si>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</si>
  <si>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</si>
  <si>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</si>
  <si>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</si>
  <si>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</si>
  <si>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</si>
  <si>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</si>
  <si>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</si>
  <si>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</si>
  <si>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</si>
  <si>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</si>
  <si>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</si>
  <si>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</si>
  <si>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</si>
  <si>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</si>
  <si>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</si>
  <si>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</si>
  <si>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</si>
  <si>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</si>
  <si>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</si>
  <si>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</si>
  <si>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</si>
  <si>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</si>
  <si>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</si>
  <si>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</si>
  <si>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</si>
  <si>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</si>
  <si>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</si>
  <si>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</si>
  <si>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</si>
  <si>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</si>
  <si>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</si>
  <si>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</si>
  <si>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</si>
  <si>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</si>
  <si>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</si>
  <si>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</si>
  <si>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</si>
  <si>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</si>
  <si>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</si>
  <si>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</si>
  <si>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</si>
  <si>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</si>
  <si>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</si>
  <si>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</si>
  <si>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</si>
  <si>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</si>
  <si>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</si>
  <si>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</si>
  <si>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</si>
  <si>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</si>
  <si>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</si>
  <si>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</si>
  <si>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</si>
  <si>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</si>
  <si>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</si>
  <si>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</si>
  <si>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</si>
  <si>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</si>
  <si>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</si>
  <si>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</si>
  <si>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</si>
  <si>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</si>
  <si>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</si>
  <si>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</si>
  <si>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</si>
  <si>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</si>
  <si>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</si>
  <si>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</si>
  <si>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</si>
  <si>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</si>
  <si>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</si>
  <si>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</si>
  <si>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</si>
  <si>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</si>
  <si>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</si>
  <si>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</si>
  <si>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</si>
  <si>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</si>
  <si>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</si>
  <si>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</si>
  <si>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</si>
  <si>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</si>
  <si>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</si>
  <si>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</si>
  <si>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</si>
  <si>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</si>
  <si>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</si>
  <si>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</si>
  <si>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</si>
  <si>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</si>
  <si>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</si>
  <si>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</si>
  <si>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</si>
  <si>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</si>
  <si>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Patrocinio de eventos o de celebridades</t>
  </si>
  <si>
    <t>Liquidaciones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</si>
  <si>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</si>
  <si>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</si>
  <si>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</si>
  <si>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</si>
  <si>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</si>
  <si>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</si>
  <si>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</si>
  <si>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</si>
  <si>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</si>
  <si>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</si>
  <si>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</si>
  <si>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</si>
  <si>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</si>
  <si>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</si>
  <si>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</si>
  <si>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</si>
  <si>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</si>
  <si>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</si>
  <si>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</si>
  <si>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</si>
  <si>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</si>
  <si>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</si>
  <si>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</si>
  <si>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</si>
  <si>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</si>
  <si>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</si>
  <si>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</si>
  <si>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</si>
  <si>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</si>
  <si>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</si>
  <si>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</si>
  <si>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</si>
  <si>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</si>
  <si>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</si>
  <si>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</si>
  <si>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</si>
  <si>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</si>
  <si>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</si>
  <si>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administración de la propiedad</t>
  </si>
  <si>
    <t>Servicios de recepción o inventariado</t>
  </si>
  <si>
    <t>Gestión o administración de proyectos de mobiliario</t>
  </si>
  <si>
    <t>Ingeniería de pozos</t>
  </si>
  <si>
    <t>Dibujo técnico</t>
  </si>
  <si>
    <t>Ingeniería de puertos</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</si>
  <si>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</si>
  <si>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</si>
  <si>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</si>
  <si>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</si>
  <si>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</si>
  <si>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</si>
  <si>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</si>
  <si>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</si>
  <si>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</si>
  <si>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</si>
  <si>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</si>
  <si>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</si>
  <si>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</si>
  <si>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</si>
  <si>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</si>
  <si>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</si>
  <si>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</si>
  <si>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</si>
  <si>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</si>
  <si>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</si>
  <si>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</si>
  <si>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</si>
  <si>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</si>
  <si>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</si>
  <si>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</si>
  <si>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</si>
  <si>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</si>
  <si>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</si>
  <si>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</si>
  <si>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</si>
  <si>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</si>
  <si>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</si>
  <si>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</si>
  <si>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</si>
  <si>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</si>
  <si>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</si>
  <si>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</si>
  <si>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</si>
  <si>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</si>
  <si>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</si>
  <si>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</si>
  <si>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</si>
  <si>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</si>
  <si>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</si>
  <si>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</si>
  <si>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</si>
  <si>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</si>
  <si>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</si>
  <si>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</si>
  <si>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</si>
  <si>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</si>
  <si>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</si>
  <si>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</si>
  <si>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</si>
  <si>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</si>
  <si>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</si>
  <si>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</si>
  <si>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</si>
  <si>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</si>
  <si>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</si>
  <si>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</si>
  <si>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</si>
  <si>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</si>
  <si>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</si>
  <si>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</si>
  <si>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</si>
  <si>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</si>
  <si>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</si>
  <si>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</si>
  <si>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</si>
  <si>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</si>
  <si>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</si>
  <si>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</si>
  <si>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</si>
  <si>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</si>
  <si>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</si>
  <si>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</si>
  <si>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</si>
  <si>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</si>
  <si>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</si>
  <si>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</si>
  <si>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</si>
  <si>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</si>
  <si>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</si>
  <si>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</si>
  <si>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</si>
  <si>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</si>
  <si>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</si>
  <si>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</si>
  <si>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</si>
  <si>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</si>
  <si>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</si>
  <si>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</si>
  <si>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</si>
  <si>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</si>
  <si>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</si>
  <si>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</si>
  <si>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</si>
  <si>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</si>
  <si>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</si>
  <si>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</si>
  <si>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</si>
  <si>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</si>
  <si>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</si>
  <si>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</si>
  <si>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</si>
  <si>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</si>
  <si>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</si>
  <si>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</si>
  <si>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</si>
  <si>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</si>
  <si>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</si>
  <si>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</si>
  <si>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</si>
  <si>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</si>
  <si>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</si>
  <si>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</si>
  <si>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</si>
  <si>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</si>
  <si>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</si>
  <si>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</si>
  <si>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</si>
  <si>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</si>
  <si>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</si>
  <si>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</si>
  <si>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</si>
  <si>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</si>
  <si>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</si>
  <si>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</si>
  <si>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</si>
  <si>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</si>
  <si>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</si>
  <si>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</si>
  <si>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</si>
  <si>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</si>
  <si>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</si>
  <si>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</si>
  <si>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</si>
  <si>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</si>
  <si>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</si>
  <si>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</si>
  <si>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</si>
  <si>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</si>
  <si>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</si>
  <si>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</si>
  <si>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</si>
  <si>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</si>
  <si>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</si>
  <si>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</si>
  <si>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</si>
  <si>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</si>
  <si>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</si>
  <si>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</si>
  <si>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</si>
  <si>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</si>
  <si>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</si>
  <si>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</si>
  <si>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</si>
  <si>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</si>
  <si>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</si>
  <si>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</si>
  <si>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</si>
  <si>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</si>
  <si>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</si>
  <si>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</si>
  <si>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</si>
  <si>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</si>
  <si>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</si>
  <si>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</si>
  <si>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</si>
  <si>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</si>
  <si>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</si>
  <si>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</si>
  <si>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</si>
  <si>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</si>
  <si>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</si>
  <si>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</si>
  <si>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</si>
  <si>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</si>
  <si>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</si>
  <si>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</si>
  <si>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</si>
  <si>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</si>
  <si>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</si>
  <si>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</si>
  <si>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</si>
  <si>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</si>
  <si>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</si>
  <si>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</si>
  <si>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</si>
  <si>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</si>
  <si>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</si>
  <si>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</si>
  <si>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</si>
  <si>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</si>
  <si>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</si>
  <si>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</si>
  <si>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</si>
  <si>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</si>
  <si>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</si>
  <si>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</si>
  <si>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</si>
  <si>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</si>
  <si>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</si>
  <si>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</si>
  <si>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</si>
  <si>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</si>
  <si>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</si>
  <si>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</si>
  <si>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</si>
  <si>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</si>
  <si>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</si>
  <si>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</si>
  <si>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</si>
  <si>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</si>
  <si>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</si>
  <si>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</si>
  <si>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</si>
  <si>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</si>
  <si>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</si>
  <si>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</si>
  <si>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</si>
  <si>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</si>
  <si>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</si>
  <si>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</si>
  <si>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</si>
  <si>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</si>
  <si>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</si>
  <si>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</si>
  <si>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</si>
  <si>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</si>
  <si>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</si>
  <si>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</si>
  <si>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</si>
  <si>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</si>
  <si>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</si>
  <si>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</si>
  <si>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</si>
  <si>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</si>
  <si>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</si>
  <si>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</si>
  <si>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</si>
  <si>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</si>
  <si>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</si>
  <si>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</si>
  <si>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</si>
  <si>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</si>
  <si>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</si>
  <si>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</si>
  <si>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</si>
  <si>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</si>
  <si>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</si>
  <si>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</si>
  <si>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</si>
  <si>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</si>
  <si>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</si>
  <si>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</si>
  <si>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</si>
  <si>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</si>
  <si>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</si>
  <si>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</si>
  <si>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</si>
  <si>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</si>
  <si>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</si>
  <si>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</si>
  <si>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</si>
  <si>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</si>
  <si>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</si>
  <si>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</si>
  <si>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</si>
  <si>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</si>
  <si>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</si>
  <si>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</si>
  <si>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</si>
  <si>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</si>
  <si>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</si>
  <si>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</si>
  <si>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</si>
  <si>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</si>
  <si>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</si>
  <si>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</si>
  <si>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</si>
  <si>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</si>
  <si>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</si>
  <si>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</si>
  <si>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</si>
  <si>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</si>
  <si>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</si>
  <si>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</si>
  <si>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</si>
  <si>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</si>
  <si>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</si>
  <si>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</si>
  <si>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</si>
  <si>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</si>
  <si>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</si>
  <si>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</si>
  <si>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</si>
  <si>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</si>
  <si>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</si>
  <si>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</si>
  <si>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</si>
  <si>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</si>
  <si>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</si>
  <si>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</si>
  <si>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</si>
  <si>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</si>
  <si>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</si>
  <si>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</si>
  <si>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</si>
  <si>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</si>
  <si>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</si>
  <si>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</si>
  <si>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</si>
  <si>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</si>
  <si>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</si>
  <si>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</si>
  <si>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</si>
  <si>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</si>
  <si>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</si>
  <si>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</si>
  <si>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</si>
  <si>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</si>
  <si>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</si>
  <si>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</si>
  <si>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</si>
  <si>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</si>
  <si>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</si>
  <si>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</si>
  <si>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</si>
  <si>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</si>
  <si>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</si>
  <si>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</si>
  <si>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</si>
  <si>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</si>
  <si>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</si>
  <si>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</si>
  <si>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</si>
  <si>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</si>
  <si>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</si>
  <si>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</si>
  <si>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</si>
  <si>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</si>
  <si>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</si>
  <si>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</si>
  <si>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</si>
  <si>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</si>
  <si>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</si>
  <si>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</si>
  <si>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</si>
  <si>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</si>
  <si>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</si>
  <si>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</si>
  <si>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</si>
  <si>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</si>
  <si>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</si>
  <si>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</si>
  <si>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</si>
  <si>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</si>
  <si>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</si>
  <si>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</si>
  <si>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</si>
  <si>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</si>
  <si>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</si>
  <si>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</si>
  <si>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</si>
  <si>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</si>
  <si>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</si>
  <si>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</si>
  <si>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</si>
  <si>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</si>
  <si>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</si>
  <si>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</si>
  <si>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</si>
  <si>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</si>
  <si>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</si>
  <si>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</si>
  <si>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</si>
  <si>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</si>
  <si>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</si>
  <si>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</si>
  <si>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</si>
  <si>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</si>
  <si>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</si>
  <si>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</si>
  <si>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</si>
  <si>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</si>
  <si>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</si>
  <si>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</si>
  <si>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</si>
  <si>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</si>
  <si>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</si>
  <si>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</si>
  <si>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</si>
  <si>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</si>
  <si>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</si>
  <si>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</si>
  <si>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</si>
  <si>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</si>
  <si>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</si>
  <si>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</si>
  <si>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</si>
  <si>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</si>
  <si>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</si>
  <si>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</si>
  <si>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</si>
  <si>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</si>
  <si>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</si>
  <si>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</si>
  <si>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</si>
  <si>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</si>
  <si>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</si>
  <si>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</si>
  <si>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</si>
  <si>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</si>
  <si>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</si>
  <si>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</si>
  <si>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</si>
  <si>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</si>
  <si>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</si>
  <si>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</si>
  <si>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</si>
  <si>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</si>
  <si>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</si>
  <si>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</si>
  <si>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</si>
  <si>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</si>
  <si>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</si>
  <si>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</si>
  <si>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</si>
  <si>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</si>
  <si>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</si>
  <si>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</si>
  <si>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</si>
  <si>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</si>
  <si>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</si>
  <si>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</si>
  <si>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</si>
  <si>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</si>
  <si>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</si>
  <si>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</si>
  <si>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</si>
  <si>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</si>
  <si>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</si>
  <si>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</si>
  <si>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</si>
  <si>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</si>
  <si>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</si>
  <si>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</si>
  <si>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</si>
  <si>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</si>
  <si>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</si>
  <si>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</si>
  <si>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</si>
  <si>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</si>
  <si>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</si>
  <si>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</si>
  <si>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</si>
  <si>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</si>
  <si>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</si>
  <si>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</si>
  <si>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</si>
  <si>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</si>
  <si>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</si>
  <si>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</si>
  <si>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</si>
  <si>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</si>
  <si>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</si>
  <si>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</si>
  <si>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</si>
  <si>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</si>
  <si>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</si>
  <si>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</si>
  <si>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</si>
  <si>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</si>
  <si>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</si>
  <si>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</si>
  <si>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</si>
  <si>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</si>
  <si>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</si>
  <si>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</si>
  <si>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</si>
  <si>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</si>
  <si>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</si>
  <si>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</si>
  <si>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</si>
  <si>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</si>
  <si>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</si>
  <si>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</si>
  <si>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</si>
  <si>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</si>
  <si>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</si>
  <si>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</si>
  <si>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</si>
  <si>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</si>
  <si>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</si>
  <si>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</si>
  <si>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</si>
  <si>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</si>
  <si>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</si>
  <si>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</si>
  <si>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</si>
  <si>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</si>
  <si>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</si>
  <si>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</si>
  <si>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</si>
  <si>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</si>
  <si>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</si>
  <si>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</si>
  <si>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</si>
  <si>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</si>
  <si>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</si>
  <si>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</si>
  <si>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</si>
  <si>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</si>
  <si>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</si>
  <si>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</si>
  <si>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</si>
  <si>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</si>
  <si>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</si>
  <si>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</si>
  <si>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</si>
  <si>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</si>
  <si>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</si>
  <si>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</si>
  <si>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</si>
  <si>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</si>
  <si>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</si>
  <si>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</si>
  <si>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</si>
  <si>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</si>
  <si>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</si>
  <si>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</si>
  <si>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</si>
  <si>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</si>
  <si>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</si>
  <si>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</si>
  <si>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</si>
  <si>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</si>
  <si>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</si>
  <si>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</si>
  <si>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</si>
  <si>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</si>
  <si>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</si>
  <si>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</si>
  <si>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</si>
  <si>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</si>
  <si>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</si>
  <si>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</si>
  <si>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</si>
  <si>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</si>
  <si>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</si>
  <si>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</si>
  <si>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</si>
  <si>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</si>
  <si>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</si>
  <si>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</si>
  <si>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</si>
  <si>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</si>
  <si>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</si>
  <si>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</si>
  <si>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</si>
  <si>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</si>
  <si>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</si>
  <si>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</si>
  <si>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</si>
  <si>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</si>
  <si>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</si>
  <si>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</si>
  <si>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</si>
  <si>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</si>
  <si>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</si>
  <si>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</si>
  <si>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</si>
  <si>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</si>
  <si>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</si>
  <si>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</si>
  <si>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</si>
  <si>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</si>
  <si>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</si>
  <si>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</si>
  <si>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</si>
  <si>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</si>
  <si>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</si>
  <si>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</si>
  <si>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</si>
  <si>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</si>
  <si>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</si>
  <si>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</si>
  <si>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</si>
  <si>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</si>
  <si>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</si>
  <si>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</si>
  <si>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</si>
  <si>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</si>
  <si>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</si>
  <si>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</si>
  <si>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</si>
  <si>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</si>
  <si>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</si>
  <si>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</si>
  <si>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</si>
  <si>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</si>
  <si>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</si>
  <si>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</si>
  <si>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</si>
  <si>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</si>
  <si>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</si>
  <si>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</si>
  <si>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</si>
  <si>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</si>
  <si>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</si>
  <si>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</si>
  <si>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</si>
  <si>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</si>
  <si>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</si>
  <si>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</si>
  <si>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</si>
  <si>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</si>
  <si>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</si>
  <si>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</si>
  <si>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</si>
  <si>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</si>
  <si>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</si>
  <si>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</si>
  <si>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</si>
  <si>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</si>
  <si>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</si>
  <si>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</si>
  <si>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</si>
  <si>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</si>
  <si>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</si>
  <si>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</si>
  <si>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</si>
  <si>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</si>
  <si>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</si>
  <si>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</si>
  <si>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</si>
  <si>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</si>
  <si>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</si>
  <si>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</si>
  <si>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</si>
  <si>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</si>
  <si>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</si>
  <si>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</si>
  <si>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</si>
  <si>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</si>
  <si>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</si>
  <si>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</si>
  <si>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</si>
  <si>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</si>
  <si>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</si>
  <si>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</si>
  <si>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</si>
  <si>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</si>
  <si>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</si>
  <si>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</si>
  <si>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</si>
  <si>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</si>
  <si>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</si>
  <si>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</si>
  <si>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</si>
  <si>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</si>
  <si>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</si>
  <si>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</si>
  <si>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</si>
  <si>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</si>
  <si>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</si>
  <si>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</si>
  <si>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</si>
  <si>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</si>
  <si>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</si>
  <si>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</si>
  <si>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</si>
  <si>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</si>
  <si>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</si>
  <si>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</si>
  <si>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</si>
  <si>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</si>
  <si>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</si>
  <si>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</si>
  <si>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</si>
  <si>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</si>
  <si>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</si>
  <si>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</si>
  <si>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</si>
  <si>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</si>
  <si>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</si>
  <si>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</si>
  <si>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</si>
  <si>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</si>
  <si>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</si>
  <si>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</si>
  <si>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</si>
  <si>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</si>
  <si>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Administración de cafeterías al pie de obra</t>
  </si>
  <si>
    <t>Comidas para llevar preparadas profesionalmente</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</si>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</sst>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RD$-1C0A]* #,##0.00_-;\-[$RD$-1C0A]* #,##0.00_-;_-[$RD$-1C0A]* &quot;-&quot;??_-;_-@_-"/>
    <numFmt numFmtId="165" formatCode="dd\-mm\-yyyy"/>
    <numFmt numFmtId="166" formatCode="_-[$RD$-1C0A]* #,##0.00_ ;_-[$RD$-1C0A]* \-#,##0.00\ ;_-[$RD$-1C0A]* &quot; - &quot;??_ ;_-@_ "/>
  </numFmts>
  <fonts count="23" x14ac:knownFonts="1">
    <font>
      <sz val="11"/>
      <color theme="1"/>
      <name val="Calibri"/>
      <family val="2"/>
      <scheme val="minor"/>
    </font>
    <font>
      <sz val="11"/>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4"/>
      <color theme="1"/>
      <name val="Arial Narrow"/>
      <family val="2"/>
    </font>
    <font>
      <b/>
      <sz val="12"/>
      <color theme="1"/>
      <name val="Arial Narrow"/>
      <family val="2"/>
    </font>
    <font>
      <b/>
      <sz val="16"/>
      <color theme="1"/>
      <name val="Arial Narrow"/>
      <family val="2"/>
    </font>
    <font>
      <sz val="9"/>
      <color theme="1"/>
      <name val="Arial Narrow"/>
      <family val="2"/>
    </font>
    <font>
      <b/>
      <sz val="9"/>
      <color rgb="FF002060"/>
      <name val="Arial Narrow"/>
      <family val="2"/>
    </font>
    <font>
      <b/>
      <sz val="9"/>
      <color theme="1"/>
      <name val="Arial Narrow"/>
      <family val="2"/>
    </font>
    <font>
      <b/>
      <sz val="9"/>
      <color theme="1"/>
      <name val="Calibri"/>
      <family val="2"/>
      <scheme val="minor"/>
    </font>
    <font>
      <sz val="11"/>
      <color theme="1"/>
      <name val="Arial Narrow"/>
      <family val="2"/>
    </font>
    <font>
      <b/>
      <sz val="8"/>
      <color theme="1"/>
      <name val="Calibri"/>
      <family val="2"/>
      <scheme val="minor"/>
    </font>
    <font>
      <sz val="8"/>
      <color theme="1"/>
      <name val="Calibri"/>
      <family val="2"/>
      <scheme val="minor"/>
    </font>
    <font>
      <b/>
      <sz val="9"/>
      <name val="Tahoma"/>
      <family val="2"/>
    </font>
    <font>
      <sz val="11"/>
      <color theme="1"/>
      <name val="Calibri"/>
      <scheme val="minor"/>
    </font>
    <font>
      <b/>
      <sz val="9"/>
      <color indexed="81"/>
      <name val="Tahoma"/>
      <family val="2"/>
    </font>
    <font>
      <sz val="9"/>
      <color indexed="81"/>
      <name val="Tahoma"/>
      <family val="2"/>
    </font>
    <font>
      <b/>
      <sz val="11"/>
      <name val="Calibri"/>
      <family val="2"/>
      <scheme val="minor"/>
    </font>
    <font>
      <b/>
      <sz val="11"/>
      <color rgb="FF002060"/>
      <name val="Calibri"/>
      <family val="2"/>
      <scheme val="minor"/>
    </font>
    <font>
      <sz val="11"/>
      <color rgb="FF00206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4" tint="0.39997558519241921"/>
        <bgColor indexed="64"/>
      </patternFill>
    </fill>
    <fill>
      <patternFill patternType="solid">
        <fgColor rgb="FFD9D9D9"/>
        <bgColor indexed="64"/>
      </patternFill>
    </fill>
  </fills>
  <borders count="14">
    <border>
      <left/>
      <right/>
      <top/>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right/>
      <top/>
      <bottom style="thick">
        <color theme="0"/>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op>
      <bottom style="thick">
        <color theme="0"/>
      </bottom>
      <diagonal/>
    </border>
  </borders>
  <cellStyleXfs count="14">
    <xf numFmtId="0" fontId="0" fillId="0" borderId="0"/>
    <xf numFmtId="0" fontId="14" fillId="5" borderId="6">
      <alignment horizontal="center" vertical="center" wrapText="1"/>
    </xf>
    <xf numFmtId="0" fontId="14" fillId="0" borderId="6">
      <alignment horizontal="center" vertical="center"/>
    </xf>
    <xf numFmtId="0" fontId="14" fillId="5" borderId="6">
      <alignment horizontal="center" vertical="center" textRotation="90" wrapText="1"/>
    </xf>
    <xf numFmtId="0" fontId="14" fillId="6" borderId="6">
      <alignment horizontal="center" vertical="center"/>
    </xf>
    <xf numFmtId="165" fontId="14" fillId="0" borderId="6">
      <alignment horizontal="center" vertical="center"/>
    </xf>
    <xf numFmtId="0" fontId="14" fillId="6" borderId="6">
      <alignment horizontal="center" vertical="center"/>
    </xf>
    <xf numFmtId="0" fontId="14" fillId="0" borderId="6">
      <alignment horizontal="left" vertical="center"/>
    </xf>
    <xf numFmtId="0" fontId="14" fillId="0" borderId="6">
      <alignment horizontal="center" vertical="center"/>
    </xf>
    <xf numFmtId="0" fontId="14" fillId="7" borderId="6">
      <alignment horizontal="center" vertical="center"/>
    </xf>
    <xf numFmtId="0" fontId="15" fillId="8" borderId="8">
      <alignment horizontal="center" vertical="center"/>
    </xf>
    <xf numFmtId="0" fontId="15" fillId="8" borderId="8">
      <alignment horizontal="center" vertical="center" wrapText="1"/>
    </xf>
    <xf numFmtId="0" fontId="15" fillId="8" borderId="8">
      <alignment horizontal="left" vertical="center"/>
    </xf>
    <xf numFmtId="166" fontId="15" fillId="8" borderId="8">
      <alignment horizontal="center" vertical="center"/>
    </xf>
  </cellStyleXfs>
  <cellXfs count="66">
    <xf numFmtId="0" fontId="0" fillId="0" borderId="0" xfId="0"/>
    <xf numFmtId="0" fontId="6" fillId="0" borderId="0" xfId="0" applyFont="1" applyAlignment="1" applyProtection="1">
      <alignment horizontal="center" vertical="center"/>
      <protection hidden="1"/>
    </xf>
    <xf numFmtId="0" fontId="6" fillId="2" borderId="0" xfId="0" applyFont="1" applyFill="1" applyAlignment="1">
      <alignment horizontal="center" vertical="center"/>
    </xf>
    <xf numFmtId="0" fontId="6" fillId="2" borderId="1" xfId="0" applyFont="1" applyFill="1" applyBorder="1" applyAlignment="1">
      <alignment horizontal="center" vertical="center"/>
    </xf>
    <xf numFmtId="0" fontId="6" fillId="0" borderId="1" xfId="0" applyFont="1" applyBorder="1" applyAlignment="1" applyProtection="1">
      <alignment vertical="center"/>
      <protection hidden="1"/>
    </xf>
    <xf numFmtId="0" fontId="7" fillId="3" borderId="0" xfId="0" applyFont="1" applyFill="1" applyAlignment="1">
      <alignment horizontal="center" vertical="top" wrapText="1"/>
    </xf>
    <xf numFmtId="0" fontId="7" fillId="2" borderId="0" xfId="0" applyFont="1" applyFill="1" applyAlignment="1">
      <alignment vertical="top" wrapText="1"/>
    </xf>
    <xf numFmtId="0" fontId="7" fillId="3" borderId="0" xfId="0" applyFont="1" applyFill="1" applyAlignment="1">
      <alignment horizontal="center" vertical="center" wrapText="1"/>
    </xf>
    <xf numFmtId="0" fontId="7" fillId="2" borderId="0" xfId="0" applyFont="1" applyFill="1" applyAlignment="1">
      <alignment vertical="center" wrapText="1"/>
    </xf>
    <xf numFmtId="0" fontId="6" fillId="2" borderId="0" xfId="0" applyFont="1" applyFill="1" applyAlignment="1">
      <alignment vertical="center"/>
    </xf>
    <xf numFmtId="0" fontId="8" fillId="2" borderId="2" xfId="0" applyFont="1" applyFill="1" applyBorder="1" applyAlignment="1">
      <alignment vertical="center"/>
    </xf>
    <xf numFmtId="0" fontId="8" fillId="2" borderId="0" xfId="0" applyFont="1" applyFill="1" applyAlignment="1">
      <alignment vertical="center"/>
    </xf>
    <xf numFmtId="0" fontId="9" fillId="2" borderId="0" xfId="0" applyFont="1" applyFill="1" applyAlignment="1" applyProtection="1">
      <alignment vertical="center"/>
      <protection hidden="1"/>
    </xf>
    <xf numFmtId="0" fontId="10" fillId="2" borderId="0" xfId="0" applyFont="1" applyFill="1" applyAlignment="1">
      <alignment horizontal="left" vertical="center"/>
    </xf>
    <xf numFmtId="0" fontId="9" fillId="2" borderId="3" xfId="0" applyFont="1" applyFill="1" applyBorder="1" applyAlignment="1" applyProtection="1">
      <alignment vertical="center"/>
      <protection hidden="1"/>
    </xf>
    <xf numFmtId="38" fontId="11" fillId="3" borderId="4" xfId="0" applyNumberFormat="1" applyFont="1" applyFill="1" applyBorder="1" applyAlignment="1">
      <alignment vertical="center" wrapText="1"/>
    </xf>
    <xf numFmtId="49" fontId="12" fillId="0" borderId="4" xfId="0" applyNumberFormat="1" applyFont="1" applyBorder="1" applyAlignment="1">
      <alignment horizontal="center" vertical="center" wrapText="1"/>
    </xf>
    <xf numFmtId="49" fontId="12" fillId="0" borderId="5" xfId="0" applyNumberFormat="1" applyFont="1" applyBorder="1" applyAlignment="1">
      <alignment horizontal="center" vertical="center" wrapText="1"/>
    </xf>
    <xf numFmtId="0" fontId="9" fillId="0" borderId="0" xfId="0" applyFont="1" applyAlignment="1" applyProtection="1">
      <alignment vertical="center"/>
      <protection hidden="1"/>
    </xf>
    <xf numFmtId="0" fontId="10" fillId="2" borderId="0" xfId="0" applyFont="1" applyFill="1" applyAlignment="1">
      <alignment vertical="center"/>
    </xf>
    <xf numFmtId="0" fontId="11" fillId="4" borderId="4" xfId="0" applyFont="1" applyFill="1" applyBorder="1" applyAlignment="1">
      <alignment horizontal="left" vertical="center"/>
    </xf>
    <xf numFmtId="0" fontId="12" fillId="0" borderId="6" xfId="0" applyFont="1" applyBorder="1" applyAlignment="1">
      <alignment vertical="center"/>
    </xf>
    <xf numFmtId="0" fontId="11" fillId="4" borderId="7" xfId="0" applyFont="1" applyFill="1" applyBorder="1" applyAlignment="1">
      <alignment horizontal="left" vertical="center"/>
    </xf>
    <xf numFmtId="164" fontId="12" fillId="0" borderId="6" xfId="0" applyNumberFormat="1" applyFont="1" applyBorder="1" applyAlignment="1">
      <alignment vertical="center"/>
    </xf>
    <xf numFmtId="1" fontId="12" fillId="0" borderId="4" xfId="0" applyNumberFormat="1" applyFont="1" applyBorder="1" applyAlignment="1" applyProtection="1">
      <alignment horizontal="center" vertical="center" wrapText="1"/>
      <protection locked="0"/>
    </xf>
    <xf numFmtId="1" fontId="12" fillId="0" borderId="5" xfId="0" applyNumberFormat="1" applyFont="1" applyBorder="1" applyAlignment="1" applyProtection="1">
      <alignment horizontal="center" vertical="center" wrapText="1"/>
      <protection locked="0"/>
    </xf>
    <xf numFmtId="0" fontId="9" fillId="2" borderId="2" xfId="0" applyFont="1" applyFill="1" applyBorder="1" applyAlignment="1" applyProtection="1">
      <alignment vertical="center"/>
      <protection hidden="1"/>
    </xf>
    <xf numFmtId="14" fontId="12" fillId="0" borderId="4" xfId="0" applyNumberFormat="1" applyFont="1" applyBorder="1" applyAlignment="1" applyProtection="1">
      <alignment horizontal="center" vertical="center" wrapText="1"/>
      <protection locked="0"/>
    </xf>
    <xf numFmtId="14" fontId="12" fillId="0" borderId="5" xfId="0" applyNumberFormat="1" applyFont="1" applyBorder="1" applyAlignment="1" applyProtection="1">
      <alignment horizontal="center" vertical="center" wrapText="1"/>
      <protection locked="0"/>
    </xf>
    <xf numFmtId="0" fontId="13" fillId="0" borderId="0" xfId="0" applyFont="1" applyAlignment="1">
      <alignment vertical="center"/>
    </xf>
    <xf numFmtId="0" fontId="14" fillId="5" borderId="6" xfId="1">
      <alignment horizontal="center" vertical="center" wrapText="1"/>
    </xf>
    <xf numFmtId="0" fontId="14" fillId="0" borderId="6" xfId="2" applyProtection="1">
      <alignment horizontal="center" vertical="center"/>
      <protection locked="0"/>
    </xf>
    <xf numFmtId="0" fontId="14" fillId="5" borderId="6" xfId="3">
      <alignment horizontal="center" vertical="center" textRotation="90" wrapText="1"/>
    </xf>
    <xf numFmtId="0" fontId="14" fillId="6" borderId="6" xfId="4">
      <alignment horizontal="center" vertical="center"/>
    </xf>
    <xf numFmtId="165" fontId="14" fillId="0" borderId="6" xfId="5" applyProtection="1">
      <alignment horizontal="center" vertical="center"/>
      <protection locked="0"/>
    </xf>
    <xf numFmtId="0" fontId="14" fillId="6" borderId="6" xfId="6">
      <alignment horizontal="center" vertical="center"/>
    </xf>
    <xf numFmtId="0" fontId="14" fillId="0" borderId="6" xfId="7" applyProtection="1">
      <alignment horizontal="left" vertical="center"/>
      <protection locked="0"/>
    </xf>
    <xf numFmtId="0" fontId="14" fillId="0" borderId="6" xfId="2">
      <alignment horizontal="center" vertical="center"/>
    </xf>
    <xf numFmtId="0" fontId="14" fillId="0" borderId="6" xfId="8">
      <alignment horizontal="center" vertical="center"/>
    </xf>
    <xf numFmtId="0" fontId="14" fillId="7" borderId="6" xfId="9">
      <alignment horizontal="center" vertical="center"/>
    </xf>
    <xf numFmtId="0" fontId="15" fillId="8" borderId="8" xfId="10" applyProtection="1">
      <alignment horizontal="center" vertical="center"/>
      <protection locked="0"/>
    </xf>
    <xf numFmtId="0" fontId="15" fillId="8" borderId="8" xfId="11">
      <alignment horizontal="center" vertical="center" wrapText="1"/>
    </xf>
    <xf numFmtId="0" fontId="15" fillId="8" borderId="8" xfId="12" applyProtection="1">
      <alignment horizontal="left" vertical="center"/>
      <protection locked="0"/>
    </xf>
    <xf numFmtId="166" fontId="15" fillId="8" borderId="8" xfId="13" applyProtection="1">
      <alignment horizontal="center" vertical="center"/>
      <protection locked="0"/>
    </xf>
    <xf numFmtId="166" fontId="15" fillId="8" borderId="8" xfId="13">
      <alignment horizontal="center" vertical="center"/>
    </xf>
    <xf numFmtId="0" fontId="14" fillId="7" borderId="8" xfId="9" applyBorder="1">
      <alignment horizontal="center" vertical="center"/>
    </xf>
    <xf numFmtId="166" fontId="15" fillId="7" borderId="8" xfId="13" applyFill="1">
      <alignment horizontal="center" vertical="center"/>
    </xf>
    <xf numFmtId="0" fontId="15" fillId="0" borderId="0" xfId="0" applyFont="1"/>
    <xf numFmtId="14" fontId="14" fillId="0" borderId="6" xfId="5" applyNumberFormat="1" applyProtection="1">
      <alignment horizontal="center" vertical="center"/>
      <protection locked="0"/>
    </xf>
    <xf numFmtId="0" fontId="14" fillId="0" borderId="6" xfId="2">
      <alignment horizontal="center" vertical="center"/>
    </xf>
    <xf numFmtId="0" fontId="20" fillId="9" borderId="9" xfId="0" applyFont="1" applyFill="1" applyBorder="1" applyAlignment="1">
      <alignment horizontal="center" vertical="center" wrapText="1"/>
    </xf>
    <xf numFmtId="0" fontId="21" fillId="10" borderId="10" xfId="0" applyFont="1" applyFill="1" applyBorder="1" applyAlignment="1">
      <alignment vertical="center" wrapText="1"/>
    </xf>
    <xf numFmtId="164" fontId="22" fillId="3" borderId="11" xfId="0" applyNumberFormat="1" applyFont="1" applyFill="1" applyBorder="1" applyAlignment="1">
      <alignment horizontal="right"/>
    </xf>
    <xf numFmtId="0" fontId="21" fillId="10" borderId="12" xfId="0" applyFont="1" applyFill="1" applyBorder="1" applyAlignment="1">
      <alignment vertical="center" wrapText="1"/>
    </xf>
    <xf numFmtId="0" fontId="22" fillId="3" borderId="11" xfId="0" applyFont="1" applyFill="1" applyBorder="1" applyAlignment="1">
      <alignment horizontal="right"/>
    </xf>
    <xf numFmtId="38" fontId="22" fillId="3" borderId="11" xfId="0" applyNumberFormat="1" applyFont="1" applyFill="1" applyBorder="1" applyAlignment="1">
      <alignment horizontal="right"/>
    </xf>
    <xf numFmtId="1" fontId="22" fillId="3" borderId="11" xfId="0" applyNumberFormat="1" applyFont="1" applyFill="1" applyBorder="1" applyAlignment="1">
      <alignment horizontal="right"/>
    </xf>
    <xf numFmtId="14" fontId="22" fillId="3" borderId="11" xfId="0" applyNumberFormat="1" applyFont="1" applyFill="1" applyBorder="1" applyAlignment="1">
      <alignment horizontal="right"/>
    </xf>
    <xf numFmtId="0" fontId="20" fillId="9" borderId="13" xfId="0" applyFont="1" applyFill="1" applyBorder="1" applyAlignment="1">
      <alignment horizontal="center" vertical="center" wrapText="1"/>
    </xf>
    <xf numFmtId="0" fontId="21" fillId="3" borderId="11" xfId="0" applyFont="1" applyFill="1" applyBorder="1" applyAlignment="1">
      <alignment vertical="center" wrapText="1"/>
    </xf>
    <xf numFmtId="0" fontId="0" fillId="0" borderId="0" xfId="0" applyAlignment="1">
      <alignment wrapText="1"/>
    </xf>
    <xf numFmtId="0" fontId="22" fillId="0" borderId="0" xfId="0" applyFont="1"/>
    <xf numFmtId="0" fontId="15" fillId="0" borderId="8" xfId="0" applyFont="1" applyBorder="1" applyAlignment="1">
      <alignment horizontal="center" vertical="center"/>
    </xf>
    <xf numFmtId="0" fontId="15" fillId="0" borderId="8" xfId="0" applyFont="1" applyBorder="1" applyAlignment="1">
      <alignment vertical="center"/>
    </xf>
    <xf numFmtId="0" fontId="0" fillId="0" borderId="0" xfId="0" applyAlignment="1">
      <alignment horizontal="center" vertical="center"/>
    </xf>
    <xf numFmtId="0" fontId="0" fillId="0" borderId="0" xfId="0" applyAlignment="1">
      <alignment vertical="center"/>
    </xf>
  </cellXfs>
  <cellStyles count="14">
    <cellStyle name="ArticleBody" xfId="10" xr:uid="{E218DE00-B76C-44DB-B9E6-841B09D65E68}"/>
    <cellStyle name="ArticleBody_currency" xfId="13" xr:uid="{EAB55598-164C-4727-BF11-646DFC21AB4A}"/>
    <cellStyle name="ArticleBody_text" xfId="12" xr:uid="{9AA95B41-CFBD-4C55-994C-35C49CC09E58}"/>
    <cellStyle name="ArticleBody_UNSCPCDescription" xfId="11" xr:uid="{5DE39647-7C35-4E7C-81ED-B0F0DC7412E0}"/>
    <cellStyle name="ArticleHeader" xfId="9" xr:uid="{894EA4FF-F75A-41CE-A95C-541D64B6EF22}"/>
    <cellStyle name="Normal" xfId="0" builtinId="0"/>
    <cellStyle name="ProcessBody" xfId="2" xr:uid="{662C0237-B4B1-4765-AE54-47C07F96D6C5}"/>
    <cellStyle name="ProcessBody_address" xfId="7" xr:uid="{542BCECE-5FD2-4A74-9282-6F34B670FA27}"/>
    <cellStyle name="ProcessBody_datetime" xfId="5" xr:uid="{B85FA631-F6EE-48E4-8D65-5B8357D57C6A}"/>
    <cellStyle name="ProcessBody_number" xfId="8" xr:uid="{923776B2-51FD-492C-8EFE-EAFCB520A7C5}"/>
    <cellStyle name="ProcessHeader" xfId="1" xr:uid="{DE3CC82B-5FC2-4FD8-9595-FB1C580E3E05}"/>
    <cellStyle name="ProcessHeader_vertical" xfId="3" xr:uid="{8C0C3B68-3D99-4EBC-86D0-0583346D0387}"/>
    <cellStyle name="ProcessSubHeader" xfId="4" xr:uid="{F44F34D9-9E6E-4AD5-A762-1744EDF37AB0}"/>
    <cellStyle name="ProcessSubHeader_lugar" xfId="6" xr:uid="{0912ED9E-9F1D-4F31-A408-1F566C5D46B6}"/>
  </cellStyles>
  <dxfs count="1">
    <dxf>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2" name="Picture 1">
          <a:extLst>
            <a:ext uri="{FF2B5EF4-FFF2-40B4-BE49-F238E27FC236}">
              <a16:creationId xmlns:a16="http://schemas.microsoft.com/office/drawing/2014/main" id="{5C732727-69E3-4D16-85F3-DBDC642ABAD7}"/>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628650</xdr:colOff>
      <xdr:row>3</xdr:row>
      <xdr:rowOff>180975</xdr:rowOff>
    </xdr:to>
    <xdr:pic>
      <xdr:nvPicPr>
        <xdr:cNvPr id="2" name="Picture 1">
          <a:extLst>
            <a:ext uri="{FF2B5EF4-FFF2-40B4-BE49-F238E27FC236}">
              <a16:creationId xmlns:a16="http://schemas.microsoft.com/office/drawing/2014/main" id="{BD7D29DB-9438-4FF3-AD19-97CCFDE0B129}"/>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323850</xdr:rowOff>
    </xdr:to>
    <xdr:pic>
      <xdr:nvPicPr>
        <xdr:cNvPr id="3" name="Picture 2">
          <a:extLst>
            <a:ext uri="{FF2B5EF4-FFF2-40B4-BE49-F238E27FC236}">
              <a16:creationId xmlns:a16="http://schemas.microsoft.com/office/drawing/2014/main" id="{17A36A8F-5AFE-4FE8-A327-87569D7DA8F1}"/>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025" name="Button 1" hidden="1">
              <a:extLst>
                <a:ext uri="{63B3BB69-23CF-44E3-9099-C40C66FF867C}">
                  <a14:compatExt spid="_x0000_s1025"/>
                </a:ext>
                <a:ext uri="{FF2B5EF4-FFF2-40B4-BE49-F238E27FC236}">
                  <a16:creationId xmlns:a16="http://schemas.microsoft.com/office/drawing/2014/main" id="{7529E95F-2E94-4127-A170-D7793F7EB0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026" name="Button 2" hidden="1">
              <a:extLst>
                <a:ext uri="{63B3BB69-23CF-44E3-9099-C40C66FF867C}">
                  <a14:compatExt spid="_x0000_s1026"/>
                </a:ext>
                <a:ext uri="{FF2B5EF4-FFF2-40B4-BE49-F238E27FC236}">
                  <a16:creationId xmlns:a16="http://schemas.microsoft.com/office/drawing/2014/main" id="{318FC1CF-285A-4D20-9F94-7303D7F44C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027" name="Button 3" hidden="1">
              <a:extLst>
                <a:ext uri="{63B3BB69-23CF-44E3-9099-C40C66FF867C}">
                  <a14:compatExt spid="_x0000_s1027"/>
                </a:ext>
                <a:ext uri="{FF2B5EF4-FFF2-40B4-BE49-F238E27FC236}">
                  <a16:creationId xmlns:a16="http://schemas.microsoft.com/office/drawing/2014/main" id="{30EA47A4-5976-4635-98C0-E7C7DD349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028" name="Button 4" hidden="1">
              <a:extLst>
                <a:ext uri="{63B3BB69-23CF-44E3-9099-C40C66FF867C}">
                  <a14:compatExt spid="_x0000_s1028"/>
                </a:ext>
                <a:ext uri="{FF2B5EF4-FFF2-40B4-BE49-F238E27FC236}">
                  <a16:creationId xmlns:a16="http://schemas.microsoft.com/office/drawing/2014/main" id="{A19D4BB2-7456-4AF1-AC0C-14D40D51B94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029" name="Button 5" hidden="1">
              <a:extLst>
                <a:ext uri="{63B3BB69-23CF-44E3-9099-C40C66FF867C}">
                  <a14:compatExt spid="_x0000_s1029"/>
                </a:ext>
                <a:ext uri="{FF2B5EF4-FFF2-40B4-BE49-F238E27FC236}">
                  <a16:creationId xmlns:a16="http://schemas.microsoft.com/office/drawing/2014/main" id="{D88871CF-6EFE-48AC-86AC-4B6C9610F6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030" name="Button 6" hidden="1">
              <a:extLst>
                <a:ext uri="{63B3BB69-23CF-44E3-9099-C40C66FF867C}">
                  <a14:compatExt spid="_x0000_s1030"/>
                </a:ext>
                <a:ext uri="{FF2B5EF4-FFF2-40B4-BE49-F238E27FC236}">
                  <a16:creationId xmlns:a16="http://schemas.microsoft.com/office/drawing/2014/main" id="{0EA56322-D07F-465B-8FE4-C85C3244BB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031" name="Button 7" hidden="1">
              <a:extLst>
                <a:ext uri="{63B3BB69-23CF-44E3-9099-C40C66FF867C}">
                  <a14:compatExt spid="_x0000_s1031"/>
                </a:ext>
                <a:ext uri="{FF2B5EF4-FFF2-40B4-BE49-F238E27FC236}">
                  <a16:creationId xmlns:a16="http://schemas.microsoft.com/office/drawing/2014/main" id="{91111AB7-9279-4926-A959-CD1DD76A3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032" name="Button 8" hidden="1">
              <a:extLst>
                <a:ext uri="{63B3BB69-23CF-44E3-9099-C40C66FF867C}">
                  <a14:compatExt spid="_x0000_s1032"/>
                </a:ext>
                <a:ext uri="{FF2B5EF4-FFF2-40B4-BE49-F238E27FC236}">
                  <a16:creationId xmlns:a16="http://schemas.microsoft.com/office/drawing/2014/main" id="{B397CF7B-CBB6-42CD-AC87-F7A70355C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033" name="Button 9" hidden="1">
              <a:extLst>
                <a:ext uri="{63B3BB69-23CF-44E3-9099-C40C66FF867C}">
                  <a14:compatExt spid="_x0000_s1033"/>
                </a:ext>
                <a:ext uri="{FF2B5EF4-FFF2-40B4-BE49-F238E27FC236}">
                  <a16:creationId xmlns:a16="http://schemas.microsoft.com/office/drawing/2014/main" id="{F43E2D6B-C634-478E-AC7B-1E474793499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034" name="Button 10" hidden="1">
              <a:extLst>
                <a:ext uri="{63B3BB69-23CF-44E3-9099-C40C66FF867C}">
                  <a14:compatExt spid="_x0000_s1034"/>
                </a:ext>
                <a:ext uri="{FF2B5EF4-FFF2-40B4-BE49-F238E27FC236}">
                  <a16:creationId xmlns:a16="http://schemas.microsoft.com/office/drawing/2014/main" id="{CEF6EE23-1FB3-4795-86E1-5FD992ABEB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035" name="Button 11" hidden="1">
              <a:extLst>
                <a:ext uri="{63B3BB69-23CF-44E3-9099-C40C66FF867C}">
                  <a14:compatExt spid="_x0000_s1035"/>
                </a:ext>
                <a:ext uri="{FF2B5EF4-FFF2-40B4-BE49-F238E27FC236}">
                  <a16:creationId xmlns:a16="http://schemas.microsoft.com/office/drawing/2014/main" id="{4CFC17B7-13E4-4F23-A1FE-DA38EAD94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036" name="Button 12" hidden="1">
              <a:extLst>
                <a:ext uri="{63B3BB69-23CF-44E3-9099-C40C66FF867C}">
                  <a14:compatExt spid="_x0000_s1036"/>
                </a:ext>
                <a:ext uri="{FF2B5EF4-FFF2-40B4-BE49-F238E27FC236}">
                  <a16:creationId xmlns:a16="http://schemas.microsoft.com/office/drawing/2014/main" id="{26DEF8F0-AF9A-4BE9-8F10-ACDAEC5CA9F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037" name="Button 13" hidden="1">
              <a:extLst>
                <a:ext uri="{63B3BB69-23CF-44E3-9099-C40C66FF867C}">
                  <a14:compatExt spid="_x0000_s1037"/>
                </a:ext>
                <a:ext uri="{FF2B5EF4-FFF2-40B4-BE49-F238E27FC236}">
                  <a16:creationId xmlns:a16="http://schemas.microsoft.com/office/drawing/2014/main" id="{3631ADC1-00F0-469F-9F5C-8E827F78305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038" name="Button 14" hidden="1">
              <a:extLst>
                <a:ext uri="{63B3BB69-23CF-44E3-9099-C40C66FF867C}">
                  <a14:compatExt spid="_x0000_s1038"/>
                </a:ext>
                <a:ext uri="{FF2B5EF4-FFF2-40B4-BE49-F238E27FC236}">
                  <a16:creationId xmlns:a16="http://schemas.microsoft.com/office/drawing/2014/main" id="{30D8E8DE-F5F5-415B-A5FE-1D6A4A83E2A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039" name="Button 15" hidden="1">
              <a:extLst>
                <a:ext uri="{63B3BB69-23CF-44E3-9099-C40C66FF867C}">
                  <a14:compatExt spid="_x0000_s1039"/>
                </a:ext>
                <a:ext uri="{FF2B5EF4-FFF2-40B4-BE49-F238E27FC236}">
                  <a16:creationId xmlns:a16="http://schemas.microsoft.com/office/drawing/2014/main" id="{6A67555C-1714-4BD9-BF73-977A361AFF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040" name="Button 16" hidden="1">
              <a:extLst>
                <a:ext uri="{63B3BB69-23CF-44E3-9099-C40C66FF867C}">
                  <a14:compatExt spid="_x0000_s1040"/>
                </a:ext>
                <a:ext uri="{FF2B5EF4-FFF2-40B4-BE49-F238E27FC236}">
                  <a16:creationId xmlns:a16="http://schemas.microsoft.com/office/drawing/2014/main" id="{3D8BC24A-3D8A-48D9-9A10-3E96AB0E3D6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041" name="Button 17" hidden="1">
              <a:extLst>
                <a:ext uri="{63B3BB69-23CF-44E3-9099-C40C66FF867C}">
                  <a14:compatExt spid="_x0000_s1041"/>
                </a:ext>
                <a:ext uri="{FF2B5EF4-FFF2-40B4-BE49-F238E27FC236}">
                  <a16:creationId xmlns:a16="http://schemas.microsoft.com/office/drawing/2014/main" id="{006B5E9C-3466-4DE9-9994-DD80FE6CEDD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042" name="Button 18" hidden="1">
              <a:extLst>
                <a:ext uri="{63B3BB69-23CF-44E3-9099-C40C66FF867C}">
                  <a14:compatExt spid="_x0000_s1042"/>
                </a:ext>
                <a:ext uri="{FF2B5EF4-FFF2-40B4-BE49-F238E27FC236}">
                  <a16:creationId xmlns:a16="http://schemas.microsoft.com/office/drawing/2014/main" id="{3D86769A-F2EC-4BCB-8C68-D79B8A5859C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043" name="Button 19" hidden="1">
              <a:extLst>
                <a:ext uri="{63B3BB69-23CF-44E3-9099-C40C66FF867C}">
                  <a14:compatExt spid="_x0000_s1043"/>
                </a:ext>
                <a:ext uri="{FF2B5EF4-FFF2-40B4-BE49-F238E27FC236}">
                  <a16:creationId xmlns:a16="http://schemas.microsoft.com/office/drawing/2014/main" id="{543A43D8-7502-465F-A505-477B0F311AE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044" name="Button 20" hidden="1">
              <a:extLst>
                <a:ext uri="{63B3BB69-23CF-44E3-9099-C40C66FF867C}">
                  <a14:compatExt spid="_x0000_s1044"/>
                </a:ext>
                <a:ext uri="{FF2B5EF4-FFF2-40B4-BE49-F238E27FC236}">
                  <a16:creationId xmlns:a16="http://schemas.microsoft.com/office/drawing/2014/main" id="{7686B2A4-7D83-4360-B499-CC181C07B5F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045" name="Button 21" hidden="1">
              <a:extLst>
                <a:ext uri="{63B3BB69-23CF-44E3-9099-C40C66FF867C}">
                  <a14:compatExt spid="_x0000_s1045"/>
                </a:ext>
                <a:ext uri="{FF2B5EF4-FFF2-40B4-BE49-F238E27FC236}">
                  <a16:creationId xmlns:a16="http://schemas.microsoft.com/office/drawing/2014/main" id="{10F1E4D4-8B58-49E7-9C6F-03ED8A147E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046" name="Button 22" hidden="1">
              <a:extLst>
                <a:ext uri="{63B3BB69-23CF-44E3-9099-C40C66FF867C}">
                  <a14:compatExt spid="_x0000_s1046"/>
                </a:ext>
                <a:ext uri="{FF2B5EF4-FFF2-40B4-BE49-F238E27FC236}">
                  <a16:creationId xmlns:a16="http://schemas.microsoft.com/office/drawing/2014/main" id="{A106B57E-E660-4D6B-9D52-24D7EFC6901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047" name="Button 23" hidden="1">
              <a:extLst>
                <a:ext uri="{63B3BB69-23CF-44E3-9099-C40C66FF867C}">
                  <a14:compatExt spid="_x0000_s1047"/>
                </a:ext>
                <a:ext uri="{FF2B5EF4-FFF2-40B4-BE49-F238E27FC236}">
                  <a16:creationId xmlns:a16="http://schemas.microsoft.com/office/drawing/2014/main" id="{4E7FDFE3-54D5-4EA1-8AAA-D452C2C95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048" name="Button 24" hidden="1">
              <a:extLst>
                <a:ext uri="{63B3BB69-23CF-44E3-9099-C40C66FF867C}">
                  <a14:compatExt spid="_x0000_s1048"/>
                </a:ext>
                <a:ext uri="{FF2B5EF4-FFF2-40B4-BE49-F238E27FC236}">
                  <a16:creationId xmlns:a16="http://schemas.microsoft.com/office/drawing/2014/main" id="{8DFE6F07-220A-45E7-8A9E-AA2D60E43A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049" name="Button 25" hidden="1">
              <a:extLst>
                <a:ext uri="{63B3BB69-23CF-44E3-9099-C40C66FF867C}">
                  <a14:compatExt spid="_x0000_s1049"/>
                </a:ext>
                <a:ext uri="{FF2B5EF4-FFF2-40B4-BE49-F238E27FC236}">
                  <a16:creationId xmlns:a16="http://schemas.microsoft.com/office/drawing/2014/main" id="{0AEA1331-678A-4AF7-883D-D9E44F7CC4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050" name="Button 26" hidden="1">
              <a:extLst>
                <a:ext uri="{63B3BB69-23CF-44E3-9099-C40C66FF867C}">
                  <a14:compatExt spid="_x0000_s1050"/>
                </a:ext>
                <a:ext uri="{FF2B5EF4-FFF2-40B4-BE49-F238E27FC236}">
                  <a16:creationId xmlns:a16="http://schemas.microsoft.com/office/drawing/2014/main" id="{21E35F03-1AA3-4369-B444-667AE75F0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051" name="Button 27" hidden="1">
              <a:extLst>
                <a:ext uri="{63B3BB69-23CF-44E3-9099-C40C66FF867C}">
                  <a14:compatExt spid="_x0000_s1051"/>
                </a:ext>
                <a:ext uri="{FF2B5EF4-FFF2-40B4-BE49-F238E27FC236}">
                  <a16:creationId xmlns:a16="http://schemas.microsoft.com/office/drawing/2014/main" id="{E9A97C8B-CE48-4276-9F0F-682CB47DFC4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052" name="Button 28" hidden="1">
              <a:extLst>
                <a:ext uri="{63B3BB69-23CF-44E3-9099-C40C66FF867C}">
                  <a14:compatExt spid="_x0000_s1052"/>
                </a:ext>
                <a:ext uri="{FF2B5EF4-FFF2-40B4-BE49-F238E27FC236}">
                  <a16:creationId xmlns:a16="http://schemas.microsoft.com/office/drawing/2014/main" id="{A51F5CEC-AC01-45CF-AF56-9CFEA0014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053" name="Button 29" hidden="1">
              <a:extLst>
                <a:ext uri="{63B3BB69-23CF-44E3-9099-C40C66FF867C}">
                  <a14:compatExt spid="_x0000_s1053"/>
                </a:ext>
                <a:ext uri="{FF2B5EF4-FFF2-40B4-BE49-F238E27FC236}">
                  <a16:creationId xmlns:a16="http://schemas.microsoft.com/office/drawing/2014/main" id="{AE391938-0F83-43A5-AC71-998926E945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054" name="Button 30" hidden="1">
              <a:extLst>
                <a:ext uri="{63B3BB69-23CF-44E3-9099-C40C66FF867C}">
                  <a14:compatExt spid="_x0000_s1054"/>
                </a:ext>
                <a:ext uri="{FF2B5EF4-FFF2-40B4-BE49-F238E27FC236}">
                  <a16:creationId xmlns:a16="http://schemas.microsoft.com/office/drawing/2014/main" id="{8448D8AE-1446-4BD8-BA32-88F937EB88F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055" name="Button 31" hidden="1">
              <a:extLst>
                <a:ext uri="{63B3BB69-23CF-44E3-9099-C40C66FF867C}">
                  <a14:compatExt spid="_x0000_s1055"/>
                </a:ext>
                <a:ext uri="{FF2B5EF4-FFF2-40B4-BE49-F238E27FC236}">
                  <a16:creationId xmlns:a16="http://schemas.microsoft.com/office/drawing/2014/main" id="{C518C0A0-FEC3-4B48-9CC6-45DA52185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056" name="Button 32" hidden="1">
              <a:extLst>
                <a:ext uri="{63B3BB69-23CF-44E3-9099-C40C66FF867C}">
                  <a14:compatExt spid="_x0000_s1056"/>
                </a:ext>
                <a:ext uri="{FF2B5EF4-FFF2-40B4-BE49-F238E27FC236}">
                  <a16:creationId xmlns:a16="http://schemas.microsoft.com/office/drawing/2014/main" id="{D7094134-9D45-47DF-95D3-5AA54EC9F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057" name="Button 33" hidden="1">
              <a:extLst>
                <a:ext uri="{63B3BB69-23CF-44E3-9099-C40C66FF867C}">
                  <a14:compatExt spid="_x0000_s1057"/>
                </a:ext>
                <a:ext uri="{FF2B5EF4-FFF2-40B4-BE49-F238E27FC236}">
                  <a16:creationId xmlns:a16="http://schemas.microsoft.com/office/drawing/2014/main" id="{84FBD5AF-51D9-422D-A290-DF64C258AD7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058" name="Button 34" hidden="1">
              <a:extLst>
                <a:ext uri="{63B3BB69-23CF-44E3-9099-C40C66FF867C}">
                  <a14:compatExt spid="_x0000_s1058"/>
                </a:ext>
                <a:ext uri="{FF2B5EF4-FFF2-40B4-BE49-F238E27FC236}">
                  <a16:creationId xmlns:a16="http://schemas.microsoft.com/office/drawing/2014/main" id="{63B70494-40AB-4445-B68B-82F3170BF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059" name="Button 35" hidden="1">
              <a:extLst>
                <a:ext uri="{63B3BB69-23CF-44E3-9099-C40C66FF867C}">
                  <a14:compatExt spid="_x0000_s1059"/>
                </a:ext>
                <a:ext uri="{FF2B5EF4-FFF2-40B4-BE49-F238E27FC236}">
                  <a16:creationId xmlns:a16="http://schemas.microsoft.com/office/drawing/2014/main" id="{9FB39290-D1E0-4C15-8BD4-0C76E418D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060" name="Button 36" hidden="1">
              <a:extLst>
                <a:ext uri="{63B3BB69-23CF-44E3-9099-C40C66FF867C}">
                  <a14:compatExt spid="_x0000_s1060"/>
                </a:ext>
                <a:ext uri="{FF2B5EF4-FFF2-40B4-BE49-F238E27FC236}">
                  <a16:creationId xmlns:a16="http://schemas.microsoft.com/office/drawing/2014/main" id="{48412E50-F7A5-487F-860E-C490020349B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061" name="Button 37" hidden="1">
              <a:extLst>
                <a:ext uri="{63B3BB69-23CF-44E3-9099-C40C66FF867C}">
                  <a14:compatExt spid="_x0000_s1061"/>
                </a:ext>
                <a:ext uri="{FF2B5EF4-FFF2-40B4-BE49-F238E27FC236}">
                  <a16:creationId xmlns:a16="http://schemas.microsoft.com/office/drawing/2014/main" id="{69C1F8AF-EC76-4FEE-BA5F-82A4B4A242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062" name="Button 38" hidden="1">
              <a:extLst>
                <a:ext uri="{63B3BB69-23CF-44E3-9099-C40C66FF867C}">
                  <a14:compatExt spid="_x0000_s1062"/>
                </a:ext>
                <a:ext uri="{FF2B5EF4-FFF2-40B4-BE49-F238E27FC236}">
                  <a16:creationId xmlns:a16="http://schemas.microsoft.com/office/drawing/2014/main" id="{B18916D7-C466-4390-857D-1419003F3C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063" name="Button 39" hidden="1">
              <a:extLst>
                <a:ext uri="{63B3BB69-23CF-44E3-9099-C40C66FF867C}">
                  <a14:compatExt spid="_x0000_s1063"/>
                </a:ext>
                <a:ext uri="{FF2B5EF4-FFF2-40B4-BE49-F238E27FC236}">
                  <a16:creationId xmlns:a16="http://schemas.microsoft.com/office/drawing/2014/main" id="{01C968F2-FCB7-4A81-9025-8746BF85CEC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064" name="Button 40" hidden="1">
              <a:extLst>
                <a:ext uri="{63B3BB69-23CF-44E3-9099-C40C66FF867C}">
                  <a14:compatExt spid="_x0000_s1064"/>
                </a:ext>
                <a:ext uri="{FF2B5EF4-FFF2-40B4-BE49-F238E27FC236}">
                  <a16:creationId xmlns:a16="http://schemas.microsoft.com/office/drawing/2014/main" id="{E4127DB6-C595-41A9-8D80-92781EE2B9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065" name="Button 41" hidden="1">
              <a:extLst>
                <a:ext uri="{63B3BB69-23CF-44E3-9099-C40C66FF867C}">
                  <a14:compatExt spid="_x0000_s1065"/>
                </a:ext>
                <a:ext uri="{FF2B5EF4-FFF2-40B4-BE49-F238E27FC236}">
                  <a16:creationId xmlns:a16="http://schemas.microsoft.com/office/drawing/2014/main" id="{D3CF3E59-CB72-4741-98A9-49AEE9525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066" name="Button 42" hidden="1">
              <a:extLst>
                <a:ext uri="{63B3BB69-23CF-44E3-9099-C40C66FF867C}">
                  <a14:compatExt spid="_x0000_s1066"/>
                </a:ext>
                <a:ext uri="{FF2B5EF4-FFF2-40B4-BE49-F238E27FC236}">
                  <a16:creationId xmlns:a16="http://schemas.microsoft.com/office/drawing/2014/main" id="{C71F2616-265C-4DD7-ABF2-5C63E6FB2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067" name="Button 43" hidden="1">
              <a:extLst>
                <a:ext uri="{63B3BB69-23CF-44E3-9099-C40C66FF867C}">
                  <a14:compatExt spid="_x0000_s1067"/>
                </a:ext>
                <a:ext uri="{FF2B5EF4-FFF2-40B4-BE49-F238E27FC236}">
                  <a16:creationId xmlns:a16="http://schemas.microsoft.com/office/drawing/2014/main" id="{D4DDF6D3-FF0D-4420-A71E-D1713A96CC9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068" name="Button 44" hidden="1">
              <a:extLst>
                <a:ext uri="{63B3BB69-23CF-44E3-9099-C40C66FF867C}">
                  <a14:compatExt spid="_x0000_s1068"/>
                </a:ext>
                <a:ext uri="{FF2B5EF4-FFF2-40B4-BE49-F238E27FC236}">
                  <a16:creationId xmlns:a16="http://schemas.microsoft.com/office/drawing/2014/main" id="{D130DE8E-E167-40E6-B4B1-265D254D44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069" name="Button 45" hidden="1">
              <a:extLst>
                <a:ext uri="{63B3BB69-23CF-44E3-9099-C40C66FF867C}">
                  <a14:compatExt spid="_x0000_s1069"/>
                </a:ext>
                <a:ext uri="{FF2B5EF4-FFF2-40B4-BE49-F238E27FC236}">
                  <a16:creationId xmlns:a16="http://schemas.microsoft.com/office/drawing/2014/main" id="{2BFB01E1-7982-4FB5-9543-B7D6A742AFA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070" name="Button 46" hidden="1">
              <a:extLst>
                <a:ext uri="{63B3BB69-23CF-44E3-9099-C40C66FF867C}">
                  <a14:compatExt spid="_x0000_s1070"/>
                </a:ext>
                <a:ext uri="{FF2B5EF4-FFF2-40B4-BE49-F238E27FC236}">
                  <a16:creationId xmlns:a16="http://schemas.microsoft.com/office/drawing/2014/main" id="{06C4D9ED-3019-4EBD-955C-0AD828672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071" name="Button 47" hidden="1">
              <a:extLst>
                <a:ext uri="{63B3BB69-23CF-44E3-9099-C40C66FF867C}">
                  <a14:compatExt spid="_x0000_s1071"/>
                </a:ext>
                <a:ext uri="{FF2B5EF4-FFF2-40B4-BE49-F238E27FC236}">
                  <a16:creationId xmlns:a16="http://schemas.microsoft.com/office/drawing/2014/main" id="{1F6B35D0-8789-4B46-96B9-1C9505A3C6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072" name="Button 48" hidden="1">
              <a:extLst>
                <a:ext uri="{63B3BB69-23CF-44E3-9099-C40C66FF867C}">
                  <a14:compatExt spid="_x0000_s1072"/>
                </a:ext>
                <a:ext uri="{FF2B5EF4-FFF2-40B4-BE49-F238E27FC236}">
                  <a16:creationId xmlns:a16="http://schemas.microsoft.com/office/drawing/2014/main" id="{696E01E0-27A8-487F-BFFA-88059ADB8F2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073" name="Button 49" hidden="1">
              <a:extLst>
                <a:ext uri="{63B3BB69-23CF-44E3-9099-C40C66FF867C}">
                  <a14:compatExt spid="_x0000_s1073"/>
                </a:ext>
                <a:ext uri="{FF2B5EF4-FFF2-40B4-BE49-F238E27FC236}">
                  <a16:creationId xmlns:a16="http://schemas.microsoft.com/office/drawing/2014/main" id="{5A917025-447E-4417-A7B1-6D42647A6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074" name="Button 50" hidden="1">
              <a:extLst>
                <a:ext uri="{63B3BB69-23CF-44E3-9099-C40C66FF867C}">
                  <a14:compatExt spid="_x0000_s1074"/>
                </a:ext>
                <a:ext uri="{FF2B5EF4-FFF2-40B4-BE49-F238E27FC236}">
                  <a16:creationId xmlns:a16="http://schemas.microsoft.com/office/drawing/2014/main" id="{D04B916E-EC09-4824-8D47-DF2059663E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075" name="Button 51" hidden="1">
              <a:extLst>
                <a:ext uri="{63B3BB69-23CF-44E3-9099-C40C66FF867C}">
                  <a14:compatExt spid="_x0000_s1075"/>
                </a:ext>
                <a:ext uri="{FF2B5EF4-FFF2-40B4-BE49-F238E27FC236}">
                  <a16:creationId xmlns:a16="http://schemas.microsoft.com/office/drawing/2014/main" id="{B26CA452-371D-4AA3-BBE7-529F88C9A4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076" name="Button 52" hidden="1">
              <a:extLst>
                <a:ext uri="{63B3BB69-23CF-44E3-9099-C40C66FF867C}">
                  <a14:compatExt spid="_x0000_s1076"/>
                </a:ext>
                <a:ext uri="{FF2B5EF4-FFF2-40B4-BE49-F238E27FC236}">
                  <a16:creationId xmlns:a16="http://schemas.microsoft.com/office/drawing/2014/main" id="{23B5E3A6-32E1-4AF5-AC09-29BE57108A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077" name="Button 53" hidden="1">
              <a:extLst>
                <a:ext uri="{63B3BB69-23CF-44E3-9099-C40C66FF867C}">
                  <a14:compatExt spid="_x0000_s1077"/>
                </a:ext>
                <a:ext uri="{FF2B5EF4-FFF2-40B4-BE49-F238E27FC236}">
                  <a16:creationId xmlns:a16="http://schemas.microsoft.com/office/drawing/2014/main" id="{04A4A67B-7E7E-4DE1-8B4A-8D0E7037A2A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078" name="Button 54" hidden="1">
              <a:extLst>
                <a:ext uri="{63B3BB69-23CF-44E3-9099-C40C66FF867C}">
                  <a14:compatExt spid="_x0000_s1078"/>
                </a:ext>
                <a:ext uri="{FF2B5EF4-FFF2-40B4-BE49-F238E27FC236}">
                  <a16:creationId xmlns:a16="http://schemas.microsoft.com/office/drawing/2014/main" id="{C100F4A3-2D22-4C9B-AEA6-BB1E5F748A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079" name="Button 55" hidden="1">
              <a:extLst>
                <a:ext uri="{63B3BB69-23CF-44E3-9099-C40C66FF867C}">
                  <a14:compatExt spid="_x0000_s1079"/>
                </a:ext>
                <a:ext uri="{FF2B5EF4-FFF2-40B4-BE49-F238E27FC236}">
                  <a16:creationId xmlns:a16="http://schemas.microsoft.com/office/drawing/2014/main" id="{8B9E9ABE-2ABD-4715-961B-5AD6B8F841D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080" name="Button 56" hidden="1">
              <a:extLst>
                <a:ext uri="{63B3BB69-23CF-44E3-9099-C40C66FF867C}">
                  <a14:compatExt spid="_x0000_s1080"/>
                </a:ext>
                <a:ext uri="{FF2B5EF4-FFF2-40B4-BE49-F238E27FC236}">
                  <a16:creationId xmlns:a16="http://schemas.microsoft.com/office/drawing/2014/main" id="{1FDD6BA5-7517-4432-8C58-BF273817BC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081" name="Button 57" hidden="1">
              <a:extLst>
                <a:ext uri="{63B3BB69-23CF-44E3-9099-C40C66FF867C}">
                  <a14:compatExt spid="_x0000_s1081"/>
                </a:ext>
                <a:ext uri="{FF2B5EF4-FFF2-40B4-BE49-F238E27FC236}">
                  <a16:creationId xmlns:a16="http://schemas.microsoft.com/office/drawing/2014/main" id="{2D3C8EAF-4DE5-43EB-B5B0-A2F9139D6F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082" name="Button 58" hidden="1">
              <a:extLst>
                <a:ext uri="{63B3BB69-23CF-44E3-9099-C40C66FF867C}">
                  <a14:compatExt spid="_x0000_s1082"/>
                </a:ext>
                <a:ext uri="{FF2B5EF4-FFF2-40B4-BE49-F238E27FC236}">
                  <a16:creationId xmlns:a16="http://schemas.microsoft.com/office/drawing/2014/main" id="{8B86F3DA-0941-4B02-BE79-23E6399E5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083" name="Button 59" hidden="1">
              <a:extLst>
                <a:ext uri="{63B3BB69-23CF-44E3-9099-C40C66FF867C}">
                  <a14:compatExt spid="_x0000_s1083"/>
                </a:ext>
                <a:ext uri="{FF2B5EF4-FFF2-40B4-BE49-F238E27FC236}">
                  <a16:creationId xmlns:a16="http://schemas.microsoft.com/office/drawing/2014/main" id="{15CAFC40-9CD5-4BC8-A4B0-963AAD129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084" name="Button 60" hidden="1">
              <a:extLst>
                <a:ext uri="{63B3BB69-23CF-44E3-9099-C40C66FF867C}">
                  <a14:compatExt spid="_x0000_s1084"/>
                </a:ext>
                <a:ext uri="{FF2B5EF4-FFF2-40B4-BE49-F238E27FC236}">
                  <a16:creationId xmlns:a16="http://schemas.microsoft.com/office/drawing/2014/main" id="{470E45E4-11D5-443E-9FEC-FF181B81E0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085" name="Button 61" hidden="1">
              <a:extLst>
                <a:ext uri="{63B3BB69-23CF-44E3-9099-C40C66FF867C}">
                  <a14:compatExt spid="_x0000_s1085"/>
                </a:ext>
                <a:ext uri="{FF2B5EF4-FFF2-40B4-BE49-F238E27FC236}">
                  <a16:creationId xmlns:a16="http://schemas.microsoft.com/office/drawing/2014/main" id="{8C627CDA-DC34-4C01-9F12-DF32D3A9BD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086" name="Button 62" hidden="1">
              <a:extLst>
                <a:ext uri="{63B3BB69-23CF-44E3-9099-C40C66FF867C}">
                  <a14:compatExt spid="_x0000_s1086"/>
                </a:ext>
                <a:ext uri="{FF2B5EF4-FFF2-40B4-BE49-F238E27FC236}">
                  <a16:creationId xmlns:a16="http://schemas.microsoft.com/office/drawing/2014/main" id="{0A388945-0B12-4DC1-9026-029F4617946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087" name="Button 63" hidden="1">
              <a:extLst>
                <a:ext uri="{63B3BB69-23CF-44E3-9099-C40C66FF867C}">
                  <a14:compatExt spid="_x0000_s1087"/>
                </a:ext>
                <a:ext uri="{FF2B5EF4-FFF2-40B4-BE49-F238E27FC236}">
                  <a16:creationId xmlns:a16="http://schemas.microsoft.com/office/drawing/2014/main" id="{2F76A401-D48C-4EC2-8A05-12E609B59D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088" name="Button 64" hidden="1">
              <a:extLst>
                <a:ext uri="{63B3BB69-23CF-44E3-9099-C40C66FF867C}">
                  <a14:compatExt spid="_x0000_s1088"/>
                </a:ext>
                <a:ext uri="{FF2B5EF4-FFF2-40B4-BE49-F238E27FC236}">
                  <a16:creationId xmlns:a16="http://schemas.microsoft.com/office/drawing/2014/main" id="{B825C5CF-BE2A-48F2-B3D1-B9594DE7C5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089" name="Button 65" hidden="1">
              <a:extLst>
                <a:ext uri="{63B3BB69-23CF-44E3-9099-C40C66FF867C}">
                  <a14:compatExt spid="_x0000_s1089"/>
                </a:ext>
                <a:ext uri="{FF2B5EF4-FFF2-40B4-BE49-F238E27FC236}">
                  <a16:creationId xmlns:a16="http://schemas.microsoft.com/office/drawing/2014/main" id="{F31E3477-D4DD-413B-9720-51DAF36C1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090" name="Button 66" hidden="1">
              <a:extLst>
                <a:ext uri="{63B3BB69-23CF-44E3-9099-C40C66FF867C}">
                  <a14:compatExt spid="_x0000_s1090"/>
                </a:ext>
                <a:ext uri="{FF2B5EF4-FFF2-40B4-BE49-F238E27FC236}">
                  <a16:creationId xmlns:a16="http://schemas.microsoft.com/office/drawing/2014/main" id="{68C96A11-B6EB-49BB-9A42-1F6471A60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091" name="Button 67" hidden="1">
              <a:extLst>
                <a:ext uri="{63B3BB69-23CF-44E3-9099-C40C66FF867C}">
                  <a14:compatExt spid="_x0000_s1091"/>
                </a:ext>
                <a:ext uri="{FF2B5EF4-FFF2-40B4-BE49-F238E27FC236}">
                  <a16:creationId xmlns:a16="http://schemas.microsoft.com/office/drawing/2014/main" id="{B1D5FB18-8177-4021-A01A-5ABEAC83AD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092" name="Button 68" hidden="1">
              <a:extLst>
                <a:ext uri="{63B3BB69-23CF-44E3-9099-C40C66FF867C}">
                  <a14:compatExt spid="_x0000_s1092"/>
                </a:ext>
                <a:ext uri="{FF2B5EF4-FFF2-40B4-BE49-F238E27FC236}">
                  <a16:creationId xmlns:a16="http://schemas.microsoft.com/office/drawing/2014/main" id="{3B85F266-094E-4467-9B7C-A5D2E8611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093" name="Button 69" hidden="1">
              <a:extLst>
                <a:ext uri="{63B3BB69-23CF-44E3-9099-C40C66FF867C}">
                  <a14:compatExt spid="_x0000_s1093"/>
                </a:ext>
                <a:ext uri="{FF2B5EF4-FFF2-40B4-BE49-F238E27FC236}">
                  <a16:creationId xmlns:a16="http://schemas.microsoft.com/office/drawing/2014/main" id="{79917F34-DE73-4EC5-B68A-0094D82796A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094" name="Button 70" hidden="1">
              <a:extLst>
                <a:ext uri="{63B3BB69-23CF-44E3-9099-C40C66FF867C}">
                  <a14:compatExt spid="_x0000_s1094"/>
                </a:ext>
                <a:ext uri="{FF2B5EF4-FFF2-40B4-BE49-F238E27FC236}">
                  <a16:creationId xmlns:a16="http://schemas.microsoft.com/office/drawing/2014/main" id="{3DF0FB0C-3CD3-45A2-8316-818AAA13D5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095" name="Button 71" hidden="1">
              <a:extLst>
                <a:ext uri="{63B3BB69-23CF-44E3-9099-C40C66FF867C}">
                  <a14:compatExt spid="_x0000_s1095"/>
                </a:ext>
                <a:ext uri="{FF2B5EF4-FFF2-40B4-BE49-F238E27FC236}">
                  <a16:creationId xmlns:a16="http://schemas.microsoft.com/office/drawing/2014/main" id="{762824F4-2AA5-425F-BD2A-1ABB4C878F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096" name="Button 72" hidden="1">
              <a:extLst>
                <a:ext uri="{63B3BB69-23CF-44E3-9099-C40C66FF867C}">
                  <a14:compatExt spid="_x0000_s1096"/>
                </a:ext>
                <a:ext uri="{FF2B5EF4-FFF2-40B4-BE49-F238E27FC236}">
                  <a16:creationId xmlns:a16="http://schemas.microsoft.com/office/drawing/2014/main" id="{05AD06AE-E1D2-4BED-B8F8-22DC6A8A1C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097" name="Button 73" hidden="1">
              <a:extLst>
                <a:ext uri="{63B3BB69-23CF-44E3-9099-C40C66FF867C}">
                  <a14:compatExt spid="_x0000_s1097"/>
                </a:ext>
                <a:ext uri="{FF2B5EF4-FFF2-40B4-BE49-F238E27FC236}">
                  <a16:creationId xmlns:a16="http://schemas.microsoft.com/office/drawing/2014/main" id="{A56BD643-C646-4077-A286-68390EBB2FF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098" name="Button 74" hidden="1">
              <a:extLst>
                <a:ext uri="{63B3BB69-23CF-44E3-9099-C40C66FF867C}">
                  <a14:compatExt spid="_x0000_s1098"/>
                </a:ext>
                <a:ext uri="{FF2B5EF4-FFF2-40B4-BE49-F238E27FC236}">
                  <a16:creationId xmlns:a16="http://schemas.microsoft.com/office/drawing/2014/main" id="{F028D113-3541-470C-97F5-A454F7F25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099" name="Button 75" hidden="1">
              <a:extLst>
                <a:ext uri="{63B3BB69-23CF-44E3-9099-C40C66FF867C}">
                  <a14:compatExt spid="_x0000_s1099"/>
                </a:ext>
                <a:ext uri="{FF2B5EF4-FFF2-40B4-BE49-F238E27FC236}">
                  <a16:creationId xmlns:a16="http://schemas.microsoft.com/office/drawing/2014/main" id="{02B47A68-F649-4EA7-923A-13B59D4968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100" name="Button 76" hidden="1">
              <a:extLst>
                <a:ext uri="{63B3BB69-23CF-44E3-9099-C40C66FF867C}">
                  <a14:compatExt spid="_x0000_s1100"/>
                </a:ext>
                <a:ext uri="{FF2B5EF4-FFF2-40B4-BE49-F238E27FC236}">
                  <a16:creationId xmlns:a16="http://schemas.microsoft.com/office/drawing/2014/main" id="{16EA9F42-2936-4241-B332-1C2710B7CC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101" name="Button 77" hidden="1">
              <a:extLst>
                <a:ext uri="{63B3BB69-23CF-44E3-9099-C40C66FF867C}">
                  <a14:compatExt spid="_x0000_s1101"/>
                </a:ext>
                <a:ext uri="{FF2B5EF4-FFF2-40B4-BE49-F238E27FC236}">
                  <a16:creationId xmlns:a16="http://schemas.microsoft.com/office/drawing/2014/main" id="{DDDECA56-4013-4F06-AC4D-39830D18E0A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102" name="Button 78" hidden="1">
              <a:extLst>
                <a:ext uri="{63B3BB69-23CF-44E3-9099-C40C66FF867C}">
                  <a14:compatExt spid="_x0000_s1102"/>
                </a:ext>
                <a:ext uri="{FF2B5EF4-FFF2-40B4-BE49-F238E27FC236}">
                  <a16:creationId xmlns:a16="http://schemas.microsoft.com/office/drawing/2014/main" id="{20163E25-7AF5-4064-BD5E-14696A6B43F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103" name="Button 79" hidden="1">
              <a:extLst>
                <a:ext uri="{63B3BB69-23CF-44E3-9099-C40C66FF867C}">
                  <a14:compatExt spid="_x0000_s1103"/>
                </a:ext>
                <a:ext uri="{FF2B5EF4-FFF2-40B4-BE49-F238E27FC236}">
                  <a16:creationId xmlns:a16="http://schemas.microsoft.com/office/drawing/2014/main" id="{A75ABD76-F25C-4186-A903-408654C2D7D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104" name="Button 80" hidden="1">
              <a:extLst>
                <a:ext uri="{63B3BB69-23CF-44E3-9099-C40C66FF867C}">
                  <a14:compatExt spid="_x0000_s1104"/>
                </a:ext>
                <a:ext uri="{FF2B5EF4-FFF2-40B4-BE49-F238E27FC236}">
                  <a16:creationId xmlns:a16="http://schemas.microsoft.com/office/drawing/2014/main" id="{011DABBC-1674-4A6D-9455-D3D2912CAA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105" name="Button 81" hidden="1">
              <a:extLst>
                <a:ext uri="{63B3BB69-23CF-44E3-9099-C40C66FF867C}">
                  <a14:compatExt spid="_x0000_s1105"/>
                </a:ext>
                <a:ext uri="{FF2B5EF4-FFF2-40B4-BE49-F238E27FC236}">
                  <a16:creationId xmlns:a16="http://schemas.microsoft.com/office/drawing/2014/main" id="{7B0FBA76-CFD6-484D-B0A1-9DC75882DA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106" name="Button 82" hidden="1">
              <a:extLst>
                <a:ext uri="{63B3BB69-23CF-44E3-9099-C40C66FF867C}">
                  <a14:compatExt spid="_x0000_s1106"/>
                </a:ext>
                <a:ext uri="{FF2B5EF4-FFF2-40B4-BE49-F238E27FC236}">
                  <a16:creationId xmlns:a16="http://schemas.microsoft.com/office/drawing/2014/main" id="{4C71C76C-5801-4436-821C-147B538DB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107" name="Button 83" hidden="1">
              <a:extLst>
                <a:ext uri="{63B3BB69-23CF-44E3-9099-C40C66FF867C}">
                  <a14:compatExt spid="_x0000_s1107"/>
                </a:ext>
                <a:ext uri="{FF2B5EF4-FFF2-40B4-BE49-F238E27FC236}">
                  <a16:creationId xmlns:a16="http://schemas.microsoft.com/office/drawing/2014/main" id="{E019DB85-9354-48AE-BD74-785EA7440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108" name="Button 84" hidden="1">
              <a:extLst>
                <a:ext uri="{63B3BB69-23CF-44E3-9099-C40C66FF867C}">
                  <a14:compatExt spid="_x0000_s1108"/>
                </a:ext>
                <a:ext uri="{FF2B5EF4-FFF2-40B4-BE49-F238E27FC236}">
                  <a16:creationId xmlns:a16="http://schemas.microsoft.com/office/drawing/2014/main" id="{0028FB05-666D-4135-AE1D-A889864C243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109" name="Button 85" hidden="1">
              <a:extLst>
                <a:ext uri="{63B3BB69-23CF-44E3-9099-C40C66FF867C}">
                  <a14:compatExt spid="_x0000_s1109"/>
                </a:ext>
                <a:ext uri="{FF2B5EF4-FFF2-40B4-BE49-F238E27FC236}">
                  <a16:creationId xmlns:a16="http://schemas.microsoft.com/office/drawing/2014/main" id="{07E49134-388C-40B6-87BC-E3868AAD8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110" name="Button 86" hidden="1">
              <a:extLst>
                <a:ext uri="{63B3BB69-23CF-44E3-9099-C40C66FF867C}">
                  <a14:compatExt spid="_x0000_s1110"/>
                </a:ext>
                <a:ext uri="{FF2B5EF4-FFF2-40B4-BE49-F238E27FC236}">
                  <a16:creationId xmlns:a16="http://schemas.microsoft.com/office/drawing/2014/main" id="{E6C6B2DA-14F8-4F90-BBD2-FFE05AC8F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111" name="Button 87" hidden="1">
              <a:extLst>
                <a:ext uri="{63B3BB69-23CF-44E3-9099-C40C66FF867C}">
                  <a14:compatExt spid="_x0000_s1111"/>
                </a:ext>
                <a:ext uri="{FF2B5EF4-FFF2-40B4-BE49-F238E27FC236}">
                  <a16:creationId xmlns:a16="http://schemas.microsoft.com/office/drawing/2014/main" id="{5BCDE173-233A-4FFD-985B-E12305A769A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112" name="Button 88" hidden="1">
              <a:extLst>
                <a:ext uri="{63B3BB69-23CF-44E3-9099-C40C66FF867C}">
                  <a14:compatExt spid="_x0000_s1112"/>
                </a:ext>
                <a:ext uri="{FF2B5EF4-FFF2-40B4-BE49-F238E27FC236}">
                  <a16:creationId xmlns:a16="http://schemas.microsoft.com/office/drawing/2014/main" id="{0C911815-9DC5-4E02-A210-CF954FBDCE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113" name="Button 89" hidden="1">
              <a:extLst>
                <a:ext uri="{63B3BB69-23CF-44E3-9099-C40C66FF867C}">
                  <a14:compatExt spid="_x0000_s1113"/>
                </a:ext>
                <a:ext uri="{FF2B5EF4-FFF2-40B4-BE49-F238E27FC236}">
                  <a16:creationId xmlns:a16="http://schemas.microsoft.com/office/drawing/2014/main" id="{7A3564C7-B12F-4551-A32B-55E8C18DC3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114" name="Button 90" hidden="1">
              <a:extLst>
                <a:ext uri="{63B3BB69-23CF-44E3-9099-C40C66FF867C}">
                  <a14:compatExt spid="_x0000_s1114"/>
                </a:ext>
                <a:ext uri="{FF2B5EF4-FFF2-40B4-BE49-F238E27FC236}">
                  <a16:creationId xmlns:a16="http://schemas.microsoft.com/office/drawing/2014/main" id="{DAFEEF2D-8D11-4D9D-A540-ACACA1C666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115" name="Button 91" hidden="1">
              <a:extLst>
                <a:ext uri="{63B3BB69-23CF-44E3-9099-C40C66FF867C}">
                  <a14:compatExt spid="_x0000_s1115"/>
                </a:ext>
                <a:ext uri="{FF2B5EF4-FFF2-40B4-BE49-F238E27FC236}">
                  <a16:creationId xmlns:a16="http://schemas.microsoft.com/office/drawing/2014/main" id="{D1C27B75-1F6A-49D0-8E8E-B7BE6D2C0F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116" name="Button 92" hidden="1">
              <a:extLst>
                <a:ext uri="{63B3BB69-23CF-44E3-9099-C40C66FF867C}">
                  <a14:compatExt spid="_x0000_s1116"/>
                </a:ext>
                <a:ext uri="{FF2B5EF4-FFF2-40B4-BE49-F238E27FC236}">
                  <a16:creationId xmlns:a16="http://schemas.microsoft.com/office/drawing/2014/main" id="{19BAE130-4E18-48DC-8687-85F65CBD2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117" name="Button 93" hidden="1">
              <a:extLst>
                <a:ext uri="{63B3BB69-23CF-44E3-9099-C40C66FF867C}">
                  <a14:compatExt spid="_x0000_s1117"/>
                </a:ext>
                <a:ext uri="{FF2B5EF4-FFF2-40B4-BE49-F238E27FC236}">
                  <a16:creationId xmlns:a16="http://schemas.microsoft.com/office/drawing/2014/main" id="{0E7C523B-CD48-4D5F-908A-250881429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118" name="Button 94" hidden="1">
              <a:extLst>
                <a:ext uri="{63B3BB69-23CF-44E3-9099-C40C66FF867C}">
                  <a14:compatExt spid="_x0000_s1118"/>
                </a:ext>
                <a:ext uri="{FF2B5EF4-FFF2-40B4-BE49-F238E27FC236}">
                  <a16:creationId xmlns:a16="http://schemas.microsoft.com/office/drawing/2014/main" id="{9F90503B-BA2C-4234-8A10-7004C15AAA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119" name="Button 95" hidden="1">
              <a:extLst>
                <a:ext uri="{63B3BB69-23CF-44E3-9099-C40C66FF867C}">
                  <a14:compatExt spid="_x0000_s1119"/>
                </a:ext>
                <a:ext uri="{FF2B5EF4-FFF2-40B4-BE49-F238E27FC236}">
                  <a16:creationId xmlns:a16="http://schemas.microsoft.com/office/drawing/2014/main" id="{FAB4623F-C5CC-41C1-8B6C-01F6F023C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120" name="Button 96" hidden="1">
              <a:extLst>
                <a:ext uri="{63B3BB69-23CF-44E3-9099-C40C66FF867C}">
                  <a14:compatExt spid="_x0000_s1120"/>
                </a:ext>
                <a:ext uri="{FF2B5EF4-FFF2-40B4-BE49-F238E27FC236}">
                  <a16:creationId xmlns:a16="http://schemas.microsoft.com/office/drawing/2014/main" id="{293A5632-1904-47E1-9FB0-45ED3EBFD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121" name="Button 97" hidden="1">
              <a:extLst>
                <a:ext uri="{63B3BB69-23CF-44E3-9099-C40C66FF867C}">
                  <a14:compatExt spid="_x0000_s1121"/>
                </a:ext>
                <a:ext uri="{FF2B5EF4-FFF2-40B4-BE49-F238E27FC236}">
                  <a16:creationId xmlns:a16="http://schemas.microsoft.com/office/drawing/2014/main" id="{22AC9230-60C9-44CE-A311-E92E8F2C74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122" name="Button 98" hidden="1">
              <a:extLst>
                <a:ext uri="{63B3BB69-23CF-44E3-9099-C40C66FF867C}">
                  <a14:compatExt spid="_x0000_s1122"/>
                </a:ext>
                <a:ext uri="{FF2B5EF4-FFF2-40B4-BE49-F238E27FC236}">
                  <a16:creationId xmlns:a16="http://schemas.microsoft.com/office/drawing/2014/main" id="{2B479ED7-2F1C-4085-B116-2AB11C0B68A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123" name="Button 99" hidden="1">
              <a:extLst>
                <a:ext uri="{63B3BB69-23CF-44E3-9099-C40C66FF867C}">
                  <a14:compatExt spid="_x0000_s1123"/>
                </a:ext>
                <a:ext uri="{FF2B5EF4-FFF2-40B4-BE49-F238E27FC236}">
                  <a16:creationId xmlns:a16="http://schemas.microsoft.com/office/drawing/2014/main" id="{30328048-626E-4D37-810F-53214C167C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124" name="Button 100" hidden="1">
              <a:extLst>
                <a:ext uri="{63B3BB69-23CF-44E3-9099-C40C66FF867C}">
                  <a14:compatExt spid="_x0000_s1124"/>
                </a:ext>
                <a:ext uri="{FF2B5EF4-FFF2-40B4-BE49-F238E27FC236}">
                  <a16:creationId xmlns:a16="http://schemas.microsoft.com/office/drawing/2014/main" id="{D47125E4-8777-47DA-82F7-C20D38BA8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125" name="Button 101" hidden="1">
              <a:extLst>
                <a:ext uri="{63B3BB69-23CF-44E3-9099-C40C66FF867C}">
                  <a14:compatExt spid="_x0000_s1125"/>
                </a:ext>
                <a:ext uri="{FF2B5EF4-FFF2-40B4-BE49-F238E27FC236}">
                  <a16:creationId xmlns:a16="http://schemas.microsoft.com/office/drawing/2014/main" id="{531E49A5-D607-492A-A6C5-3BAE587161A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126" name="Button 102" hidden="1">
              <a:extLst>
                <a:ext uri="{63B3BB69-23CF-44E3-9099-C40C66FF867C}">
                  <a14:compatExt spid="_x0000_s1126"/>
                </a:ext>
                <a:ext uri="{FF2B5EF4-FFF2-40B4-BE49-F238E27FC236}">
                  <a16:creationId xmlns:a16="http://schemas.microsoft.com/office/drawing/2014/main" id="{F49D8B1E-FED5-484D-8705-689EE6642F1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127" name="Button 103" hidden="1">
              <a:extLst>
                <a:ext uri="{63B3BB69-23CF-44E3-9099-C40C66FF867C}">
                  <a14:compatExt spid="_x0000_s1127"/>
                </a:ext>
                <a:ext uri="{FF2B5EF4-FFF2-40B4-BE49-F238E27FC236}">
                  <a16:creationId xmlns:a16="http://schemas.microsoft.com/office/drawing/2014/main" id="{A5A8871D-3669-45AC-8B5D-0B934F7113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128" name="Button 104" hidden="1">
              <a:extLst>
                <a:ext uri="{63B3BB69-23CF-44E3-9099-C40C66FF867C}">
                  <a14:compatExt spid="_x0000_s1128"/>
                </a:ext>
                <a:ext uri="{FF2B5EF4-FFF2-40B4-BE49-F238E27FC236}">
                  <a16:creationId xmlns:a16="http://schemas.microsoft.com/office/drawing/2014/main" id="{F95C9AA0-E53A-4AA0-907D-21549C2184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129" name="Button 105" hidden="1">
              <a:extLst>
                <a:ext uri="{63B3BB69-23CF-44E3-9099-C40C66FF867C}">
                  <a14:compatExt spid="_x0000_s1129"/>
                </a:ext>
                <a:ext uri="{FF2B5EF4-FFF2-40B4-BE49-F238E27FC236}">
                  <a16:creationId xmlns:a16="http://schemas.microsoft.com/office/drawing/2014/main" id="{39330BF0-FB1C-4490-BDB2-3CE0F42C4A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130" name="Button 106" hidden="1">
              <a:extLst>
                <a:ext uri="{63B3BB69-23CF-44E3-9099-C40C66FF867C}">
                  <a14:compatExt spid="_x0000_s1130"/>
                </a:ext>
                <a:ext uri="{FF2B5EF4-FFF2-40B4-BE49-F238E27FC236}">
                  <a16:creationId xmlns:a16="http://schemas.microsoft.com/office/drawing/2014/main" id="{04C6E959-4120-4BE2-97FC-B9CEAC11FD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131" name="Button 107" hidden="1">
              <a:extLst>
                <a:ext uri="{63B3BB69-23CF-44E3-9099-C40C66FF867C}">
                  <a14:compatExt spid="_x0000_s1131"/>
                </a:ext>
                <a:ext uri="{FF2B5EF4-FFF2-40B4-BE49-F238E27FC236}">
                  <a16:creationId xmlns:a16="http://schemas.microsoft.com/office/drawing/2014/main" id="{1434D258-3613-49F1-9A31-0DCABFBFBB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132" name="Button 108" hidden="1">
              <a:extLst>
                <a:ext uri="{63B3BB69-23CF-44E3-9099-C40C66FF867C}">
                  <a14:compatExt spid="_x0000_s1132"/>
                </a:ext>
                <a:ext uri="{FF2B5EF4-FFF2-40B4-BE49-F238E27FC236}">
                  <a16:creationId xmlns:a16="http://schemas.microsoft.com/office/drawing/2014/main" id="{DE4E1607-916E-487F-92DF-0CEADB161D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133" name="Button 109" hidden="1">
              <a:extLst>
                <a:ext uri="{63B3BB69-23CF-44E3-9099-C40C66FF867C}">
                  <a14:compatExt spid="_x0000_s1133"/>
                </a:ext>
                <a:ext uri="{FF2B5EF4-FFF2-40B4-BE49-F238E27FC236}">
                  <a16:creationId xmlns:a16="http://schemas.microsoft.com/office/drawing/2014/main" id="{D4ED11F9-3A51-4240-A56E-58F1D56C43A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134" name="Button 110" hidden="1">
              <a:extLst>
                <a:ext uri="{63B3BB69-23CF-44E3-9099-C40C66FF867C}">
                  <a14:compatExt spid="_x0000_s1134"/>
                </a:ext>
                <a:ext uri="{FF2B5EF4-FFF2-40B4-BE49-F238E27FC236}">
                  <a16:creationId xmlns:a16="http://schemas.microsoft.com/office/drawing/2014/main" id="{4393A228-7E51-40AD-9AD2-1C73940B1DA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135" name="Button 111" hidden="1">
              <a:extLst>
                <a:ext uri="{63B3BB69-23CF-44E3-9099-C40C66FF867C}">
                  <a14:compatExt spid="_x0000_s1135"/>
                </a:ext>
                <a:ext uri="{FF2B5EF4-FFF2-40B4-BE49-F238E27FC236}">
                  <a16:creationId xmlns:a16="http://schemas.microsoft.com/office/drawing/2014/main" id="{E4450E3C-32D5-4B28-8F85-CAC9779AD9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136" name="Button 112" hidden="1">
              <a:extLst>
                <a:ext uri="{63B3BB69-23CF-44E3-9099-C40C66FF867C}">
                  <a14:compatExt spid="_x0000_s1136"/>
                </a:ext>
                <a:ext uri="{FF2B5EF4-FFF2-40B4-BE49-F238E27FC236}">
                  <a16:creationId xmlns:a16="http://schemas.microsoft.com/office/drawing/2014/main" id="{B445004E-E445-4C5D-93B5-2A99CD146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137" name="Button 113" hidden="1">
              <a:extLst>
                <a:ext uri="{63B3BB69-23CF-44E3-9099-C40C66FF867C}">
                  <a14:compatExt spid="_x0000_s1137"/>
                </a:ext>
                <a:ext uri="{FF2B5EF4-FFF2-40B4-BE49-F238E27FC236}">
                  <a16:creationId xmlns:a16="http://schemas.microsoft.com/office/drawing/2014/main" id="{70581254-FA05-4756-A706-C31CA3CB3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138" name="Button 114" hidden="1">
              <a:extLst>
                <a:ext uri="{63B3BB69-23CF-44E3-9099-C40C66FF867C}">
                  <a14:compatExt spid="_x0000_s1138"/>
                </a:ext>
                <a:ext uri="{FF2B5EF4-FFF2-40B4-BE49-F238E27FC236}">
                  <a16:creationId xmlns:a16="http://schemas.microsoft.com/office/drawing/2014/main" id="{3FADE6BE-6BE3-4387-A95F-6FEB1CCF0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139" name="Button 115" hidden="1">
              <a:extLst>
                <a:ext uri="{63B3BB69-23CF-44E3-9099-C40C66FF867C}">
                  <a14:compatExt spid="_x0000_s1139"/>
                </a:ext>
                <a:ext uri="{FF2B5EF4-FFF2-40B4-BE49-F238E27FC236}">
                  <a16:creationId xmlns:a16="http://schemas.microsoft.com/office/drawing/2014/main" id="{D41E5EB5-DBAB-4081-9563-B98267DD52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140" name="Button 116" hidden="1">
              <a:extLst>
                <a:ext uri="{63B3BB69-23CF-44E3-9099-C40C66FF867C}">
                  <a14:compatExt spid="_x0000_s1140"/>
                </a:ext>
                <a:ext uri="{FF2B5EF4-FFF2-40B4-BE49-F238E27FC236}">
                  <a16:creationId xmlns:a16="http://schemas.microsoft.com/office/drawing/2014/main" id="{A825CAB1-A05F-4900-92CD-4103AE8C58C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141" name="Button 117" hidden="1">
              <a:extLst>
                <a:ext uri="{63B3BB69-23CF-44E3-9099-C40C66FF867C}">
                  <a14:compatExt spid="_x0000_s1141"/>
                </a:ext>
                <a:ext uri="{FF2B5EF4-FFF2-40B4-BE49-F238E27FC236}">
                  <a16:creationId xmlns:a16="http://schemas.microsoft.com/office/drawing/2014/main" id="{54BCFB9E-6EFF-405C-BB33-87CE35FAD3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142" name="Button 118" hidden="1">
              <a:extLst>
                <a:ext uri="{63B3BB69-23CF-44E3-9099-C40C66FF867C}">
                  <a14:compatExt spid="_x0000_s1142"/>
                </a:ext>
                <a:ext uri="{FF2B5EF4-FFF2-40B4-BE49-F238E27FC236}">
                  <a16:creationId xmlns:a16="http://schemas.microsoft.com/office/drawing/2014/main" id="{4494799F-BF4E-4725-8754-0204E77926C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143" name="Button 119" hidden="1">
              <a:extLst>
                <a:ext uri="{63B3BB69-23CF-44E3-9099-C40C66FF867C}">
                  <a14:compatExt spid="_x0000_s1143"/>
                </a:ext>
                <a:ext uri="{FF2B5EF4-FFF2-40B4-BE49-F238E27FC236}">
                  <a16:creationId xmlns:a16="http://schemas.microsoft.com/office/drawing/2014/main" id="{238A2969-E519-4FD1-835B-09D7E87F1B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144" name="Button 120" hidden="1">
              <a:extLst>
                <a:ext uri="{63B3BB69-23CF-44E3-9099-C40C66FF867C}">
                  <a14:compatExt spid="_x0000_s1144"/>
                </a:ext>
                <a:ext uri="{FF2B5EF4-FFF2-40B4-BE49-F238E27FC236}">
                  <a16:creationId xmlns:a16="http://schemas.microsoft.com/office/drawing/2014/main" id="{590426F4-9FD6-4F89-80C3-8FE5F3136E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145" name="Button 121" hidden="1">
              <a:extLst>
                <a:ext uri="{63B3BB69-23CF-44E3-9099-C40C66FF867C}">
                  <a14:compatExt spid="_x0000_s1145"/>
                </a:ext>
                <a:ext uri="{FF2B5EF4-FFF2-40B4-BE49-F238E27FC236}">
                  <a16:creationId xmlns:a16="http://schemas.microsoft.com/office/drawing/2014/main" id="{675DF52C-FCD9-450A-9251-5DD2E9BDCE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146" name="Button 122" hidden="1">
              <a:extLst>
                <a:ext uri="{63B3BB69-23CF-44E3-9099-C40C66FF867C}">
                  <a14:compatExt spid="_x0000_s1146"/>
                </a:ext>
                <a:ext uri="{FF2B5EF4-FFF2-40B4-BE49-F238E27FC236}">
                  <a16:creationId xmlns:a16="http://schemas.microsoft.com/office/drawing/2014/main" id="{626FEFAD-F5EA-4D17-9D09-24BA6210A4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147" name="Button 123" hidden="1">
              <a:extLst>
                <a:ext uri="{63B3BB69-23CF-44E3-9099-C40C66FF867C}">
                  <a14:compatExt spid="_x0000_s1147"/>
                </a:ext>
                <a:ext uri="{FF2B5EF4-FFF2-40B4-BE49-F238E27FC236}">
                  <a16:creationId xmlns:a16="http://schemas.microsoft.com/office/drawing/2014/main" id="{1997465A-5419-484C-8346-BABC68EFF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148" name="Button 124" hidden="1">
              <a:extLst>
                <a:ext uri="{63B3BB69-23CF-44E3-9099-C40C66FF867C}">
                  <a14:compatExt spid="_x0000_s1148"/>
                </a:ext>
                <a:ext uri="{FF2B5EF4-FFF2-40B4-BE49-F238E27FC236}">
                  <a16:creationId xmlns:a16="http://schemas.microsoft.com/office/drawing/2014/main" id="{104624A2-9AB3-4DA7-890F-272EC236FA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149" name="Button 125" hidden="1">
              <a:extLst>
                <a:ext uri="{63B3BB69-23CF-44E3-9099-C40C66FF867C}">
                  <a14:compatExt spid="_x0000_s1149"/>
                </a:ext>
                <a:ext uri="{FF2B5EF4-FFF2-40B4-BE49-F238E27FC236}">
                  <a16:creationId xmlns:a16="http://schemas.microsoft.com/office/drawing/2014/main" id="{1327DEDD-3B8C-4958-A371-4AEC70E35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150" name="Button 126" hidden="1">
              <a:extLst>
                <a:ext uri="{63B3BB69-23CF-44E3-9099-C40C66FF867C}">
                  <a14:compatExt spid="_x0000_s1150"/>
                </a:ext>
                <a:ext uri="{FF2B5EF4-FFF2-40B4-BE49-F238E27FC236}">
                  <a16:creationId xmlns:a16="http://schemas.microsoft.com/office/drawing/2014/main" id="{6BA5670E-53F2-4D6F-86A4-359FB436BF3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151" name="Button 127" hidden="1">
              <a:extLst>
                <a:ext uri="{63B3BB69-23CF-44E3-9099-C40C66FF867C}">
                  <a14:compatExt spid="_x0000_s1151"/>
                </a:ext>
                <a:ext uri="{FF2B5EF4-FFF2-40B4-BE49-F238E27FC236}">
                  <a16:creationId xmlns:a16="http://schemas.microsoft.com/office/drawing/2014/main" id="{18AC5C69-89F9-447A-8965-048F3D0640E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152" name="Button 128" hidden="1">
              <a:extLst>
                <a:ext uri="{63B3BB69-23CF-44E3-9099-C40C66FF867C}">
                  <a14:compatExt spid="_x0000_s1152"/>
                </a:ext>
                <a:ext uri="{FF2B5EF4-FFF2-40B4-BE49-F238E27FC236}">
                  <a16:creationId xmlns:a16="http://schemas.microsoft.com/office/drawing/2014/main" id="{BABE3FBA-400D-4EFE-B200-4B4943C64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153" name="Button 129" hidden="1">
              <a:extLst>
                <a:ext uri="{63B3BB69-23CF-44E3-9099-C40C66FF867C}">
                  <a14:compatExt spid="_x0000_s1153"/>
                </a:ext>
                <a:ext uri="{FF2B5EF4-FFF2-40B4-BE49-F238E27FC236}">
                  <a16:creationId xmlns:a16="http://schemas.microsoft.com/office/drawing/2014/main" id="{EF6E2C58-9D35-4E6C-A16F-027758ED7F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154" name="Button 130" hidden="1">
              <a:extLst>
                <a:ext uri="{63B3BB69-23CF-44E3-9099-C40C66FF867C}">
                  <a14:compatExt spid="_x0000_s1154"/>
                </a:ext>
                <a:ext uri="{FF2B5EF4-FFF2-40B4-BE49-F238E27FC236}">
                  <a16:creationId xmlns:a16="http://schemas.microsoft.com/office/drawing/2014/main" id="{03FB28E1-03AF-4214-AE86-A7968835BC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155" name="Button 131" hidden="1">
              <a:extLst>
                <a:ext uri="{63B3BB69-23CF-44E3-9099-C40C66FF867C}">
                  <a14:compatExt spid="_x0000_s1155"/>
                </a:ext>
                <a:ext uri="{FF2B5EF4-FFF2-40B4-BE49-F238E27FC236}">
                  <a16:creationId xmlns:a16="http://schemas.microsoft.com/office/drawing/2014/main" id="{D15ADFE7-5849-4A00-B6F5-7A570FA4163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156" name="Button 132" hidden="1">
              <a:extLst>
                <a:ext uri="{63B3BB69-23CF-44E3-9099-C40C66FF867C}">
                  <a14:compatExt spid="_x0000_s1156"/>
                </a:ext>
                <a:ext uri="{FF2B5EF4-FFF2-40B4-BE49-F238E27FC236}">
                  <a16:creationId xmlns:a16="http://schemas.microsoft.com/office/drawing/2014/main" id="{492F24E6-BA47-4D30-A17C-7DEFC50E540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157" name="Button 133" hidden="1">
              <a:extLst>
                <a:ext uri="{63B3BB69-23CF-44E3-9099-C40C66FF867C}">
                  <a14:compatExt spid="_x0000_s1157"/>
                </a:ext>
                <a:ext uri="{FF2B5EF4-FFF2-40B4-BE49-F238E27FC236}">
                  <a16:creationId xmlns:a16="http://schemas.microsoft.com/office/drawing/2014/main" id="{04C25B5A-B0C4-46E8-B61D-9C32B09D5E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158" name="Button 134" hidden="1">
              <a:extLst>
                <a:ext uri="{63B3BB69-23CF-44E3-9099-C40C66FF867C}">
                  <a14:compatExt spid="_x0000_s1158"/>
                </a:ext>
                <a:ext uri="{FF2B5EF4-FFF2-40B4-BE49-F238E27FC236}">
                  <a16:creationId xmlns:a16="http://schemas.microsoft.com/office/drawing/2014/main" id="{1AF8566B-9ECC-47C0-9554-64B48A91BE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159" name="Button 135" hidden="1">
              <a:extLst>
                <a:ext uri="{63B3BB69-23CF-44E3-9099-C40C66FF867C}">
                  <a14:compatExt spid="_x0000_s1159"/>
                </a:ext>
                <a:ext uri="{FF2B5EF4-FFF2-40B4-BE49-F238E27FC236}">
                  <a16:creationId xmlns:a16="http://schemas.microsoft.com/office/drawing/2014/main" id="{729235A9-1B11-4C71-B701-B975C4DDAE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160" name="Button 136" hidden="1">
              <a:extLst>
                <a:ext uri="{63B3BB69-23CF-44E3-9099-C40C66FF867C}">
                  <a14:compatExt spid="_x0000_s1160"/>
                </a:ext>
                <a:ext uri="{FF2B5EF4-FFF2-40B4-BE49-F238E27FC236}">
                  <a16:creationId xmlns:a16="http://schemas.microsoft.com/office/drawing/2014/main" id="{DE530DBA-D760-49CC-96BD-CC8D629AF1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161" name="Button 137" hidden="1">
              <a:extLst>
                <a:ext uri="{63B3BB69-23CF-44E3-9099-C40C66FF867C}">
                  <a14:compatExt spid="_x0000_s1161"/>
                </a:ext>
                <a:ext uri="{FF2B5EF4-FFF2-40B4-BE49-F238E27FC236}">
                  <a16:creationId xmlns:a16="http://schemas.microsoft.com/office/drawing/2014/main" id="{84A4D71B-071C-4C8A-857D-1C9AFA61856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162" name="Button 138" hidden="1">
              <a:extLst>
                <a:ext uri="{63B3BB69-23CF-44E3-9099-C40C66FF867C}">
                  <a14:compatExt spid="_x0000_s1162"/>
                </a:ext>
                <a:ext uri="{FF2B5EF4-FFF2-40B4-BE49-F238E27FC236}">
                  <a16:creationId xmlns:a16="http://schemas.microsoft.com/office/drawing/2014/main" id="{A5C30E76-0D51-43F2-8703-7579A285260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163" name="Button 139" hidden="1">
              <a:extLst>
                <a:ext uri="{63B3BB69-23CF-44E3-9099-C40C66FF867C}">
                  <a14:compatExt spid="_x0000_s1163"/>
                </a:ext>
                <a:ext uri="{FF2B5EF4-FFF2-40B4-BE49-F238E27FC236}">
                  <a16:creationId xmlns:a16="http://schemas.microsoft.com/office/drawing/2014/main" id="{0300CAC8-38BC-4E3E-ADB9-06577EE32E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164" name="Button 140" hidden="1">
              <a:extLst>
                <a:ext uri="{63B3BB69-23CF-44E3-9099-C40C66FF867C}">
                  <a14:compatExt spid="_x0000_s1164"/>
                </a:ext>
                <a:ext uri="{FF2B5EF4-FFF2-40B4-BE49-F238E27FC236}">
                  <a16:creationId xmlns:a16="http://schemas.microsoft.com/office/drawing/2014/main" id="{0B516362-2AD4-4AD3-8333-968B3A0378C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165" name="Button 141" hidden="1">
              <a:extLst>
                <a:ext uri="{63B3BB69-23CF-44E3-9099-C40C66FF867C}">
                  <a14:compatExt spid="_x0000_s1165"/>
                </a:ext>
                <a:ext uri="{FF2B5EF4-FFF2-40B4-BE49-F238E27FC236}">
                  <a16:creationId xmlns:a16="http://schemas.microsoft.com/office/drawing/2014/main" id="{98D0A5F8-DFD5-4546-82E0-52DDBCED46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166" name="Button 142" hidden="1">
              <a:extLst>
                <a:ext uri="{63B3BB69-23CF-44E3-9099-C40C66FF867C}">
                  <a14:compatExt spid="_x0000_s1166"/>
                </a:ext>
                <a:ext uri="{FF2B5EF4-FFF2-40B4-BE49-F238E27FC236}">
                  <a16:creationId xmlns:a16="http://schemas.microsoft.com/office/drawing/2014/main" id="{52473AA5-E9E7-494C-86C8-BCAC6EF88AF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167" name="Button 143" hidden="1">
              <a:extLst>
                <a:ext uri="{63B3BB69-23CF-44E3-9099-C40C66FF867C}">
                  <a14:compatExt spid="_x0000_s1167"/>
                </a:ext>
                <a:ext uri="{FF2B5EF4-FFF2-40B4-BE49-F238E27FC236}">
                  <a16:creationId xmlns:a16="http://schemas.microsoft.com/office/drawing/2014/main" id="{16431E16-85CD-4A3A-AC5B-BC201F98E03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168" name="Button 144" hidden="1">
              <a:extLst>
                <a:ext uri="{63B3BB69-23CF-44E3-9099-C40C66FF867C}">
                  <a14:compatExt spid="_x0000_s1168"/>
                </a:ext>
                <a:ext uri="{FF2B5EF4-FFF2-40B4-BE49-F238E27FC236}">
                  <a16:creationId xmlns:a16="http://schemas.microsoft.com/office/drawing/2014/main" id="{07896A77-D5B1-4B0C-9068-A52CDEDD9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169" name="Button 145" hidden="1">
              <a:extLst>
                <a:ext uri="{63B3BB69-23CF-44E3-9099-C40C66FF867C}">
                  <a14:compatExt spid="_x0000_s1169"/>
                </a:ext>
                <a:ext uri="{FF2B5EF4-FFF2-40B4-BE49-F238E27FC236}">
                  <a16:creationId xmlns:a16="http://schemas.microsoft.com/office/drawing/2014/main" id="{91DF0721-9C1D-4DC0-87F3-16DFD2EEF4A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170" name="Button 146" hidden="1">
              <a:extLst>
                <a:ext uri="{63B3BB69-23CF-44E3-9099-C40C66FF867C}">
                  <a14:compatExt spid="_x0000_s1170"/>
                </a:ext>
                <a:ext uri="{FF2B5EF4-FFF2-40B4-BE49-F238E27FC236}">
                  <a16:creationId xmlns:a16="http://schemas.microsoft.com/office/drawing/2014/main" id="{0A28FEB3-564B-4B76-B563-A5180EFA076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171" name="Button 147" hidden="1">
              <a:extLst>
                <a:ext uri="{63B3BB69-23CF-44E3-9099-C40C66FF867C}">
                  <a14:compatExt spid="_x0000_s1171"/>
                </a:ext>
                <a:ext uri="{FF2B5EF4-FFF2-40B4-BE49-F238E27FC236}">
                  <a16:creationId xmlns:a16="http://schemas.microsoft.com/office/drawing/2014/main" id="{AEC8E0BB-0790-4010-BCC9-57BC4502456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172" name="Button 148" hidden="1">
              <a:extLst>
                <a:ext uri="{63B3BB69-23CF-44E3-9099-C40C66FF867C}">
                  <a14:compatExt spid="_x0000_s1172"/>
                </a:ext>
                <a:ext uri="{FF2B5EF4-FFF2-40B4-BE49-F238E27FC236}">
                  <a16:creationId xmlns:a16="http://schemas.microsoft.com/office/drawing/2014/main" id="{9633FEF8-2B60-4B6A-A865-FF487AA9EE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173" name="Button 149" hidden="1">
              <a:extLst>
                <a:ext uri="{63B3BB69-23CF-44E3-9099-C40C66FF867C}">
                  <a14:compatExt spid="_x0000_s1173"/>
                </a:ext>
                <a:ext uri="{FF2B5EF4-FFF2-40B4-BE49-F238E27FC236}">
                  <a16:creationId xmlns:a16="http://schemas.microsoft.com/office/drawing/2014/main" id="{91E776F5-C44D-43C5-94DA-F3EB373B2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174" name="Button 150" hidden="1">
              <a:extLst>
                <a:ext uri="{63B3BB69-23CF-44E3-9099-C40C66FF867C}">
                  <a14:compatExt spid="_x0000_s1174"/>
                </a:ext>
                <a:ext uri="{FF2B5EF4-FFF2-40B4-BE49-F238E27FC236}">
                  <a16:creationId xmlns:a16="http://schemas.microsoft.com/office/drawing/2014/main" id="{F972984B-95FF-40DC-998F-331D20639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175" name="Button 151" hidden="1">
              <a:extLst>
                <a:ext uri="{63B3BB69-23CF-44E3-9099-C40C66FF867C}">
                  <a14:compatExt spid="_x0000_s1175"/>
                </a:ext>
                <a:ext uri="{FF2B5EF4-FFF2-40B4-BE49-F238E27FC236}">
                  <a16:creationId xmlns:a16="http://schemas.microsoft.com/office/drawing/2014/main" id="{F46EDF17-4956-4ADB-83B6-86286A7199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176" name="Button 152" hidden="1">
              <a:extLst>
                <a:ext uri="{63B3BB69-23CF-44E3-9099-C40C66FF867C}">
                  <a14:compatExt spid="_x0000_s1176"/>
                </a:ext>
                <a:ext uri="{FF2B5EF4-FFF2-40B4-BE49-F238E27FC236}">
                  <a16:creationId xmlns:a16="http://schemas.microsoft.com/office/drawing/2014/main" id="{47C9840A-411E-4927-A9CB-03201F9E02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177" name="Button 153" hidden="1">
              <a:extLst>
                <a:ext uri="{63B3BB69-23CF-44E3-9099-C40C66FF867C}">
                  <a14:compatExt spid="_x0000_s1177"/>
                </a:ext>
                <a:ext uri="{FF2B5EF4-FFF2-40B4-BE49-F238E27FC236}">
                  <a16:creationId xmlns:a16="http://schemas.microsoft.com/office/drawing/2014/main" id="{71294B97-76BF-4891-BE77-85DBD7F19F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178" name="Button 154" hidden="1">
              <a:extLst>
                <a:ext uri="{63B3BB69-23CF-44E3-9099-C40C66FF867C}">
                  <a14:compatExt spid="_x0000_s1178"/>
                </a:ext>
                <a:ext uri="{FF2B5EF4-FFF2-40B4-BE49-F238E27FC236}">
                  <a16:creationId xmlns:a16="http://schemas.microsoft.com/office/drawing/2014/main" id="{07C482C2-FE74-4509-A5BF-7AF3DF0A4F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179" name="Button 155" hidden="1">
              <a:extLst>
                <a:ext uri="{63B3BB69-23CF-44E3-9099-C40C66FF867C}">
                  <a14:compatExt spid="_x0000_s1179"/>
                </a:ext>
                <a:ext uri="{FF2B5EF4-FFF2-40B4-BE49-F238E27FC236}">
                  <a16:creationId xmlns:a16="http://schemas.microsoft.com/office/drawing/2014/main" id="{4D83E61C-1CBB-41D6-A0B9-3FC078F80BF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180" name="Button 156" hidden="1">
              <a:extLst>
                <a:ext uri="{63B3BB69-23CF-44E3-9099-C40C66FF867C}">
                  <a14:compatExt spid="_x0000_s1180"/>
                </a:ext>
                <a:ext uri="{FF2B5EF4-FFF2-40B4-BE49-F238E27FC236}">
                  <a16:creationId xmlns:a16="http://schemas.microsoft.com/office/drawing/2014/main" id="{F06D1A6C-13FC-492F-A7F3-2621F18516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181" name="Button 157" hidden="1">
              <a:extLst>
                <a:ext uri="{63B3BB69-23CF-44E3-9099-C40C66FF867C}">
                  <a14:compatExt spid="_x0000_s1181"/>
                </a:ext>
                <a:ext uri="{FF2B5EF4-FFF2-40B4-BE49-F238E27FC236}">
                  <a16:creationId xmlns:a16="http://schemas.microsoft.com/office/drawing/2014/main" id="{FDE29088-AF7E-40D6-AA4D-B17A62D91CE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182" name="Button 158" hidden="1">
              <a:extLst>
                <a:ext uri="{63B3BB69-23CF-44E3-9099-C40C66FF867C}">
                  <a14:compatExt spid="_x0000_s1182"/>
                </a:ext>
                <a:ext uri="{FF2B5EF4-FFF2-40B4-BE49-F238E27FC236}">
                  <a16:creationId xmlns:a16="http://schemas.microsoft.com/office/drawing/2014/main" id="{A96DE534-62A2-4F4D-A0D1-C46AD0BBAB3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183" name="Button 159" hidden="1">
              <a:extLst>
                <a:ext uri="{63B3BB69-23CF-44E3-9099-C40C66FF867C}">
                  <a14:compatExt spid="_x0000_s1183"/>
                </a:ext>
                <a:ext uri="{FF2B5EF4-FFF2-40B4-BE49-F238E27FC236}">
                  <a16:creationId xmlns:a16="http://schemas.microsoft.com/office/drawing/2014/main" id="{F6BEA20A-9ED9-4DB4-ABAB-080E0610BA0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184" name="Button 160" hidden="1">
              <a:extLst>
                <a:ext uri="{63B3BB69-23CF-44E3-9099-C40C66FF867C}">
                  <a14:compatExt spid="_x0000_s1184"/>
                </a:ext>
                <a:ext uri="{FF2B5EF4-FFF2-40B4-BE49-F238E27FC236}">
                  <a16:creationId xmlns:a16="http://schemas.microsoft.com/office/drawing/2014/main" id="{6483130D-3B97-48C7-98D5-005A9A917D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185" name="Button 161" hidden="1">
              <a:extLst>
                <a:ext uri="{63B3BB69-23CF-44E3-9099-C40C66FF867C}">
                  <a14:compatExt spid="_x0000_s1185"/>
                </a:ext>
                <a:ext uri="{FF2B5EF4-FFF2-40B4-BE49-F238E27FC236}">
                  <a16:creationId xmlns:a16="http://schemas.microsoft.com/office/drawing/2014/main" id="{BBDAF92E-C17E-4F50-8A7A-12598803C9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186" name="Button 162" hidden="1">
              <a:extLst>
                <a:ext uri="{63B3BB69-23CF-44E3-9099-C40C66FF867C}">
                  <a14:compatExt spid="_x0000_s1186"/>
                </a:ext>
                <a:ext uri="{FF2B5EF4-FFF2-40B4-BE49-F238E27FC236}">
                  <a16:creationId xmlns:a16="http://schemas.microsoft.com/office/drawing/2014/main" id="{CB92138D-C0DB-4846-A57E-4599CF4FC3E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187" name="Button 163" hidden="1">
              <a:extLst>
                <a:ext uri="{63B3BB69-23CF-44E3-9099-C40C66FF867C}">
                  <a14:compatExt spid="_x0000_s1187"/>
                </a:ext>
                <a:ext uri="{FF2B5EF4-FFF2-40B4-BE49-F238E27FC236}">
                  <a16:creationId xmlns:a16="http://schemas.microsoft.com/office/drawing/2014/main" id="{7C878489-3FBF-4089-8943-85CB87400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188" name="Button 164" hidden="1">
              <a:extLst>
                <a:ext uri="{63B3BB69-23CF-44E3-9099-C40C66FF867C}">
                  <a14:compatExt spid="_x0000_s1188"/>
                </a:ext>
                <a:ext uri="{FF2B5EF4-FFF2-40B4-BE49-F238E27FC236}">
                  <a16:creationId xmlns:a16="http://schemas.microsoft.com/office/drawing/2014/main" id="{A9A4121F-91F4-474B-8A27-8BC5A4545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189" name="Button 165" hidden="1">
              <a:extLst>
                <a:ext uri="{63B3BB69-23CF-44E3-9099-C40C66FF867C}">
                  <a14:compatExt spid="_x0000_s1189"/>
                </a:ext>
                <a:ext uri="{FF2B5EF4-FFF2-40B4-BE49-F238E27FC236}">
                  <a16:creationId xmlns:a16="http://schemas.microsoft.com/office/drawing/2014/main" id="{DE22183E-90CB-420B-BD58-E41A0F38C6E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190" name="Button 166" hidden="1">
              <a:extLst>
                <a:ext uri="{63B3BB69-23CF-44E3-9099-C40C66FF867C}">
                  <a14:compatExt spid="_x0000_s1190"/>
                </a:ext>
                <a:ext uri="{FF2B5EF4-FFF2-40B4-BE49-F238E27FC236}">
                  <a16:creationId xmlns:a16="http://schemas.microsoft.com/office/drawing/2014/main" id="{B2BBFE55-9C20-4A18-8826-5400C32C70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191" name="Button 167" hidden="1">
              <a:extLst>
                <a:ext uri="{63B3BB69-23CF-44E3-9099-C40C66FF867C}">
                  <a14:compatExt spid="_x0000_s1191"/>
                </a:ext>
                <a:ext uri="{FF2B5EF4-FFF2-40B4-BE49-F238E27FC236}">
                  <a16:creationId xmlns:a16="http://schemas.microsoft.com/office/drawing/2014/main" id="{FB473AFC-5EEF-4C17-92BB-B0A1D2C1341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192" name="Button 168" hidden="1">
              <a:extLst>
                <a:ext uri="{63B3BB69-23CF-44E3-9099-C40C66FF867C}">
                  <a14:compatExt spid="_x0000_s1192"/>
                </a:ext>
                <a:ext uri="{FF2B5EF4-FFF2-40B4-BE49-F238E27FC236}">
                  <a16:creationId xmlns:a16="http://schemas.microsoft.com/office/drawing/2014/main" id="{3B46CF93-5B6E-45A1-AB85-E7A0C4AA6C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193" name="Button 169" hidden="1">
              <a:extLst>
                <a:ext uri="{63B3BB69-23CF-44E3-9099-C40C66FF867C}">
                  <a14:compatExt spid="_x0000_s1193"/>
                </a:ext>
                <a:ext uri="{FF2B5EF4-FFF2-40B4-BE49-F238E27FC236}">
                  <a16:creationId xmlns:a16="http://schemas.microsoft.com/office/drawing/2014/main" id="{6F507279-0D4E-4A4A-AB36-7379228B221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194" name="Button 170" hidden="1">
              <a:extLst>
                <a:ext uri="{63B3BB69-23CF-44E3-9099-C40C66FF867C}">
                  <a14:compatExt spid="_x0000_s1194"/>
                </a:ext>
                <a:ext uri="{FF2B5EF4-FFF2-40B4-BE49-F238E27FC236}">
                  <a16:creationId xmlns:a16="http://schemas.microsoft.com/office/drawing/2014/main" id="{986A9C7C-6D7C-44EE-86FD-D68DA43E5BA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195" name="Button 171" hidden="1">
              <a:extLst>
                <a:ext uri="{63B3BB69-23CF-44E3-9099-C40C66FF867C}">
                  <a14:compatExt spid="_x0000_s1195"/>
                </a:ext>
                <a:ext uri="{FF2B5EF4-FFF2-40B4-BE49-F238E27FC236}">
                  <a16:creationId xmlns:a16="http://schemas.microsoft.com/office/drawing/2014/main" id="{BD90F250-4083-4A8F-B0FC-D1BCAFAA2D4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196" name="Button 172" hidden="1">
              <a:extLst>
                <a:ext uri="{63B3BB69-23CF-44E3-9099-C40C66FF867C}">
                  <a14:compatExt spid="_x0000_s1196"/>
                </a:ext>
                <a:ext uri="{FF2B5EF4-FFF2-40B4-BE49-F238E27FC236}">
                  <a16:creationId xmlns:a16="http://schemas.microsoft.com/office/drawing/2014/main" id="{E23AD109-7D44-4890-83BF-60A456A0BF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197" name="Button 173" hidden="1">
              <a:extLst>
                <a:ext uri="{63B3BB69-23CF-44E3-9099-C40C66FF867C}">
                  <a14:compatExt spid="_x0000_s1197"/>
                </a:ext>
                <a:ext uri="{FF2B5EF4-FFF2-40B4-BE49-F238E27FC236}">
                  <a16:creationId xmlns:a16="http://schemas.microsoft.com/office/drawing/2014/main" id="{86E4CC4B-EC67-4553-9EA7-FFA7B4F7F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198" name="Button 174" hidden="1">
              <a:extLst>
                <a:ext uri="{63B3BB69-23CF-44E3-9099-C40C66FF867C}">
                  <a14:compatExt spid="_x0000_s1198"/>
                </a:ext>
                <a:ext uri="{FF2B5EF4-FFF2-40B4-BE49-F238E27FC236}">
                  <a16:creationId xmlns:a16="http://schemas.microsoft.com/office/drawing/2014/main" id="{8098A2C7-6CB4-4D45-B865-D91560DB7AA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199" name="Button 175" hidden="1">
              <a:extLst>
                <a:ext uri="{63B3BB69-23CF-44E3-9099-C40C66FF867C}">
                  <a14:compatExt spid="_x0000_s1199"/>
                </a:ext>
                <a:ext uri="{FF2B5EF4-FFF2-40B4-BE49-F238E27FC236}">
                  <a16:creationId xmlns:a16="http://schemas.microsoft.com/office/drawing/2014/main" id="{ECAD7DE6-33E2-4E58-9693-3C61FD23C2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200" name="Button 176" hidden="1">
              <a:extLst>
                <a:ext uri="{63B3BB69-23CF-44E3-9099-C40C66FF867C}">
                  <a14:compatExt spid="_x0000_s1200"/>
                </a:ext>
                <a:ext uri="{FF2B5EF4-FFF2-40B4-BE49-F238E27FC236}">
                  <a16:creationId xmlns:a16="http://schemas.microsoft.com/office/drawing/2014/main" id="{D20B3CD0-0CA8-4B3B-ABDA-01324ABA1B2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201" name="Button 177" hidden="1">
              <a:extLst>
                <a:ext uri="{63B3BB69-23CF-44E3-9099-C40C66FF867C}">
                  <a14:compatExt spid="_x0000_s1201"/>
                </a:ext>
                <a:ext uri="{FF2B5EF4-FFF2-40B4-BE49-F238E27FC236}">
                  <a16:creationId xmlns:a16="http://schemas.microsoft.com/office/drawing/2014/main" id="{4F36063D-1ED8-446F-BA6E-51B4A5DB8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02" name="Button 178" hidden="1">
              <a:extLst>
                <a:ext uri="{63B3BB69-23CF-44E3-9099-C40C66FF867C}">
                  <a14:compatExt spid="_x0000_s1202"/>
                </a:ext>
                <a:ext uri="{FF2B5EF4-FFF2-40B4-BE49-F238E27FC236}">
                  <a16:creationId xmlns:a16="http://schemas.microsoft.com/office/drawing/2014/main" id="{78E91528-1709-41DD-B8BA-5BE8029BBF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03" name="Button 179" hidden="1">
              <a:extLst>
                <a:ext uri="{63B3BB69-23CF-44E3-9099-C40C66FF867C}">
                  <a14:compatExt spid="_x0000_s1203"/>
                </a:ext>
                <a:ext uri="{FF2B5EF4-FFF2-40B4-BE49-F238E27FC236}">
                  <a16:creationId xmlns:a16="http://schemas.microsoft.com/office/drawing/2014/main" id="{4609A48B-FD36-4B52-BE5D-37B860F713F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204" name="Button 180" hidden="1">
              <a:extLst>
                <a:ext uri="{63B3BB69-23CF-44E3-9099-C40C66FF867C}">
                  <a14:compatExt spid="_x0000_s1204"/>
                </a:ext>
                <a:ext uri="{FF2B5EF4-FFF2-40B4-BE49-F238E27FC236}">
                  <a16:creationId xmlns:a16="http://schemas.microsoft.com/office/drawing/2014/main" id="{9A83C687-53BE-4E61-92E6-BECBAAA22F6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205" name="Button 181" hidden="1">
              <a:extLst>
                <a:ext uri="{63B3BB69-23CF-44E3-9099-C40C66FF867C}">
                  <a14:compatExt spid="_x0000_s1205"/>
                </a:ext>
                <a:ext uri="{FF2B5EF4-FFF2-40B4-BE49-F238E27FC236}">
                  <a16:creationId xmlns:a16="http://schemas.microsoft.com/office/drawing/2014/main" id="{A78B503C-7FDA-494F-B068-629CF5DE52C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06" name="Button 182" hidden="1">
              <a:extLst>
                <a:ext uri="{63B3BB69-23CF-44E3-9099-C40C66FF867C}">
                  <a14:compatExt spid="_x0000_s1206"/>
                </a:ext>
                <a:ext uri="{FF2B5EF4-FFF2-40B4-BE49-F238E27FC236}">
                  <a16:creationId xmlns:a16="http://schemas.microsoft.com/office/drawing/2014/main" id="{AA3E5097-CB0F-47D3-958F-3D072902249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07" name="Button 183" hidden="1">
              <a:extLst>
                <a:ext uri="{63B3BB69-23CF-44E3-9099-C40C66FF867C}">
                  <a14:compatExt spid="_x0000_s1207"/>
                </a:ext>
                <a:ext uri="{FF2B5EF4-FFF2-40B4-BE49-F238E27FC236}">
                  <a16:creationId xmlns:a16="http://schemas.microsoft.com/office/drawing/2014/main" id="{B00FB8A5-81C3-4188-8C82-022AE5A55B1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08" name="Button 184" hidden="1">
              <a:extLst>
                <a:ext uri="{63B3BB69-23CF-44E3-9099-C40C66FF867C}">
                  <a14:compatExt spid="_x0000_s1208"/>
                </a:ext>
                <a:ext uri="{FF2B5EF4-FFF2-40B4-BE49-F238E27FC236}">
                  <a16:creationId xmlns:a16="http://schemas.microsoft.com/office/drawing/2014/main" id="{3290C098-6D9B-42BA-9FE6-BBCADEABD1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209" name="Button 185" hidden="1">
              <a:extLst>
                <a:ext uri="{63B3BB69-23CF-44E3-9099-C40C66FF867C}">
                  <a14:compatExt spid="_x0000_s1209"/>
                </a:ext>
                <a:ext uri="{FF2B5EF4-FFF2-40B4-BE49-F238E27FC236}">
                  <a16:creationId xmlns:a16="http://schemas.microsoft.com/office/drawing/2014/main" id="{DE553D05-9469-4E5F-9D66-50AF991EA5D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210" name="Button 186" hidden="1">
              <a:extLst>
                <a:ext uri="{63B3BB69-23CF-44E3-9099-C40C66FF867C}">
                  <a14:compatExt spid="_x0000_s1210"/>
                </a:ext>
                <a:ext uri="{FF2B5EF4-FFF2-40B4-BE49-F238E27FC236}">
                  <a16:creationId xmlns:a16="http://schemas.microsoft.com/office/drawing/2014/main" id="{EFF93C0F-A8B2-42E5-A682-7AC40BC767F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11" name="Button 187" hidden="1">
              <a:extLst>
                <a:ext uri="{63B3BB69-23CF-44E3-9099-C40C66FF867C}">
                  <a14:compatExt spid="_x0000_s1211"/>
                </a:ext>
                <a:ext uri="{FF2B5EF4-FFF2-40B4-BE49-F238E27FC236}">
                  <a16:creationId xmlns:a16="http://schemas.microsoft.com/office/drawing/2014/main" id="{C4010C0F-0705-4CEF-93FC-A5C23BB6D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12" name="Button 188" hidden="1">
              <a:extLst>
                <a:ext uri="{63B3BB69-23CF-44E3-9099-C40C66FF867C}">
                  <a14:compatExt spid="_x0000_s1212"/>
                </a:ext>
                <a:ext uri="{FF2B5EF4-FFF2-40B4-BE49-F238E27FC236}">
                  <a16:creationId xmlns:a16="http://schemas.microsoft.com/office/drawing/2014/main" id="{9AA480DC-CD77-457B-AFDA-C304948B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213" name="Button 189" hidden="1">
              <a:extLst>
                <a:ext uri="{63B3BB69-23CF-44E3-9099-C40C66FF867C}">
                  <a14:compatExt spid="_x0000_s1213"/>
                </a:ext>
                <a:ext uri="{FF2B5EF4-FFF2-40B4-BE49-F238E27FC236}">
                  <a16:creationId xmlns:a16="http://schemas.microsoft.com/office/drawing/2014/main" id="{5E237E86-9139-4681-B6F6-2994B0E528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214" name="Button 190" hidden="1">
              <a:extLst>
                <a:ext uri="{63B3BB69-23CF-44E3-9099-C40C66FF867C}">
                  <a14:compatExt spid="_x0000_s1214"/>
                </a:ext>
                <a:ext uri="{FF2B5EF4-FFF2-40B4-BE49-F238E27FC236}">
                  <a16:creationId xmlns:a16="http://schemas.microsoft.com/office/drawing/2014/main" id="{4620DB16-314C-449D-AEDC-BD32CFE61A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15" name="Button 191" hidden="1">
              <a:extLst>
                <a:ext uri="{63B3BB69-23CF-44E3-9099-C40C66FF867C}">
                  <a14:compatExt spid="_x0000_s1215"/>
                </a:ext>
                <a:ext uri="{FF2B5EF4-FFF2-40B4-BE49-F238E27FC236}">
                  <a16:creationId xmlns:a16="http://schemas.microsoft.com/office/drawing/2014/main" id="{D5EFB889-B638-4ED5-A961-9988B082E73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216" name="Button 192" hidden="1">
              <a:extLst>
                <a:ext uri="{63B3BB69-23CF-44E3-9099-C40C66FF867C}">
                  <a14:compatExt spid="_x0000_s1216"/>
                </a:ext>
                <a:ext uri="{FF2B5EF4-FFF2-40B4-BE49-F238E27FC236}">
                  <a16:creationId xmlns:a16="http://schemas.microsoft.com/office/drawing/2014/main" id="{1659899A-47BA-4060-B6FD-B83C595EEC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217" name="Button 193" hidden="1">
              <a:extLst>
                <a:ext uri="{63B3BB69-23CF-44E3-9099-C40C66FF867C}">
                  <a14:compatExt spid="_x0000_s1217"/>
                </a:ext>
                <a:ext uri="{FF2B5EF4-FFF2-40B4-BE49-F238E27FC236}">
                  <a16:creationId xmlns:a16="http://schemas.microsoft.com/office/drawing/2014/main" id="{8A3BD8E6-3484-4BD6-8811-5EC2FA1BAA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218" name="Button 194" hidden="1">
              <a:extLst>
                <a:ext uri="{63B3BB69-23CF-44E3-9099-C40C66FF867C}">
                  <a14:compatExt spid="_x0000_s1218"/>
                </a:ext>
                <a:ext uri="{FF2B5EF4-FFF2-40B4-BE49-F238E27FC236}">
                  <a16:creationId xmlns:a16="http://schemas.microsoft.com/office/drawing/2014/main" id="{0F151B98-9499-4232-9524-5579B7463B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219" name="Button 195" hidden="1">
              <a:extLst>
                <a:ext uri="{63B3BB69-23CF-44E3-9099-C40C66FF867C}">
                  <a14:compatExt spid="_x0000_s1219"/>
                </a:ext>
                <a:ext uri="{FF2B5EF4-FFF2-40B4-BE49-F238E27FC236}">
                  <a16:creationId xmlns:a16="http://schemas.microsoft.com/office/drawing/2014/main" id="{F41D5E5F-C18A-4586-8478-AE4E5F824A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220" name="Button 196" hidden="1">
              <a:extLst>
                <a:ext uri="{63B3BB69-23CF-44E3-9099-C40C66FF867C}">
                  <a14:compatExt spid="_x0000_s1220"/>
                </a:ext>
                <a:ext uri="{FF2B5EF4-FFF2-40B4-BE49-F238E27FC236}">
                  <a16:creationId xmlns:a16="http://schemas.microsoft.com/office/drawing/2014/main" id="{F7B7AF72-2FA0-4581-A0E8-D6FFD3E58D5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221" name="Button 197" hidden="1">
              <a:extLst>
                <a:ext uri="{63B3BB69-23CF-44E3-9099-C40C66FF867C}">
                  <a14:compatExt spid="_x0000_s1221"/>
                </a:ext>
                <a:ext uri="{FF2B5EF4-FFF2-40B4-BE49-F238E27FC236}">
                  <a16:creationId xmlns:a16="http://schemas.microsoft.com/office/drawing/2014/main" id="{494E526C-04CB-4FC9-B9F3-FB2C211AC50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22" name="Button 198" hidden="1">
              <a:extLst>
                <a:ext uri="{63B3BB69-23CF-44E3-9099-C40C66FF867C}">
                  <a14:compatExt spid="_x0000_s1222"/>
                </a:ext>
                <a:ext uri="{FF2B5EF4-FFF2-40B4-BE49-F238E27FC236}">
                  <a16:creationId xmlns:a16="http://schemas.microsoft.com/office/drawing/2014/main" id="{05AD68C4-64B1-4143-A758-ACE32C3189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223" name="Button 199" hidden="1">
              <a:extLst>
                <a:ext uri="{63B3BB69-23CF-44E3-9099-C40C66FF867C}">
                  <a14:compatExt spid="_x0000_s1223"/>
                </a:ext>
                <a:ext uri="{FF2B5EF4-FFF2-40B4-BE49-F238E27FC236}">
                  <a16:creationId xmlns:a16="http://schemas.microsoft.com/office/drawing/2014/main" id="{5B396326-0E9E-4ACE-9331-80FC81D9F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24" name="Button 200" hidden="1">
              <a:extLst>
                <a:ext uri="{63B3BB69-23CF-44E3-9099-C40C66FF867C}">
                  <a14:compatExt spid="_x0000_s1224"/>
                </a:ext>
                <a:ext uri="{FF2B5EF4-FFF2-40B4-BE49-F238E27FC236}">
                  <a16:creationId xmlns:a16="http://schemas.microsoft.com/office/drawing/2014/main" id="{145A550E-6A75-42B6-BB24-F0B0864EBC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25" name="Button 201" hidden="1">
              <a:extLst>
                <a:ext uri="{63B3BB69-23CF-44E3-9099-C40C66FF867C}">
                  <a14:compatExt spid="_x0000_s1225"/>
                </a:ext>
                <a:ext uri="{FF2B5EF4-FFF2-40B4-BE49-F238E27FC236}">
                  <a16:creationId xmlns:a16="http://schemas.microsoft.com/office/drawing/2014/main" id="{00368A9D-612E-4BEC-8FC1-9DAF44366A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226" name="Button 202" hidden="1">
              <a:extLst>
                <a:ext uri="{63B3BB69-23CF-44E3-9099-C40C66FF867C}">
                  <a14:compatExt spid="_x0000_s1226"/>
                </a:ext>
                <a:ext uri="{FF2B5EF4-FFF2-40B4-BE49-F238E27FC236}">
                  <a16:creationId xmlns:a16="http://schemas.microsoft.com/office/drawing/2014/main" id="{6BA31271-6AD8-42C5-A893-AE6C31A511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227" name="Button 203" hidden="1">
              <a:extLst>
                <a:ext uri="{63B3BB69-23CF-44E3-9099-C40C66FF867C}">
                  <a14:compatExt spid="_x0000_s1227"/>
                </a:ext>
                <a:ext uri="{FF2B5EF4-FFF2-40B4-BE49-F238E27FC236}">
                  <a16:creationId xmlns:a16="http://schemas.microsoft.com/office/drawing/2014/main" id="{D65BE45F-D444-4410-BAB7-73BD39E658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228" name="Button 204" hidden="1">
              <a:extLst>
                <a:ext uri="{63B3BB69-23CF-44E3-9099-C40C66FF867C}">
                  <a14:compatExt spid="_x0000_s1228"/>
                </a:ext>
                <a:ext uri="{FF2B5EF4-FFF2-40B4-BE49-F238E27FC236}">
                  <a16:creationId xmlns:a16="http://schemas.microsoft.com/office/drawing/2014/main" id="{29F261A9-126C-420C-9EA4-67ED759B93C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229" name="Button 205" hidden="1">
              <a:extLst>
                <a:ext uri="{63B3BB69-23CF-44E3-9099-C40C66FF867C}">
                  <a14:compatExt spid="_x0000_s1229"/>
                </a:ext>
                <a:ext uri="{FF2B5EF4-FFF2-40B4-BE49-F238E27FC236}">
                  <a16:creationId xmlns:a16="http://schemas.microsoft.com/office/drawing/2014/main" id="{AFAC0FF6-E883-49B8-8FD7-C2358F98F6E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30" name="Button 206" hidden="1">
              <a:extLst>
                <a:ext uri="{63B3BB69-23CF-44E3-9099-C40C66FF867C}">
                  <a14:compatExt spid="_x0000_s1230"/>
                </a:ext>
                <a:ext uri="{FF2B5EF4-FFF2-40B4-BE49-F238E27FC236}">
                  <a16:creationId xmlns:a16="http://schemas.microsoft.com/office/drawing/2014/main" id="{624438A5-BF66-4C8F-A432-2C270C3CBC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231" name="Button 207" hidden="1">
              <a:extLst>
                <a:ext uri="{63B3BB69-23CF-44E3-9099-C40C66FF867C}">
                  <a14:compatExt spid="_x0000_s1231"/>
                </a:ext>
                <a:ext uri="{FF2B5EF4-FFF2-40B4-BE49-F238E27FC236}">
                  <a16:creationId xmlns:a16="http://schemas.microsoft.com/office/drawing/2014/main" id="{74E78B25-F5B7-482D-BAD2-1DC3B9A7AE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699871BA-B86E-40B9-BEE5-DB64E1BE2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75D29FE0-215C-4090-A0EA-3EEA5836BE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6EE3CEE7-E0BB-4383-BB40-1816A0E8CC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1B127CB7-0AD4-44DC-B440-DCCF3F5290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C65021C1-327B-4432-B4A6-A9BC57BFA1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5F6AB2D-589F-4A51-986F-C7DCF6BFB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368E5183-A8CC-4DB6-92DA-3F9CA05B4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BA7B3FBC-5117-4C95-A18B-7715E2E74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C8FE4CB0-EC54-4CD9-8281-D410D25753A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2F37D881-C330-498B-93F5-7CE30A55F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112A7BCB-A942-42BB-A556-082328BFCE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14FD9695-C66B-457B-9441-7C64815964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FCF3C29-BF50-4C4C-BE6A-880EACCA49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6E2EA9E-169A-450D-8FF9-58826D61C6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D482D90F-6E3B-46E0-8420-53238CB668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94DFF267-1188-47FF-B427-D12CBAD31E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BD32BBFE-B177-4E04-B61C-CAC2DEBE6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BC67CFD9-F79B-4821-A7C4-287A9751A1E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BA6FC547-F153-4C02-A2B5-D56EC24EA0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78AD9BED-DCF2-45A8-99E0-87AB837DC6B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92B73779-BABC-4D3B-A24F-5BBAF49ECD5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10DBCE9C-8547-47A0-9ACF-2100C496FA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650CAC9-CCF4-46DA-B0F9-4063AB408E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71A9614E-A829-43A7-92B6-A4215EBCD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36329B10-E86C-4608-8565-449742B9546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AD89E026-C05D-4410-865F-A61240AE6C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7465BAD5-E770-45FF-992A-FB4C0E0969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889A3B8C-C488-47F0-AF02-8DA9D3CDE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343ADAA8-11AA-4841-8A4A-6E973096275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E43B160E-1509-4D50-A8F9-4AD314231EF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E2F95AB7-979E-4E0D-B07D-54BB2A50D3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BDCB0356-5C01-448B-84FC-1134676B0E7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8DB2C9C2-960D-45BC-BD1E-051F4253C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4A849C7E-7B2E-44BD-9303-6AA6D38E443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60BA16FE-337E-48FE-83B0-7BD9FD46015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1BDA043F-FACC-45B5-AA7F-9022A6CDB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5B620CEF-5E40-41E9-B1A5-0661CCF09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8BF24FB8-60BD-4A31-9087-243AFB6C91D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A652212C-9688-4E06-B010-B461142F0E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3A6215EF-113E-4BA0-8110-047CB86592B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5107F28A-3AC6-44F7-B5F3-D185AD491B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40611296-AC09-41CF-9B24-83A2C2CF0AB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6FDD1DD5-AEB3-4F02-ACE2-DC8BE893B8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94DB7AD9-90D1-4D0E-BCA4-896E65FEE8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D342ED99-B6DF-4954-9BD6-5DAE68E6FB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AC9908C5-8C6E-4E95-ACB3-DDB3DD8C481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38AF2882-49E4-4E64-8306-5E620C46C24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581751C1-35F3-4047-BD28-DFCE1BACD2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B0B3DDB8-4AC0-4C33-8968-50FA41680DB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C77ED86A-D1FF-43F7-868F-3B853C9159A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9E2297C1-23A3-4BC3-9A92-E9A11C5D0CD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599962F-FA02-4E6F-9DEA-E95AAA686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910715AE-C1B0-4593-9600-521697F73FA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119652B-0625-408C-BFB3-FA11DC5E1D6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A8358232-B609-45EE-B79C-522BA3D364E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6CBCC776-EC33-4FD4-9F49-76E60C54F0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2953FA8B-B2AF-42C6-A0D0-E95B234A4A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901B7E8D-619E-47DA-B9D1-E4E9721B9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FECFA6D5-5830-4651-BED3-F01E50F91D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F6D56716-2C76-473D-86B2-B90FB09159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F786EF8C-ACC0-495C-8C8B-FA84E40D24E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726EC07-46A2-42A5-8F0B-0F1327DC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78E38FF2-098C-4F97-8A24-D93C3E28EF4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ACB2817A-DF92-41A0-97BD-1EFC390B0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24512199-CEC0-47B2-A25D-5D094CA0FE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8C8D2352-06D8-4B87-A646-D28597AEB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8CBDE80A-FC64-4D19-B606-A3BD8AADEA9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A34D3C3F-ECA9-4C46-B77F-FC42E62553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D6D9B090-2396-494C-8128-40D6167E6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6E49F2D9-226A-42EC-B242-874E936C69A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8F2E221C-EC8F-492E-AAAE-2CC7D5D13F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F1EBCCD6-70A9-48C4-89DA-851480A75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8A69DC6F-895D-49BD-A944-A3844DA18F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B3B3CAD0-6E67-4119-B943-A108FADE5D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8F5F281C-D6CE-4251-8A1F-603E90ABF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466250B2-5E20-4902-B8E3-47453F6A76B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4BB47C3E-BF0A-4C23-A177-DC1F3E51F5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8CE030CD-E16E-47A5-81AB-76E0392DE6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EF9FC56E-F31E-4686-B247-C669153A2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8DFC39FC-DB92-47CE-976C-F7A49C7C7A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AB2B8AB-D6DF-45A2-A525-A04975D6DBC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65923CB0-528D-48BB-BA36-22CCED8DD29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ADB31073-60E6-41C1-BA98-B354E485F8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D6EAC7DA-EF1D-4F21-BBCD-1438E7F985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6D9B101A-9FB3-4E5F-B7C9-60205D139C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7A6AC250-8724-4E86-9B53-1E398A17F1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6D3ADE4E-333F-4609-BC14-192229B410B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52D10CA3-CBF8-4569-85DD-2C7B97360E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71328430-56DD-4A56-AA86-FF4899C1FE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C369400-2713-427E-BB98-627E216F8F8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E92FC953-5563-4398-9C03-613D0E8D2C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114E91AD-A7C8-428A-AE5B-DB56BAB48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2DF327BC-10BB-44B7-89ED-D0ACC732E0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DC9EFDC4-3720-4AF1-83F3-9234302D6C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A9425D51-3C24-4F02-970B-DFAF312B1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CD00F79B-6A41-4295-BBE4-990E1DD80B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EE384981-80DA-4537-A2D6-E38D0006C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EBD5DE93-BC79-4183-8341-AF036761C06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AB4BB3BE-3EBC-4FC6-A45E-BBA818ECB1B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C8060CC7-9061-4861-8955-8B035E739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E6B19007-0B4F-4458-903C-31F3D30717B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44B9E5C6-47A8-4564-A0C3-6779C283DF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7EF43717-FD78-4610-B150-9DEFE9B55F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A5D808CF-0D9D-47D2-9451-B24BB626A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C90CDAD6-6E30-491C-A614-516204F694D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1EE22264-4587-4740-A4FF-D0538AACBB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938BBCB0-F393-465A-ADC1-EE2D5B24BE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27E8E957-A6AF-4150-B51D-594759F579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7E354E69-5C1E-495E-A8E9-87A1B94E33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10F30D35-C57B-4B5D-9D50-6CB501C45D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BE90A16-8C33-4E23-B538-093A35F27C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4E3E86F4-F2E2-4F0B-8BB4-6AC2B2F1DD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D295AAED-B560-4E95-BCCA-FABF741AE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83D2E738-A977-4041-8F7E-DE971055F72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7B02A2DB-E6E4-42FE-83AE-FCD691FCC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632A29CA-4D3C-4148-BA3A-073D6CD9A3C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10E9BE76-FCEF-4440-8D51-95FE421EF8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3AB2328E-1019-4A5E-86CB-EFCE8A84BD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6007FFD1-63A8-404A-841A-9B8DC4E33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846AD1CC-28BC-4041-BA8D-13A4FDC1A4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984F0040-11C0-4384-BC4F-7614B6E1C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1216CC5A-CD06-4924-9761-D4C755589C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3B129588-4E7B-490E-B559-2E4B97D9C8E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A1673159-21C0-4571-B0BD-AA871E29832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82E21E2E-2AA6-455E-8D05-66A18CC35C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CA66092-C976-4EAD-82AF-BE0DB5B2154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DA52A61F-45CA-4B4C-9DE0-3AB059251E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51685D8C-7AA9-4366-B8F5-051148C56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F6F2E246-868C-44FF-AF5E-C164D114CCC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6E25D87-2581-4E18-A8A5-C98FFE3ABDF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C0A60F43-0D7A-453B-B712-9563623554B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FCA12661-CD4A-440C-AF1A-2F697A391C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16D6EAF-7AF9-4152-A0F3-B74942C9F2A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75D93FBC-6EC2-45B8-8C4A-C8B23D050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4478182D-22FD-419C-86AD-4EEF990FFD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4A256227-58E2-429E-AA9A-208382E44C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B278B410-818D-4A83-918C-612A0CFA6A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BAFCF9B5-C122-43C8-B613-467C299A361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16F7FAB0-A523-45E3-9F91-1E65092EB03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41E7137-EFC6-413B-AF68-B513CFBB3E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79296424-B8B0-4981-9E52-DEC7EBB862C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8978BB17-2615-4D5A-8753-34E56B988E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5D78514A-5D6E-4B20-B16A-9460C77060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8B237471-C57C-43A0-80BC-89892CA12A1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32396DF8-EDED-477D-9923-1CD7DDEF7A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EDFD3ED3-B1D2-44F5-B52F-D190C0AF86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B3E7FEF7-4277-4A47-BC67-BB73799248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D7531108-75C2-4382-98FD-486AB8D1A20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BD1FBE5-EF35-4DF7-8C23-2BF33A451EF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54A505E-9648-4801-97A4-BF0A50E2B8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DDFD73CF-CBCE-4987-A114-C6855BF70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81286A17-31C0-4291-B798-836DA92E4E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66F6FB0-79A0-4DDA-AF82-5705F907A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DEF97A46-EC66-4060-9B85-64B4B8AD9CE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E6CC950D-0F9A-4C21-AED9-E88BF8129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8FEA8021-A642-4845-8A89-3F16E4C6CA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659B43D7-3527-4900-8E38-C04D05E20BF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58D74EF4-034C-488B-B369-DB4B5DC1E3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9D9279DE-F61F-4E28-B41B-918420F46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D89EC0D2-231E-4AA6-A6AA-FE9C408AB4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8127881-AADD-40E1-9BFF-CFCB09600A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C5E4D09-ED70-4AFC-9123-176F31496D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54319BB4-4BA7-484B-908B-29FBD6C87A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D67C2F09-A47E-40B3-BA78-13FBA03D2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BD1D3023-5F46-40DA-BECC-395CF02948C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31AF1CB6-C5FB-436B-9313-1B7B6BADA5D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7E269767-955D-443D-BB1D-F3AFB39D1BC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C04FDB0B-0986-4B2A-9C4F-529FDB87A5D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4613DBEC-33FB-497B-B70F-6B1161D74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E104045C-62F6-42D5-A7E7-1E01E2852B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29ACB68B-F19C-479E-B1CC-2E4993E3AE5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FFF36A0-4C38-4208-8F85-EC778F28DA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F08BF779-779C-4A1A-BE6D-F1561AE80F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FAFC3BAC-60C0-4CD8-8332-AFD58D4E7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2F5A41F-B0EC-4653-8C8C-32D58EDD4B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8C08A457-8CE6-4B31-9A9B-8C3D34948B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1B2EEFAC-2EDB-4A39-9066-6568A606A34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1BAA754B-5446-4A2B-8480-F1D429C59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9B399D6A-33CF-4451-87F2-129D7BE241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2DA92E8C-7DB0-4036-8429-6178CBFF45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CB186E7E-0BFD-4B01-9D30-F6BCE70F985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61BA991A-14D9-4E16-8566-E4969012CDF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B65D6927-F9DD-498B-B643-A498C3E281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4E8FA8CF-9FE3-4E29-A0C9-70108425CFC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B45C4256-6554-4CF0-A5B4-B39BBE4E1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986DAB0-0E18-47EA-8601-9F649981B1A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ED40167E-4984-47F6-BE4A-F63924882FA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AA0624D7-4146-49C6-B311-83A2EF7B9D9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34BA5BC1-F098-4491-8238-E9EF324B6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4B1A0598-670F-46FC-84DE-FF1E88A91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5160DAAE-3DAD-4213-BE9A-B79679E3A9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CB123399-F8D7-4299-BFC2-A8B3E2066A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C7D448FA-85E5-4697-80D2-EFD71D0E842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2652B9C6-A939-40F5-A9C3-DB3086D39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5A8FC50E-5EBA-46C8-A126-6EF3CE5D0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3F77BB1B-DE71-4740-9CD5-CF15D387A6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BBE5CC27-F08C-418F-9758-EDE8E6DC44A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F784E04E-4AA0-4F5C-BDB8-8787466FE0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CC9E387F-9BBC-4A16-88B8-7307F54CD2E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AFCB1054-9E77-4614-9D1F-08DC9025EF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27D6926-162E-43C0-A5A7-F994EEEAB9A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AFD0E76F-FAEE-44F6-9CAD-3279995086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74CDB80-5764-4E8A-93F1-54A8CA4A4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14DAAA77-85E9-4F99-AD33-2120CAE0FD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9B3C18BB-8B0F-4D9C-8369-6AF9FF815F8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DCF28639-E391-41E4-973B-F0C3A10CEC3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8778A926-264A-4392-B16F-5C999BB9E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47A9C0BF-1669-4228-9702-6D5359D1C3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BEC029AA-71B3-4224-887D-A53839FAFB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183C75D0-32EF-42E2-9E40-84DC1768AB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95EADDB7-A905-46BF-9176-94D7C3C2BFF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E30AF2AE-FD72-47D1-A7F4-AD208D032C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D6218A70-A8A9-476E-A381-033D2CBF27D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13EA2459-1836-4D19-A228-9A5A62DD23F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4F460707-5FA2-4260-B1E5-97947CFB68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6616BE05-697C-46FF-8D78-F82B495AE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3FDC434F-C3E9-46D2-A007-11087E0D2EC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BCADCBE5-0F00-4D0E-9BDE-9649A7F53CE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8FDC884-F939-4A56-A775-A60B5ED0132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EF67402B-3371-432B-8332-38EFFE2E1D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CEF6E20B-5621-4089-850B-121DB760DC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668E4717-93E4-4CE2-999C-B9F37C8459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20C7EB55-864A-4444-ABAD-64587CF608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92EF44AD-5811-4A5C-AC12-6A772676CAE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52868225-F468-45F8-A2B8-06F176A75B9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1B1058C3-0749-405F-AF4D-B7F29EA5A88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9AAC009B-1641-4D37-928A-8439915B84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B11CE82F-924D-4238-BCC6-CADE0BA6893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EE2EEA5B-8BC3-4CE9-BF5C-F001D670C84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2701903E-A540-4663-B217-0902F54D2F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3A58165B-C1E5-44BE-A9F6-2D774F8578A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C19AD3A-DC36-459C-98FA-817C9B52B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9F1F6CB8-4E6B-4A0C-95A1-41B3B9E662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4C5E9046-4B9A-4304-B11B-78D3E61A3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B6944DF0-B40C-4F23-8066-A33B007913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BA8C245A-021D-4D31-A996-BBB1ED9D3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AA67B164-D9A6-4D47-8FE8-39D51AA31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CCA63B1B-6772-401D-9F2C-50AEB60C609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12993001-2C92-4078-B85A-7F77F35D3F0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E4BE46B3-418F-40CE-ACD3-77C84DA10E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430615B9-C024-440C-AF50-6207EBAB569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E5173944-4B55-4433-8D93-C267018DCC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A2DD55B9-EDD5-4D9A-8326-E4C38CD59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CD69143D-4DF3-4B1B-AC53-DB07EB71E51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A655DE5-4EDE-441D-A853-8B892785E0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AE3607D5-0271-46A3-941E-AABA28627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44E0F798-337F-4A82-9588-E1067D36F5B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692C42D9-31BB-49C2-82EB-41F4FD7BF8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349FE62D-2ED5-4F53-9F7D-40CAB0509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8ADF29B0-0326-4FE5-8477-4EA0848F66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975F31C4-1341-4160-AB97-6AF5A8E3CD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2582E442-C6CB-407E-B6E6-0D8C70D54A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8CCE40E-E0F9-4A91-96F8-6DFDD5A53E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D45C406F-AAB1-43F7-8681-3A824AACF79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2982A8-D79A-4C82-8ED3-0F397CED1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8DEFB4BC-E210-413D-A923-BEB5D94C4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71BC2FEE-D7B6-40E1-812A-10AC9F9FAB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4C4D425E-47DF-4EFA-B9ED-7E35C03A2D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B8E10257-37D8-492B-86AE-12C40169526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8BF6727D-785D-441E-817A-1130F4380C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36C405E-36A0-4397-ADB1-F0FEE3A28FC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EE867A8F-EEDB-466F-8445-F9CEB7133C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E35FB127-25B0-45A6-973F-16448E0DC0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687FBDE4-4A13-4193-BDAB-31DD80E876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C4623529-589A-4649-B51F-B68B9124A8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8B21E410-F882-42F3-83AA-A08F28947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F5886B11-C730-47D9-A3D8-B243182F8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AFF8F6C0-8712-4893-82BE-B6ADD92BB04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77F78215-B285-4DA2-8323-9F8008E382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925D158B-765D-4F80-B995-F6BD1BBBA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A2075BB9-D07C-46BF-9067-F8697F8AC5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87429C8F-F32D-4B9B-811B-9DD0236025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4689225D-2725-41BA-85AB-A0B059F03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47E94DF5-4AAB-4EE6-817E-8ACB1FC2AA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2BA96370-74CE-4B26-A3B2-ADF85F2CBF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5475C89C-8AF7-41C9-A30D-5A246FC076C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8C4CD68A-4833-4DEF-93AC-F94A35E7E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B8FBC558-B434-467A-AE07-7C698D714F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F06F40D3-8DC1-402D-AFCD-C21D95BC5E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8439A51E-6A05-4EF5-8A8E-ADBFC6BA79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61366F12-6A41-41CC-90F5-4F577D6ABF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233468D0-E39E-46B3-A352-9F9D786A78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53CB974F-8053-4F90-80A0-A98F422A2A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21DB6F44-5E28-42E1-BEAC-5CC841934A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FAE8D258-1DE8-4638-BDDD-E6D564B250B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33CFABFA-8605-4D4C-861A-A6484EE5BC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CBAA8A9C-A4F0-4934-93EA-D3BD9D277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92EE3C27-D176-44BF-AE9A-F224D1CC2F3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59831A9A-1634-4D0B-9524-9B6B200D7C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623B3844-7CA9-45E4-A3E7-15297505D5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FF2DD763-479A-4FB0-B085-B555A8FA1E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3DA710CE-F362-4C65-8099-4D21F2DFD14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87950D11-29DC-4B5C-AE64-E65112ECA6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3957D558-786E-4170-B232-AE1B051671F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4564CDEB-3F2B-494C-8D7B-96AB6F93F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E7DA1E14-D447-4690-BC8D-80E4762F52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584BA406-E69F-46FF-A364-EE22F43438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ED54D59B-EF54-4BE9-9D9E-AEC1A44735E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51863DFB-BCAC-422A-B776-C093D02087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27CBD05E-0A27-40BC-A193-6307A68722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E150CD46-443D-4E94-AAF9-A811F6EBDDD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CFC9777C-FD0A-4D56-9B72-B6087CA38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8B62ADE7-DCF0-43FF-B4DE-1E8B5A6C2AE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5697994B-D7F1-4FA9-A527-DF4288068A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EA1EA95F-C7C7-4B7E-95C0-0F524959D9E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9E19C2D9-EFE0-423E-B102-682A53CDCF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CDE97DF4-13FA-49ED-9F8C-B1727D975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C170938F-AC0C-42F3-A69C-4A23994015A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B29F5AD6-3323-4572-8DB0-8DE5B544AB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3DB19D83-EB38-44F2-AD44-8076CC5DAB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15E6733F-D6CE-47B9-80D5-3BD5215F595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6CFAE46B-2D8F-4D82-8A95-3AD3A9DA685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DB2A2108-BA99-4484-9F82-93C770ADCC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CEA73A65-8961-4385-951B-25B3D0BC5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CA605AD4-0C4E-4E7E-98B6-6E0BC817D1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B0879EF9-9084-44F9-BF8D-908A372A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E19EA47-DB69-4A96-9E23-BAB8B5EC41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60CA2137-0AD5-44D9-A0EA-1E72AA90DE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BE411CF-F5DB-4329-B048-9A0318D1B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AD9063D3-813D-45DC-9E1E-346D13D3D4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7B12E6D0-1170-4A3E-B94D-8390489AC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27BC762A-2156-4AE9-97E2-272A7D1E54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32EB3864-9BD7-4F45-9E06-6A83F4BE1D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F20306B2-D8A5-4D2E-960C-C732BA6ADE8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717CFFE9-F8B2-41B3-BF74-B94C1AFE2F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B545A112-6B60-448A-B9D9-B14CE9982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334843FC-4979-4A0D-BD02-2D819489AAA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6FE6AC50-67F1-4069-BEF9-BC897737E1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7006A245-ECAD-4923-883D-BC83A855CC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671B6335-57E4-46E0-8933-0DB604B43D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6CD5B3AB-697A-4024-ADF2-81A543075BA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DC711BE-4C6F-4FFA-8AB4-051AC3AC99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A749321C-0B3A-4FF7-9142-69D615900A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92D4B986-7949-46C5-A936-1E2F44DE38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BEFC5DA2-0816-4887-B120-E66B87070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750477E5-E64A-45CF-8DD6-4931437EFB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BB2CEF48-CFFF-4D3E-872C-7F55FCB0684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21E7CC71-A390-40EE-A862-CBC5BA45D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FB091396-4F65-4A6F-813F-2050E2EE3B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2F7B2356-2DCB-4FB7-BC30-3D4ACCCD6D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F49F6C94-1769-48B2-A271-67D1BEEE00E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704935D2-7B57-4827-A235-6E1438D92C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A0893E96-F77C-4D51-940F-034DC4AC938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815D4B03-AE80-498D-9662-02BFFD3AF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2DDB17F4-72A4-4C39-9981-BC32239846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865C18E9-6440-4E27-8ACD-581BAB06B7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E946E17F-F78E-4410-BEE5-339C2EEBFCB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A0FC5534-92D2-437C-BFDC-F2C414D7E0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6AF9BD6B-12B0-48DF-A686-B2238853A4F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A7821062-8509-4D13-A5F5-74097D057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63CB3350-5FC0-495C-904B-4EFE194CAE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A918089E-BD46-42BD-9881-0145B768D0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9CD9524C-AF99-4CCC-B229-88A6A7896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C63FBED3-D8D1-44F5-A224-FA9D62BD0C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501109D2-2620-4E96-9E9A-C18BAD85F5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52FBF2BD-ABAE-486A-A3F0-348B02C86B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9E01B3CB-4BDF-4404-917A-65A39385DE0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4082F070-2DD3-459C-928C-AC03274B34B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DDB4524C-A27F-4017-AD22-AE062697F8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90E1CF78-3CEE-4E8D-B20C-D9C026325C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EBB38200-383A-4ADF-86D1-CF5431BDA1B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F49DCB0C-8E3D-42DA-BE8A-0C1ADC85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8136FAE1-AD50-469D-85A3-CFD9EBE3BC6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FDE63A1A-15D5-4928-8EC2-FC552F4A9AF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68DC63E2-9F42-4C04-BE47-DFF8BB391FA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A613EF2C-B005-4746-80BD-530FDB64690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AA6CACEE-C9FE-4479-81A3-DBE649F065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337842FD-11B5-4A74-944D-E7204DDFBE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D297D6CE-978F-4A6C-AEC4-334DAEC7B8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A42F8623-D827-40AB-9416-F1AA8C4C8E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6598865A-8268-4896-B562-18748EE937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4B9AC7DD-3ADC-4742-9D7D-5D8CD11160D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B05663A1-8564-4F13-B415-9583B4BABD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A3BA2396-6FA8-400F-BA29-E9DAD4DBD1A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D87F22D9-87A7-43C0-A085-C32C99304EB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F1F866F2-A21A-4247-A47A-CF784EB090E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7ABE8F06-BD31-4443-8AA2-0AC967FA8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D17AF228-30C6-44EE-AA3B-7F2BA3B48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9CDBCA0-981F-4CE2-B46A-E7B81038655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7099A79C-BC4A-41F8-982E-092E52F55BD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772AF898-7445-4879-BD4F-685121B90A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6D3A7D93-B680-4980-B9F6-A80032A95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B9EE783A-385E-4CA1-A49C-DC1F191B5D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AFDA5527-9136-471E-9B58-2607DE26DD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DBBD829-786A-45CB-8F65-94A66F2E8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C213E863-CF58-4378-A8EB-52438D237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C5D4C313-7568-4807-9836-357D31C4E56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F46C8DD-2382-48AA-A522-1164F074D66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C564F0F-C52F-4737-9C44-4C155189F5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2E53ABC8-D73E-47C8-8EA5-6617AC7C3C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2AF99FD6-9CF7-489E-BE7B-1AE2D6BAD2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E9FD8416-E4DD-4BD1-A7F8-D1A895065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6746D77F-FFB4-4885-BBB5-571629FA91E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23984C-3C36-48DE-916A-202283D49E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86AEA8CF-16B1-4A3A-A34B-2411D920FB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14219AD4-82E4-42E0-962F-F7AEFF4FAC4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91526173-A668-492D-B87E-E5DA26ABE0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4F54657F-8398-449F-A1FF-EE48B89BCE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C8348823-3D2B-43B6-A308-6CFCEFC20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566DE716-8E91-48E2-BE62-8AB554991E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D04ADA2A-B7EE-4CB9-A505-8EDD3E633C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F500787E-7700-4EF5-B538-FD806C1AC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112945E2-2D84-49DE-B5E7-E5BA3DBBDC0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841C8BC3-DC9B-4AB9-A854-4A10C82D7FE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CD899EF0-9C65-48B1-BAD2-FFC083404A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14A660E7-5AF9-4570-BC6E-328D9C168D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6E4F8BA6-CB2F-4B37-909E-7E0308E622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94AEBB1C-6AD8-4F4B-A046-D0DE984124B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C36EE83-07F6-41C8-95D9-3C51A729D5C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B081F857-AA14-48ED-906E-B4CF7B525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56CA03D1-A147-48CC-93A5-FDBFA295F4B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2145D8-A2C4-4CEE-9EB3-BD48BCFBFC9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FC1FF985-6C6D-44A8-BB35-7FE97A99FF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D3F2828C-0B8B-4A50-8554-F2F9CFC24B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205F81DE-E838-4D3E-ABE2-444D3B0C8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D37487AA-FDB6-480F-A8B0-4650A982FE2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950D3AAC-1DD1-4CC5-81D0-948CBECE7DC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384335EB-26CA-4550-9DAE-BC84410F06F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77926CFE-C66E-458B-8A85-3119D4F3EB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EAA66A3F-D0A9-4B32-AE8E-B9012BC5D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850F39A7-B8C7-40DD-9245-E851FCF381F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1450EF39-E057-4EAA-8DBC-82CA6DD2C7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B3D0B94D-175B-4753-8207-7D11CF070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6459ED83-BAE9-47D1-AF08-1EEDBC8117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C01585C8-164C-4047-ADE6-F6C84EA148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EF477A23-0882-47A2-A221-99720886BB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18EE04F2-1D28-4A2D-83AA-1E0B1B8B0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C1CC6ACA-C0BA-4AA4-99A6-CB1A5B25C3B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73C0D3BE-1FEE-4878-9FC2-6F29A6EC080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2029301F-D33C-4DCB-B4E5-B98CF104AF9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1E9F740B-D33A-438C-AD48-F655C502F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5416C3D6-5C8E-4C82-9427-B131DA653D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D135FD92-16C9-4563-AACE-7120ACECB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CF85DB63-1EF3-45EE-95C9-796FC6623C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715FCB71-9475-427F-8746-C67B292E34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9F2BD97B-F7BA-4BBE-B3E1-502343A9C1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A41353EF-D33B-4DCC-8DFB-3C5E0D10E0A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9DFFA86-6D8A-401F-8F66-9005284B2F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B996306B-8F9E-42A1-97BD-C6A0AACE66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5F50A5BF-E3EB-4DE7-A02D-B72664AB590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AF26326A-0A1C-499E-885B-95EEEAE28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E772E25A-1F9D-4CEF-943E-D55BD476B4A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568B343A-33C6-426B-B7E1-655E195C7B5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716AE7D-7BB2-46E9-B5EB-4FE7177768F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36BFABAC-92A8-4DFC-B869-CF0A90C288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BC106B63-48DA-488C-A5FC-6720DDDA5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E96589DD-4EB5-465A-8BD9-6E5A06F3A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A02FB46A-2F59-4ABB-8EC7-666E7E7CDD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8CB25057-7754-4F35-84BE-B305EB2A9D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8DEDA0DC-47AF-4702-9572-D3D0D64F06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C9AA5F3-1CEE-40C2-A3C2-95992ED2BCE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CC84EDAA-5341-459B-BF32-7DA65C33DAD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6245CABD-6C74-4955-84B7-634BBE71BE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5BF4C37A-9F6C-4DB1-9932-66286FD0FE9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B8C5AC50-64E8-4420-9052-7A257731FB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EF0B1-7DD2-44DF-AD7C-52F24B4716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91593658-EB5D-4E6C-AA4C-40BBDD74A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FF08CC8B-209F-4D9F-B501-69A4902E1E1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8498B88F-919F-4033-8591-1292FB2B8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BC232E81-2654-43E2-9AE3-6A383B1D30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CBA54694-DA58-4F1D-96B4-16D7430864E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2AB9929F-E013-4DCC-986E-41BABEC9A4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ACD3CAA7-EFBE-44E0-864F-6A7230C2C81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37A7B45D-2AB0-443C-B849-22F43690CC6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97C51DF7-4893-4079-AC3C-00AB82B9BA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46E6E94E-3019-4D0C-9242-856AE754EF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AA337560-465F-4CEE-A745-3903A5F85F6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90DEE41-6579-441A-880D-BE5DDD86F00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875139FF-B538-4456-8004-98236551F4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D5C17C26-C77D-459E-A151-379B8A54C98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6EF5F621-9C4D-48CE-BA36-9422A8A643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4B798A0D-6A93-4E64-BBE9-DB7C98F5662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EE6CDCA2-CBE3-490D-B70C-6671594799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9D1C4099-8C11-42C7-9884-D0FE27DD4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3D8AF5DE-514F-4DB3-9518-A8D8736D9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D6C76AC6-03A1-456B-A025-FF355557A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3C26735B-3D46-4405-BB36-1822DA355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FA0EB701-5103-416C-8D0B-F024442E65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28D34358-3877-4451-AA35-CD826F0EA5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D6BC4249-5CA1-40D1-99F9-E5DCC6990FB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117D11DE-17D7-48C4-8752-0587B20B6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157EE45F-29D8-455D-A7A5-BC403103DD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2340DD81-DC2E-427C-AC2F-58E43163E4F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49507081-F591-45B5-81AC-6B3FC49E0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DAE5CC32-8E06-4D16-B0F9-DB229079147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C17E0ABC-E414-4CB7-9BAE-0A59DDF75CA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8D65B4A8-CA61-4EC4-A2C4-2F04A59336E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6C8F4FA2-0D1E-4533-A343-0F089101AB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F7343BDB-3D0F-4A0E-BB25-77B34E2AE8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D951AC04-F8D4-4613-B56B-276F6F0A5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D8BA3199-9DA6-46A3-83D3-46125974CF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A74EB1C5-D5B6-4DB9-B988-04C6F5051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1BFF0A28-9D26-4CA8-A3FA-129FD115690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F57B3CDD-895A-4044-B101-BF826EE11C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94BA5EF9-E57E-460E-913A-90A321F60CB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C43023E2-C632-47A9-A6A8-9A3F87466B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EB25B82C-B901-42B6-91B4-D94524E6BC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B0E610FB-6D4A-463F-9C08-78FB574F6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8BC44FC0-DCFB-429D-AD8F-7745887B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77E15332-8973-4537-935E-3399C0F55D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1F8DABA3-E8FF-452E-AE64-9FBC3138725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61E7E8B1-2954-4D38-AD59-F4F36DD668F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D447F5AD-151D-41EE-8C25-BA5B54E40D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BAD34610-CDD2-4E2C-AE72-48F658AD13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8B88858B-3140-4F98-83C7-51DB6446CBC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310F4B92-CA6B-4C5A-A0BF-FA57651756F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9F0C4554-D96B-478E-8F4C-4940A8A98F0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ED26B454-CE35-46F7-A2C8-A6DE7E1E0E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BFC9D7CE-2F35-4A33-88FB-3A8FC3840A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188CBBCE-6C6D-4421-8FFD-89DD88A1F06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A97B3A4-BA43-4A6D-9A90-EF1AA3CC46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BBB9967D-4768-4BB5-A5C6-6F17F26A2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8F1993DE-3A55-421B-9E7B-BF4199E23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8E632001-C37E-42B5-A55A-F169FB088C6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D6248EB9-9047-47F6-9D98-7EA72CD365A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FD0748AF-1EC4-4A1C-A683-98A8B669D5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1F25D15B-C676-4852-8B89-23E9A5A9B9E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B3263AFA-3650-4D5D-BD71-EEE650C977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9A028FA6-1504-49C5-81AB-56D0AE0C32C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CDD2352B-34DB-4B1F-9987-B65C399B4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91A47082-458C-4354-9219-DAB99F5D90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B47A7340-7BD3-4FBC-AEB7-79705DC90C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B280EE68-6364-422E-BFE5-FEFF1B71D9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9FFCB602-C049-4471-96F1-8F67D3873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A791C122-89BE-4381-9939-0056BB1029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EEB34200-077C-4AD5-854D-0D2E3482C5F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1B3B956E-7958-410E-90C6-405BCC54E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FB907D13-9B2B-434C-9515-FF9AB99B0FB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7814FACB-A3C7-4988-BB5A-4E095D98F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996CF92F-04C2-4D4B-886F-5CF3C390BC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956CEDA8-3505-4CB3-B1A4-4E61874560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6E0D2DC0-03D9-4ADA-BD44-50C55324AF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5C80B663-723E-4AF1-9224-4F47D7F4B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A192DEFD-0670-43E0-934F-549578C77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72C4A98C-3C68-4980-858D-C248732BDB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EFB6857C-1D94-4111-BC27-869457C70E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60EB65B9-AFF8-45E0-B157-984B49719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B05EB211-7437-44E0-8BC7-C11298BD1A9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B62F548-F4B8-4B08-AE15-EB4C7003776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A45A1FD2-35ED-4E0B-9B48-18F70A19665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DFD805F-1478-4061-B1EE-8E6A36D04F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690CEFDC-C1AA-446D-8F2D-B4E6842E7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743B9754-2F70-4B61-82E8-9330A3AFC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C5767009-37E7-4547-8A58-B180D5930E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2D8CF777-2886-48EC-AF31-A3A041CCEC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B81C1EF7-B5BF-41CA-9ED2-C33D7107B51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77EC6E9-1F08-4E2B-B4D4-3E1A2CA4DF4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1EE3F7D-88DA-48AA-84A4-4376F7A328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F6806119-BCC5-4ABC-BCA5-DA8C80548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2019</xdr:row>
          <xdr:rowOff>0</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489D522A-3700-43A1-A344-BC698B0A6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2026</xdr:row>
          <xdr:rowOff>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BC01E5DB-3A19-45A8-8825-866F260FA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B89CBFFC-6B1B-4002-A39C-C01D742D9F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B072063B-98D6-4CF8-B6B4-CF553FA453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CABDB708-43B9-46A3-8724-F7095EDD1B2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E87FA76F-1256-43AE-B627-881EB1BEC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C22EDF1D-BDF5-450A-A5F6-00A2B37CC2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2040</xdr:row>
          <xdr:rowOff>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D4C360EB-55AE-49BB-B2BF-518C828F7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BBDE23AE-C47E-4234-8EC5-2A3F454231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F8FF0BF1-2BFE-48C8-8AF4-B0FB3E1586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A77A78FC-6B46-46A4-8E8D-70B3A380E51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50ADDEBA-9D43-4177-AE28-97AB3F099BD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8B78A43D-0458-4F81-8060-E12A3F08BE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C8141139-3358-4BF5-A748-9E93EEA06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D982D537-E1DE-4DBD-AAAB-7D0ECA083C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2058</xdr:row>
          <xdr:rowOff>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DFE31C76-63B7-47C9-A170-E7050B278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4E60A93A-F177-4EC0-B80A-245B699AE7A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A8D4FBC1-7843-4036-AE84-078279B9B6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2C0C3932-D67D-4CA3-8CC3-028D299CC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2071</xdr:row>
          <xdr:rowOff>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4034FE2-C5F5-41B3-8545-84ACFFFEED9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2078</xdr:row>
          <xdr:rowOff>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BD08A69B-9C01-4EFC-9319-AC4C41E7CF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912C0B0-9648-4814-AC9C-265376A7DB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97476549-B16F-4275-9F88-2FEDAE490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2083</xdr:row>
          <xdr:rowOff>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8A331283-9402-4E52-A902-8102DF02F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2090</xdr:row>
          <xdr:rowOff>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BA732266-B26D-4CB3-9355-7320B715D40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25E97EF-FDD0-451C-9450-CB4544E46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FD6BA45D-CA5E-468A-923D-E9995EEF7E6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2095</xdr:row>
          <xdr:rowOff>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A04278EA-184E-449D-8CAC-93499045B0A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2102</xdr:row>
          <xdr:rowOff>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B8477675-8D5A-4BE3-A4BC-17B21E3A8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CE69B2A7-10FE-4F7B-9CFC-65F86251799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8B034AA8-0DEE-4B1A-8DD1-093F32606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3368EC45-2B62-41D7-9C88-B5D5E45930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73E483F0-4EF9-4051-B8DA-7559BF4079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2117</xdr:row>
          <xdr:rowOff>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FC6CDE4B-E875-4AD1-AAE5-ECFB848D20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6BE016DD-4636-436E-899D-29093A601E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DA9C02D9-CAB7-42A5-B206-4B7ADB1F74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2128</xdr:row>
          <xdr:rowOff>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9A4F7630-27FA-4547-B1DA-C6305232B1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3335AD76-6520-4D45-A45D-6346EAB98E4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BF8AE02F-1732-4BFE-A2FD-68CF1235CA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C6D89E1A-4526-4A79-8385-EB13A2E934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A8EF6C57-BF96-4351-9746-A4C7754AF7E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EB9F6828-D5DF-4201-836E-FAFCC4388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DC3DB5BA-3928-40A5-B7FD-EECC4C6C13E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5D3628D9-8529-47CE-9072-4566913649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38805F1A-08EA-42E4-B5E6-0D3253B75DA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BD0109C7-4876-477B-9A6C-A7DFD0C683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D1DE8AEB-5009-4595-A4AC-9F389CB4D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2153</xdr:row>
          <xdr:rowOff>0</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93C255B3-0C06-4479-9550-69FC5A12CC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B5A0A2BF-0F09-4077-821D-1EB2BAF904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5A82FF35-18D0-4A6C-BDF9-3BCB1B0A2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8A29C199-B4D3-472A-BA68-CEB00F38A0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7EE6DC71-4CF5-4C3E-86DC-A9677F343CD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2168</xdr:row>
          <xdr:rowOff>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A47AE6AA-E307-4A33-A9E1-165521C1AD3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2175</xdr:row>
          <xdr:rowOff>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88CF057C-C53B-49E9-8E6E-CF37F2A57E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53A645AD-3477-4D08-9ACE-6B16FCD95D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161925</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FCAF6863-C341-44EC-8EB3-BE6B89B163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2180</xdr:row>
          <xdr:rowOff>0</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2E411B39-FE14-46BC-8455-78BC514F3C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796353BE-4011-49B9-A11D-30A9512C4F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66E8F4D3-DDD7-458E-883D-7BE3B5BA97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6BE1E9E0-36B4-4E51-82A3-20B2B2E7E8E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4756BEF6-0A63-45E5-89E9-EDDEFBB57C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973AA819-EC28-454F-AEF3-8386D8D6426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2FC17A9C-5A7A-4043-832F-6E5F1ABEDE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99CC35CD-F2E3-4CA0-A373-BE43FF48875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A41B055A-C475-4FBD-BEE8-47B883BC7B0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F7D62712-800F-4376-AAD4-3606498FEEA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95DA0C41-9F0C-4B24-B371-A9D92899D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931E3487-C2A1-42B3-9332-31A81F1077B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8D35076-74D1-4C28-BB49-9066F8A575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B70CD94E-7A27-4519-8ACC-DA535E7199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959E62F4-59B5-4728-B1FA-96EDA2599F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FDC00858-A29A-46FF-A3DA-2D4EE45C24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55A4A426-7196-4F08-A654-80348EA3CE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62E62DAE-4DC2-4DDB-B847-E7945A38B8D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3CFC471-00A8-406C-8A8B-05378BA4A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6DD6299A-A26A-4DA1-A736-E36C8604CA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92588D11-B579-413D-B4A1-B41CED2B9F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37F5266A-8649-4EDD-B8E0-5ABAC12F17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CCE275A-11E2-4BE6-A4F6-43CB3AE39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FCFC57E3-DDAA-4625-95A4-845D61336D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D7B8232E-1BA6-49BA-A3CB-505682F12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5C7C7C4-F016-447C-9317-44C3D3CAB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1027204B-E697-4025-8EAF-AB377D6BAC2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856C47E-CF7E-4457-A4A1-BF7D36F3F3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7731BD9B-8F29-41DE-B3EF-28EA620EB8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2227</xdr:row>
          <xdr:rowOff>0</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7115E118-44F1-4533-8D46-A45076123CB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D98CFA0E-D283-4E6C-8E2F-F8CA43B57D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1454013-E3C8-4054-A5F3-30005DDACB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852F86E9-3034-4C7C-96EE-C6628461BC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2239</xdr:row>
          <xdr:rowOff>0</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409331AF-61C2-4883-94B4-39FC72684A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2246</xdr:row>
          <xdr:rowOff>0</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21AC5971-57FF-4911-BE87-9CC04FD052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1BDED357-22B2-42B0-B4AD-C66BC6369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134C288C-1F4F-4AF6-B4C1-FBF35D82FE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48006361-6095-4930-B3C6-D01CF637C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2252</xdr:row>
          <xdr:rowOff>0</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2DAD1AD-494C-4315-9EBB-F954E0F7E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2259</xdr:row>
          <xdr:rowOff>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E6F27BE1-C1AA-4AE8-A2AB-C4C25D5A2D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E55288FB-A104-4BCA-804E-BB9CADBCB0F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1A58FC54-CF5C-4449-AE89-3445B2E1B0C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2264</xdr:row>
          <xdr:rowOff>0</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43171C22-6CB7-4202-AA63-9340F4BFCCC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2271</xdr:row>
          <xdr:rowOff>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A45B5AD1-852F-4824-989A-31CC2139DEB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38D6D79B-D06A-410B-B833-A1F35787AFE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2276</xdr:row>
          <xdr:rowOff>0</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F618CE15-E98A-4CB2-8826-C6E1390CBE0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2283</xdr:row>
          <xdr:rowOff>0</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633CC63-D7BA-425B-B8B3-05513C38B29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19034440-FE30-4C68-81CC-46DFE9675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F65706FA-25A5-461A-AC77-8AEFB2CB5BA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2288</xdr:row>
          <xdr:rowOff>0</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BFC62130-1213-4814-ABB8-4ECEFDC7910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2295</xdr:row>
          <xdr:rowOff>0</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55DFDCE2-67CA-4ABD-904A-6A9EE668E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BB3AA5DF-7DE8-44B9-9444-0626AF8AD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161925</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61EAF2B6-B04B-4EAB-A87A-82E631195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2300</xdr:row>
          <xdr:rowOff>0</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A0ED4204-434E-43E8-844D-0389D08D1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2307</xdr:row>
          <xdr:rowOff>0</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F4ED5560-566D-4D37-965F-E1B33E945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699AF4E6-3E79-446D-B28E-F08F20C91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77A22E4-E4DC-4183-A26D-A53FF361B20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161925</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5E28139C-E82B-4A0C-B436-0A1CB16B0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161925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7300B1BD-2E32-4CE3-BE85-5ADB9B8AAB6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2314</xdr:row>
          <xdr:rowOff>0</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F18A03B3-3127-46B7-AD84-74DEE292789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2321</xdr:row>
          <xdr:rowOff>0</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F7266215-05CB-4640-B57E-87CD37DD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90CBB8E5-54C8-490B-9FFA-E4F2A48E57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2325</xdr:row>
          <xdr:rowOff>0</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7042DD7A-B7F9-40A4-BD9D-389583D1FE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2332</xdr:row>
          <xdr:rowOff>0</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24B08233-B4A5-4BC3-94CA-23381B9AEEF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A0684469-1B21-4647-8670-D7A752F0A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2336</xdr:row>
          <xdr:rowOff>0</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2E8D32E7-E1F8-4122-AFED-5A8F4CD51D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2343</xdr:row>
          <xdr:rowOff>0</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85773988-A698-4B1B-9915-93D7D3D46D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212C9B31-2C20-4E22-BCAB-6584BAF8A88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2347</xdr:row>
          <xdr:rowOff>0</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7E46CCE8-588C-4639-917B-859382860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2354</xdr:row>
          <xdr:rowOff>0</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7AC8828C-5F92-4EE0-8311-26B0FB9B7E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80AA57DF-85C0-4C30-BBDB-FD9B5373E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2358</xdr:row>
          <xdr:rowOff>0</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5C145C0-7E64-4F2A-B581-43E0B87850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2365</xdr:row>
          <xdr:rowOff>0</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64221C8A-6179-43C3-8CAB-AD872A023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AB0BDA69-F29F-4EB7-A7A0-26D1380B9F9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2369</xdr:row>
          <xdr:rowOff>0</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169C9BF5-F373-40AC-B83D-9083B8145FF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2376</xdr:row>
          <xdr:rowOff>0</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44D3524B-ACF4-4D2F-B371-B1C45910D9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161925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C3AB358D-4C9C-44D5-8D90-C667DC3AE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2380</xdr:row>
          <xdr:rowOff>0</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BDAD8262-0C86-4E88-B27A-3BD10E7438C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2387</xdr:row>
          <xdr:rowOff>0</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C43252C6-C855-4DAE-9D4F-16D8C3072A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A4985132-AC8B-4150-B907-C8891F04EE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2391</xdr:row>
          <xdr:rowOff>0</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5000FCF0-B109-4AC3-8781-DD2AC20900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2398</xdr:row>
          <xdr:rowOff>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2B1486D0-2456-4D1B-AB90-31B52B1B89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E2E8B9A7-B49A-4D81-A73E-703C8E6DFD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2402</xdr:row>
          <xdr:rowOff>0</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96D5A36C-B6B4-4AED-B491-61FD4752C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2409</xdr:row>
          <xdr:rowOff>0</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482C52BF-C66A-428B-B15F-EFBB3B0CA2E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52AD0795-1128-4E74-BC91-7BF3DCB430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2413</xdr:row>
          <xdr:rowOff>0</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A53E3B97-D7F3-4308-A378-5F981537D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2420</xdr:row>
          <xdr:rowOff>0</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D38BDECF-ACA8-4DFC-9E7A-D8DB379E4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F528472F-4443-4C29-8051-F2741D72F6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2424</xdr:row>
          <xdr:rowOff>0</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29FB51A3-9FB6-4884-A9DF-BA5068D50F0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2431</xdr:row>
          <xdr:rowOff>0</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8D36DD6-FE01-4A70-8EAD-F45DB38E95A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161925</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E54C9AD1-FB17-4A41-83E1-460D7B9A2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161925</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936AC18A-9EE5-4B2C-B634-1DFB697A04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2436</xdr:row>
          <xdr:rowOff>0</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70410AB3-36F8-412B-8E60-C78723DE4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2443</xdr:row>
          <xdr:rowOff>0</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CBB28FA4-95A9-4B5A-B327-CCF6B1A6D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243951D5-9386-43CA-84F2-61F5E27A3CA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2447</xdr:row>
          <xdr:rowOff>0</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86A34D9-B757-4AA2-9BAF-3B4DF0A2AA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2454</xdr:row>
          <xdr:rowOff>0</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E265E2AB-C265-4C17-A0B6-64B91E32F1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161925</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7883366C-196D-43CB-9D7B-FEEF120F9F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2458</xdr:row>
          <xdr:rowOff>0</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CD0671A-1EC5-4CC2-85D9-D67A7B6EE7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2465</xdr:row>
          <xdr:rowOff>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77FFB6AC-BE06-4F7F-B399-761597067FB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161925</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FFEEC579-7481-48EC-AF9D-66205252CFA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2469</xdr:row>
          <xdr:rowOff>0</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88B18B92-BB26-4C70-BA5D-9A50C9857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2476</xdr:row>
          <xdr:rowOff>0</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6850510F-5A42-4A20-9FB8-BAF542099C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161925</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6B351FD7-7837-46BB-9DFE-B498192573C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2480</xdr:row>
          <xdr:rowOff>0</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38EBA78-65EB-4081-BA8D-361CEC985F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2487</xdr:row>
          <xdr:rowOff>0</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21402FE1-2CAA-4AC5-B43F-E01E5C10527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161925</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863D6A77-5222-4603-8BF2-E04DA5010E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161925</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CD1ABB30-7C63-4869-A9B9-53FE9E41512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2492</xdr:row>
          <xdr:rowOff>0</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72037762-0043-4AFB-9877-6BF0B35BC0F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2499</xdr:row>
          <xdr:rowOff>0</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6DFE84ED-31E7-4706-84EE-7556597D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161925</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67AD2D1E-5FD8-4AFA-A32E-2C29FC9AF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2503</xdr:row>
          <xdr:rowOff>0</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88D71DCB-38A6-4ABE-9DDF-CD582C8D75A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2510</xdr:row>
          <xdr:rowOff>0</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6861D140-95EC-42F3-A637-6D3A1D6AB5A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161925</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DB0208A9-D888-47DC-A9B2-77DB3A275E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161925</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FAFFA695-5FF5-4FDF-B2BB-7B4EA6DD5B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2515</xdr:row>
          <xdr:rowOff>0</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E10F5890-713B-470B-8199-3168CD6C0B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2522</xdr:row>
          <xdr:rowOff>0</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2EB036C8-B417-4559-BF82-7B5B21E23B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161925</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C9B42338-4204-43CA-B59B-EB961109DA9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2527</xdr:row>
          <xdr:rowOff>0</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D0431D09-E338-474B-9336-B3A653AD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2534</xdr:row>
          <xdr:rowOff>0</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8ED28B27-9E62-441F-8491-2A5AAC36C23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161925</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6278B924-3E14-4140-AF6C-7CFBA97C09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2538</xdr:row>
          <xdr:rowOff>0</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EEFF7189-B9FE-403B-9CDA-3E09481E35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2545</xdr:row>
          <xdr:rowOff>0</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82C178A7-B7B6-4FA6-B5DB-C0222954323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161925</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90E0280B-2B93-4010-99EF-3337BF8C4A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161925</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87559BF5-4C14-45CC-8B5C-D709596B9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2550</xdr:row>
          <xdr:rowOff>0</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AD8DDA42-B0E9-49F3-AAAF-B5B2E4F6EA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2557</xdr:row>
          <xdr:rowOff>0</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B2990419-3633-4C28-94C6-9CE7E4B13AF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161925</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D2CDA80-1E1B-46A2-B668-EC38E12ECF4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2561</xdr:row>
          <xdr:rowOff>0</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E4A0F7DA-0E2D-4FD2-8A40-D4D1C86A02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2568</xdr:row>
          <xdr:rowOff>0</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12573E9E-3F16-4DA1-8289-36FFDA8367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161925</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27A543C8-704B-42E7-97E3-4458AB0385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2572</xdr:row>
          <xdr:rowOff>0</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1F785D74-903A-4B9C-9320-6A5E164BF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2579</xdr:row>
          <xdr:rowOff>0</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2192B683-CD28-407D-B61F-0C46EA6EDA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161925</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BFD657E9-CA48-4A82-BCDB-C4369BAF3A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2583</xdr:row>
          <xdr:rowOff>0</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D01D4029-15D3-48B6-8AD8-D2A7313A9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2590</xdr:row>
          <xdr:rowOff>0</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4892A68F-9727-4014-8729-1F3A2F850D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161925</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4773B4E4-2955-4EE9-B8B1-37C8013F80C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161925</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65358852-3ED4-432B-B173-DF5808979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2592</xdr:row>
          <xdr:rowOff>161925</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77E1AF88-0281-4E5E-A793-E664DF294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161925</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E5F41FB5-2F10-48E6-9D6F-EB60520D4C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161925</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FAD2CAB5-6991-46F7-B347-F164A88CCD6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161925</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AE7B7DB4-9527-4AFC-9005-116B349534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161925</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3F4A601D-ECDB-44D1-A68C-8AAC6542F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2600</xdr:row>
          <xdr:rowOff>0</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7AC9AEAA-4A5F-430B-B4EE-CDE29DCC4C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2607</xdr:row>
          <xdr:rowOff>0</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723ABDBB-C942-4F45-AF6B-93880902F30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161925</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CA36C472-EA9B-43FA-9CE8-DBBC43BF8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161925</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907BE28-19B8-412C-9E8E-381B90021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260EE809-E231-4654-9DC7-9B64FD3F4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161925</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DE0900FE-955B-48A6-8A49-3B1FE36B0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2614</xdr:row>
          <xdr:rowOff>0</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9E4DE747-F7DB-47B1-A940-CAAE5387DD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2621</xdr:row>
          <xdr:rowOff>0</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6E2B3DE2-E5AB-4EBD-B86A-559A20292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161925</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B812EEE5-3D27-4C48-BD61-34016A5D6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2625</xdr:row>
          <xdr:rowOff>0</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70848178-CF3D-4CFE-A543-335ADE446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2632</xdr:row>
          <xdr:rowOff>0</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BCE7E75F-3A90-4666-A671-BD571B559E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161925</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CF3320C7-2BB9-444C-8285-53A97ADE1F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161925</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CC1DC6E9-0A91-43F8-8C35-9CAD5EEB79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2640</xdr:row>
          <xdr:rowOff>0</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3259AFA4-E913-4B55-B2CC-D95AD1503E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2647</xdr:row>
          <xdr:rowOff>0</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85F7F32B-AA7A-4F17-A8B3-98EFB7873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2647</xdr:row>
          <xdr:rowOff>161925</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F6B1BE09-F399-4DB9-A6C7-4E1250390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2651</xdr:row>
          <xdr:rowOff>0</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DBDDFDE-F6C4-48CF-9E06-F4E01787CD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2658</xdr:row>
          <xdr:rowOff>0</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417E5021-FBE7-40F7-8967-10FDF81727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161925</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79C447A3-E010-47F0-93F0-2CA6838756C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2662</xdr:row>
          <xdr:rowOff>0</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1C7DCFCB-7E70-4355-816E-CC571F91B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2669</xdr:row>
          <xdr:rowOff>0</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DBAA692-3111-4638-9746-30362FE82F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2669</xdr:row>
          <xdr:rowOff>161925</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177F08BF-3CFC-4EE6-8D73-6786F0C084A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2670</xdr:row>
          <xdr:rowOff>161925</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E24FF7DC-7F13-49EB-A09A-7A8CA4D288F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2674</xdr:row>
          <xdr:rowOff>0</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BD84C40D-564D-40FB-8A94-440B91C6DFC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2681</xdr:row>
          <xdr:rowOff>0</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C3745CB5-15BE-4025-A9FF-F50CC4C73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34CE97BD-CA2E-499C-BC2A-77CEA238FCE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2685</xdr:row>
          <xdr:rowOff>0</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A752BB92-BE88-4FCC-B6EB-02EA18E30B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2692</xdr:row>
          <xdr:rowOff>0</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F038EDFF-F9C1-4E00-8BD0-774F6CCF5F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161925</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7C56CD80-2834-4879-86F2-E6C2C2565D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2696</xdr:row>
          <xdr:rowOff>0</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A1994DF9-BDDF-4283-8374-B3714B25E4E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2703</xdr:row>
          <xdr:rowOff>0</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3435DD6A-FDBF-492A-BB16-76BBC1CCEE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161925</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98FD119F-1760-41D2-96B0-C001E7BF6A4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2707</xdr:row>
          <xdr:rowOff>0</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F5B1CB4C-40E3-4A8A-9149-3915618FD3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2714</xdr:row>
          <xdr:rowOff>0</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89BBB859-0402-41C8-89EE-2E4C1A3A6D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161925</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3B54F3A-A436-43CB-AECD-DC623DDB81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2715</xdr:row>
          <xdr:rowOff>161925</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52701CFF-DEB3-4D22-A545-BF55ED6C7E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161925</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830037E-6B6A-4DC3-9A56-8B1499B301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161925</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26D09ABC-377E-4BF9-B620-396DA88A5D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161925</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29578E85-5EA3-4593-B519-0D4B5B896E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2719</xdr:row>
          <xdr:rowOff>161925</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BCD640DE-DD46-4629-B7B1-5331F7AFCE2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2728</xdr:row>
          <xdr:rowOff>0</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D2B09ABB-D6FF-478B-99F0-EF71BE818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2735</xdr:row>
          <xdr:rowOff>0</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8CC5F7D3-F2A0-4859-9633-1FFC1E5040C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161925</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1F98F421-2A0A-4819-A2A3-8AF68109B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2739</xdr:row>
          <xdr:rowOff>0</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2323F3D8-18D6-4BE4-A584-0DE9B7471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2746</xdr:row>
          <xdr:rowOff>0</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8E0E15BF-02C3-4D14-88B3-7132312B24E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161925</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FFC6BA55-5F1D-49F2-A5CC-04971B3A782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2750</xdr:row>
          <xdr:rowOff>0</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1267A2A5-A0DD-4119-BD24-2530DDCE98F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2757</xdr:row>
          <xdr:rowOff>0</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C22E9E2C-CF13-4D51-A056-961BB4095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161925</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3FE2FB41-9F24-43BF-BB2B-1CAEFEE4A0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2761</xdr:row>
          <xdr:rowOff>0</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A406A0CD-CB63-4170-B892-16889C3A83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2768</xdr:row>
          <xdr:rowOff>0</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EF91A140-AE16-4124-AB5C-9309D8CB8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161925</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B0FB5B90-9E0E-4A46-A0A4-551C02D818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2772</xdr:row>
          <xdr:rowOff>0</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B3F5CE87-81E8-4040-8C52-595F90F4FA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2779</xdr:row>
          <xdr:rowOff>0</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8F636C9E-D0A7-40F3-A9A9-ABA71B0D2B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2779</xdr:row>
          <xdr:rowOff>161925</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2DEDC38A-4CFB-4A8D-ACD0-BB58C3DEDB3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2783</xdr:row>
          <xdr:rowOff>0</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E9035F6F-C693-4633-837D-695879AFE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2790</xdr:row>
          <xdr:rowOff>0</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2027FE11-EB79-4C80-87B4-AFC1B33B6E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2790</xdr:row>
          <xdr:rowOff>161925</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DBEEB873-A031-4E32-A30C-FEAE2CBCB3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2791</xdr:row>
          <xdr:rowOff>161925</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245B3EDB-882E-4B1B-B310-3265D5C65E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2792</xdr:row>
          <xdr:rowOff>161925</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AE08A9D0-08B2-4825-A47E-49C3E45842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2793</xdr:row>
          <xdr:rowOff>161925</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C7E41F61-02DF-4D1F-8A62-FD2C8D8E2A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2794</xdr:row>
          <xdr:rowOff>161925</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85634F97-B761-48E3-BC66-1C2893476F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2798</xdr:row>
          <xdr:rowOff>0</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4D642A49-109D-4978-8A25-672FB22EA8D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2805</xdr:row>
          <xdr:rowOff>0</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60A87EB3-DD43-4697-96A2-A5CBD475CC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2805</xdr:row>
          <xdr:rowOff>161925</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500545B1-F47D-483D-A1B9-F54E796341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2809</xdr:row>
          <xdr:rowOff>0</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4842B81F-01EB-41BE-A5A5-1ADF88155FE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2816</xdr:row>
          <xdr:rowOff>0</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FBFB5AB3-A31B-40AE-BC77-6A7C2C13336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2816</xdr:row>
          <xdr:rowOff>161925</xdr:rowOff>
        </xdr:to>
        <xdr:sp macro="" textlink="">
          <xdr:nvSpPr>
            <xdr:cNvPr id="2048" name="Button 1024" hidden="1">
              <a:extLst>
                <a:ext uri="{63B3BB69-23CF-44E3-9099-C40C66FF867C}">
                  <a14:compatExt spid="_x0000_s2048"/>
                </a:ext>
                <a:ext uri="{FF2B5EF4-FFF2-40B4-BE49-F238E27FC236}">
                  <a16:creationId xmlns:a16="http://schemas.microsoft.com/office/drawing/2014/main" id="{70F1536D-E7FC-4CF5-81B5-CD0916958C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2820</xdr:row>
          <xdr:rowOff>0</xdr:rowOff>
        </xdr:to>
        <xdr:sp macro="" textlink="">
          <xdr:nvSpPr>
            <xdr:cNvPr id="2049" name="Button 1025" hidden="1">
              <a:extLst>
                <a:ext uri="{63B3BB69-23CF-44E3-9099-C40C66FF867C}">
                  <a14:compatExt spid="_x0000_s2049"/>
                </a:ext>
                <a:ext uri="{FF2B5EF4-FFF2-40B4-BE49-F238E27FC236}">
                  <a16:creationId xmlns:a16="http://schemas.microsoft.com/office/drawing/2014/main" id="{A6384F8E-627F-466F-A7AC-45986CCFFB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2827</xdr:row>
          <xdr:rowOff>0</xdr:rowOff>
        </xdr:to>
        <xdr:sp macro="" textlink="">
          <xdr:nvSpPr>
            <xdr:cNvPr id="2050" name="Button 1026" hidden="1">
              <a:extLst>
                <a:ext uri="{63B3BB69-23CF-44E3-9099-C40C66FF867C}">
                  <a14:compatExt spid="_x0000_s2050"/>
                </a:ext>
                <a:ext uri="{FF2B5EF4-FFF2-40B4-BE49-F238E27FC236}">
                  <a16:creationId xmlns:a16="http://schemas.microsoft.com/office/drawing/2014/main" id="{9841E766-7411-48A3-91F4-8557173B28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2827</xdr:row>
          <xdr:rowOff>161925</xdr:rowOff>
        </xdr:to>
        <xdr:sp macro="" textlink="">
          <xdr:nvSpPr>
            <xdr:cNvPr id="2051" name="Button 1027" hidden="1">
              <a:extLst>
                <a:ext uri="{63B3BB69-23CF-44E3-9099-C40C66FF867C}">
                  <a14:compatExt spid="_x0000_s2051"/>
                </a:ext>
                <a:ext uri="{FF2B5EF4-FFF2-40B4-BE49-F238E27FC236}">
                  <a16:creationId xmlns:a16="http://schemas.microsoft.com/office/drawing/2014/main" id="{86DEC1D1-FFBA-476E-9FF4-FB68EF2439B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2831</xdr:row>
          <xdr:rowOff>0</xdr:rowOff>
        </xdr:to>
        <xdr:sp macro="" textlink="">
          <xdr:nvSpPr>
            <xdr:cNvPr id="2052" name="Button 1028" hidden="1">
              <a:extLst>
                <a:ext uri="{63B3BB69-23CF-44E3-9099-C40C66FF867C}">
                  <a14:compatExt spid="_x0000_s2052"/>
                </a:ext>
                <a:ext uri="{FF2B5EF4-FFF2-40B4-BE49-F238E27FC236}">
                  <a16:creationId xmlns:a16="http://schemas.microsoft.com/office/drawing/2014/main" id="{ACD800E2-D658-4E84-B2CA-F7CF42D50B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2838</xdr:row>
          <xdr:rowOff>0</xdr:rowOff>
        </xdr:to>
        <xdr:sp macro="" textlink="">
          <xdr:nvSpPr>
            <xdr:cNvPr id="2053" name="Button 1029" hidden="1">
              <a:extLst>
                <a:ext uri="{63B3BB69-23CF-44E3-9099-C40C66FF867C}">
                  <a14:compatExt spid="_x0000_s2053"/>
                </a:ext>
                <a:ext uri="{FF2B5EF4-FFF2-40B4-BE49-F238E27FC236}">
                  <a16:creationId xmlns:a16="http://schemas.microsoft.com/office/drawing/2014/main" id="{64540B79-58BB-455C-A7ED-D94F95A89A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161925</xdr:rowOff>
        </xdr:to>
        <xdr:sp macro="" textlink="">
          <xdr:nvSpPr>
            <xdr:cNvPr id="2054" name="Button 1030" hidden="1">
              <a:extLst>
                <a:ext uri="{63B3BB69-23CF-44E3-9099-C40C66FF867C}">
                  <a14:compatExt spid="_x0000_s2054"/>
                </a:ext>
                <a:ext uri="{FF2B5EF4-FFF2-40B4-BE49-F238E27FC236}">
                  <a16:creationId xmlns:a16="http://schemas.microsoft.com/office/drawing/2014/main" id="{EA23B9F3-3DFD-498B-A807-9E91765D6C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2842</xdr:row>
          <xdr:rowOff>0</xdr:rowOff>
        </xdr:to>
        <xdr:sp macro="" textlink="">
          <xdr:nvSpPr>
            <xdr:cNvPr id="2055" name="Button 1031" hidden="1">
              <a:extLst>
                <a:ext uri="{63B3BB69-23CF-44E3-9099-C40C66FF867C}">
                  <a14:compatExt spid="_x0000_s2055"/>
                </a:ext>
                <a:ext uri="{FF2B5EF4-FFF2-40B4-BE49-F238E27FC236}">
                  <a16:creationId xmlns:a16="http://schemas.microsoft.com/office/drawing/2014/main" id="{C2DE440D-88EB-4888-8689-D6B7333499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2849</xdr:row>
          <xdr:rowOff>0</xdr:rowOff>
        </xdr:to>
        <xdr:sp macro="" textlink="">
          <xdr:nvSpPr>
            <xdr:cNvPr id="2056" name="Button 1032" hidden="1">
              <a:extLst>
                <a:ext uri="{63B3BB69-23CF-44E3-9099-C40C66FF867C}">
                  <a14:compatExt spid="_x0000_s2056"/>
                </a:ext>
                <a:ext uri="{FF2B5EF4-FFF2-40B4-BE49-F238E27FC236}">
                  <a16:creationId xmlns:a16="http://schemas.microsoft.com/office/drawing/2014/main" id="{17BC7086-B53F-4E58-9B8C-51C4EA15F4D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2849</xdr:row>
          <xdr:rowOff>161925</xdr:rowOff>
        </xdr:to>
        <xdr:sp macro="" textlink="">
          <xdr:nvSpPr>
            <xdr:cNvPr id="2057" name="Button 1033" hidden="1">
              <a:extLst>
                <a:ext uri="{63B3BB69-23CF-44E3-9099-C40C66FF867C}">
                  <a14:compatExt spid="_x0000_s2057"/>
                </a:ext>
                <a:ext uri="{FF2B5EF4-FFF2-40B4-BE49-F238E27FC236}">
                  <a16:creationId xmlns:a16="http://schemas.microsoft.com/office/drawing/2014/main" id="{BE5EC0AF-BAD1-4696-A60C-089B529260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2853</xdr:row>
          <xdr:rowOff>0</xdr:rowOff>
        </xdr:to>
        <xdr:sp macro="" textlink="">
          <xdr:nvSpPr>
            <xdr:cNvPr id="2058" name="Button 1034" hidden="1">
              <a:extLst>
                <a:ext uri="{63B3BB69-23CF-44E3-9099-C40C66FF867C}">
                  <a14:compatExt spid="_x0000_s2058"/>
                </a:ext>
                <a:ext uri="{FF2B5EF4-FFF2-40B4-BE49-F238E27FC236}">
                  <a16:creationId xmlns:a16="http://schemas.microsoft.com/office/drawing/2014/main" id="{C74BEABD-CCA2-43F9-8C38-B4BE5B20EF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2860</xdr:row>
          <xdr:rowOff>0</xdr:rowOff>
        </xdr:to>
        <xdr:sp macro="" textlink="">
          <xdr:nvSpPr>
            <xdr:cNvPr id="2059" name="Button 1035" hidden="1">
              <a:extLst>
                <a:ext uri="{63B3BB69-23CF-44E3-9099-C40C66FF867C}">
                  <a14:compatExt spid="_x0000_s2059"/>
                </a:ext>
                <a:ext uri="{FF2B5EF4-FFF2-40B4-BE49-F238E27FC236}">
                  <a16:creationId xmlns:a16="http://schemas.microsoft.com/office/drawing/2014/main" id="{30258426-E7D6-4D87-94CD-50E55F0BCD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2860</xdr:row>
          <xdr:rowOff>161925</xdr:rowOff>
        </xdr:to>
        <xdr:sp macro="" textlink="">
          <xdr:nvSpPr>
            <xdr:cNvPr id="2060" name="Button 1036" hidden="1">
              <a:extLst>
                <a:ext uri="{63B3BB69-23CF-44E3-9099-C40C66FF867C}">
                  <a14:compatExt spid="_x0000_s2060"/>
                </a:ext>
                <a:ext uri="{FF2B5EF4-FFF2-40B4-BE49-F238E27FC236}">
                  <a16:creationId xmlns:a16="http://schemas.microsoft.com/office/drawing/2014/main" id="{678E674F-4AB7-479A-9537-14249260B0B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2861</xdr:row>
          <xdr:rowOff>161925</xdr:rowOff>
        </xdr:to>
        <xdr:sp macro="" textlink="">
          <xdr:nvSpPr>
            <xdr:cNvPr id="2061" name="Button 1037" hidden="1">
              <a:extLst>
                <a:ext uri="{63B3BB69-23CF-44E3-9099-C40C66FF867C}">
                  <a14:compatExt spid="_x0000_s2061"/>
                </a:ext>
                <a:ext uri="{FF2B5EF4-FFF2-40B4-BE49-F238E27FC236}">
                  <a16:creationId xmlns:a16="http://schemas.microsoft.com/office/drawing/2014/main" id="{31197D20-52A4-4F1C-BE92-E4FA1DE8C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2865</xdr:row>
          <xdr:rowOff>0</xdr:rowOff>
        </xdr:to>
        <xdr:sp macro="" textlink="">
          <xdr:nvSpPr>
            <xdr:cNvPr id="2062" name="Button 1038" hidden="1">
              <a:extLst>
                <a:ext uri="{63B3BB69-23CF-44E3-9099-C40C66FF867C}">
                  <a14:compatExt spid="_x0000_s2062"/>
                </a:ext>
                <a:ext uri="{FF2B5EF4-FFF2-40B4-BE49-F238E27FC236}">
                  <a16:creationId xmlns:a16="http://schemas.microsoft.com/office/drawing/2014/main" id="{0B7EDBAA-70D5-4550-8E83-42063CF0D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2872</xdr:row>
          <xdr:rowOff>0</xdr:rowOff>
        </xdr:to>
        <xdr:sp macro="" textlink="">
          <xdr:nvSpPr>
            <xdr:cNvPr id="2063" name="Button 1039" hidden="1">
              <a:extLst>
                <a:ext uri="{63B3BB69-23CF-44E3-9099-C40C66FF867C}">
                  <a14:compatExt spid="_x0000_s2063"/>
                </a:ext>
                <a:ext uri="{FF2B5EF4-FFF2-40B4-BE49-F238E27FC236}">
                  <a16:creationId xmlns:a16="http://schemas.microsoft.com/office/drawing/2014/main" id="{0F6871F4-6F67-4ECD-8B5C-8D08096E63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2872</xdr:row>
          <xdr:rowOff>161925</xdr:rowOff>
        </xdr:to>
        <xdr:sp macro="" textlink="">
          <xdr:nvSpPr>
            <xdr:cNvPr id="2064" name="Button 1040" hidden="1">
              <a:extLst>
                <a:ext uri="{63B3BB69-23CF-44E3-9099-C40C66FF867C}">
                  <a14:compatExt spid="_x0000_s2064"/>
                </a:ext>
                <a:ext uri="{FF2B5EF4-FFF2-40B4-BE49-F238E27FC236}">
                  <a16:creationId xmlns:a16="http://schemas.microsoft.com/office/drawing/2014/main" id="{43485128-D442-4A4B-8EFA-7741240F09E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2873</xdr:row>
          <xdr:rowOff>161925</xdr:rowOff>
        </xdr:to>
        <xdr:sp macro="" textlink="">
          <xdr:nvSpPr>
            <xdr:cNvPr id="2065" name="Button 1041" hidden="1">
              <a:extLst>
                <a:ext uri="{63B3BB69-23CF-44E3-9099-C40C66FF867C}">
                  <a14:compatExt spid="_x0000_s2065"/>
                </a:ext>
                <a:ext uri="{FF2B5EF4-FFF2-40B4-BE49-F238E27FC236}">
                  <a16:creationId xmlns:a16="http://schemas.microsoft.com/office/drawing/2014/main" id="{5A55569C-27E7-450C-800C-1FC94F29B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2877</xdr:row>
          <xdr:rowOff>0</xdr:rowOff>
        </xdr:to>
        <xdr:sp macro="" textlink="">
          <xdr:nvSpPr>
            <xdr:cNvPr id="2066" name="Button 1042" hidden="1">
              <a:extLst>
                <a:ext uri="{63B3BB69-23CF-44E3-9099-C40C66FF867C}">
                  <a14:compatExt spid="_x0000_s2066"/>
                </a:ext>
                <a:ext uri="{FF2B5EF4-FFF2-40B4-BE49-F238E27FC236}">
                  <a16:creationId xmlns:a16="http://schemas.microsoft.com/office/drawing/2014/main" id="{B689ECC9-32DC-465F-892E-6EAD1AC8702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7</xdr:col>
          <xdr:colOff>0</xdr:colOff>
          <xdr:row>2884</xdr:row>
          <xdr:rowOff>0</xdr:rowOff>
        </xdr:to>
        <xdr:sp macro="" textlink="">
          <xdr:nvSpPr>
            <xdr:cNvPr id="2067" name="Button 1043" hidden="1">
              <a:extLst>
                <a:ext uri="{63B3BB69-23CF-44E3-9099-C40C66FF867C}">
                  <a14:compatExt spid="_x0000_s2067"/>
                </a:ext>
                <a:ext uri="{FF2B5EF4-FFF2-40B4-BE49-F238E27FC236}">
                  <a16:creationId xmlns:a16="http://schemas.microsoft.com/office/drawing/2014/main" id="{DF9F4178-28A1-46F5-8137-09C10E7EFE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7</xdr:col>
          <xdr:colOff>0</xdr:colOff>
          <xdr:row>2884</xdr:row>
          <xdr:rowOff>161925</xdr:rowOff>
        </xdr:to>
        <xdr:sp macro="" textlink="">
          <xdr:nvSpPr>
            <xdr:cNvPr id="2068" name="Button 1044" hidden="1">
              <a:extLst>
                <a:ext uri="{63B3BB69-23CF-44E3-9099-C40C66FF867C}">
                  <a14:compatExt spid="_x0000_s2068"/>
                </a:ext>
                <a:ext uri="{FF2B5EF4-FFF2-40B4-BE49-F238E27FC236}">
                  <a16:creationId xmlns:a16="http://schemas.microsoft.com/office/drawing/2014/main" id="{04F389EE-0F71-4413-BC12-B4AE2E930E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2888</xdr:row>
          <xdr:rowOff>0</xdr:rowOff>
        </xdr:to>
        <xdr:sp macro="" textlink="">
          <xdr:nvSpPr>
            <xdr:cNvPr id="2069" name="Button 1045" hidden="1">
              <a:extLst>
                <a:ext uri="{63B3BB69-23CF-44E3-9099-C40C66FF867C}">
                  <a14:compatExt spid="_x0000_s2069"/>
                </a:ext>
                <a:ext uri="{FF2B5EF4-FFF2-40B4-BE49-F238E27FC236}">
                  <a16:creationId xmlns:a16="http://schemas.microsoft.com/office/drawing/2014/main" id="{F58102E3-4E21-44DC-AD35-A3AC37B1D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2895</xdr:row>
          <xdr:rowOff>0</xdr:rowOff>
        </xdr:to>
        <xdr:sp macro="" textlink="">
          <xdr:nvSpPr>
            <xdr:cNvPr id="2070" name="Button 1046" hidden="1">
              <a:extLst>
                <a:ext uri="{63B3BB69-23CF-44E3-9099-C40C66FF867C}">
                  <a14:compatExt spid="_x0000_s2070"/>
                </a:ext>
                <a:ext uri="{FF2B5EF4-FFF2-40B4-BE49-F238E27FC236}">
                  <a16:creationId xmlns:a16="http://schemas.microsoft.com/office/drawing/2014/main" id="{8884743E-D6A1-499A-92BA-7A25C82618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2895</xdr:row>
          <xdr:rowOff>161925</xdr:rowOff>
        </xdr:to>
        <xdr:sp macro="" textlink="">
          <xdr:nvSpPr>
            <xdr:cNvPr id="2071" name="Button 1047" hidden="1">
              <a:extLst>
                <a:ext uri="{63B3BB69-23CF-44E3-9099-C40C66FF867C}">
                  <a14:compatExt spid="_x0000_s2071"/>
                </a:ext>
                <a:ext uri="{FF2B5EF4-FFF2-40B4-BE49-F238E27FC236}">
                  <a16:creationId xmlns:a16="http://schemas.microsoft.com/office/drawing/2014/main" id="{979657B4-257B-469B-B9E2-6120C013ED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7</xdr:col>
          <xdr:colOff>0</xdr:colOff>
          <xdr:row>2899</xdr:row>
          <xdr:rowOff>0</xdr:rowOff>
        </xdr:to>
        <xdr:sp macro="" textlink="">
          <xdr:nvSpPr>
            <xdr:cNvPr id="2072" name="Button 1048" hidden="1">
              <a:extLst>
                <a:ext uri="{63B3BB69-23CF-44E3-9099-C40C66FF867C}">
                  <a14:compatExt spid="_x0000_s2072"/>
                </a:ext>
                <a:ext uri="{FF2B5EF4-FFF2-40B4-BE49-F238E27FC236}">
                  <a16:creationId xmlns:a16="http://schemas.microsoft.com/office/drawing/2014/main" id="{A937979C-2554-4595-B2E0-E7B6E79F543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2906</xdr:row>
          <xdr:rowOff>0</xdr:rowOff>
        </xdr:to>
        <xdr:sp macro="" textlink="">
          <xdr:nvSpPr>
            <xdr:cNvPr id="2073" name="Button 1049" hidden="1">
              <a:extLst>
                <a:ext uri="{63B3BB69-23CF-44E3-9099-C40C66FF867C}">
                  <a14:compatExt spid="_x0000_s2073"/>
                </a:ext>
                <a:ext uri="{FF2B5EF4-FFF2-40B4-BE49-F238E27FC236}">
                  <a16:creationId xmlns:a16="http://schemas.microsoft.com/office/drawing/2014/main" id="{D22B9E29-2FBD-4073-B11E-87297E9BC2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2906</xdr:row>
          <xdr:rowOff>161925</xdr:rowOff>
        </xdr:to>
        <xdr:sp macro="" textlink="">
          <xdr:nvSpPr>
            <xdr:cNvPr id="2074" name="Button 1050" hidden="1">
              <a:extLst>
                <a:ext uri="{63B3BB69-23CF-44E3-9099-C40C66FF867C}">
                  <a14:compatExt spid="_x0000_s2074"/>
                </a:ext>
                <a:ext uri="{FF2B5EF4-FFF2-40B4-BE49-F238E27FC236}">
                  <a16:creationId xmlns:a16="http://schemas.microsoft.com/office/drawing/2014/main" id="{6D2815A2-6F4B-4122-ADED-A0415A094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2907</xdr:row>
          <xdr:rowOff>161925</xdr:rowOff>
        </xdr:to>
        <xdr:sp macro="" textlink="">
          <xdr:nvSpPr>
            <xdr:cNvPr id="2075" name="Button 1051" hidden="1">
              <a:extLst>
                <a:ext uri="{63B3BB69-23CF-44E3-9099-C40C66FF867C}">
                  <a14:compatExt spid="_x0000_s2075"/>
                </a:ext>
                <a:ext uri="{FF2B5EF4-FFF2-40B4-BE49-F238E27FC236}">
                  <a16:creationId xmlns:a16="http://schemas.microsoft.com/office/drawing/2014/main" id="{0EB124FE-79DB-41F3-8824-04CC5C8442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2908</xdr:row>
          <xdr:rowOff>161925</xdr:rowOff>
        </xdr:to>
        <xdr:sp macro="" textlink="">
          <xdr:nvSpPr>
            <xdr:cNvPr id="2076" name="Button 1052" hidden="1">
              <a:extLst>
                <a:ext uri="{63B3BB69-23CF-44E3-9099-C40C66FF867C}">
                  <a14:compatExt spid="_x0000_s2076"/>
                </a:ext>
                <a:ext uri="{FF2B5EF4-FFF2-40B4-BE49-F238E27FC236}">
                  <a16:creationId xmlns:a16="http://schemas.microsoft.com/office/drawing/2014/main" id="{9AABFE10-DDDC-40A9-AA99-2168A6931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2912</xdr:row>
          <xdr:rowOff>0</xdr:rowOff>
        </xdr:to>
        <xdr:sp macro="" textlink="">
          <xdr:nvSpPr>
            <xdr:cNvPr id="2077" name="Button 1053" hidden="1">
              <a:extLst>
                <a:ext uri="{63B3BB69-23CF-44E3-9099-C40C66FF867C}">
                  <a14:compatExt spid="_x0000_s2077"/>
                </a:ext>
                <a:ext uri="{FF2B5EF4-FFF2-40B4-BE49-F238E27FC236}">
                  <a16:creationId xmlns:a16="http://schemas.microsoft.com/office/drawing/2014/main" id="{25830FF9-D11E-476A-AECE-1B782D04BC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2919</xdr:row>
          <xdr:rowOff>0</xdr:rowOff>
        </xdr:to>
        <xdr:sp macro="" textlink="">
          <xdr:nvSpPr>
            <xdr:cNvPr id="2078" name="Button 1054" hidden="1">
              <a:extLst>
                <a:ext uri="{63B3BB69-23CF-44E3-9099-C40C66FF867C}">
                  <a14:compatExt spid="_x0000_s2078"/>
                </a:ext>
                <a:ext uri="{FF2B5EF4-FFF2-40B4-BE49-F238E27FC236}">
                  <a16:creationId xmlns:a16="http://schemas.microsoft.com/office/drawing/2014/main" id="{CB9AF29B-2DCF-45B4-9552-C7B7802DC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7</xdr:col>
          <xdr:colOff>0</xdr:colOff>
          <xdr:row>2919</xdr:row>
          <xdr:rowOff>161925</xdr:rowOff>
        </xdr:to>
        <xdr:sp macro="" textlink="">
          <xdr:nvSpPr>
            <xdr:cNvPr id="2079" name="Button 1055" hidden="1">
              <a:extLst>
                <a:ext uri="{63B3BB69-23CF-44E3-9099-C40C66FF867C}">
                  <a14:compatExt spid="_x0000_s2079"/>
                </a:ext>
                <a:ext uri="{FF2B5EF4-FFF2-40B4-BE49-F238E27FC236}">
                  <a16:creationId xmlns:a16="http://schemas.microsoft.com/office/drawing/2014/main" id="{DDFECA33-175D-44D4-9B7A-FD48305842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7</xdr:col>
          <xdr:colOff>0</xdr:colOff>
          <xdr:row>2920</xdr:row>
          <xdr:rowOff>161925</xdr:rowOff>
        </xdr:to>
        <xdr:sp macro="" textlink="">
          <xdr:nvSpPr>
            <xdr:cNvPr id="2080" name="Button 1056" hidden="1">
              <a:extLst>
                <a:ext uri="{63B3BB69-23CF-44E3-9099-C40C66FF867C}">
                  <a14:compatExt spid="_x0000_s2080"/>
                </a:ext>
                <a:ext uri="{FF2B5EF4-FFF2-40B4-BE49-F238E27FC236}">
                  <a16:creationId xmlns:a16="http://schemas.microsoft.com/office/drawing/2014/main" id="{11754A79-8292-4003-8DB6-8C14698321A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2921</xdr:row>
          <xdr:rowOff>161925</xdr:rowOff>
        </xdr:to>
        <xdr:sp macro="" textlink="">
          <xdr:nvSpPr>
            <xdr:cNvPr id="2081" name="Button 1057" hidden="1">
              <a:extLst>
                <a:ext uri="{63B3BB69-23CF-44E3-9099-C40C66FF867C}">
                  <a14:compatExt spid="_x0000_s2081"/>
                </a:ext>
                <a:ext uri="{FF2B5EF4-FFF2-40B4-BE49-F238E27FC236}">
                  <a16:creationId xmlns:a16="http://schemas.microsoft.com/office/drawing/2014/main" id="{F71D53EC-08E0-42AC-85AA-EDF8187C2F3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2922</xdr:row>
          <xdr:rowOff>161925</xdr:rowOff>
        </xdr:to>
        <xdr:sp macro="" textlink="">
          <xdr:nvSpPr>
            <xdr:cNvPr id="2082" name="Button 1058" hidden="1">
              <a:extLst>
                <a:ext uri="{63B3BB69-23CF-44E3-9099-C40C66FF867C}">
                  <a14:compatExt spid="_x0000_s2082"/>
                </a:ext>
                <a:ext uri="{FF2B5EF4-FFF2-40B4-BE49-F238E27FC236}">
                  <a16:creationId xmlns:a16="http://schemas.microsoft.com/office/drawing/2014/main" id="{EEF3D16E-3892-4693-BA6B-74B8D26FA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7</xdr:col>
          <xdr:colOff>0</xdr:colOff>
          <xdr:row>2923</xdr:row>
          <xdr:rowOff>161925</xdr:rowOff>
        </xdr:to>
        <xdr:sp macro="" textlink="">
          <xdr:nvSpPr>
            <xdr:cNvPr id="2083" name="Button 1059" hidden="1">
              <a:extLst>
                <a:ext uri="{63B3BB69-23CF-44E3-9099-C40C66FF867C}">
                  <a14:compatExt spid="_x0000_s2083"/>
                </a:ext>
                <a:ext uri="{FF2B5EF4-FFF2-40B4-BE49-F238E27FC236}">
                  <a16:creationId xmlns:a16="http://schemas.microsoft.com/office/drawing/2014/main" id="{A06B2517-EB44-497F-8529-202916D98C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2927</xdr:row>
          <xdr:rowOff>0</xdr:rowOff>
        </xdr:to>
        <xdr:sp macro="" textlink="">
          <xdr:nvSpPr>
            <xdr:cNvPr id="2084" name="Button 1060" hidden="1">
              <a:extLst>
                <a:ext uri="{63B3BB69-23CF-44E3-9099-C40C66FF867C}">
                  <a14:compatExt spid="_x0000_s2084"/>
                </a:ext>
                <a:ext uri="{FF2B5EF4-FFF2-40B4-BE49-F238E27FC236}">
                  <a16:creationId xmlns:a16="http://schemas.microsoft.com/office/drawing/2014/main" id="{0494B466-81CD-431D-AC75-3D348D5E58B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2934</xdr:row>
          <xdr:rowOff>0</xdr:rowOff>
        </xdr:to>
        <xdr:sp macro="" textlink="">
          <xdr:nvSpPr>
            <xdr:cNvPr id="2085" name="Button 1061" hidden="1">
              <a:extLst>
                <a:ext uri="{63B3BB69-23CF-44E3-9099-C40C66FF867C}">
                  <a14:compatExt spid="_x0000_s2085"/>
                </a:ext>
                <a:ext uri="{FF2B5EF4-FFF2-40B4-BE49-F238E27FC236}">
                  <a16:creationId xmlns:a16="http://schemas.microsoft.com/office/drawing/2014/main" id="{C03F7C69-7C4A-41C3-BF12-27C9168BE8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7</xdr:col>
          <xdr:colOff>0</xdr:colOff>
          <xdr:row>2934</xdr:row>
          <xdr:rowOff>161925</xdr:rowOff>
        </xdr:to>
        <xdr:sp macro="" textlink="">
          <xdr:nvSpPr>
            <xdr:cNvPr id="2086" name="Button 1062" hidden="1">
              <a:extLst>
                <a:ext uri="{63B3BB69-23CF-44E3-9099-C40C66FF867C}">
                  <a14:compatExt spid="_x0000_s2086"/>
                </a:ext>
                <a:ext uri="{FF2B5EF4-FFF2-40B4-BE49-F238E27FC236}">
                  <a16:creationId xmlns:a16="http://schemas.microsoft.com/office/drawing/2014/main" id="{85348735-0CC1-435F-9D58-C927FC8D0FA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2937</xdr:row>
          <xdr:rowOff>0</xdr:rowOff>
        </xdr:from>
        <xdr:to>
          <xdr:col>7</xdr:col>
          <xdr:colOff>0</xdr:colOff>
          <xdr:row>2938</xdr:row>
          <xdr:rowOff>0</xdr:rowOff>
        </xdr:to>
        <xdr:sp macro="" textlink="">
          <xdr:nvSpPr>
            <xdr:cNvPr id="2087" name="Button 1063" hidden="1">
              <a:extLst>
                <a:ext uri="{63B3BB69-23CF-44E3-9099-C40C66FF867C}">
                  <a14:compatExt spid="_x0000_s2087"/>
                </a:ext>
                <a:ext uri="{FF2B5EF4-FFF2-40B4-BE49-F238E27FC236}">
                  <a16:creationId xmlns:a16="http://schemas.microsoft.com/office/drawing/2014/main" id="{361E3EBC-F88F-459A-988D-5E4C959DB4B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2945</xdr:row>
          <xdr:rowOff>0</xdr:rowOff>
        </xdr:to>
        <xdr:sp macro="" textlink="">
          <xdr:nvSpPr>
            <xdr:cNvPr id="2088" name="Button 1064" hidden="1">
              <a:extLst>
                <a:ext uri="{63B3BB69-23CF-44E3-9099-C40C66FF867C}">
                  <a14:compatExt spid="_x0000_s2088"/>
                </a:ext>
                <a:ext uri="{FF2B5EF4-FFF2-40B4-BE49-F238E27FC236}">
                  <a16:creationId xmlns:a16="http://schemas.microsoft.com/office/drawing/2014/main" id="{88E9EEC7-89F7-4F43-855D-AB0A2DB0B4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2945</xdr:row>
          <xdr:rowOff>161925</xdr:rowOff>
        </xdr:to>
        <xdr:sp macro="" textlink="">
          <xdr:nvSpPr>
            <xdr:cNvPr id="2089" name="Button 1065" hidden="1">
              <a:extLst>
                <a:ext uri="{63B3BB69-23CF-44E3-9099-C40C66FF867C}">
                  <a14:compatExt spid="_x0000_s2089"/>
                </a:ext>
                <a:ext uri="{FF2B5EF4-FFF2-40B4-BE49-F238E27FC236}">
                  <a16:creationId xmlns:a16="http://schemas.microsoft.com/office/drawing/2014/main" id="{4EDEB995-D0B8-4C3D-A0C6-837A1333FE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7</xdr:col>
          <xdr:colOff>0</xdr:colOff>
          <xdr:row>2949</xdr:row>
          <xdr:rowOff>0</xdr:rowOff>
        </xdr:to>
        <xdr:sp macro="" textlink="">
          <xdr:nvSpPr>
            <xdr:cNvPr id="2090" name="Button 1066" hidden="1">
              <a:extLst>
                <a:ext uri="{63B3BB69-23CF-44E3-9099-C40C66FF867C}">
                  <a14:compatExt spid="_x0000_s2090"/>
                </a:ext>
                <a:ext uri="{FF2B5EF4-FFF2-40B4-BE49-F238E27FC236}">
                  <a16:creationId xmlns:a16="http://schemas.microsoft.com/office/drawing/2014/main" id="{44574A7C-354C-4650-B0A7-F94D86D0E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2956</xdr:row>
          <xdr:rowOff>0</xdr:rowOff>
        </xdr:to>
        <xdr:sp macro="" textlink="">
          <xdr:nvSpPr>
            <xdr:cNvPr id="2091" name="Button 1067" hidden="1">
              <a:extLst>
                <a:ext uri="{63B3BB69-23CF-44E3-9099-C40C66FF867C}">
                  <a14:compatExt spid="_x0000_s2091"/>
                </a:ext>
                <a:ext uri="{FF2B5EF4-FFF2-40B4-BE49-F238E27FC236}">
                  <a16:creationId xmlns:a16="http://schemas.microsoft.com/office/drawing/2014/main" id="{8F7CE7AF-F887-4F5A-BC0F-C6534AFE5B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2956</xdr:row>
          <xdr:rowOff>161925</xdr:rowOff>
        </xdr:to>
        <xdr:sp macro="" textlink="">
          <xdr:nvSpPr>
            <xdr:cNvPr id="2092" name="Button 1068" hidden="1">
              <a:extLst>
                <a:ext uri="{63B3BB69-23CF-44E3-9099-C40C66FF867C}">
                  <a14:compatExt spid="_x0000_s2092"/>
                </a:ext>
                <a:ext uri="{FF2B5EF4-FFF2-40B4-BE49-F238E27FC236}">
                  <a16:creationId xmlns:a16="http://schemas.microsoft.com/office/drawing/2014/main" id="{A9613FD1-DF76-4FDC-9FA6-2244A472A79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2960</xdr:row>
          <xdr:rowOff>0</xdr:rowOff>
        </xdr:to>
        <xdr:sp macro="" textlink="">
          <xdr:nvSpPr>
            <xdr:cNvPr id="2093" name="Button 1069" hidden="1">
              <a:extLst>
                <a:ext uri="{63B3BB69-23CF-44E3-9099-C40C66FF867C}">
                  <a14:compatExt spid="_x0000_s2093"/>
                </a:ext>
                <a:ext uri="{FF2B5EF4-FFF2-40B4-BE49-F238E27FC236}">
                  <a16:creationId xmlns:a16="http://schemas.microsoft.com/office/drawing/2014/main" id="{F7A119FB-0FC7-44DE-AEA9-45FDFD07D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7</xdr:col>
          <xdr:colOff>0</xdr:colOff>
          <xdr:row>2967</xdr:row>
          <xdr:rowOff>0</xdr:rowOff>
        </xdr:to>
        <xdr:sp macro="" textlink="">
          <xdr:nvSpPr>
            <xdr:cNvPr id="2094" name="Button 1070" hidden="1">
              <a:extLst>
                <a:ext uri="{63B3BB69-23CF-44E3-9099-C40C66FF867C}">
                  <a14:compatExt spid="_x0000_s2094"/>
                </a:ext>
                <a:ext uri="{FF2B5EF4-FFF2-40B4-BE49-F238E27FC236}">
                  <a16:creationId xmlns:a16="http://schemas.microsoft.com/office/drawing/2014/main" id="{E76EE61E-EAF6-416D-A782-FD60A9FCAA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2967</xdr:row>
          <xdr:rowOff>161925</xdr:rowOff>
        </xdr:to>
        <xdr:sp macro="" textlink="">
          <xdr:nvSpPr>
            <xdr:cNvPr id="2095" name="Button 1071" hidden="1">
              <a:extLst>
                <a:ext uri="{63B3BB69-23CF-44E3-9099-C40C66FF867C}">
                  <a14:compatExt spid="_x0000_s2095"/>
                </a:ext>
                <a:ext uri="{FF2B5EF4-FFF2-40B4-BE49-F238E27FC236}">
                  <a16:creationId xmlns:a16="http://schemas.microsoft.com/office/drawing/2014/main" id="{2EE7F75C-12D3-4802-B4B0-FF57E25B72A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2971</xdr:row>
          <xdr:rowOff>0</xdr:rowOff>
        </xdr:to>
        <xdr:sp macro="" textlink="">
          <xdr:nvSpPr>
            <xdr:cNvPr id="2096" name="Button 1072" hidden="1">
              <a:extLst>
                <a:ext uri="{63B3BB69-23CF-44E3-9099-C40C66FF867C}">
                  <a14:compatExt spid="_x0000_s2096"/>
                </a:ext>
                <a:ext uri="{FF2B5EF4-FFF2-40B4-BE49-F238E27FC236}">
                  <a16:creationId xmlns:a16="http://schemas.microsoft.com/office/drawing/2014/main" id="{E36011FA-E9AE-4339-AB4A-C8FFC4ADE9C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2978</xdr:row>
          <xdr:rowOff>0</xdr:rowOff>
        </xdr:to>
        <xdr:sp macro="" textlink="">
          <xdr:nvSpPr>
            <xdr:cNvPr id="2097" name="Button 1073" hidden="1">
              <a:extLst>
                <a:ext uri="{63B3BB69-23CF-44E3-9099-C40C66FF867C}">
                  <a14:compatExt spid="_x0000_s2097"/>
                </a:ext>
                <a:ext uri="{FF2B5EF4-FFF2-40B4-BE49-F238E27FC236}">
                  <a16:creationId xmlns:a16="http://schemas.microsoft.com/office/drawing/2014/main" id="{6F94841F-3E9F-4DE7-A4FE-9A88988C95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2978</xdr:row>
          <xdr:rowOff>161925</xdr:rowOff>
        </xdr:to>
        <xdr:sp macro="" textlink="">
          <xdr:nvSpPr>
            <xdr:cNvPr id="2098" name="Button 1074" hidden="1">
              <a:extLst>
                <a:ext uri="{63B3BB69-23CF-44E3-9099-C40C66FF867C}">
                  <a14:compatExt spid="_x0000_s2098"/>
                </a:ext>
                <a:ext uri="{FF2B5EF4-FFF2-40B4-BE49-F238E27FC236}">
                  <a16:creationId xmlns:a16="http://schemas.microsoft.com/office/drawing/2014/main" id="{C8FBA281-C288-41E7-8087-3D77FF438A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2982</xdr:row>
          <xdr:rowOff>0</xdr:rowOff>
        </xdr:to>
        <xdr:sp macro="" textlink="">
          <xdr:nvSpPr>
            <xdr:cNvPr id="2099" name="Button 1075" hidden="1">
              <a:extLst>
                <a:ext uri="{63B3BB69-23CF-44E3-9099-C40C66FF867C}">
                  <a14:compatExt spid="_x0000_s2099"/>
                </a:ext>
                <a:ext uri="{FF2B5EF4-FFF2-40B4-BE49-F238E27FC236}">
                  <a16:creationId xmlns:a16="http://schemas.microsoft.com/office/drawing/2014/main" id="{789BD3B6-3CEB-4DE4-942B-7D1F3B84A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2989</xdr:row>
          <xdr:rowOff>0</xdr:rowOff>
        </xdr:to>
        <xdr:sp macro="" textlink="">
          <xdr:nvSpPr>
            <xdr:cNvPr id="2100" name="Button 1076" hidden="1">
              <a:extLst>
                <a:ext uri="{63B3BB69-23CF-44E3-9099-C40C66FF867C}">
                  <a14:compatExt spid="_x0000_s2100"/>
                </a:ext>
                <a:ext uri="{FF2B5EF4-FFF2-40B4-BE49-F238E27FC236}">
                  <a16:creationId xmlns:a16="http://schemas.microsoft.com/office/drawing/2014/main" id="{57498471-12C2-4202-8AAA-B7A93652CD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2989</xdr:row>
          <xdr:rowOff>161925</xdr:rowOff>
        </xdr:to>
        <xdr:sp macro="" textlink="">
          <xdr:nvSpPr>
            <xdr:cNvPr id="2101" name="Button 1077" hidden="1">
              <a:extLst>
                <a:ext uri="{63B3BB69-23CF-44E3-9099-C40C66FF867C}">
                  <a14:compatExt spid="_x0000_s2101"/>
                </a:ext>
                <a:ext uri="{FF2B5EF4-FFF2-40B4-BE49-F238E27FC236}">
                  <a16:creationId xmlns:a16="http://schemas.microsoft.com/office/drawing/2014/main" id="{C1F69D32-603C-48BE-9F91-FC8E41AE1DA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2993</xdr:row>
          <xdr:rowOff>0</xdr:rowOff>
        </xdr:to>
        <xdr:sp macro="" textlink="">
          <xdr:nvSpPr>
            <xdr:cNvPr id="2102" name="Button 1078" hidden="1">
              <a:extLst>
                <a:ext uri="{63B3BB69-23CF-44E3-9099-C40C66FF867C}">
                  <a14:compatExt spid="_x0000_s2102"/>
                </a:ext>
                <a:ext uri="{FF2B5EF4-FFF2-40B4-BE49-F238E27FC236}">
                  <a16:creationId xmlns:a16="http://schemas.microsoft.com/office/drawing/2014/main" id="{4A684CAC-B188-42DC-862A-09C3B3E5AA7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3000</xdr:row>
          <xdr:rowOff>0</xdr:rowOff>
        </xdr:to>
        <xdr:sp macro="" textlink="">
          <xdr:nvSpPr>
            <xdr:cNvPr id="2103" name="Button 1079" hidden="1">
              <a:extLst>
                <a:ext uri="{63B3BB69-23CF-44E3-9099-C40C66FF867C}">
                  <a14:compatExt spid="_x0000_s2103"/>
                </a:ext>
                <a:ext uri="{FF2B5EF4-FFF2-40B4-BE49-F238E27FC236}">
                  <a16:creationId xmlns:a16="http://schemas.microsoft.com/office/drawing/2014/main" id="{4C47DFB6-7716-4D82-8D5B-8F05EEAD46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3000</xdr:row>
          <xdr:rowOff>0</xdr:rowOff>
        </xdr:from>
        <xdr:to>
          <xdr:col>7</xdr:col>
          <xdr:colOff>0</xdr:colOff>
          <xdr:row>3000</xdr:row>
          <xdr:rowOff>161925</xdr:rowOff>
        </xdr:to>
        <xdr:sp macro="" textlink="">
          <xdr:nvSpPr>
            <xdr:cNvPr id="2104" name="Button 1080" hidden="1">
              <a:extLst>
                <a:ext uri="{63B3BB69-23CF-44E3-9099-C40C66FF867C}">
                  <a14:compatExt spid="_x0000_s2104"/>
                </a:ext>
                <a:ext uri="{FF2B5EF4-FFF2-40B4-BE49-F238E27FC236}">
                  <a16:creationId xmlns:a16="http://schemas.microsoft.com/office/drawing/2014/main" id="{90D45DBC-77DA-45EE-8FA6-29CFBA4C0E0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3004</xdr:row>
          <xdr:rowOff>0</xdr:rowOff>
        </xdr:to>
        <xdr:sp macro="" textlink="">
          <xdr:nvSpPr>
            <xdr:cNvPr id="2105" name="Button 1081" hidden="1">
              <a:extLst>
                <a:ext uri="{63B3BB69-23CF-44E3-9099-C40C66FF867C}">
                  <a14:compatExt spid="_x0000_s2105"/>
                </a:ext>
                <a:ext uri="{FF2B5EF4-FFF2-40B4-BE49-F238E27FC236}">
                  <a16:creationId xmlns:a16="http://schemas.microsoft.com/office/drawing/2014/main" id="{F2AB5DAC-7508-45F5-8E95-4FF5DE38F1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7</xdr:col>
          <xdr:colOff>0</xdr:colOff>
          <xdr:row>3011</xdr:row>
          <xdr:rowOff>0</xdr:rowOff>
        </xdr:to>
        <xdr:sp macro="" textlink="">
          <xdr:nvSpPr>
            <xdr:cNvPr id="2106" name="Button 1082" hidden="1">
              <a:extLst>
                <a:ext uri="{63B3BB69-23CF-44E3-9099-C40C66FF867C}">
                  <a14:compatExt spid="_x0000_s2106"/>
                </a:ext>
                <a:ext uri="{FF2B5EF4-FFF2-40B4-BE49-F238E27FC236}">
                  <a16:creationId xmlns:a16="http://schemas.microsoft.com/office/drawing/2014/main" id="{4B54870E-5923-473E-8E17-8D7C3BF7840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7</xdr:col>
          <xdr:colOff>0</xdr:colOff>
          <xdr:row>3011</xdr:row>
          <xdr:rowOff>161925</xdr:rowOff>
        </xdr:to>
        <xdr:sp macro="" textlink="">
          <xdr:nvSpPr>
            <xdr:cNvPr id="2107" name="Button 1083" hidden="1">
              <a:extLst>
                <a:ext uri="{63B3BB69-23CF-44E3-9099-C40C66FF867C}">
                  <a14:compatExt spid="_x0000_s2107"/>
                </a:ext>
                <a:ext uri="{FF2B5EF4-FFF2-40B4-BE49-F238E27FC236}">
                  <a16:creationId xmlns:a16="http://schemas.microsoft.com/office/drawing/2014/main" id="{12699510-1082-4732-AC68-1ED1275E259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3014</xdr:row>
          <xdr:rowOff>0</xdr:rowOff>
        </xdr:from>
        <xdr:to>
          <xdr:col>7</xdr:col>
          <xdr:colOff>0</xdr:colOff>
          <xdr:row>3015</xdr:row>
          <xdr:rowOff>0</xdr:rowOff>
        </xdr:to>
        <xdr:sp macro="" textlink="">
          <xdr:nvSpPr>
            <xdr:cNvPr id="2108" name="Button 1084" hidden="1">
              <a:extLst>
                <a:ext uri="{63B3BB69-23CF-44E3-9099-C40C66FF867C}">
                  <a14:compatExt spid="_x0000_s2108"/>
                </a:ext>
                <a:ext uri="{FF2B5EF4-FFF2-40B4-BE49-F238E27FC236}">
                  <a16:creationId xmlns:a16="http://schemas.microsoft.com/office/drawing/2014/main" id="{456A73F9-3910-4496-B04A-3F6B9CFBEE2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3022</xdr:row>
          <xdr:rowOff>0</xdr:rowOff>
        </xdr:to>
        <xdr:sp macro="" textlink="">
          <xdr:nvSpPr>
            <xdr:cNvPr id="2109" name="Button 1085" hidden="1">
              <a:extLst>
                <a:ext uri="{63B3BB69-23CF-44E3-9099-C40C66FF867C}">
                  <a14:compatExt spid="_x0000_s2109"/>
                </a:ext>
                <a:ext uri="{FF2B5EF4-FFF2-40B4-BE49-F238E27FC236}">
                  <a16:creationId xmlns:a16="http://schemas.microsoft.com/office/drawing/2014/main" id="{18890F4E-D256-4948-B39F-553A43AA24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7</xdr:col>
          <xdr:colOff>0</xdr:colOff>
          <xdr:row>3022</xdr:row>
          <xdr:rowOff>161925</xdr:rowOff>
        </xdr:to>
        <xdr:sp macro="" textlink="">
          <xdr:nvSpPr>
            <xdr:cNvPr id="2110" name="Button 1086" hidden="1">
              <a:extLst>
                <a:ext uri="{63B3BB69-23CF-44E3-9099-C40C66FF867C}">
                  <a14:compatExt spid="_x0000_s2110"/>
                </a:ext>
                <a:ext uri="{FF2B5EF4-FFF2-40B4-BE49-F238E27FC236}">
                  <a16:creationId xmlns:a16="http://schemas.microsoft.com/office/drawing/2014/main" id="{33EC2540-64DC-4FAD-B562-304B7EE331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3026</xdr:row>
          <xdr:rowOff>0</xdr:rowOff>
        </xdr:to>
        <xdr:sp macro="" textlink="">
          <xdr:nvSpPr>
            <xdr:cNvPr id="2111" name="Button 1087" hidden="1">
              <a:extLst>
                <a:ext uri="{63B3BB69-23CF-44E3-9099-C40C66FF867C}">
                  <a14:compatExt spid="_x0000_s2111"/>
                </a:ext>
                <a:ext uri="{FF2B5EF4-FFF2-40B4-BE49-F238E27FC236}">
                  <a16:creationId xmlns:a16="http://schemas.microsoft.com/office/drawing/2014/main" id="{52B6B520-1AA0-4CD9-AB45-AA3A12777B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3033</xdr:row>
          <xdr:rowOff>0</xdr:rowOff>
        </xdr:to>
        <xdr:sp macro="" textlink="">
          <xdr:nvSpPr>
            <xdr:cNvPr id="2112" name="Button 1088" hidden="1">
              <a:extLst>
                <a:ext uri="{63B3BB69-23CF-44E3-9099-C40C66FF867C}">
                  <a14:compatExt spid="_x0000_s2112"/>
                </a:ext>
                <a:ext uri="{FF2B5EF4-FFF2-40B4-BE49-F238E27FC236}">
                  <a16:creationId xmlns:a16="http://schemas.microsoft.com/office/drawing/2014/main" id="{F4DCC926-5B09-407C-962F-068BA0AF4CF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3033</xdr:row>
          <xdr:rowOff>161925</xdr:rowOff>
        </xdr:to>
        <xdr:sp macro="" textlink="">
          <xdr:nvSpPr>
            <xdr:cNvPr id="2113" name="Button 1089" hidden="1">
              <a:extLst>
                <a:ext uri="{63B3BB69-23CF-44E3-9099-C40C66FF867C}">
                  <a14:compatExt spid="_x0000_s2113"/>
                </a:ext>
                <a:ext uri="{FF2B5EF4-FFF2-40B4-BE49-F238E27FC236}">
                  <a16:creationId xmlns:a16="http://schemas.microsoft.com/office/drawing/2014/main" id="{574A3D0C-FDCC-409A-BFEF-418C95C295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3037</xdr:row>
          <xdr:rowOff>0</xdr:rowOff>
        </xdr:to>
        <xdr:sp macro="" textlink="">
          <xdr:nvSpPr>
            <xdr:cNvPr id="2114" name="Button 1090" hidden="1">
              <a:extLst>
                <a:ext uri="{63B3BB69-23CF-44E3-9099-C40C66FF867C}">
                  <a14:compatExt spid="_x0000_s2114"/>
                </a:ext>
                <a:ext uri="{FF2B5EF4-FFF2-40B4-BE49-F238E27FC236}">
                  <a16:creationId xmlns:a16="http://schemas.microsoft.com/office/drawing/2014/main" id="{F008C21E-BF9D-470A-B0C9-A6C8B2BCE5D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7</xdr:col>
          <xdr:colOff>0</xdr:colOff>
          <xdr:row>3044</xdr:row>
          <xdr:rowOff>0</xdr:rowOff>
        </xdr:to>
        <xdr:sp macro="" textlink="">
          <xdr:nvSpPr>
            <xdr:cNvPr id="2115" name="Button 1091" hidden="1">
              <a:extLst>
                <a:ext uri="{63B3BB69-23CF-44E3-9099-C40C66FF867C}">
                  <a14:compatExt spid="_x0000_s2115"/>
                </a:ext>
                <a:ext uri="{FF2B5EF4-FFF2-40B4-BE49-F238E27FC236}">
                  <a16:creationId xmlns:a16="http://schemas.microsoft.com/office/drawing/2014/main" id="{20EE34A2-0740-4721-AE1C-6B0803F8FEC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7</xdr:col>
          <xdr:colOff>0</xdr:colOff>
          <xdr:row>3044</xdr:row>
          <xdr:rowOff>161925</xdr:rowOff>
        </xdr:to>
        <xdr:sp macro="" textlink="">
          <xdr:nvSpPr>
            <xdr:cNvPr id="2116" name="Button 1092" hidden="1">
              <a:extLst>
                <a:ext uri="{63B3BB69-23CF-44E3-9099-C40C66FF867C}">
                  <a14:compatExt spid="_x0000_s2116"/>
                </a:ext>
                <a:ext uri="{FF2B5EF4-FFF2-40B4-BE49-F238E27FC236}">
                  <a16:creationId xmlns:a16="http://schemas.microsoft.com/office/drawing/2014/main" id="{FD60398D-EEA1-4D28-9F6C-F66E04B9D8B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3045</xdr:row>
          <xdr:rowOff>161925</xdr:rowOff>
        </xdr:to>
        <xdr:sp macro="" textlink="">
          <xdr:nvSpPr>
            <xdr:cNvPr id="2117" name="Button 1093" hidden="1">
              <a:extLst>
                <a:ext uri="{63B3BB69-23CF-44E3-9099-C40C66FF867C}">
                  <a14:compatExt spid="_x0000_s2117"/>
                </a:ext>
                <a:ext uri="{FF2B5EF4-FFF2-40B4-BE49-F238E27FC236}">
                  <a16:creationId xmlns:a16="http://schemas.microsoft.com/office/drawing/2014/main" id="{D5AF9382-8C69-40A9-B8AC-05A0CE8A0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3049</xdr:row>
          <xdr:rowOff>0</xdr:rowOff>
        </xdr:to>
        <xdr:sp macro="" textlink="">
          <xdr:nvSpPr>
            <xdr:cNvPr id="2118" name="Button 1094" hidden="1">
              <a:extLst>
                <a:ext uri="{63B3BB69-23CF-44E3-9099-C40C66FF867C}">
                  <a14:compatExt spid="_x0000_s2118"/>
                </a:ext>
                <a:ext uri="{FF2B5EF4-FFF2-40B4-BE49-F238E27FC236}">
                  <a16:creationId xmlns:a16="http://schemas.microsoft.com/office/drawing/2014/main" id="{677EB230-A437-4006-BF02-6EEB3C3EFD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7</xdr:col>
          <xdr:colOff>0</xdr:colOff>
          <xdr:row>3056</xdr:row>
          <xdr:rowOff>0</xdr:rowOff>
        </xdr:to>
        <xdr:sp macro="" textlink="">
          <xdr:nvSpPr>
            <xdr:cNvPr id="2119" name="Button 1095" hidden="1">
              <a:extLst>
                <a:ext uri="{63B3BB69-23CF-44E3-9099-C40C66FF867C}">
                  <a14:compatExt spid="_x0000_s2119"/>
                </a:ext>
                <a:ext uri="{FF2B5EF4-FFF2-40B4-BE49-F238E27FC236}">
                  <a16:creationId xmlns:a16="http://schemas.microsoft.com/office/drawing/2014/main" id="{BA652C44-1B72-4D67-916E-658BE2AFA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3056</xdr:row>
          <xdr:rowOff>161925</xdr:rowOff>
        </xdr:to>
        <xdr:sp macro="" textlink="">
          <xdr:nvSpPr>
            <xdr:cNvPr id="2120" name="Button 1096" hidden="1">
              <a:extLst>
                <a:ext uri="{63B3BB69-23CF-44E3-9099-C40C66FF867C}">
                  <a14:compatExt spid="_x0000_s2120"/>
                </a:ext>
                <a:ext uri="{FF2B5EF4-FFF2-40B4-BE49-F238E27FC236}">
                  <a16:creationId xmlns:a16="http://schemas.microsoft.com/office/drawing/2014/main" id="{0EEDC40E-DEED-4BC9-88E6-1ECE6C8CE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3059</xdr:row>
          <xdr:rowOff>0</xdr:rowOff>
        </xdr:from>
        <xdr:to>
          <xdr:col>7</xdr:col>
          <xdr:colOff>0</xdr:colOff>
          <xdr:row>3060</xdr:row>
          <xdr:rowOff>0</xdr:rowOff>
        </xdr:to>
        <xdr:sp macro="" textlink="">
          <xdr:nvSpPr>
            <xdr:cNvPr id="2121" name="Button 1097" hidden="1">
              <a:extLst>
                <a:ext uri="{63B3BB69-23CF-44E3-9099-C40C66FF867C}">
                  <a14:compatExt spid="_x0000_s2121"/>
                </a:ext>
                <a:ext uri="{FF2B5EF4-FFF2-40B4-BE49-F238E27FC236}">
                  <a16:creationId xmlns:a16="http://schemas.microsoft.com/office/drawing/2014/main" id="{FF68B785-E396-48AC-9039-96BC5BB9404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7</xdr:col>
          <xdr:colOff>0</xdr:colOff>
          <xdr:row>3067</xdr:row>
          <xdr:rowOff>0</xdr:rowOff>
        </xdr:to>
        <xdr:sp macro="" textlink="">
          <xdr:nvSpPr>
            <xdr:cNvPr id="2122" name="Button 1098" hidden="1">
              <a:extLst>
                <a:ext uri="{63B3BB69-23CF-44E3-9099-C40C66FF867C}">
                  <a14:compatExt spid="_x0000_s2122"/>
                </a:ext>
                <a:ext uri="{FF2B5EF4-FFF2-40B4-BE49-F238E27FC236}">
                  <a16:creationId xmlns:a16="http://schemas.microsoft.com/office/drawing/2014/main" id="{E2ECC52E-DC1F-4839-8FF1-F4D846E5F7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7</xdr:col>
          <xdr:colOff>0</xdr:colOff>
          <xdr:row>3067</xdr:row>
          <xdr:rowOff>161925</xdr:rowOff>
        </xdr:to>
        <xdr:sp macro="" textlink="">
          <xdr:nvSpPr>
            <xdr:cNvPr id="2123" name="Button 1099" hidden="1">
              <a:extLst>
                <a:ext uri="{63B3BB69-23CF-44E3-9099-C40C66FF867C}">
                  <a14:compatExt spid="_x0000_s2123"/>
                </a:ext>
                <a:ext uri="{FF2B5EF4-FFF2-40B4-BE49-F238E27FC236}">
                  <a16:creationId xmlns:a16="http://schemas.microsoft.com/office/drawing/2014/main" id="{340825C3-AEBA-49FF-A039-BFD80119FC3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3323</xdr:row>
          <xdr:rowOff>0</xdr:rowOff>
        </xdr:from>
        <xdr:to>
          <xdr:col>1</xdr:col>
          <xdr:colOff>457200</xdr:colOff>
          <xdr:row>3324</xdr:row>
          <xdr:rowOff>161925</xdr:rowOff>
        </xdr:to>
        <xdr:sp macro="" textlink="">
          <xdr:nvSpPr>
            <xdr:cNvPr id="2124" name="Button 1100" hidden="1">
              <a:extLst>
                <a:ext uri="{63B3BB69-23CF-44E3-9099-C40C66FF867C}">
                  <a14:compatExt spid="_x0000_s2124"/>
                </a:ext>
                <a:ext uri="{FF2B5EF4-FFF2-40B4-BE49-F238E27FC236}">
                  <a16:creationId xmlns:a16="http://schemas.microsoft.com/office/drawing/2014/main" id="{955A8231-F39C-4755-B2AC-E4FD45625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2125" name="Button 1101" hidden="1">
              <a:extLst>
                <a:ext uri="{63B3BB69-23CF-44E3-9099-C40C66FF867C}">
                  <a14:compatExt spid="_x0000_s2125"/>
                </a:ext>
                <a:ext uri="{FF2B5EF4-FFF2-40B4-BE49-F238E27FC236}">
                  <a16:creationId xmlns:a16="http://schemas.microsoft.com/office/drawing/2014/main" id="{9B22A2D6-1E06-42FA-906F-0930DC1A19D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2126" name="Button 1102" hidden="1">
              <a:extLst>
                <a:ext uri="{63B3BB69-23CF-44E3-9099-C40C66FF867C}">
                  <a14:compatExt spid="_x0000_s2126"/>
                </a:ext>
                <a:ext uri="{FF2B5EF4-FFF2-40B4-BE49-F238E27FC236}">
                  <a16:creationId xmlns:a16="http://schemas.microsoft.com/office/drawing/2014/main" id="{FBB152C0-0FD7-45E1-8174-C486D8A67D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10</xdr:col>
          <xdr:colOff>0</xdr:colOff>
          <xdr:row>3078</xdr:row>
          <xdr:rowOff>0</xdr:rowOff>
        </xdr:to>
        <xdr:sp macro="" textlink="">
          <xdr:nvSpPr>
            <xdr:cNvPr id="2127" name="Button 1103" hidden="1">
              <a:extLst>
                <a:ext uri="{63B3BB69-23CF-44E3-9099-C40C66FF867C}">
                  <a14:compatExt spid="_x0000_s2127"/>
                </a:ext>
                <a:ext uri="{FF2B5EF4-FFF2-40B4-BE49-F238E27FC236}">
                  <a16:creationId xmlns:a16="http://schemas.microsoft.com/office/drawing/2014/main" id="{524A67A8-1722-42DD-9AC8-0E87AAD640EA}"/>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10</xdr:col>
          <xdr:colOff>0</xdr:colOff>
          <xdr:row>3079</xdr:row>
          <xdr:rowOff>0</xdr:rowOff>
        </xdr:to>
        <xdr:sp macro="" textlink="">
          <xdr:nvSpPr>
            <xdr:cNvPr id="2128" name="Button 1104" hidden="1">
              <a:extLst>
                <a:ext uri="{63B3BB69-23CF-44E3-9099-C40C66FF867C}">
                  <a14:compatExt spid="_x0000_s2128"/>
                </a:ext>
                <a:ext uri="{FF2B5EF4-FFF2-40B4-BE49-F238E27FC236}">
                  <a16:creationId xmlns:a16="http://schemas.microsoft.com/office/drawing/2014/main" id="{79B55AAD-0A8D-4F38-B0A8-BF2562E3C2C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10</xdr:col>
          <xdr:colOff>0</xdr:colOff>
          <xdr:row>3071</xdr:row>
          <xdr:rowOff>0</xdr:rowOff>
        </xdr:to>
        <xdr:sp macro="" textlink="">
          <xdr:nvSpPr>
            <xdr:cNvPr id="2129" name="Button 1105" hidden="1">
              <a:extLst>
                <a:ext uri="{63B3BB69-23CF-44E3-9099-C40C66FF867C}">
                  <a14:compatExt spid="_x0000_s2129"/>
                </a:ext>
                <a:ext uri="{FF2B5EF4-FFF2-40B4-BE49-F238E27FC236}">
                  <a16:creationId xmlns:a16="http://schemas.microsoft.com/office/drawing/2014/main" id="{B9F923EA-0A9E-43E4-87BE-B6D728EBB2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2130" name="Button 1106" hidden="1">
              <a:extLst>
                <a:ext uri="{63B3BB69-23CF-44E3-9099-C40C66FF867C}">
                  <a14:compatExt spid="_x0000_s2130"/>
                </a:ext>
                <a:ext uri="{FF2B5EF4-FFF2-40B4-BE49-F238E27FC236}">
                  <a16:creationId xmlns:a16="http://schemas.microsoft.com/office/drawing/2014/main" id="{A0381380-3382-4640-9E04-DAF220779DF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2131" name="Button 1107" hidden="1">
              <a:extLst>
                <a:ext uri="{63B3BB69-23CF-44E3-9099-C40C66FF867C}">
                  <a14:compatExt spid="_x0000_s2131"/>
                </a:ext>
                <a:ext uri="{FF2B5EF4-FFF2-40B4-BE49-F238E27FC236}">
                  <a16:creationId xmlns:a16="http://schemas.microsoft.com/office/drawing/2014/main" id="{F7C1E136-C97E-45B8-8AD1-9671221CAF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2132" name="Button 1108" hidden="1">
              <a:extLst>
                <a:ext uri="{63B3BB69-23CF-44E3-9099-C40C66FF867C}">
                  <a14:compatExt spid="_x0000_s2132"/>
                </a:ext>
                <a:ext uri="{FF2B5EF4-FFF2-40B4-BE49-F238E27FC236}">
                  <a16:creationId xmlns:a16="http://schemas.microsoft.com/office/drawing/2014/main" id="{B5F19340-B69B-43F1-BFBB-6F60B01AF67F}"/>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2133" name="Button 1109" hidden="1">
              <a:extLst>
                <a:ext uri="{63B3BB69-23CF-44E3-9099-C40C66FF867C}">
                  <a14:compatExt spid="_x0000_s2133"/>
                </a:ext>
                <a:ext uri="{FF2B5EF4-FFF2-40B4-BE49-F238E27FC236}">
                  <a16:creationId xmlns:a16="http://schemas.microsoft.com/office/drawing/2014/main" id="{DCF01B3D-C6C2-4228-A323-E8898D92AA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2134" name="Button 1110" hidden="1">
              <a:extLst>
                <a:ext uri="{63B3BB69-23CF-44E3-9099-C40C66FF867C}">
                  <a14:compatExt spid="_x0000_s2134"/>
                </a:ext>
                <a:ext uri="{FF2B5EF4-FFF2-40B4-BE49-F238E27FC236}">
                  <a16:creationId xmlns:a16="http://schemas.microsoft.com/office/drawing/2014/main" id="{7B426E97-309C-4B8B-A4A8-45C7F777B7B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2135" name="Button 1111" hidden="1">
              <a:extLst>
                <a:ext uri="{63B3BB69-23CF-44E3-9099-C40C66FF867C}">
                  <a14:compatExt spid="_x0000_s2135"/>
                </a:ext>
                <a:ext uri="{FF2B5EF4-FFF2-40B4-BE49-F238E27FC236}">
                  <a16:creationId xmlns:a16="http://schemas.microsoft.com/office/drawing/2014/main" id="{D7B816CF-1572-428F-869F-EF32CE849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2136" name="Button 1112" hidden="1">
              <a:extLst>
                <a:ext uri="{63B3BB69-23CF-44E3-9099-C40C66FF867C}">
                  <a14:compatExt spid="_x0000_s2136"/>
                </a:ext>
                <a:ext uri="{FF2B5EF4-FFF2-40B4-BE49-F238E27FC236}">
                  <a16:creationId xmlns:a16="http://schemas.microsoft.com/office/drawing/2014/main" id="{02347FE1-66C5-41DB-8FCF-9982B7307E5C}"/>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2137" name="Button 1113" hidden="1">
              <a:extLst>
                <a:ext uri="{63B3BB69-23CF-44E3-9099-C40C66FF867C}">
                  <a14:compatExt spid="_x0000_s2137"/>
                </a:ext>
                <a:ext uri="{FF2B5EF4-FFF2-40B4-BE49-F238E27FC236}">
                  <a16:creationId xmlns:a16="http://schemas.microsoft.com/office/drawing/2014/main" id="{32307E73-614E-4399-859D-84532371FB3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2138" name="Button 1114" hidden="1">
              <a:extLst>
                <a:ext uri="{63B3BB69-23CF-44E3-9099-C40C66FF867C}">
                  <a14:compatExt spid="_x0000_s2138"/>
                </a:ext>
                <a:ext uri="{FF2B5EF4-FFF2-40B4-BE49-F238E27FC236}">
                  <a16:creationId xmlns:a16="http://schemas.microsoft.com/office/drawing/2014/main" id="{8437D6C0-6FBF-422F-8D1D-B204023E7FDF}"/>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2139" name="Button 1115" hidden="1">
              <a:extLst>
                <a:ext uri="{63B3BB69-23CF-44E3-9099-C40C66FF867C}">
                  <a14:compatExt spid="_x0000_s2139"/>
                </a:ext>
                <a:ext uri="{FF2B5EF4-FFF2-40B4-BE49-F238E27FC236}">
                  <a16:creationId xmlns:a16="http://schemas.microsoft.com/office/drawing/2014/main" id="{A8800E86-4520-430D-9C0D-EF37964DCA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2140" name="Button 1116" hidden="1">
              <a:extLst>
                <a:ext uri="{63B3BB69-23CF-44E3-9099-C40C66FF867C}">
                  <a14:compatExt spid="_x0000_s2140"/>
                </a:ext>
                <a:ext uri="{FF2B5EF4-FFF2-40B4-BE49-F238E27FC236}">
                  <a16:creationId xmlns:a16="http://schemas.microsoft.com/office/drawing/2014/main" id="{E172519C-7B57-49D3-9D35-61AD0C3A0B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141" name="Button 1117" hidden="1">
              <a:extLst>
                <a:ext uri="{63B3BB69-23CF-44E3-9099-C40C66FF867C}">
                  <a14:compatExt spid="_x0000_s2141"/>
                </a:ext>
                <a:ext uri="{FF2B5EF4-FFF2-40B4-BE49-F238E27FC236}">
                  <a16:creationId xmlns:a16="http://schemas.microsoft.com/office/drawing/2014/main" id="{8204A4F3-8390-4D37-9E6B-B40524A65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142" name="Button 1118" hidden="1">
              <a:extLst>
                <a:ext uri="{63B3BB69-23CF-44E3-9099-C40C66FF867C}">
                  <a14:compatExt spid="_x0000_s2142"/>
                </a:ext>
                <a:ext uri="{FF2B5EF4-FFF2-40B4-BE49-F238E27FC236}">
                  <a16:creationId xmlns:a16="http://schemas.microsoft.com/office/drawing/2014/main" id="{ADA9722E-7548-41A4-9338-7BA2C0B076BB}"/>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10</xdr:col>
          <xdr:colOff>0</xdr:colOff>
          <xdr:row>2524</xdr:row>
          <xdr:rowOff>0</xdr:rowOff>
        </xdr:to>
        <xdr:sp macro="" textlink="">
          <xdr:nvSpPr>
            <xdr:cNvPr id="2143" name="Button 1119" hidden="1">
              <a:extLst>
                <a:ext uri="{63B3BB69-23CF-44E3-9099-C40C66FF867C}">
                  <a14:compatExt spid="_x0000_s2143"/>
                </a:ext>
                <a:ext uri="{FF2B5EF4-FFF2-40B4-BE49-F238E27FC236}">
                  <a16:creationId xmlns:a16="http://schemas.microsoft.com/office/drawing/2014/main" id="{2DBC886F-5412-4CD6-96B7-375585E4B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10</xdr:col>
          <xdr:colOff>0</xdr:colOff>
          <xdr:row>2273</xdr:row>
          <xdr:rowOff>0</xdr:rowOff>
        </xdr:to>
        <xdr:sp macro="" textlink="">
          <xdr:nvSpPr>
            <xdr:cNvPr id="2144" name="Button 1120" hidden="1">
              <a:extLst>
                <a:ext uri="{63B3BB69-23CF-44E3-9099-C40C66FF867C}">
                  <a14:compatExt spid="_x0000_s2144"/>
                </a:ext>
                <a:ext uri="{FF2B5EF4-FFF2-40B4-BE49-F238E27FC236}">
                  <a16:creationId xmlns:a16="http://schemas.microsoft.com/office/drawing/2014/main" id="{9C8BA234-CAAF-45E2-9B24-90894DDC3FAC}"/>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10</xdr:col>
          <xdr:colOff>0</xdr:colOff>
          <xdr:row>2635</xdr:row>
          <xdr:rowOff>0</xdr:rowOff>
        </xdr:to>
        <xdr:sp macro="" textlink="">
          <xdr:nvSpPr>
            <xdr:cNvPr id="2145" name="Button 1121" hidden="1">
              <a:extLst>
                <a:ext uri="{63B3BB69-23CF-44E3-9099-C40C66FF867C}">
                  <a14:compatExt spid="_x0000_s2145"/>
                </a:ext>
                <a:ext uri="{FF2B5EF4-FFF2-40B4-BE49-F238E27FC236}">
                  <a16:creationId xmlns:a16="http://schemas.microsoft.com/office/drawing/2014/main" id="{C73DBE22-54BB-4134-98DE-92789B861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146" name="Button 1122" hidden="1">
              <a:extLst>
                <a:ext uri="{63B3BB69-23CF-44E3-9099-C40C66FF867C}">
                  <a14:compatExt spid="_x0000_s2146"/>
                </a:ext>
                <a:ext uri="{FF2B5EF4-FFF2-40B4-BE49-F238E27FC236}">
                  <a16:creationId xmlns:a16="http://schemas.microsoft.com/office/drawing/2014/main" id="{EBE15CE8-37BD-4C0A-B2FE-AD963C3A08E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2147" name="Button 1123" hidden="1">
              <a:extLst>
                <a:ext uri="{63B3BB69-23CF-44E3-9099-C40C66FF867C}">
                  <a14:compatExt spid="_x0000_s2147"/>
                </a:ext>
                <a:ext uri="{FF2B5EF4-FFF2-40B4-BE49-F238E27FC236}">
                  <a16:creationId xmlns:a16="http://schemas.microsoft.com/office/drawing/2014/main" id="{41BD1508-A3FA-4AAB-8167-E03B1CFA4DEE}"/>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2148" name="Button 1124" hidden="1">
              <a:extLst>
                <a:ext uri="{63B3BB69-23CF-44E3-9099-C40C66FF867C}">
                  <a14:compatExt spid="_x0000_s2148"/>
                </a:ext>
                <a:ext uri="{FF2B5EF4-FFF2-40B4-BE49-F238E27FC236}">
                  <a16:creationId xmlns:a16="http://schemas.microsoft.com/office/drawing/2014/main" id="{D8EA21B0-281D-412E-9DC7-1DA975D7D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149" name="Button 1125" hidden="1">
              <a:extLst>
                <a:ext uri="{63B3BB69-23CF-44E3-9099-C40C66FF867C}">
                  <a14:compatExt spid="_x0000_s2149"/>
                </a:ext>
                <a:ext uri="{FF2B5EF4-FFF2-40B4-BE49-F238E27FC236}">
                  <a16:creationId xmlns:a16="http://schemas.microsoft.com/office/drawing/2014/main" id="{5AD3B44A-A29F-477F-9164-4164047854D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2150" name="Button 1126" hidden="1">
              <a:extLst>
                <a:ext uri="{63B3BB69-23CF-44E3-9099-C40C66FF867C}">
                  <a14:compatExt spid="_x0000_s2150"/>
                </a:ext>
                <a:ext uri="{FF2B5EF4-FFF2-40B4-BE49-F238E27FC236}">
                  <a16:creationId xmlns:a16="http://schemas.microsoft.com/office/drawing/2014/main" id="{DA900911-4F42-4481-93C2-B23ED5B26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2151" name="Button 1127" hidden="1">
              <a:extLst>
                <a:ext uri="{63B3BB69-23CF-44E3-9099-C40C66FF867C}">
                  <a14:compatExt spid="_x0000_s2151"/>
                </a:ext>
                <a:ext uri="{FF2B5EF4-FFF2-40B4-BE49-F238E27FC236}">
                  <a16:creationId xmlns:a16="http://schemas.microsoft.com/office/drawing/2014/main" id="{5AF21B9D-6E29-45DC-BC2D-F548E3AB5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10</xdr:col>
          <xdr:colOff>0</xdr:colOff>
          <xdr:row>2721</xdr:row>
          <xdr:rowOff>0</xdr:rowOff>
        </xdr:to>
        <xdr:sp macro="" textlink="">
          <xdr:nvSpPr>
            <xdr:cNvPr id="2152" name="Button 1128" hidden="1">
              <a:extLst>
                <a:ext uri="{63B3BB69-23CF-44E3-9099-C40C66FF867C}">
                  <a14:compatExt spid="_x0000_s2152"/>
                </a:ext>
                <a:ext uri="{FF2B5EF4-FFF2-40B4-BE49-F238E27FC236}">
                  <a16:creationId xmlns:a16="http://schemas.microsoft.com/office/drawing/2014/main" id="{48B3CF44-839B-4BD4-A80F-817397EB671F}"/>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10</xdr:col>
          <xdr:colOff>0</xdr:colOff>
          <xdr:row>2636</xdr:row>
          <xdr:rowOff>0</xdr:rowOff>
        </xdr:to>
        <xdr:sp macro="" textlink="">
          <xdr:nvSpPr>
            <xdr:cNvPr id="2153" name="Button 1129" hidden="1">
              <a:extLst>
                <a:ext uri="{63B3BB69-23CF-44E3-9099-C40C66FF867C}">
                  <a14:compatExt spid="_x0000_s2153"/>
                </a:ext>
                <a:ext uri="{FF2B5EF4-FFF2-40B4-BE49-F238E27FC236}">
                  <a16:creationId xmlns:a16="http://schemas.microsoft.com/office/drawing/2014/main" id="{4E401C7B-AACA-4044-AC85-128C6512C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2154" name="Button 1130" hidden="1">
              <a:extLst>
                <a:ext uri="{63B3BB69-23CF-44E3-9099-C40C66FF867C}">
                  <a14:compatExt spid="_x0000_s2154"/>
                </a:ext>
                <a:ext uri="{FF2B5EF4-FFF2-40B4-BE49-F238E27FC236}">
                  <a16:creationId xmlns:a16="http://schemas.microsoft.com/office/drawing/2014/main" id="{511C365B-0EB8-4887-9873-2A10203B989D}"/>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2155" name="Button 1131" hidden="1">
              <a:extLst>
                <a:ext uri="{63B3BB69-23CF-44E3-9099-C40C66FF867C}">
                  <a14:compatExt spid="_x0000_s2155"/>
                </a:ext>
                <a:ext uri="{FF2B5EF4-FFF2-40B4-BE49-F238E27FC236}">
                  <a16:creationId xmlns:a16="http://schemas.microsoft.com/office/drawing/2014/main" id="{3DBD11A5-1AC2-41C4-9A90-F11F10E56CEE}"/>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10</xdr:col>
          <xdr:colOff>0</xdr:colOff>
          <xdr:row>2637</xdr:row>
          <xdr:rowOff>0</xdr:rowOff>
        </xdr:to>
        <xdr:sp macro="" textlink="">
          <xdr:nvSpPr>
            <xdr:cNvPr id="2156" name="Button 1132" hidden="1">
              <a:extLst>
                <a:ext uri="{63B3BB69-23CF-44E3-9099-C40C66FF867C}">
                  <a14:compatExt spid="_x0000_s2156"/>
                </a:ext>
                <a:ext uri="{FF2B5EF4-FFF2-40B4-BE49-F238E27FC236}">
                  <a16:creationId xmlns:a16="http://schemas.microsoft.com/office/drawing/2014/main" id="{12814EE5-182F-4D9F-98BC-0160991D3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2157" name="Button 1133" hidden="1">
              <a:extLst>
                <a:ext uri="{63B3BB69-23CF-44E3-9099-C40C66FF867C}">
                  <a14:compatExt spid="_x0000_s2157"/>
                </a:ext>
                <a:ext uri="{FF2B5EF4-FFF2-40B4-BE49-F238E27FC236}">
                  <a16:creationId xmlns:a16="http://schemas.microsoft.com/office/drawing/2014/main" id="{88CD929B-B59D-44A4-9B41-EC9BF3CFDAE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158" name="Button 1134" hidden="1">
              <a:extLst>
                <a:ext uri="{63B3BB69-23CF-44E3-9099-C40C66FF867C}">
                  <a14:compatExt spid="_x0000_s2158"/>
                </a:ext>
                <a:ext uri="{FF2B5EF4-FFF2-40B4-BE49-F238E27FC236}">
                  <a16:creationId xmlns:a16="http://schemas.microsoft.com/office/drawing/2014/main" id="{A47E4666-577A-4D85-B2CC-AB95F7545E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159" name="Button 1135" hidden="1">
              <a:extLst>
                <a:ext uri="{63B3BB69-23CF-44E3-9099-C40C66FF867C}">
                  <a14:compatExt spid="_x0000_s2159"/>
                </a:ext>
                <a:ext uri="{FF2B5EF4-FFF2-40B4-BE49-F238E27FC236}">
                  <a16:creationId xmlns:a16="http://schemas.microsoft.com/office/drawing/2014/main" id="{8C62B7A7-4A90-41A7-9346-2E5E24D4BE6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160" name="Button 1136" hidden="1">
              <a:extLst>
                <a:ext uri="{63B3BB69-23CF-44E3-9099-C40C66FF867C}">
                  <a14:compatExt spid="_x0000_s2160"/>
                </a:ext>
                <a:ext uri="{FF2B5EF4-FFF2-40B4-BE49-F238E27FC236}">
                  <a16:creationId xmlns:a16="http://schemas.microsoft.com/office/drawing/2014/main" id="{1545BB2A-0070-4322-BA65-58A7877D388F}"/>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161" name="Button 1137" hidden="1">
              <a:extLst>
                <a:ext uri="{63B3BB69-23CF-44E3-9099-C40C66FF867C}">
                  <a14:compatExt spid="_x0000_s2161"/>
                </a:ext>
                <a:ext uri="{FF2B5EF4-FFF2-40B4-BE49-F238E27FC236}">
                  <a16:creationId xmlns:a16="http://schemas.microsoft.com/office/drawing/2014/main" id="{FA8192A1-71FA-4226-B18C-60FAE723CA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2162" name="Button 1138" hidden="1">
              <a:extLst>
                <a:ext uri="{63B3BB69-23CF-44E3-9099-C40C66FF867C}">
                  <a14:compatExt spid="_x0000_s2162"/>
                </a:ext>
                <a:ext uri="{FF2B5EF4-FFF2-40B4-BE49-F238E27FC236}">
                  <a16:creationId xmlns:a16="http://schemas.microsoft.com/office/drawing/2014/main" id="{AA9D1A89-C57D-48D9-B1DB-B12E631E66E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163" name="Button 1139" hidden="1">
              <a:extLst>
                <a:ext uri="{63B3BB69-23CF-44E3-9099-C40C66FF867C}">
                  <a14:compatExt spid="_x0000_s2163"/>
                </a:ext>
                <a:ext uri="{FF2B5EF4-FFF2-40B4-BE49-F238E27FC236}">
                  <a16:creationId xmlns:a16="http://schemas.microsoft.com/office/drawing/2014/main" id="{FF2661FF-405A-4058-A3CD-283413E21ADD}"/>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164" name="Button 1140" hidden="1">
              <a:extLst>
                <a:ext uri="{63B3BB69-23CF-44E3-9099-C40C66FF867C}">
                  <a14:compatExt spid="_x0000_s2164"/>
                </a:ext>
                <a:ext uri="{FF2B5EF4-FFF2-40B4-BE49-F238E27FC236}">
                  <a16:creationId xmlns:a16="http://schemas.microsoft.com/office/drawing/2014/main" id="{BF7FDE7A-E4E0-4920-80A3-83D0665582F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165" name="Button 1141" hidden="1">
              <a:extLst>
                <a:ext uri="{63B3BB69-23CF-44E3-9099-C40C66FF867C}">
                  <a14:compatExt spid="_x0000_s2165"/>
                </a:ext>
                <a:ext uri="{FF2B5EF4-FFF2-40B4-BE49-F238E27FC236}">
                  <a16:creationId xmlns:a16="http://schemas.microsoft.com/office/drawing/2014/main" id="{F220A9F2-75AB-4CAD-B668-7B72A10D667D}"/>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166" name="Button 1142" hidden="1">
              <a:extLst>
                <a:ext uri="{63B3BB69-23CF-44E3-9099-C40C66FF867C}">
                  <a14:compatExt spid="_x0000_s2166"/>
                </a:ext>
                <a:ext uri="{FF2B5EF4-FFF2-40B4-BE49-F238E27FC236}">
                  <a16:creationId xmlns:a16="http://schemas.microsoft.com/office/drawing/2014/main" id="{4E70CAAF-6716-4E9D-ACA0-F5C95E412D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2167" name="Button 1143" hidden="1">
              <a:extLst>
                <a:ext uri="{63B3BB69-23CF-44E3-9099-C40C66FF867C}">
                  <a14:compatExt spid="_x0000_s2167"/>
                </a:ext>
                <a:ext uri="{FF2B5EF4-FFF2-40B4-BE49-F238E27FC236}">
                  <a16:creationId xmlns:a16="http://schemas.microsoft.com/office/drawing/2014/main" id="{F77833A7-85BD-4D34-B8F7-7220EFE49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2168" name="Button 1144" hidden="1">
              <a:extLst>
                <a:ext uri="{63B3BB69-23CF-44E3-9099-C40C66FF867C}">
                  <a14:compatExt spid="_x0000_s2168"/>
                </a:ext>
                <a:ext uri="{FF2B5EF4-FFF2-40B4-BE49-F238E27FC236}">
                  <a16:creationId xmlns:a16="http://schemas.microsoft.com/office/drawing/2014/main" id="{873C937D-6FBF-468C-9C2D-5F3686AE9B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169" name="Button 1145" hidden="1">
              <a:extLst>
                <a:ext uri="{63B3BB69-23CF-44E3-9099-C40C66FF867C}">
                  <a14:compatExt spid="_x0000_s2169"/>
                </a:ext>
                <a:ext uri="{FF2B5EF4-FFF2-40B4-BE49-F238E27FC236}">
                  <a16:creationId xmlns:a16="http://schemas.microsoft.com/office/drawing/2014/main" id="{27A65977-DEEF-4499-AFF1-43C10D74A6BD}"/>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10</xdr:col>
          <xdr:colOff>0</xdr:colOff>
          <xdr:row>2722</xdr:row>
          <xdr:rowOff>0</xdr:rowOff>
        </xdr:to>
        <xdr:sp macro="" textlink="">
          <xdr:nvSpPr>
            <xdr:cNvPr id="2170" name="Button 1146" hidden="1">
              <a:extLst>
                <a:ext uri="{63B3BB69-23CF-44E3-9099-C40C66FF867C}">
                  <a14:compatExt spid="_x0000_s2170"/>
                </a:ext>
                <a:ext uri="{FF2B5EF4-FFF2-40B4-BE49-F238E27FC236}">
                  <a16:creationId xmlns:a16="http://schemas.microsoft.com/office/drawing/2014/main" id="{85E0DFAB-EBCE-4B06-A4B5-B3352D94A9F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10</xdr:col>
          <xdr:colOff>0</xdr:colOff>
          <xdr:row>2723</xdr:row>
          <xdr:rowOff>0</xdr:rowOff>
        </xdr:to>
        <xdr:sp macro="" textlink="">
          <xdr:nvSpPr>
            <xdr:cNvPr id="2171" name="Button 1147" hidden="1">
              <a:extLst>
                <a:ext uri="{63B3BB69-23CF-44E3-9099-C40C66FF867C}">
                  <a14:compatExt spid="_x0000_s2171"/>
                </a:ext>
                <a:ext uri="{FF2B5EF4-FFF2-40B4-BE49-F238E27FC236}">
                  <a16:creationId xmlns:a16="http://schemas.microsoft.com/office/drawing/2014/main" id="{FD69BB0F-45D8-48FE-9EC3-C0C2E58C9A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172" name="Button 1148" hidden="1">
              <a:extLst>
                <a:ext uri="{63B3BB69-23CF-44E3-9099-C40C66FF867C}">
                  <a14:compatExt spid="_x0000_s2172"/>
                </a:ext>
                <a:ext uri="{FF2B5EF4-FFF2-40B4-BE49-F238E27FC236}">
                  <a16:creationId xmlns:a16="http://schemas.microsoft.com/office/drawing/2014/main" id="{E95585F4-6449-45BA-8A21-8F68EA169BE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173" name="Button 1149" hidden="1">
              <a:extLst>
                <a:ext uri="{63B3BB69-23CF-44E3-9099-C40C66FF867C}">
                  <a14:compatExt spid="_x0000_s2173"/>
                </a:ext>
                <a:ext uri="{FF2B5EF4-FFF2-40B4-BE49-F238E27FC236}">
                  <a16:creationId xmlns:a16="http://schemas.microsoft.com/office/drawing/2014/main" id="{D64BEC45-7A7E-4CA2-A81B-A31BFBC04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2174" name="Button 1150" hidden="1">
              <a:extLst>
                <a:ext uri="{63B3BB69-23CF-44E3-9099-C40C66FF867C}">
                  <a14:compatExt spid="_x0000_s2174"/>
                </a:ext>
                <a:ext uri="{FF2B5EF4-FFF2-40B4-BE49-F238E27FC236}">
                  <a16:creationId xmlns:a16="http://schemas.microsoft.com/office/drawing/2014/main" id="{1E650CE4-FC80-4B11-9BED-C539C10297D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10</xdr:col>
          <xdr:colOff>0</xdr:colOff>
          <xdr:row>2724</xdr:row>
          <xdr:rowOff>0</xdr:rowOff>
        </xdr:to>
        <xdr:sp macro="" textlink="">
          <xdr:nvSpPr>
            <xdr:cNvPr id="2175" name="Button 1151" hidden="1">
              <a:extLst>
                <a:ext uri="{63B3BB69-23CF-44E3-9099-C40C66FF867C}">
                  <a14:compatExt spid="_x0000_s2175"/>
                </a:ext>
                <a:ext uri="{FF2B5EF4-FFF2-40B4-BE49-F238E27FC236}">
                  <a16:creationId xmlns:a16="http://schemas.microsoft.com/office/drawing/2014/main" id="{1E8E1D71-CC96-48B0-BA8B-76237F91270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10</xdr:col>
          <xdr:colOff>0</xdr:colOff>
          <xdr:row>2725</xdr:row>
          <xdr:rowOff>0</xdr:rowOff>
        </xdr:to>
        <xdr:sp macro="" textlink="">
          <xdr:nvSpPr>
            <xdr:cNvPr id="2176" name="Button 1152" hidden="1">
              <a:extLst>
                <a:ext uri="{63B3BB69-23CF-44E3-9099-C40C66FF867C}">
                  <a14:compatExt spid="_x0000_s2176"/>
                </a:ext>
                <a:ext uri="{FF2B5EF4-FFF2-40B4-BE49-F238E27FC236}">
                  <a16:creationId xmlns:a16="http://schemas.microsoft.com/office/drawing/2014/main" id="{0CE3A4A1-07D3-4971-BCBD-5B6438DD464D}"/>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10</xdr:col>
          <xdr:colOff>0</xdr:colOff>
          <xdr:row>2209</xdr:row>
          <xdr:rowOff>0</xdr:rowOff>
        </xdr:to>
        <xdr:sp macro="" textlink="">
          <xdr:nvSpPr>
            <xdr:cNvPr id="2177" name="Button 1153" hidden="1">
              <a:extLst>
                <a:ext uri="{63B3BB69-23CF-44E3-9099-C40C66FF867C}">
                  <a14:compatExt spid="_x0000_s2177"/>
                </a:ext>
                <a:ext uri="{FF2B5EF4-FFF2-40B4-BE49-F238E27FC236}">
                  <a16:creationId xmlns:a16="http://schemas.microsoft.com/office/drawing/2014/main" id="{0478229F-8732-47DE-9B3B-D1979FE2873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178" name="Button 1154" hidden="1">
              <a:extLst>
                <a:ext uri="{63B3BB69-23CF-44E3-9099-C40C66FF867C}">
                  <a14:compatExt spid="_x0000_s2178"/>
                </a:ext>
                <a:ext uri="{FF2B5EF4-FFF2-40B4-BE49-F238E27FC236}">
                  <a16:creationId xmlns:a16="http://schemas.microsoft.com/office/drawing/2014/main" id="{B1B50727-7972-4FA1-8863-111E63E7BFC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2179" name="Button 1155" hidden="1">
              <a:extLst>
                <a:ext uri="{63B3BB69-23CF-44E3-9099-C40C66FF867C}">
                  <a14:compatExt spid="_x0000_s2179"/>
                </a:ext>
                <a:ext uri="{FF2B5EF4-FFF2-40B4-BE49-F238E27FC236}">
                  <a16:creationId xmlns:a16="http://schemas.microsoft.com/office/drawing/2014/main" id="{99816F13-E35D-4F61-B885-B5016F16EA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3088</xdr:row>
          <xdr:rowOff>0</xdr:rowOff>
        </xdr:from>
        <xdr:to>
          <xdr:col>10</xdr:col>
          <xdr:colOff>0</xdr:colOff>
          <xdr:row>3089</xdr:row>
          <xdr:rowOff>0</xdr:rowOff>
        </xdr:to>
        <xdr:sp macro="" textlink="">
          <xdr:nvSpPr>
            <xdr:cNvPr id="2180" name="Button 1156" hidden="1">
              <a:extLst>
                <a:ext uri="{63B3BB69-23CF-44E3-9099-C40C66FF867C}">
                  <a14:compatExt spid="_x0000_s2180"/>
                </a:ext>
                <a:ext uri="{FF2B5EF4-FFF2-40B4-BE49-F238E27FC236}">
                  <a16:creationId xmlns:a16="http://schemas.microsoft.com/office/drawing/2014/main" id="{92C822F7-503A-4823-941F-F8D8864DE8C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10</xdr:col>
          <xdr:colOff>0</xdr:colOff>
          <xdr:row>3090</xdr:row>
          <xdr:rowOff>0</xdr:rowOff>
        </xdr:to>
        <xdr:sp macro="" textlink="">
          <xdr:nvSpPr>
            <xdr:cNvPr id="2181" name="Button 1157" hidden="1">
              <a:extLst>
                <a:ext uri="{63B3BB69-23CF-44E3-9099-C40C66FF867C}">
                  <a14:compatExt spid="_x0000_s2181"/>
                </a:ext>
                <a:ext uri="{FF2B5EF4-FFF2-40B4-BE49-F238E27FC236}">
                  <a16:creationId xmlns:a16="http://schemas.microsoft.com/office/drawing/2014/main" id="{7EEFDA4B-1F82-45EE-A3B7-1DC1C660D9AD}"/>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10</xdr:col>
          <xdr:colOff>0</xdr:colOff>
          <xdr:row>3082</xdr:row>
          <xdr:rowOff>0</xdr:rowOff>
        </xdr:to>
        <xdr:sp macro="" textlink="">
          <xdr:nvSpPr>
            <xdr:cNvPr id="2182" name="Button 1158" hidden="1">
              <a:extLst>
                <a:ext uri="{63B3BB69-23CF-44E3-9099-C40C66FF867C}">
                  <a14:compatExt spid="_x0000_s2182"/>
                </a:ext>
                <a:ext uri="{FF2B5EF4-FFF2-40B4-BE49-F238E27FC236}">
                  <a16:creationId xmlns:a16="http://schemas.microsoft.com/office/drawing/2014/main" id="{F19E7B63-D1D3-4C64-A429-A0F69FA9577B}"/>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183" name="Button 1159" hidden="1">
              <a:extLst>
                <a:ext uri="{63B3BB69-23CF-44E3-9099-C40C66FF867C}">
                  <a14:compatExt spid="_x0000_s2183"/>
                </a:ext>
                <a:ext uri="{FF2B5EF4-FFF2-40B4-BE49-F238E27FC236}">
                  <a16:creationId xmlns:a16="http://schemas.microsoft.com/office/drawing/2014/main" id="{8803A41C-5215-48D1-AF8F-CB1D0B8F6A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184" name="Button 1160" hidden="1">
              <a:extLst>
                <a:ext uri="{63B3BB69-23CF-44E3-9099-C40C66FF867C}">
                  <a14:compatExt spid="_x0000_s2184"/>
                </a:ext>
                <a:ext uri="{FF2B5EF4-FFF2-40B4-BE49-F238E27FC236}">
                  <a16:creationId xmlns:a16="http://schemas.microsoft.com/office/drawing/2014/main" id="{1AC52782-E1AD-4EDD-BD21-D89922B4862F}"/>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185" name="Button 1161" hidden="1">
              <a:extLst>
                <a:ext uri="{63B3BB69-23CF-44E3-9099-C40C66FF867C}">
                  <a14:compatExt spid="_x0000_s2185"/>
                </a:ext>
                <a:ext uri="{FF2B5EF4-FFF2-40B4-BE49-F238E27FC236}">
                  <a16:creationId xmlns:a16="http://schemas.microsoft.com/office/drawing/2014/main" id="{33FBBC4F-7C5A-40ED-86F5-010DF6E8E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186" name="Button 1162" hidden="1">
              <a:extLst>
                <a:ext uri="{63B3BB69-23CF-44E3-9099-C40C66FF867C}">
                  <a14:compatExt spid="_x0000_s2186"/>
                </a:ext>
                <a:ext uri="{FF2B5EF4-FFF2-40B4-BE49-F238E27FC236}">
                  <a16:creationId xmlns:a16="http://schemas.microsoft.com/office/drawing/2014/main" id="{6EC585B8-7C84-4A6A-AA76-8444D7125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187" name="Button 1163" hidden="1">
              <a:extLst>
                <a:ext uri="{63B3BB69-23CF-44E3-9099-C40C66FF867C}">
                  <a14:compatExt spid="_x0000_s2187"/>
                </a:ext>
                <a:ext uri="{FF2B5EF4-FFF2-40B4-BE49-F238E27FC236}">
                  <a16:creationId xmlns:a16="http://schemas.microsoft.com/office/drawing/2014/main" id="{A0241904-2F91-43E1-BD52-C9797F21043E}"/>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188" name="Button 1164" hidden="1">
              <a:extLst>
                <a:ext uri="{63B3BB69-23CF-44E3-9099-C40C66FF867C}">
                  <a14:compatExt spid="_x0000_s2188"/>
                </a:ext>
                <a:ext uri="{FF2B5EF4-FFF2-40B4-BE49-F238E27FC236}">
                  <a16:creationId xmlns:a16="http://schemas.microsoft.com/office/drawing/2014/main" id="{3E538773-0A49-4137-A757-5C084AB0B8B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189" name="Button 1165" hidden="1">
              <a:extLst>
                <a:ext uri="{63B3BB69-23CF-44E3-9099-C40C66FF867C}">
                  <a14:compatExt spid="_x0000_s2189"/>
                </a:ext>
                <a:ext uri="{FF2B5EF4-FFF2-40B4-BE49-F238E27FC236}">
                  <a16:creationId xmlns:a16="http://schemas.microsoft.com/office/drawing/2014/main" id="{7F8D22E2-D89E-494A-8AAE-9A63CD148F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190" name="Button 1166" hidden="1">
              <a:extLst>
                <a:ext uri="{63B3BB69-23CF-44E3-9099-C40C66FF867C}">
                  <a14:compatExt spid="_x0000_s2190"/>
                </a:ext>
                <a:ext uri="{FF2B5EF4-FFF2-40B4-BE49-F238E27FC236}">
                  <a16:creationId xmlns:a16="http://schemas.microsoft.com/office/drawing/2014/main" id="{D8C0167C-7AA4-498F-8B11-F7DA20230E9D}"/>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191" name="Button 1167" hidden="1">
              <a:extLst>
                <a:ext uri="{63B3BB69-23CF-44E3-9099-C40C66FF867C}">
                  <a14:compatExt spid="_x0000_s2191"/>
                </a:ext>
                <a:ext uri="{FF2B5EF4-FFF2-40B4-BE49-F238E27FC236}">
                  <a16:creationId xmlns:a16="http://schemas.microsoft.com/office/drawing/2014/main" id="{5937A11B-F434-46F2-A342-04B05FA04D7F}"/>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192" name="Button 1168" hidden="1">
              <a:extLst>
                <a:ext uri="{63B3BB69-23CF-44E3-9099-C40C66FF867C}">
                  <a14:compatExt spid="_x0000_s2192"/>
                </a:ext>
                <a:ext uri="{FF2B5EF4-FFF2-40B4-BE49-F238E27FC236}">
                  <a16:creationId xmlns:a16="http://schemas.microsoft.com/office/drawing/2014/main" id="{28FABE73-A8A6-4CD5-9468-8B2006E1E0BC}"/>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193" name="Button 1169" hidden="1">
              <a:extLst>
                <a:ext uri="{63B3BB69-23CF-44E3-9099-C40C66FF867C}">
                  <a14:compatExt spid="_x0000_s2193"/>
                </a:ext>
                <a:ext uri="{FF2B5EF4-FFF2-40B4-BE49-F238E27FC236}">
                  <a16:creationId xmlns:a16="http://schemas.microsoft.com/office/drawing/2014/main" id="{F0008E33-7F9C-4F87-927F-92E32AB3A7D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194" name="Button 1170" hidden="1">
              <a:extLst>
                <a:ext uri="{63B3BB69-23CF-44E3-9099-C40C66FF867C}">
                  <a14:compatExt spid="_x0000_s2194"/>
                </a:ext>
                <a:ext uri="{FF2B5EF4-FFF2-40B4-BE49-F238E27FC236}">
                  <a16:creationId xmlns:a16="http://schemas.microsoft.com/office/drawing/2014/main" id="{8D03EDA2-7FD1-42C6-A201-C2AFA809C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195" name="Button 1171" hidden="1">
              <a:extLst>
                <a:ext uri="{63B3BB69-23CF-44E3-9099-C40C66FF867C}">
                  <a14:compatExt spid="_x0000_s2195"/>
                </a:ext>
                <a:ext uri="{FF2B5EF4-FFF2-40B4-BE49-F238E27FC236}">
                  <a16:creationId xmlns:a16="http://schemas.microsoft.com/office/drawing/2014/main" id="{7FEB337B-EC01-432F-900D-E9D37F6C1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196" name="Button 1172" hidden="1">
              <a:extLst>
                <a:ext uri="{63B3BB69-23CF-44E3-9099-C40C66FF867C}">
                  <a14:compatExt spid="_x0000_s2196"/>
                </a:ext>
                <a:ext uri="{FF2B5EF4-FFF2-40B4-BE49-F238E27FC236}">
                  <a16:creationId xmlns:a16="http://schemas.microsoft.com/office/drawing/2014/main" id="{B8F7736D-5F7E-499B-A888-B48B7821E6C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197" name="Button 1173" hidden="1">
              <a:extLst>
                <a:ext uri="{63B3BB69-23CF-44E3-9099-C40C66FF867C}">
                  <a14:compatExt spid="_x0000_s2197"/>
                </a:ext>
                <a:ext uri="{FF2B5EF4-FFF2-40B4-BE49-F238E27FC236}">
                  <a16:creationId xmlns:a16="http://schemas.microsoft.com/office/drawing/2014/main" id="{087ED32F-3C57-493B-8097-C5AAB5B96CA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198" name="Button 1174" hidden="1">
              <a:extLst>
                <a:ext uri="{63B3BB69-23CF-44E3-9099-C40C66FF867C}">
                  <a14:compatExt spid="_x0000_s2198"/>
                </a:ext>
                <a:ext uri="{FF2B5EF4-FFF2-40B4-BE49-F238E27FC236}">
                  <a16:creationId xmlns:a16="http://schemas.microsoft.com/office/drawing/2014/main" id="{2357C19E-CDB7-41D6-BBC2-816E76793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199" name="Button 1175" hidden="1">
              <a:extLst>
                <a:ext uri="{63B3BB69-23CF-44E3-9099-C40C66FF867C}">
                  <a14:compatExt spid="_x0000_s2199"/>
                </a:ext>
                <a:ext uri="{FF2B5EF4-FFF2-40B4-BE49-F238E27FC236}">
                  <a16:creationId xmlns:a16="http://schemas.microsoft.com/office/drawing/2014/main" id="{3A1C53F5-3523-46C9-AA6C-E656A7E30B1C}"/>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200" name="Button 1176" hidden="1">
              <a:extLst>
                <a:ext uri="{63B3BB69-23CF-44E3-9099-C40C66FF867C}">
                  <a14:compatExt spid="_x0000_s2200"/>
                </a:ext>
                <a:ext uri="{FF2B5EF4-FFF2-40B4-BE49-F238E27FC236}">
                  <a16:creationId xmlns:a16="http://schemas.microsoft.com/office/drawing/2014/main" id="{4B80C968-9679-465F-8AD8-A7971E4D4AFD}"/>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201" name="Button 1177" hidden="1">
              <a:extLst>
                <a:ext uri="{63B3BB69-23CF-44E3-9099-C40C66FF867C}">
                  <a14:compatExt spid="_x0000_s2201"/>
                </a:ext>
                <a:ext uri="{FF2B5EF4-FFF2-40B4-BE49-F238E27FC236}">
                  <a16:creationId xmlns:a16="http://schemas.microsoft.com/office/drawing/2014/main" id="{FF973322-24DD-424A-BC14-A7ED4D53E73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202" name="Button 1178" hidden="1">
              <a:extLst>
                <a:ext uri="{63B3BB69-23CF-44E3-9099-C40C66FF867C}">
                  <a14:compatExt spid="_x0000_s2202"/>
                </a:ext>
                <a:ext uri="{FF2B5EF4-FFF2-40B4-BE49-F238E27FC236}">
                  <a16:creationId xmlns:a16="http://schemas.microsoft.com/office/drawing/2014/main" id="{C20EC3B1-5BE5-455C-9B17-29F64E4B699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3099</xdr:row>
          <xdr:rowOff>0</xdr:rowOff>
        </xdr:from>
        <xdr:to>
          <xdr:col>10</xdr:col>
          <xdr:colOff>0</xdr:colOff>
          <xdr:row>3100</xdr:row>
          <xdr:rowOff>0</xdr:rowOff>
        </xdr:to>
        <xdr:sp macro="" textlink="">
          <xdr:nvSpPr>
            <xdr:cNvPr id="2203" name="Button 1179" hidden="1">
              <a:extLst>
                <a:ext uri="{63B3BB69-23CF-44E3-9099-C40C66FF867C}">
                  <a14:compatExt spid="_x0000_s2203"/>
                </a:ext>
                <a:ext uri="{FF2B5EF4-FFF2-40B4-BE49-F238E27FC236}">
                  <a16:creationId xmlns:a16="http://schemas.microsoft.com/office/drawing/2014/main" id="{8D745945-63CE-446E-916C-6ED79E1EF6DA}"/>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10</xdr:col>
          <xdr:colOff>0</xdr:colOff>
          <xdr:row>3101</xdr:row>
          <xdr:rowOff>0</xdr:rowOff>
        </xdr:to>
        <xdr:sp macro="" textlink="">
          <xdr:nvSpPr>
            <xdr:cNvPr id="2204" name="Button 1180" hidden="1">
              <a:extLst>
                <a:ext uri="{63B3BB69-23CF-44E3-9099-C40C66FF867C}">
                  <a14:compatExt spid="_x0000_s2204"/>
                </a:ext>
                <a:ext uri="{FF2B5EF4-FFF2-40B4-BE49-F238E27FC236}">
                  <a16:creationId xmlns:a16="http://schemas.microsoft.com/office/drawing/2014/main" id="{274BF6F0-363C-4573-A0D2-D947CCBAD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10</xdr:col>
          <xdr:colOff>0</xdr:colOff>
          <xdr:row>3093</xdr:row>
          <xdr:rowOff>0</xdr:rowOff>
        </xdr:to>
        <xdr:sp macro="" textlink="">
          <xdr:nvSpPr>
            <xdr:cNvPr id="2205" name="Button 1181" hidden="1">
              <a:extLst>
                <a:ext uri="{63B3BB69-23CF-44E3-9099-C40C66FF867C}">
                  <a14:compatExt spid="_x0000_s2205"/>
                </a:ext>
                <a:ext uri="{FF2B5EF4-FFF2-40B4-BE49-F238E27FC236}">
                  <a16:creationId xmlns:a16="http://schemas.microsoft.com/office/drawing/2014/main" id="{C9EB5B4B-1FD3-478B-A79C-BC6B849D790F}"/>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3110</xdr:row>
          <xdr:rowOff>0</xdr:rowOff>
        </xdr:from>
        <xdr:to>
          <xdr:col>10</xdr:col>
          <xdr:colOff>0</xdr:colOff>
          <xdr:row>3111</xdr:row>
          <xdr:rowOff>0</xdr:rowOff>
        </xdr:to>
        <xdr:sp macro="" textlink="">
          <xdr:nvSpPr>
            <xdr:cNvPr id="2206" name="Button 1182" hidden="1">
              <a:extLst>
                <a:ext uri="{63B3BB69-23CF-44E3-9099-C40C66FF867C}">
                  <a14:compatExt spid="_x0000_s2206"/>
                </a:ext>
                <a:ext uri="{FF2B5EF4-FFF2-40B4-BE49-F238E27FC236}">
                  <a16:creationId xmlns:a16="http://schemas.microsoft.com/office/drawing/2014/main" id="{4FA55B28-C1C4-4B81-84D2-989C83DFAA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10</xdr:col>
          <xdr:colOff>0</xdr:colOff>
          <xdr:row>3112</xdr:row>
          <xdr:rowOff>0</xdr:rowOff>
        </xdr:to>
        <xdr:sp macro="" textlink="">
          <xdr:nvSpPr>
            <xdr:cNvPr id="2207" name="Button 1183" hidden="1">
              <a:extLst>
                <a:ext uri="{63B3BB69-23CF-44E3-9099-C40C66FF867C}">
                  <a14:compatExt spid="_x0000_s2207"/>
                </a:ext>
                <a:ext uri="{FF2B5EF4-FFF2-40B4-BE49-F238E27FC236}">
                  <a16:creationId xmlns:a16="http://schemas.microsoft.com/office/drawing/2014/main" id="{215323AD-3E17-4FDF-B754-FC6913D405E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10</xdr:col>
          <xdr:colOff>0</xdr:colOff>
          <xdr:row>3104</xdr:row>
          <xdr:rowOff>0</xdr:rowOff>
        </xdr:to>
        <xdr:sp macro="" textlink="">
          <xdr:nvSpPr>
            <xdr:cNvPr id="2208" name="Button 1184" hidden="1">
              <a:extLst>
                <a:ext uri="{63B3BB69-23CF-44E3-9099-C40C66FF867C}">
                  <a14:compatExt spid="_x0000_s2208"/>
                </a:ext>
                <a:ext uri="{FF2B5EF4-FFF2-40B4-BE49-F238E27FC236}">
                  <a16:creationId xmlns:a16="http://schemas.microsoft.com/office/drawing/2014/main" id="{3F45F29A-ED0C-46FE-9F17-341C85B0BFF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2209" name="Button 1185" hidden="1">
              <a:extLst>
                <a:ext uri="{63B3BB69-23CF-44E3-9099-C40C66FF867C}">
                  <a14:compatExt spid="_x0000_s2209"/>
                </a:ext>
                <a:ext uri="{FF2B5EF4-FFF2-40B4-BE49-F238E27FC236}">
                  <a16:creationId xmlns:a16="http://schemas.microsoft.com/office/drawing/2014/main" id="{C6B0F6D7-0997-4CB2-88E2-1E05C81F71F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10</xdr:col>
          <xdr:colOff>0</xdr:colOff>
          <xdr:row>3122</xdr:row>
          <xdr:rowOff>0</xdr:rowOff>
        </xdr:to>
        <xdr:sp macro="" textlink="">
          <xdr:nvSpPr>
            <xdr:cNvPr id="2210" name="Button 1186" hidden="1">
              <a:extLst>
                <a:ext uri="{63B3BB69-23CF-44E3-9099-C40C66FF867C}">
                  <a14:compatExt spid="_x0000_s2210"/>
                </a:ext>
                <a:ext uri="{FF2B5EF4-FFF2-40B4-BE49-F238E27FC236}">
                  <a16:creationId xmlns:a16="http://schemas.microsoft.com/office/drawing/2014/main" id="{E9775733-53ED-4083-A25C-7A3C6487E9EF}"/>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10</xdr:col>
          <xdr:colOff>0</xdr:colOff>
          <xdr:row>3123</xdr:row>
          <xdr:rowOff>0</xdr:rowOff>
        </xdr:to>
        <xdr:sp macro="" textlink="">
          <xdr:nvSpPr>
            <xdr:cNvPr id="2211" name="Button 1187" hidden="1">
              <a:extLst>
                <a:ext uri="{63B3BB69-23CF-44E3-9099-C40C66FF867C}">
                  <a14:compatExt spid="_x0000_s2211"/>
                </a:ext>
                <a:ext uri="{FF2B5EF4-FFF2-40B4-BE49-F238E27FC236}">
                  <a16:creationId xmlns:a16="http://schemas.microsoft.com/office/drawing/2014/main" id="{191FAD76-6A39-41EF-B420-29FE03660DE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3114</xdr:row>
          <xdr:rowOff>0</xdr:rowOff>
        </xdr:from>
        <xdr:to>
          <xdr:col>10</xdr:col>
          <xdr:colOff>0</xdr:colOff>
          <xdr:row>3115</xdr:row>
          <xdr:rowOff>0</xdr:rowOff>
        </xdr:to>
        <xdr:sp macro="" textlink="">
          <xdr:nvSpPr>
            <xdr:cNvPr id="2212" name="Button 1188" hidden="1">
              <a:extLst>
                <a:ext uri="{63B3BB69-23CF-44E3-9099-C40C66FF867C}">
                  <a14:compatExt spid="_x0000_s2212"/>
                </a:ext>
                <a:ext uri="{FF2B5EF4-FFF2-40B4-BE49-F238E27FC236}">
                  <a16:creationId xmlns:a16="http://schemas.microsoft.com/office/drawing/2014/main" id="{9BF99C4C-8593-478F-8F1F-62ABEFF1AD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10</xdr:col>
          <xdr:colOff>0</xdr:colOff>
          <xdr:row>3133</xdr:row>
          <xdr:rowOff>0</xdr:rowOff>
        </xdr:to>
        <xdr:sp macro="" textlink="">
          <xdr:nvSpPr>
            <xdr:cNvPr id="2213" name="Button 1189" hidden="1">
              <a:extLst>
                <a:ext uri="{63B3BB69-23CF-44E3-9099-C40C66FF867C}">
                  <a14:compatExt spid="_x0000_s2213"/>
                </a:ext>
                <a:ext uri="{FF2B5EF4-FFF2-40B4-BE49-F238E27FC236}">
                  <a16:creationId xmlns:a16="http://schemas.microsoft.com/office/drawing/2014/main" id="{BCBD98EC-04F5-4F52-95EB-1E346EFFB05D}"/>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10</xdr:col>
          <xdr:colOff>0</xdr:colOff>
          <xdr:row>3134</xdr:row>
          <xdr:rowOff>0</xdr:rowOff>
        </xdr:to>
        <xdr:sp macro="" textlink="">
          <xdr:nvSpPr>
            <xdr:cNvPr id="2214" name="Button 1190" hidden="1">
              <a:extLst>
                <a:ext uri="{63B3BB69-23CF-44E3-9099-C40C66FF867C}">
                  <a14:compatExt spid="_x0000_s2214"/>
                </a:ext>
                <a:ext uri="{FF2B5EF4-FFF2-40B4-BE49-F238E27FC236}">
                  <a16:creationId xmlns:a16="http://schemas.microsoft.com/office/drawing/2014/main" id="{76126C0B-10F3-4AB4-AC73-3B4A63C285DB}"/>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10</xdr:col>
          <xdr:colOff>0</xdr:colOff>
          <xdr:row>3126</xdr:row>
          <xdr:rowOff>0</xdr:rowOff>
        </xdr:to>
        <xdr:sp macro="" textlink="">
          <xdr:nvSpPr>
            <xdr:cNvPr id="2215" name="Button 1191" hidden="1">
              <a:extLst>
                <a:ext uri="{63B3BB69-23CF-44E3-9099-C40C66FF867C}">
                  <a14:compatExt spid="_x0000_s2215"/>
                </a:ext>
                <a:ext uri="{FF2B5EF4-FFF2-40B4-BE49-F238E27FC236}">
                  <a16:creationId xmlns:a16="http://schemas.microsoft.com/office/drawing/2014/main" id="{A07F426B-F81D-42D9-8276-9F847B73EB1C}"/>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10</xdr:col>
          <xdr:colOff>0</xdr:colOff>
          <xdr:row>3144</xdr:row>
          <xdr:rowOff>0</xdr:rowOff>
        </xdr:to>
        <xdr:sp macro="" textlink="">
          <xdr:nvSpPr>
            <xdr:cNvPr id="2216" name="Button 1192" hidden="1">
              <a:extLst>
                <a:ext uri="{63B3BB69-23CF-44E3-9099-C40C66FF867C}">
                  <a14:compatExt spid="_x0000_s2216"/>
                </a:ext>
                <a:ext uri="{FF2B5EF4-FFF2-40B4-BE49-F238E27FC236}">
                  <a16:creationId xmlns:a16="http://schemas.microsoft.com/office/drawing/2014/main" id="{53BF8140-C952-48E7-AF12-5A8C8E1C30A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10</xdr:col>
          <xdr:colOff>0</xdr:colOff>
          <xdr:row>3145</xdr:row>
          <xdr:rowOff>0</xdr:rowOff>
        </xdr:to>
        <xdr:sp macro="" textlink="">
          <xdr:nvSpPr>
            <xdr:cNvPr id="2217" name="Button 1193" hidden="1">
              <a:extLst>
                <a:ext uri="{63B3BB69-23CF-44E3-9099-C40C66FF867C}">
                  <a14:compatExt spid="_x0000_s2217"/>
                </a:ext>
                <a:ext uri="{FF2B5EF4-FFF2-40B4-BE49-F238E27FC236}">
                  <a16:creationId xmlns:a16="http://schemas.microsoft.com/office/drawing/2014/main" id="{E73167CB-85CE-4798-9944-74DBB715C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3136</xdr:row>
          <xdr:rowOff>0</xdr:rowOff>
        </xdr:from>
        <xdr:to>
          <xdr:col>10</xdr:col>
          <xdr:colOff>0</xdr:colOff>
          <xdr:row>3137</xdr:row>
          <xdr:rowOff>0</xdr:rowOff>
        </xdr:to>
        <xdr:sp macro="" textlink="">
          <xdr:nvSpPr>
            <xdr:cNvPr id="2218" name="Button 1194" hidden="1">
              <a:extLst>
                <a:ext uri="{63B3BB69-23CF-44E3-9099-C40C66FF867C}">
                  <a14:compatExt spid="_x0000_s2218"/>
                </a:ext>
                <a:ext uri="{FF2B5EF4-FFF2-40B4-BE49-F238E27FC236}">
                  <a16:creationId xmlns:a16="http://schemas.microsoft.com/office/drawing/2014/main" id="{9D3AA1F5-85B4-45B3-B053-7F39705622B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10</xdr:col>
          <xdr:colOff>0</xdr:colOff>
          <xdr:row>3155</xdr:row>
          <xdr:rowOff>0</xdr:rowOff>
        </xdr:to>
        <xdr:sp macro="" textlink="">
          <xdr:nvSpPr>
            <xdr:cNvPr id="2219" name="Button 1195" hidden="1">
              <a:extLst>
                <a:ext uri="{63B3BB69-23CF-44E3-9099-C40C66FF867C}">
                  <a14:compatExt spid="_x0000_s2219"/>
                </a:ext>
                <a:ext uri="{FF2B5EF4-FFF2-40B4-BE49-F238E27FC236}">
                  <a16:creationId xmlns:a16="http://schemas.microsoft.com/office/drawing/2014/main" id="{94B64501-620A-4F84-8224-3B69F2FE0A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10</xdr:col>
          <xdr:colOff>0</xdr:colOff>
          <xdr:row>3156</xdr:row>
          <xdr:rowOff>0</xdr:rowOff>
        </xdr:to>
        <xdr:sp macro="" textlink="">
          <xdr:nvSpPr>
            <xdr:cNvPr id="2220" name="Button 1196" hidden="1">
              <a:extLst>
                <a:ext uri="{63B3BB69-23CF-44E3-9099-C40C66FF867C}">
                  <a14:compatExt spid="_x0000_s2220"/>
                </a:ext>
                <a:ext uri="{FF2B5EF4-FFF2-40B4-BE49-F238E27FC236}">
                  <a16:creationId xmlns:a16="http://schemas.microsoft.com/office/drawing/2014/main" id="{FAA7615B-672B-40E7-B770-0CC77CD3CE2E}"/>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10</xdr:col>
          <xdr:colOff>0</xdr:colOff>
          <xdr:row>3148</xdr:row>
          <xdr:rowOff>0</xdr:rowOff>
        </xdr:to>
        <xdr:sp macro="" textlink="">
          <xdr:nvSpPr>
            <xdr:cNvPr id="2221" name="Button 1197" hidden="1">
              <a:extLst>
                <a:ext uri="{63B3BB69-23CF-44E3-9099-C40C66FF867C}">
                  <a14:compatExt spid="_x0000_s2221"/>
                </a:ext>
                <a:ext uri="{FF2B5EF4-FFF2-40B4-BE49-F238E27FC236}">
                  <a16:creationId xmlns:a16="http://schemas.microsoft.com/office/drawing/2014/main" id="{2EB00552-6254-41A1-BAD8-087DB7AA84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10</xdr:col>
          <xdr:colOff>0</xdr:colOff>
          <xdr:row>3166</xdr:row>
          <xdr:rowOff>0</xdr:rowOff>
        </xdr:to>
        <xdr:sp macro="" textlink="">
          <xdr:nvSpPr>
            <xdr:cNvPr id="2222" name="Button 1198" hidden="1">
              <a:extLst>
                <a:ext uri="{63B3BB69-23CF-44E3-9099-C40C66FF867C}">
                  <a14:compatExt spid="_x0000_s2222"/>
                </a:ext>
                <a:ext uri="{FF2B5EF4-FFF2-40B4-BE49-F238E27FC236}">
                  <a16:creationId xmlns:a16="http://schemas.microsoft.com/office/drawing/2014/main" id="{FBD99CC7-23E2-4BA9-AC53-1CA533B471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10</xdr:col>
          <xdr:colOff>0</xdr:colOff>
          <xdr:row>3167</xdr:row>
          <xdr:rowOff>0</xdr:rowOff>
        </xdr:to>
        <xdr:sp macro="" textlink="">
          <xdr:nvSpPr>
            <xdr:cNvPr id="2223" name="Button 1199" hidden="1">
              <a:extLst>
                <a:ext uri="{63B3BB69-23CF-44E3-9099-C40C66FF867C}">
                  <a14:compatExt spid="_x0000_s2223"/>
                </a:ext>
                <a:ext uri="{FF2B5EF4-FFF2-40B4-BE49-F238E27FC236}">
                  <a16:creationId xmlns:a16="http://schemas.microsoft.com/office/drawing/2014/main" id="{45499EDF-8131-40F0-98C8-421B34B0695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10</xdr:col>
          <xdr:colOff>0</xdr:colOff>
          <xdr:row>3159</xdr:row>
          <xdr:rowOff>0</xdr:rowOff>
        </xdr:to>
        <xdr:sp macro="" textlink="">
          <xdr:nvSpPr>
            <xdr:cNvPr id="2224" name="Button 1200" hidden="1">
              <a:extLst>
                <a:ext uri="{63B3BB69-23CF-44E3-9099-C40C66FF867C}">
                  <a14:compatExt spid="_x0000_s2224"/>
                </a:ext>
                <a:ext uri="{FF2B5EF4-FFF2-40B4-BE49-F238E27FC236}">
                  <a16:creationId xmlns:a16="http://schemas.microsoft.com/office/drawing/2014/main" id="{DCE094F1-7E63-4117-B350-E3E97B0D6CCC}"/>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10</xdr:col>
          <xdr:colOff>0</xdr:colOff>
          <xdr:row>3168</xdr:row>
          <xdr:rowOff>0</xdr:rowOff>
        </xdr:to>
        <xdr:sp macro="" textlink="">
          <xdr:nvSpPr>
            <xdr:cNvPr id="2225" name="Button 1201" hidden="1">
              <a:extLst>
                <a:ext uri="{63B3BB69-23CF-44E3-9099-C40C66FF867C}">
                  <a14:compatExt spid="_x0000_s2225"/>
                </a:ext>
                <a:ext uri="{FF2B5EF4-FFF2-40B4-BE49-F238E27FC236}">
                  <a16:creationId xmlns:a16="http://schemas.microsoft.com/office/drawing/2014/main" id="{2F082C80-6FDC-4572-A8E9-B4A2975A0D1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10</xdr:col>
          <xdr:colOff>0</xdr:colOff>
          <xdr:row>3169</xdr:row>
          <xdr:rowOff>0</xdr:rowOff>
        </xdr:to>
        <xdr:sp macro="" textlink="">
          <xdr:nvSpPr>
            <xdr:cNvPr id="2226" name="Button 1202" hidden="1">
              <a:extLst>
                <a:ext uri="{63B3BB69-23CF-44E3-9099-C40C66FF867C}">
                  <a14:compatExt spid="_x0000_s2226"/>
                </a:ext>
                <a:ext uri="{FF2B5EF4-FFF2-40B4-BE49-F238E27FC236}">
                  <a16:creationId xmlns:a16="http://schemas.microsoft.com/office/drawing/2014/main" id="{93C67752-6740-454C-AF2F-DD3A94C692FE}"/>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10</xdr:col>
          <xdr:colOff>0</xdr:colOff>
          <xdr:row>3170</xdr:row>
          <xdr:rowOff>0</xdr:rowOff>
        </xdr:to>
        <xdr:sp macro="" textlink="">
          <xdr:nvSpPr>
            <xdr:cNvPr id="2227" name="Button 1203" hidden="1">
              <a:extLst>
                <a:ext uri="{63B3BB69-23CF-44E3-9099-C40C66FF867C}">
                  <a14:compatExt spid="_x0000_s2227"/>
                </a:ext>
                <a:ext uri="{FF2B5EF4-FFF2-40B4-BE49-F238E27FC236}">
                  <a16:creationId xmlns:a16="http://schemas.microsoft.com/office/drawing/2014/main" id="{4441ABC8-53CA-44D5-A70B-D49717E3AF9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10</xdr:col>
          <xdr:colOff>0</xdr:colOff>
          <xdr:row>3180</xdr:row>
          <xdr:rowOff>0</xdr:rowOff>
        </xdr:to>
        <xdr:sp macro="" textlink="">
          <xdr:nvSpPr>
            <xdr:cNvPr id="2228" name="Button 1204" hidden="1">
              <a:extLst>
                <a:ext uri="{63B3BB69-23CF-44E3-9099-C40C66FF867C}">
                  <a14:compatExt spid="_x0000_s2228"/>
                </a:ext>
                <a:ext uri="{FF2B5EF4-FFF2-40B4-BE49-F238E27FC236}">
                  <a16:creationId xmlns:a16="http://schemas.microsoft.com/office/drawing/2014/main" id="{293E9CB8-6D50-431E-9B60-50D05740FEA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10</xdr:col>
          <xdr:colOff>0</xdr:colOff>
          <xdr:row>3181</xdr:row>
          <xdr:rowOff>0</xdr:rowOff>
        </xdr:to>
        <xdr:sp macro="" textlink="">
          <xdr:nvSpPr>
            <xdr:cNvPr id="2229" name="Button 1205" hidden="1">
              <a:extLst>
                <a:ext uri="{63B3BB69-23CF-44E3-9099-C40C66FF867C}">
                  <a14:compatExt spid="_x0000_s2229"/>
                </a:ext>
                <a:ext uri="{FF2B5EF4-FFF2-40B4-BE49-F238E27FC236}">
                  <a16:creationId xmlns:a16="http://schemas.microsoft.com/office/drawing/2014/main" id="{BA71DA6E-9D57-4A04-9131-F36BDE0BDE9C}"/>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10</xdr:col>
          <xdr:colOff>0</xdr:colOff>
          <xdr:row>3173</xdr:row>
          <xdr:rowOff>0</xdr:rowOff>
        </xdr:to>
        <xdr:sp macro="" textlink="">
          <xdr:nvSpPr>
            <xdr:cNvPr id="2230" name="Button 1206" hidden="1">
              <a:extLst>
                <a:ext uri="{63B3BB69-23CF-44E3-9099-C40C66FF867C}">
                  <a14:compatExt spid="_x0000_s2230"/>
                </a:ext>
                <a:ext uri="{FF2B5EF4-FFF2-40B4-BE49-F238E27FC236}">
                  <a16:creationId xmlns:a16="http://schemas.microsoft.com/office/drawing/2014/main" id="{F2135050-78FD-41A4-AD39-BAF917D614D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3190</xdr:row>
          <xdr:rowOff>0</xdr:rowOff>
        </xdr:from>
        <xdr:to>
          <xdr:col>10</xdr:col>
          <xdr:colOff>0</xdr:colOff>
          <xdr:row>3191</xdr:row>
          <xdr:rowOff>0</xdr:rowOff>
        </xdr:to>
        <xdr:sp macro="" textlink="">
          <xdr:nvSpPr>
            <xdr:cNvPr id="2231" name="Button 1207" hidden="1">
              <a:extLst>
                <a:ext uri="{63B3BB69-23CF-44E3-9099-C40C66FF867C}">
                  <a14:compatExt spid="_x0000_s2231"/>
                </a:ext>
                <a:ext uri="{FF2B5EF4-FFF2-40B4-BE49-F238E27FC236}">
                  <a16:creationId xmlns:a16="http://schemas.microsoft.com/office/drawing/2014/main" id="{038126FD-5F95-4302-9E36-4EA1609CF78A}"/>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3191</xdr:row>
          <xdr:rowOff>0</xdr:rowOff>
        </xdr:from>
        <xdr:to>
          <xdr:col>10</xdr:col>
          <xdr:colOff>0</xdr:colOff>
          <xdr:row>3192</xdr:row>
          <xdr:rowOff>0</xdr:rowOff>
        </xdr:to>
        <xdr:sp macro="" textlink="">
          <xdr:nvSpPr>
            <xdr:cNvPr id="2232" name="Button 1208" hidden="1">
              <a:extLst>
                <a:ext uri="{63B3BB69-23CF-44E3-9099-C40C66FF867C}">
                  <a14:compatExt spid="_x0000_s2232"/>
                </a:ext>
                <a:ext uri="{FF2B5EF4-FFF2-40B4-BE49-F238E27FC236}">
                  <a16:creationId xmlns:a16="http://schemas.microsoft.com/office/drawing/2014/main" id="{B0848FC9-FAB5-4FB2-8889-79FC56CA40E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10</xdr:col>
          <xdr:colOff>0</xdr:colOff>
          <xdr:row>3184</xdr:row>
          <xdr:rowOff>0</xdr:rowOff>
        </xdr:to>
        <xdr:sp macro="" textlink="">
          <xdr:nvSpPr>
            <xdr:cNvPr id="2233" name="Button 1209" hidden="1">
              <a:extLst>
                <a:ext uri="{63B3BB69-23CF-44E3-9099-C40C66FF867C}">
                  <a14:compatExt spid="_x0000_s2233"/>
                </a:ext>
                <a:ext uri="{FF2B5EF4-FFF2-40B4-BE49-F238E27FC236}">
                  <a16:creationId xmlns:a16="http://schemas.microsoft.com/office/drawing/2014/main" id="{275DC979-6D6E-4A88-9A96-1E3A5C92EB6C}"/>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3201</xdr:row>
          <xdr:rowOff>0</xdr:rowOff>
        </xdr:from>
        <xdr:to>
          <xdr:col>10</xdr:col>
          <xdr:colOff>0</xdr:colOff>
          <xdr:row>3202</xdr:row>
          <xdr:rowOff>0</xdr:rowOff>
        </xdr:to>
        <xdr:sp macro="" textlink="">
          <xdr:nvSpPr>
            <xdr:cNvPr id="2234" name="Button 1210" hidden="1">
              <a:extLst>
                <a:ext uri="{63B3BB69-23CF-44E3-9099-C40C66FF867C}">
                  <a14:compatExt spid="_x0000_s2234"/>
                </a:ext>
                <a:ext uri="{FF2B5EF4-FFF2-40B4-BE49-F238E27FC236}">
                  <a16:creationId xmlns:a16="http://schemas.microsoft.com/office/drawing/2014/main" id="{C57F4DC2-EB22-446C-BB84-347892BBD8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3202</xdr:row>
          <xdr:rowOff>0</xdr:rowOff>
        </xdr:from>
        <xdr:to>
          <xdr:col>10</xdr:col>
          <xdr:colOff>0</xdr:colOff>
          <xdr:row>3203</xdr:row>
          <xdr:rowOff>0</xdr:rowOff>
        </xdr:to>
        <xdr:sp macro="" textlink="">
          <xdr:nvSpPr>
            <xdr:cNvPr id="2235" name="Button 1211" hidden="1">
              <a:extLst>
                <a:ext uri="{63B3BB69-23CF-44E3-9099-C40C66FF867C}">
                  <a14:compatExt spid="_x0000_s2235"/>
                </a:ext>
                <a:ext uri="{FF2B5EF4-FFF2-40B4-BE49-F238E27FC236}">
                  <a16:creationId xmlns:a16="http://schemas.microsoft.com/office/drawing/2014/main" id="{D1824B21-D5CB-4E5B-B9C1-ABCE2C9CB1D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10</xdr:col>
          <xdr:colOff>0</xdr:colOff>
          <xdr:row>3195</xdr:row>
          <xdr:rowOff>0</xdr:rowOff>
        </xdr:to>
        <xdr:sp macro="" textlink="">
          <xdr:nvSpPr>
            <xdr:cNvPr id="2236" name="Button 1212" hidden="1">
              <a:extLst>
                <a:ext uri="{63B3BB69-23CF-44E3-9099-C40C66FF867C}">
                  <a14:compatExt spid="_x0000_s2236"/>
                </a:ext>
                <a:ext uri="{FF2B5EF4-FFF2-40B4-BE49-F238E27FC236}">
                  <a16:creationId xmlns:a16="http://schemas.microsoft.com/office/drawing/2014/main" id="{29B4DD7D-506D-48E1-9A4D-75440102D15B}"/>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2237" name="Button 1213" hidden="1">
              <a:extLst>
                <a:ext uri="{63B3BB69-23CF-44E3-9099-C40C66FF867C}">
                  <a14:compatExt spid="_x0000_s2237"/>
                </a:ext>
                <a:ext uri="{FF2B5EF4-FFF2-40B4-BE49-F238E27FC236}">
                  <a16:creationId xmlns:a16="http://schemas.microsoft.com/office/drawing/2014/main" id="{2D21581D-76DC-4A56-87AC-5C9DE99FBDBC}"/>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10</xdr:col>
          <xdr:colOff>0</xdr:colOff>
          <xdr:row>3213</xdr:row>
          <xdr:rowOff>0</xdr:rowOff>
        </xdr:to>
        <xdr:sp macro="" textlink="">
          <xdr:nvSpPr>
            <xdr:cNvPr id="2238" name="Button 1214" hidden="1">
              <a:extLst>
                <a:ext uri="{63B3BB69-23CF-44E3-9099-C40C66FF867C}">
                  <a14:compatExt spid="_x0000_s2238"/>
                </a:ext>
                <a:ext uri="{FF2B5EF4-FFF2-40B4-BE49-F238E27FC236}">
                  <a16:creationId xmlns:a16="http://schemas.microsoft.com/office/drawing/2014/main" id="{2AE3E446-66E7-4BFD-80EE-D08EA85F2BB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10</xdr:col>
          <xdr:colOff>0</xdr:colOff>
          <xdr:row>3214</xdr:row>
          <xdr:rowOff>0</xdr:rowOff>
        </xdr:to>
        <xdr:sp macro="" textlink="">
          <xdr:nvSpPr>
            <xdr:cNvPr id="2239" name="Button 1215" hidden="1">
              <a:extLst>
                <a:ext uri="{63B3BB69-23CF-44E3-9099-C40C66FF867C}">
                  <a14:compatExt spid="_x0000_s2239"/>
                </a:ext>
                <a:ext uri="{FF2B5EF4-FFF2-40B4-BE49-F238E27FC236}">
                  <a16:creationId xmlns:a16="http://schemas.microsoft.com/office/drawing/2014/main" id="{5867560D-DA88-426F-AEE3-49DA3FFD789B}"/>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10</xdr:col>
          <xdr:colOff>0</xdr:colOff>
          <xdr:row>3206</xdr:row>
          <xdr:rowOff>0</xdr:rowOff>
        </xdr:to>
        <xdr:sp macro="" textlink="">
          <xdr:nvSpPr>
            <xdr:cNvPr id="2240" name="Button 1216" hidden="1">
              <a:extLst>
                <a:ext uri="{63B3BB69-23CF-44E3-9099-C40C66FF867C}">
                  <a14:compatExt spid="_x0000_s2240"/>
                </a:ext>
                <a:ext uri="{FF2B5EF4-FFF2-40B4-BE49-F238E27FC236}">
                  <a16:creationId xmlns:a16="http://schemas.microsoft.com/office/drawing/2014/main" id="{2C122C4F-71C0-4983-A345-80950F8E05AC}"/>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3223</xdr:row>
          <xdr:rowOff>0</xdr:rowOff>
        </xdr:from>
        <xdr:to>
          <xdr:col>10</xdr:col>
          <xdr:colOff>0</xdr:colOff>
          <xdr:row>3224</xdr:row>
          <xdr:rowOff>0</xdr:rowOff>
        </xdr:to>
        <xdr:sp macro="" textlink="">
          <xdr:nvSpPr>
            <xdr:cNvPr id="2241" name="Button 1217" hidden="1">
              <a:extLst>
                <a:ext uri="{63B3BB69-23CF-44E3-9099-C40C66FF867C}">
                  <a14:compatExt spid="_x0000_s2241"/>
                </a:ext>
                <a:ext uri="{FF2B5EF4-FFF2-40B4-BE49-F238E27FC236}">
                  <a16:creationId xmlns:a16="http://schemas.microsoft.com/office/drawing/2014/main" id="{6D8C9C3E-EA77-45C9-B454-8C1023D361E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3224</xdr:row>
          <xdr:rowOff>0</xdr:rowOff>
        </xdr:from>
        <xdr:to>
          <xdr:col>10</xdr:col>
          <xdr:colOff>0</xdr:colOff>
          <xdr:row>3225</xdr:row>
          <xdr:rowOff>0</xdr:rowOff>
        </xdr:to>
        <xdr:sp macro="" textlink="">
          <xdr:nvSpPr>
            <xdr:cNvPr id="2242" name="Button 1218" hidden="1">
              <a:extLst>
                <a:ext uri="{63B3BB69-23CF-44E3-9099-C40C66FF867C}">
                  <a14:compatExt spid="_x0000_s2242"/>
                </a:ext>
                <a:ext uri="{FF2B5EF4-FFF2-40B4-BE49-F238E27FC236}">
                  <a16:creationId xmlns:a16="http://schemas.microsoft.com/office/drawing/2014/main" id="{E94E7EDD-FB3B-4645-A8DF-DB37B8A4E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10</xdr:col>
          <xdr:colOff>0</xdr:colOff>
          <xdr:row>3217</xdr:row>
          <xdr:rowOff>0</xdr:rowOff>
        </xdr:to>
        <xdr:sp macro="" textlink="">
          <xdr:nvSpPr>
            <xdr:cNvPr id="2243" name="Button 1219" hidden="1">
              <a:extLst>
                <a:ext uri="{63B3BB69-23CF-44E3-9099-C40C66FF867C}">
                  <a14:compatExt spid="_x0000_s2243"/>
                </a:ext>
                <a:ext uri="{FF2B5EF4-FFF2-40B4-BE49-F238E27FC236}">
                  <a16:creationId xmlns:a16="http://schemas.microsoft.com/office/drawing/2014/main" id="{1D277054-FDBC-4861-B7BB-2C1993D0BE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3225</xdr:row>
          <xdr:rowOff>0</xdr:rowOff>
        </xdr:from>
        <xdr:to>
          <xdr:col>10</xdr:col>
          <xdr:colOff>0</xdr:colOff>
          <xdr:row>3226</xdr:row>
          <xdr:rowOff>0</xdr:rowOff>
        </xdr:to>
        <xdr:sp macro="" textlink="">
          <xdr:nvSpPr>
            <xdr:cNvPr id="2244" name="Button 1220" hidden="1">
              <a:extLst>
                <a:ext uri="{63B3BB69-23CF-44E3-9099-C40C66FF867C}">
                  <a14:compatExt spid="_x0000_s2244"/>
                </a:ext>
                <a:ext uri="{FF2B5EF4-FFF2-40B4-BE49-F238E27FC236}">
                  <a16:creationId xmlns:a16="http://schemas.microsoft.com/office/drawing/2014/main" id="{41EB8C4F-DC7F-4E28-ABA5-05B48C69CF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10</xdr:col>
          <xdr:colOff>0</xdr:colOff>
          <xdr:row>3236</xdr:row>
          <xdr:rowOff>0</xdr:rowOff>
        </xdr:to>
        <xdr:sp macro="" textlink="">
          <xdr:nvSpPr>
            <xdr:cNvPr id="2245" name="Button 1221" hidden="1">
              <a:extLst>
                <a:ext uri="{63B3BB69-23CF-44E3-9099-C40C66FF867C}">
                  <a14:compatExt spid="_x0000_s2245"/>
                </a:ext>
                <a:ext uri="{FF2B5EF4-FFF2-40B4-BE49-F238E27FC236}">
                  <a16:creationId xmlns:a16="http://schemas.microsoft.com/office/drawing/2014/main" id="{73A41918-6939-49A2-BD24-361C8C730D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10</xdr:col>
          <xdr:colOff>0</xdr:colOff>
          <xdr:row>3237</xdr:row>
          <xdr:rowOff>0</xdr:rowOff>
        </xdr:to>
        <xdr:sp macro="" textlink="">
          <xdr:nvSpPr>
            <xdr:cNvPr id="2246" name="Button 1222" hidden="1">
              <a:extLst>
                <a:ext uri="{63B3BB69-23CF-44E3-9099-C40C66FF867C}">
                  <a14:compatExt spid="_x0000_s2246"/>
                </a:ext>
                <a:ext uri="{FF2B5EF4-FFF2-40B4-BE49-F238E27FC236}">
                  <a16:creationId xmlns:a16="http://schemas.microsoft.com/office/drawing/2014/main" id="{6112EB44-BC94-41D2-AD21-9779EA65A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10</xdr:col>
          <xdr:colOff>0</xdr:colOff>
          <xdr:row>3229</xdr:row>
          <xdr:rowOff>0</xdr:rowOff>
        </xdr:to>
        <xdr:sp macro="" textlink="">
          <xdr:nvSpPr>
            <xdr:cNvPr id="2247" name="Button 1223" hidden="1">
              <a:extLst>
                <a:ext uri="{63B3BB69-23CF-44E3-9099-C40C66FF867C}">
                  <a14:compatExt spid="_x0000_s2247"/>
                </a:ext>
                <a:ext uri="{FF2B5EF4-FFF2-40B4-BE49-F238E27FC236}">
                  <a16:creationId xmlns:a16="http://schemas.microsoft.com/office/drawing/2014/main" id="{F01CB211-592C-400F-9001-E33A4DE513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10</xdr:col>
          <xdr:colOff>0</xdr:colOff>
          <xdr:row>3238</xdr:row>
          <xdr:rowOff>0</xdr:rowOff>
        </xdr:to>
        <xdr:sp macro="" textlink="">
          <xdr:nvSpPr>
            <xdr:cNvPr id="2248" name="Button 1224" hidden="1">
              <a:extLst>
                <a:ext uri="{63B3BB69-23CF-44E3-9099-C40C66FF867C}">
                  <a14:compatExt spid="_x0000_s2248"/>
                </a:ext>
                <a:ext uri="{FF2B5EF4-FFF2-40B4-BE49-F238E27FC236}">
                  <a16:creationId xmlns:a16="http://schemas.microsoft.com/office/drawing/2014/main" id="{0DF5380E-FCB7-4E08-A9AB-2BEA2AD92A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10</xdr:col>
          <xdr:colOff>0</xdr:colOff>
          <xdr:row>3239</xdr:row>
          <xdr:rowOff>0</xdr:rowOff>
        </xdr:to>
        <xdr:sp macro="" textlink="">
          <xdr:nvSpPr>
            <xdr:cNvPr id="2249" name="Button 1225" hidden="1">
              <a:extLst>
                <a:ext uri="{63B3BB69-23CF-44E3-9099-C40C66FF867C}">
                  <a14:compatExt spid="_x0000_s2249"/>
                </a:ext>
                <a:ext uri="{FF2B5EF4-FFF2-40B4-BE49-F238E27FC236}">
                  <a16:creationId xmlns:a16="http://schemas.microsoft.com/office/drawing/2014/main" id="{581BFFFD-9495-43D5-BFA0-7C9169D840A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10</xdr:col>
          <xdr:colOff>0</xdr:colOff>
          <xdr:row>3240</xdr:row>
          <xdr:rowOff>0</xdr:rowOff>
        </xdr:to>
        <xdr:sp macro="" textlink="">
          <xdr:nvSpPr>
            <xdr:cNvPr id="2250" name="Button 1226" hidden="1">
              <a:extLst>
                <a:ext uri="{63B3BB69-23CF-44E3-9099-C40C66FF867C}">
                  <a14:compatExt spid="_x0000_s2250"/>
                </a:ext>
                <a:ext uri="{FF2B5EF4-FFF2-40B4-BE49-F238E27FC236}">
                  <a16:creationId xmlns:a16="http://schemas.microsoft.com/office/drawing/2014/main" id="{87FAB83E-DB24-4822-BAFE-B28ECC49F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3240</xdr:row>
          <xdr:rowOff>0</xdr:rowOff>
        </xdr:from>
        <xdr:to>
          <xdr:col>10</xdr:col>
          <xdr:colOff>0</xdr:colOff>
          <xdr:row>3241</xdr:row>
          <xdr:rowOff>0</xdr:rowOff>
        </xdr:to>
        <xdr:sp macro="" textlink="">
          <xdr:nvSpPr>
            <xdr:cNvPr id="2251" name="Button 1227" hidden="1">
              <a:extLst>
                <a:ext uri="{63B3BB69-23CF-44E3-9099-C40C66FF867C}">
                  <a14:compatExt spid="_x0000_s2251"/>
                </a:ext>
                <a:ext uri="{FF2B5EF4-FFF2-40B4-BE49-F238E27FC236}">
                  <a16:creationId xmlns:a16="http://schemas.microsoft.com/office/drawing/2014/main" id="{C7D6AB33-DDAC-4CC1-8FBC-A40C25132C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10</xdr:col>
          <xdr:colOff>0</xdr:colOff>
          <xdr:row>3251</xdr:row>
          <xdr:rowOff>0</xdr:rowOff>
        </xdr:to>
        <xdr:sp macro="" textlink="">
          <xdr:nvSpPr>
            <xdr:cNvPr id="2252" name="Button 1228" hidden="1">
              <a:extLst>
                <a:ext uri="{63B3BB69-23CF-44E3-9099-C40C66FF867C}">
                  <a14:compatExt spid="_x0000_s2252"/>
                </a:ext>
                <a:ext uri="{FF2B5EF4-FFF2-40B4-BE49-F238E27FC236}">
                  <a16:creationId xmlns:a16="http://schemas.microsoft.com/office/drawing/2014/main" id="{94A956FB-D4FA-4C9F-B203-006AD106CF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10</xdr:col>
          <xdr:colOff>0</xdr:colOff>
          <xdr:row>3252</xdr:row>
          <xdr:rowOff>0</xdr:rowOff>
        </xdr:to>
        <xdr:sp macro="" textlink="">
          <xdr:nvSpPr>
            <xdr:cNvPr id="2253" name="Button 1229" hidden="1">
              <a:extLst>
                <a:ext uri="{63B3BB69-23CF-44E3-9099-C40C66FF867C}">
                  <a14:compatExt spid="_x0000_s2253"/>
                </a:ext>
                <a:ext uri="{FF2B5EF4-FFF2-40B4-BE49-F238E27FC236}">
                  <a16:creationId xmlns:a16="http://schemas.microsoft.com/office/drawing/2014/main" id="{6063614A-8EA6-4807-AB0C-59A62284C4C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10</xdr:col>
          <xdr:colOff>0</xdr:colOff>
          <xdr:row>3244</xdr:row>
          <xdr:rowOff>0</xdr:rowOff>
        </xdr:to>
        <xdr:sp macro="" textlink="">
          <xdr:nvSpPr>
            <xdr:cNvPr id="2254" name="Button 1230" hidden="1">
              <a:extLst>
                <a:ext uri="{63B3BB69-23CF-44E3-9099-C40C66FF867C}">
                  <a14:compatExt spid="_x0000_s2254"/>
                </a:ext>
                <a:ext uri="{FF2B5EF4-FFF2-40B4-BE49-F238E27FC236}">
                  <a16:creationId xmlns:a16="http://schemas.microsoft.com/office/drawing/2014/main" id="{FAC971AE-F2CF-4774-AF0F-FA3C5FE392F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10</xdr:col>
          <xdr:colOff>0</xdr:colOff>
          <xdr:row>3268</xdr:row>
          <xdr:rowOff>0</xdr:rowOff>
        </xdr:to>
        <xdr:sp macro="" textlink="">
          <xdr:nvSpPr>
            <xdr:cNvPr id="2255" name="Button 1231" hidden="1">
              <a:extLst>
                <a:ext uri="{63B3BB69-23CF-44E3-9099-C40C66FF867C}">
                  <a14:compatExt spid="_x0000_s2255"/>
                </a:ext>
                <a:ext uri="{FF2B5EF4-FFF2-40B4-BE49-F238E27FC236}">
                  <a16:creationId xmlns:a16="http://schemas.microsoft.com/office/drawing/2014/main" id="{48D7E057-A826-47BD-926F-117203D6F2F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10</xdr:col>
          <xdr:colOff>0</xdr:colOff>
          <xdr:row>3269</xdr:row>
          <xdr:rowOff>0</xdr:rowOff>
        </xdr:to>
        <xdr:sp macro="" textlink="">
          <xdr:nvSpPr>
            <xdr:cNvPr id="2256" name="Button 1232" hidden="1">
              <a:extLst>
                <a:ext uri="{63B3BB69-23CF-44E3-9099-C40C66FF867C}">
                  <a14:compatExt spid="_x0000_s2256"/>
                </a:ext>
                <a:ext uri="{FF2B5EF4-FFF2-40B4-BE49-F238E27FC236}">
                  <a16:creationId xmlns:a16="http://schemas.microsoft.com/office/drawing/2014/main" id="{3C0E1357-7C5A-4380-B24B-75EA6FF473DF}"/>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10</xdr:col>
          <xdr:colOff>0</xdr:colOff>
          <xdr:row>3261</xdr:row>
          <xdr:rowOff>0</xdr:rowOff>
        </xdr:to>
        <xdr:sp macro="" textlink="">
          <xdr:nvSpPr>
            <xdr:cNvPr id="2257" name="Button 1233" hidden="1">
              <a:extLst>
                <a:ext uri="{63B3BB69-23CF-44E3-9099-C40C66FF867C}">
                  <a14:compatExt spid="_x0000_s2257"/>
                </a:ext>
                <a:ext uri="{FF2B5EF4-FFF2-40B4-BE49-F238E27FC236}">
                  <a16:creationId xmlns:a16="http://schemas.microsoft.com/office/drawing/2014/main" id="{1DA612FD-7649-40D3-BC66-F32FFDF5CF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10</xdr:col>
          <xdr:colOff>0</xdr:colOff>
          <xdr:row>3253</xdr:row>
          <xdr:rowOff>0</xdr:rowOff>
        </xdr:to>
        <xdr:sp macro="" textlink="">
          <xdr:nvSpPr>
            <xdr:cNvPr id="2258" name="Button 1234" hidden="1">
              <a:extLst>
                <a:ext uri="{63B3BB69-23CF-44E3-9099-C40C66FF867C}">
                  <a14:compatExt spid="_x0000_s2258"/>
                </a:ext>
                <a:ext uri="{FF2B5EF4-FFF2-40B4-BE49-F238E27FC236}">
                  <a16:creationId xmlns:a16="http://schemas.microsoft.com/office/drawing/2014/main" id="{E67E24D8-2244-47C2-B605-85D713F4DE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10</xdr:col>
          <xdr:colOff>0</xdr:colOff>
          <xdr:row>3254</xdr:row>
          <xdr:rowOff>0</xdr:rowOff>
        </xdr:to>
        <xdr:sp macro="" textlink="">
          <xdr:nvSpPr>
            <xdr:cNvPr id="2259" name="Button 1235" hidden="1">
              <a:extLst>
                <a:ext uri="{63B3BB69-23CF-44E3-9099-C40C66FF867C}">
                  <a14:compatExt spid="_x0000_s2259"/>
                </a:ext>
                <a:ext uri="{FF2B5EF4-FFF2-40B4-BE49-F238E27FC236}">
                  <a16:creationId xmlns:a16="http://schemas.microsoft.com/office/drawing/2014/main" id="{288A8A32-9FFF-43AA-BED9-4E53936F124B}"/>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3269</xdr:row>
          <xdr:rowOff>0</xdr:rowOff>
        </xdr:from>
        <xdr:to>
          <xdr:col>10</xdr:col>
          <xdr:colOff>0</xdr:colOff>
          <xdr:row>3270</xdr:row>
          <xdr:rowOff>0</xdr:rowOff>
        </xdr:to>
        <xdr:sp macro="" textlink="">
          <xdr:nvSpPr>
            <xdr:cNvPr id="2260" name="Button 1236" hidden="1">
              <a:extLst>
                <a:ext uri="{63B3BB69-23CF-44E3-9099-C40C66FF867C}">
                  <a14:compatExt spid="_x0000_s2260"/>
                </a:ext>
                <a:ext uri="{FF2B5EF4-FFF2-40B4-BE49-F238E27FC236}">
                  <a16:creationId xmlns:a16="http://schemas.microsoft.com/office/drawing/2014/main" id="{FFF7FF95-B2F4-4C5C-8ED7-653D29EAA6C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10</xdr:col>
          <xdr:colOff>0</xdr:colOff>
          <xdr:row>3271</xdr:row>
          <xdr:rowOff>0</xdr:rowOff>
        </xdr:to>
        <xdr:sp macro="" textlink="">
          <xdr:nvSpPr>
            <xdr:cNvPr id="2261" name="Button 1237" hidden="1">
              <a:extLst>
                <a:ext uri="{63B3BB69-23CF-44E3-9099-C40C66FF867C}">
                  <a14:compatExt spid="_x0000_s2261"/>
                </a:ext>
                <a:ext uri="{FF2B5EF4-FFF2-40B4-BE49-F238E27FC236}">
                  <a16:creationId xmlns:a16="http://schemas.microsoft.com/office/drawing/2014/main" id="{9EDB3B4A-CD71-46D5-99FB-77CA97CC89F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10</xdr:col>
          <xdr:colOff>0</xdr:colOff>
          <xdr:row>3255</xdr:row>
          <xdr:rowOff>0</xdr:rowOff>
        </xdr:to>
        <xdr:sp macro="" textlink="">
          <xdr:nvSpPr>
            <xdr:cNvPr id="2262" name="Button 1238" hidden="1">
              <a:extLst>
                <a:ext uri="{63B3BB69-23CF-44E3-9099-C40C66FF867C}">
                  <a14:compatExt spid="_x0000_s2262"/>
                </a:ext>
                <a:ext uri="{FF2B5EF4-FFF2-40B4-BE49-F238E27FC236}">
                  <a16:creationId xmlns:a16="http://schemas.microsoft.com/office/drawing/2014/main" id="{9EAB1D9E-7115-47C2-AED1-8D681A5E62BF}"/>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10</xdr:col>
          <xdr:colOff>0</xdr:colOff>
          <xdr:row>3272</xdr:row>
          <xdr:rowOff>0</xdr:rowOff>
        </xdr:to>
        <xdr:sp macro="" textlink="">
          <xdr:nvSpPr>
            <xdr:cNvPr id="2263" name="Button 1239" hidden="1">
              <a:extLst>
                <a:ext uri="{63B3BB69-23CF-44E3-9099-C40C66FF867C}">
                  <a14:compatExt spid="_x0000_s2263"/>
                </a:ext>
                <a:ext uri="{FF2B5EF4-FFF2-40B4-BE49-F238E27FC236}">
                  <a16:creationId xmlns:a16="http://schemas.microsoft.com/office/drawing/2014/main" id="{516F9D29-22D9-4726-8748-F09C192F5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10</xdr:col>
          <xdr:colOff>0</xdr:colOff>
          <xdr:row>3256</xdr:row>
          <xdr:rowOff>0</xdr:rowOff>
        </xdr:to>
        <xdr:sp macro="" textlink="">
          <xdr:nvSpPr>
            <xdr:cNvPr id="2264" name="Button 1240" hidden="1">
              <a:extLst>
                <a:ext uri="{63B3BB69-23CF-44E3-9099-C40C66FF867C}">
                  <a14:compatExt spid="_x0000_s2264"/>
                </a:ext>
                <a:ext uri="{FF2B5EF4-FFF2-40B4-BE49-F238E27FC236}">
                  <a16:creationId xmlns:a16="http://schemas.microsoft.com/office/drawing/2014/main" id="{3F2D67B6-FD7A-4C8E-86AF-3DD0AFF7A4C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10</xdr:col>
          <xdr:colOff>0</xdr:colOff>
          <xdr:row>3273</xdr:row>
          <xdr:rowOff>0</xdr:rowOff>
        </xdr:to>
        <xdr:sp macro="" textlink="">
          <xdr:nvSpPr>
            <xdr:cNvPr id="2265" name="Button 1241" hidden="1">
              <a:extLst>
                <a:ext uri="{63B3BB69-23CF-44E3-9099-C40C66FF867C}">
                  <a14:compatExt spid="_x0000_s2265"/>
                </a:ext>
                <a:ext uri="{FF2B5EF4-FFF2-40B4-BE49-F238E27FC236}">
                  <a16:creationId xmlns:a16="http://schemas.microsoft.com/office/drawing/2014/main" id="{FAD67316-53E2-45E9-85BF-59603931CC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10</xdr:col>
          <xdr:colOff>0</xdr:colOff>
          <xdr:row>3274</xdr:row>
          <xdr:rowOff>0</xdr:rowOff>
        </xdr:to>
        <xdr:sp macro="" textlink="">
          <xdr:nvSpPr>
            <xdr:cNvPr id="2266" name="Button 1242" hidden="1">
              <a:extLst>
                <a:ext uri="{63B3BB69-23CF-44E3-9099-C40C66FF867C}">
                  <a14:compatExt spid="_x0000_s2266"/>
                </a:ext>
                <a:ext uri="{FF2B5EF4-FFF2-40B4-BE49-F238E27FC236}">
                  <a16:creationId xmlns:a16="http://schemas.microsoft.com/office/drawing/2014/main" id="{C68CA861-3784-4C91-98ED-80BCAE731F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10</xdr:col>
          <xdr:colOff>0</xdr:colOff>
          <xdr:row>3257</xdr:row>
          <xdr:rowOff>0</xdr:rowOff>
        </xdr:to>
        <xdr:sp macro="" textlink="">
          <xdr:nvSpPr>
            <xdr:cNvPr id="2267" name="Button 1243" hidden="1">
              <a:extLst>
                <a:ext uri="{63B3BB69-23CF-44E3-9099-C40C66FF867C}">
                  <a14:compatExt spid="_x0000_s2267"/>
                </a:ext>
                <a:ext uri="{FF2B5EF4-FFF2-40B4-BE49-F238E27FC236}">
                  <a16:creationId xmlns:a16="http://schemas.microsoft.com/office/drawing/2014/main" id="{E9BB3457-8C2C-40E7-94C0-89391735DDBB}"/>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10</xdr:col>
          <xdr:colOff>0</xdr:colOff>
          <xdr:row>3275</xdr:row>
          <xdr:rowOff>0</xdr:rowOff>
        </xdr:to>
        <xdr:sp macro="" textlink="">
          <xdr:nvSpPr>
            <xdr:cNvPr id="2268" name="Button 1244" hidden="1">
              <a:extLst>
                <a:ext uri="{63B3BB69-23CF-44E3-9099-C40C66FF867C}">
                  <a14:compatExt spid="_x0000_s2268"/>
                </a:ext>
                <a:ext uri="{FF2B5EF4-FFF2-40B4-BE49-F238E27FC236}">
                  <a16:creationId xmlns:a16="http://schemas.microsoft.com/office/drawing/2014/main" id="{47DCBD7F-2F0A-4BD3-A055-675E5EFB910C}"/>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3257</xdr:row>
          <xdr:rowOff>0</xdr:rowOff>
        </xdr:from>
        <xdr:to>
          <xdr:col>10</xdr:col>
          <xdr:colOff>0</xdr:colOff>
          <xdr:row>3258</xdr:row>
          <xdr:rowOff>0</xdr:rowOff>
        </xdr:to>
        <xdr:sp macro="" textlink="">
          <xdr:nvSpPr>
            <xdr:cNvPr id="2269" name="Button 1245" hidden="1">
              <a:extLst>
                <a:ext uri="{63B3BB69-23CF-44E3-9099-C40C66FF867C}">
                  <a14:compatExt spid="_x0000_s2269"/>
                </a:ext>
                <a:ext uri="{FF2B5EF4-FFF2-40B4-BE49-F238E27FC236}">
                  <a16:creationId xmlns:a16="http://schemas.microsoft.com/office/drawing/2014/main" id="{BF4BA8A7-2710-426A-AF7E-3BD256E24CDF}"/>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270" name="Button 1246" hidden="1">
              <a:extLst>
                <a:ext uri="{63B3BB69-23CF-44E3-9099-C40C66FF867C}">
                  <a14:compatExt spid="_x0000_s2270"/>
                </a:ext>
                <a:ext uri="{FF2B5EF4-FFF2-40B4-BE49-F238E27FC236}">
                  <a16:creationId xmlns:a16="http://schemas.microsoft.com/office/drawing/2014/main" id="{0CE15317-03C9-49B5-887D-0E0EF9127FF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271" name="Button 1247" hidden="1">
              <a:extLst>
                <a:ext uri="{63B3BB69-23CF-44E3-9099-C40C66FF867C}">
                  <a14:compatExt spid="_x0000_s2271"/>
                </a:ext>
                <a:ext uri="{FF2B5EF4-FFF2-40B4-BE49-F238E27FC236}">
                  <a16:creationId xmlns:a16="http://schemas.microsoft.com/office/drawing/2014/main" id="{605BD992-8918-43C2-B24A-9F6B579959A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272" name="Button 1248" hidden="1">
              <a:extLst>
                <a:ext uri="{63B3BB69-23CF-44E3-9099-C40C66FF867C}">
                  <a14:compatExt spid="_x0000_s2272"/>
                </a:ext>
                <a:ext uri="{FF2B5EF4-FFF2-40B4-BE49-F238E27FC236}">
                  <a16:creationId xmlns:a16="http://schemas.microsoft.com/office/drawing/2014/main" id="{071CE555-6B3F-4864-A76A-5F387CBBFDAE}"/>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10</xdr:col>
          <xdr:colOff>0</xdr:colOff>
          <xdr:row>3285</xdr:row>
          <xdr:rowOff>0</xdr:rowOff>
        </xdr:to>
        <xdr:sp macro="" textlink="">
          <xdr:nvSpPr>
            <xdr:cNvPr id="2273" name="Button 1249" hidden="1">
              <a:extLst>
                <a:ext uri="{63B3BB69-23CF-44E3-9099-C40C66FF867C}">
                  <a14:compatExt spid="_x0000_s2273"/>
                </a:ext>
                <a:ext uri="{FF2B5EF4-FFF2-40B4-BE49-F238E27FC236}">
                  <a16:creationId xmlns:a16="http://schemas.microsoft.com/office/drawing/2014/main" id="{C0498AC9-26A6-4324-9BC7-E5C76B8F8EFA}"/>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10</xdr:col>
          <xdr:colOff>0</xdr:colOff>
          <xdr:row>3286</xdr:row>
          <xdr:rowOff>0</xdr:rowOff>
        </xdr:to>
        <xdr:sp macro="" textlink="">
          <xdr:nvSpPr>
            <xdr:cNvPr id="2274" name="Button 1250" hidden="1">
              <a:extLst>
                <a:ext uri="{63B3BB69-23CF-44E3-9099-C40C66FF867C}">
                  <a14:compatExt spid="_x0000_s2274"/>
                </a:ext>
                <a:ext uri="{FF2B5EF4-FFF2-40B4-BE49-F238E27FC236}">
                  <a16:creationId xmlns:a16="http://schemas.microsoft.com/office/drawing/2014/main" id="{2CCB2DD1-AEED-40F8-AE85-E5898D1A77E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10</xdr:col>
          <xdr:colOff>0</xdr:colOff>
          <xdr:row>3278</xdr:row>
          <xdr:rowOff>0</xdr:rowOff>
        </xdr:to>
        <xdr:sp macro="" textlink="">
          <xdr:nvSpPr>
            <xdr:cNvPr id="2275" name="Button 1251" hidden="1">
              <a:extLst>
                <a:ext uri="{63B3BB69-23CF-44E3-9099-C40C66FF867C}">
                  <a14:compatExt spid="_x0000_s2275"/>
                </a:ext>
                <a:ext uri="{FF2B5EF4-FFF2-40B4-BE49-F238E27FC236}">
                  <a16:creationId xmlns:a16="http://schemas.microsoft.com/office/drawing/2014/main" id="{828C9C90-4570-46F9-AE9D-047988EC869C}"/>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3295</xdr:row>
          <xdr:rowOff>0</xdr:rowOff>
        </xdr:from>
        <xdr:to>
          <xdr:col>10</xdr:col>
          <xdr:colOff>0</xdr:colOff>
          <xdr:row>3296</xdr:row>
          <xdr:rowOff>0</xdr:rowOff>
        </xdr:to>
        <xdr:sp macro="" textlink="">
          <xdr:nvSpPr>
            <xdr:cNvPr id="2276" name="Button 1252" hidden="1">
              <a:extLst>
                <a:ext uri="{63B3BB69-23CF-44E3-9099-C40C66FF867C}">
                  <a14:compatExt spid="_x0000_s2276"/>
                </a:ext>
                <a:ext uri="{FF2B5EF4-FFF2-40B4-BE49-F238E27FC236}">
                  <a16:creationId xmlns:a16="http://schemas.microsoft.com/office/drawing/2014/main" id="{5E04494D-E4A2-4AE1-B58F-93D829BC0C0E}"/>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10</xdr:col>
          <xdr:colOff>0</xdr:colOff>
          <xdr:row>3297</xdr:row>
          <xdr:rowOff>0</xdr:rowOff>
        </xdr:to>
        <xdr:sp macro="" textlink="">
          <xdr:nvSpPr>
            <xdr:cNvPr id="2277" name="Button 1253" hidden="1">
              <a:extLst>
                <a:ext uri="{63B3BB69-23CF-44E3-9099-C40C66FF867C}">
                  <a14:compatExt spid="_x0000_s2277"/>
                </a:ext>
                <a:ext uri="{FF2B5EF4-FFF2-40B4-BE49-F238E27FC236}">
                  <a16:creationId xmlns:a16="http://schemas.microsoft.com/office/drawing/2014/main" id="{F37F0529-AE47-442D-BF57-A7810F5B4F1A}"/>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10</xdr:col>
          <xdr:colOff>0</xdr:colOff>
          <xdr:row>3289</xdr:row>
          <xdr:rowOff>0</xdr:rowOff>
        </xdr:to>
        <xdr:sp macro="" textlink="">
          <xdr:nvSpPr>
            <xdr:cNvPr id="2278" name="Button 1254" hidden="1">
              <a:extLst>
                <a:ext uri="{63B3BB69-23CF-44E3-9099-C40C66FF867C}">
                  <a14:compatExt spid="_x0000_s2278"/>
                </a:ext>
                <a:ext uri="{FF2B5EF4-FFF2-40B4-BE49-F238E27FC236}">
                  <a16:creationId xmlns:a16="http://schemas.microsoft.com/office/drawing/2014/main" id="{A238CDCA-6497-4897-B0BE-74184C69324C}"/>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10</xdr:col>
          <xdr:colOff>0</xdr:colOff>
          <xdr:row>3307</xdr:row>
          <xdr:rowOff>0</xdr:rowOff>
        </xdr:to>
        <xdr:sp macro="" textlink="">
          <xdr:nvSpPr>
            <xdr:cNvPr id="2279" name="Button 1255" hidden="1">
              <a:extLst>
                <a:ext uri="{63B3BB69-23CF-44E3-9099-C40C66FF867C}">
                  <a14:compatExt spid="_x0000_s2279"/>
                </a:ext>
                <a:ext uri="{FF2B5EF4-FFF2-40B4-BE49-F238E27FC236}">
                  <a16:creationId xmlns:a16="http://schemas.microsoft.com/office/drawing/2014/main" id="{BD19D3FE-1A07-4E72-8668-1FC79F4449EC}"/>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10</xdr:col>
          <xdr:colOff>0</xdr:colOff>
          <xdr:row>3308</xdr:row>
          <xdr:rowOff>0</xdr:rowOff>
        </xdr:to>
        <xdr:sp macro="" textlink="">
          <xdr:nvSpPr>
            <xdr:cNvPr id="2280" name="Button 1256" hidden="1">
              <a:extLst>
                <a:ext uri="{63B3BB69-23CF-44E3-9099-C40C66FF867C}">
                  <a14:compatExt spid="_x0000_s2280"/>
                </a:ext>
                <a:ext uri="{FF2B5EF4-FFF2-40B4-BE49-F238E27FC236}">
                  <a16:creationId xmlns:a16="http://schemas.microsoft.com/office/drawing/2014/main" id="{4882F9D8-77F6-4073-913D-42F2312D359C}"/>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10</xdr:col>
          <xdr:colOff>0</xdr:colOff>
          <xdr:row>3300</xdr:row>
          <xdr:rowOff>0</xdr:rowOff>
        </xdr:to>
        <xdr:sp macro="" textlink="">
          <xdr:nvSpPr>
            <xdr:cNvPr id="2281" name="Button 1257" hidden="1">
              <a:extLst>
                <a:ext uri="{63B3BB69-23CF-44E3-9099-C40C66FF867C}">
                  <a14:compatExt spid="_x0000_s2281"/>
                </a:ext>
                <a:ext uri="{FF2B5EF4-FFF2-40B4-BE49-F238E27FC236}">
                  <a16:creationId xmlns:a16="http://schemas.microsoft.com/office/drawing/2014/main" id="{C7DE5D68-51B0-44AF-919C-D6C63302B4BE}"/>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10</xdr:col>
          <xdr:colOff>0</xdr:colOff>
          <xdr:row>3318</xdr:row>
          <xdr:rowOff>0</xdr:rowOff>
        </xdr:to>
        <xdr:sp macro="" textlink="">
          <xdr:nvSpPr>
            <xdr:cNvPr id="2282" name="Button 1258" hidden="1">
              <a:extLst>
                <a:ext uri="{63B3BB69-23CF-44E3-9099-C40C66FF867C}">
                  <a14:compatExt spid="_x0000_s2282"/>
                </a:ext>
                <a:ext uri="{FF2B5EF4-FFF2-40B4-BE49-F238E27FC236}">
                  <a16:creationId xmlns:a16="http://schemas.microsoft.com/office/drawing/2014/main" id="{8F79B323-FCAC-43E6-907E-97102330BF2D}"/>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3318</xdr:row>
          <xdr:rowOff>0</xdr:rowOff>
        </xdr:from>
        <xdr:to>
          <xdr:col>10</xdr:col>
          <xdr:colOff>0</xdr:colOff>
          <xdr:row>3319</xdr:row>
          <xdr:rowOff>0</xdr:rowOff>
        </xdr:to>
        <xdr:sp macro="" textlink="">
          <xdr:nvSpPr>
            <xdr:cNvPr id="2283" name="Button 1259" hidden="1">
              <a:extLst>
                <a:ext uri="{63B3BB69-23CF-44E3-9099-C40C66FF867C}">
                  <a14:compatExt spid="_x0000_s2283"/>
                </a:ext>
                <a:ext uri="{FF2B5EF4-FFF2-40B4-BE49-F238E27FC236}">
                  <a16:creationId xmlns:a16="http://schemas.microsoft.com/office/drawing/2014/main" id="{15648FBA-D21B-4297-8DF1-5300C479A9C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10</xdr:col>
          <xdr:colOff>0</xdr:colOff>
          <xdr:row>3311</xdr:row>
          <xdr:rowOff>0</xdr:rowOff>
        </xdr:to>
        <xdr:sp macro="" textlink="">
          <xdr:nvSpPr>
            <xdr:cNvPr id="2284" name="Button 1260" hidden="1">
              <a:extLst>
                <a:ext uri="{63B3BB69-23CF-44E3-9099-C40C66FF867C}">
                  <a14:compatExt spid="_x0000_s2284"/>
                </a:ext>
                <a:ext uri="{FF2B5EF4-FFF2-40B4-BE49-F238E27FC236}">
                  <a16:creationId xmlns:a16="http://schemas.microsoft.com/office/drawing/2014/main" id="{C19AC84B-63DD-4034-B4A9-D55C1FBD9BCD}"/>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breapena\OneDrive%20-%20tesoreria.gov.do\Documentos\Copia%20de%20PACC%2020223%20TESORERIA%20NACIONAL%20(Ixshel).xlsm" TargetMode="External"/><Relationship Id="rId1" Type="http://schemas.openxmlformats.org/officeDocument/2006/relationships/externalLinkPath" Target="file:///C:\Users\Jbreapena\OneDrive%20-%20tesoreria.gov.do\Documentos\Copia%20de%20PACC%2020223%20TESORERIA%20NACIONAL%20(Ixsh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ACC"/>
      <sheetName val="Informacion "/>
      <sheetName val="UNSPSC"/>
      <sheetName val="ProcedureTemplate"/>
    </sheetNames>
    <definedNames>
      <definedName name="Sheet1.CopyNewProcedure"/>
      <definedName name="Sheet1.deleteProcedure"/>
      <definedName name="Sheet1.deleteRow"/>
      <definedName name="Sheet1.InsertNewTableRow"/>
    </definedNames>
    <sheetDataSet>
      <sheetData sheetId="0"/>
      <sheetData sheetId="1">
        <row r="6">
          <cell r="E6" t="str">
            <v>0205</v>
          </cell>
        </row>
        <row r="7">
          <cell r="E7" t="str">
            <v>01</v>
          </cell>
        </row>
        <row r="8">
          <cell r="E8" t="str">
            <v>0008</v>
          </cell>
        </row>
        <row r="9">
          <cell r="B9">
            <v>256</v>
          </cell>
          <cell r="E9" t="str">
            <v>Tesorería Nacional</v>
          </cell>
        </row>
        <row r="10">
          <cell r="B10">
            <v>175899172</v>
          </cell>
        </row>
        <row r="11">
          <cell r="E11">
            <v>2023</v>
          </cell>
        </row>
        <row r="12">
          <cell r="E12" t="str">
            <v/>
          </cell>
        </row>
        <row r="24">
          <cell r="H24" t="str">
            <v>Servicios</v>
          </cell>
          <cell r="I24" t="str">
            <v>MIPYME Mujeres</v>
          </cell>
          <cell r="J24" t="str">
            <v>Compras por debajo del Umbral</v>
          </cell>
        </row>
        <row r="35">
          <cell r="H35" t="str">
            <v>Servicios</v>
          </cell>
          <cell r="I35" t="str">
            <v>MIPYME Mujeres</v>
          </cell>
          <cell r="J35" t="str">
            <v>Compras por debajo del Umbral</v>
          </cell>
        </row>
        <row r="46">
          <cell r="H46" t="str">
            <v>Servicios</v>
          </cell>
          <cell r="I46" t="str">
            <v>MIPYME Mujeres</v>
          </cell>
          <cell r="J46" t="str">
            <v>Compras por debajo del Umbral</v>
          </cell>
        </row>
        <row r="57">
          <cell r="H57" t="str">
            <v>Servicios</v>
          </cell>
          <cell r="I57" t="str">
            <v>MIPYME Mujeres</v>
          </cell>
          <cell r="J57" t="str">
            <v>Compras por debajo del Umbral</v>
          </cell>
        </row>
        <row r="68">
          <cell r="H68" t="str">
            <v>Servicios</v>
          </cell>
          <cell r="I68" t="str">
            <v>MIPYME Mujeres</v>
          </cell>
          <cell r="J68" t="str">
            <v>Compras Menores</v>
          </cell>
        </row>
        <row r="79">
          <cell r="H79" t="str">
            <v>Servicios</v>
          </cell>
          <cell r="I79" t="str">
            <v>MIPYME Mujeres</v>
          </cell>
          <cell r="J79" t="str">
            <v>Comparacion de Precios</v>
          </cell>
        </row>
        <row r="90">
          <cell r="H90" t="str">
            <v>Servicios</v>
          </cell>
          <cell r="I90" t="str">
            <v>MIPYME Mujeres</v>
          </cell>
          <cell r="J90" t="str">
            <v>Compras Menores</v>
          </cell>
        </row>
        <row r="106">
          <cell r="H106" t="str">
            <v>Servicios</v>
          </cell>
          <cell r="I106" t="str">
            <v>MIPYME Mujeres</v>
          </cell>
          <cell r="J106" t="str">
            <v>Comparacion de Precios</v>
          </cell>
        </row>
        <row r="117">
          <cell r="H117" t="str">
            <v>Servicios</v>
          </cell>
          <cell r="I117" t="str">
            <v>Sí</v>
          </cell>
          <cell r="J117" t="str">
            <v>Comparacion de Precios</v>
          </cell>
        </row>
        <row r="128">
          <cell r="H128" t="str">
            <v>Servicios</v>
          </cell>
          <cell r="I128" t="str">
            <v>Sí</v>
          </cell>
          <cell r="J128" t="str">
            <v>Comparacion de Precios</v>
          </cell>
        </row>
        <row r="139">
          <cell r="H139" t="str">
            <v>Servicios</v>
          </cell>
          <cell r="I139" t="str">
            <v>Sí</v>
          </cell>
          <cell r="J139" t="str">
            <v>Compras por debajo del Umbral</v>
          </cell>
        </row>
        <row r="151">
          <cell r="H151" t="str">
            <v>Servicios</v>
          </cell>
          <cell r="I151" t="str">
            <v>Sí</v>
          </cell>
          <cell r="J151" t="str">
            <v>Compras Menores</v>
          </cell>
        </row>
        <row r="162">
          <cell r="H162" t="str">
            <v>Servicios</v>
          </cell>
          <cell r="I162" t="str">
            <v>Sí</v>
          </cell>
          <cell r="J162" t="str">
            <v>Compras Menores</v>
          </cell>
        </row>
        <row r="173">
          <cell r="H173" t="str">
            <v>Servicios</v>
          </cell>
          <cell r="I173" t="str">
            <v>Sí</v>
          </cell>
          <cell r="J173" t="str">
            <v>Compras Menores</v>
          </cell>
        </row>
        <row r="184">
          <cell r="H184" t="str">
            <v>Servicios</v>
          </cell>
          <cell r="I184" t="str">
            <v>Sí</v>
          </cell>
          <cell r="J184" t="str">
            <v>Compras Menores</v>
          </cell>
        </row>
        <row r="195">
          <cell r="H195" t="str">
            <v>Servicios</v>
          </cell>
          <cell r="I195" t="str">
            <v>Sí</v>
          </cell>
          <cell r="J195" t="str">
            <v>Comparacion de Precios</v>
          </cell>
        </row>
        <row r="206">
          <cell r="H206" t="str">
            <v>Servicios</v>
          </cell>
          <cell r="I206" t="str">
            <v>Sí</v>
          </cell>
          <cell r="J206" t="str">
            <v>Comparacion de Precios</v>
          </cell>
        </row>
        <row r="218">
          <cell r="H218" t="str">
            <v>Servicios</v>
          </cell>
          <cell r="I218" t="str">
            <v>MIPYME Mujeres</v>
          </cell>
          <cell r="J218" t="str">
            <v>Compras Menores</v>
          </cell>
        </row>
        <row r="229">
          <cell r="H229" t="str">
            <v>Servicios</v>
          </cell>
          <cell r="I229" t="str">
            <v>Sí</v>
          </cell>
          <cell r="J229" t="str">
            <v>Compras Menores</v>
          </cell>
        </row>
        <row r="240">
          <cell r="H240" t="str">
            <v>Servicios</v>
          </cell>
          <cell r="I240" t="str">
            <v>No</v>
          </cell>
          <cell r="J240" t="str">
            <v>Compras por debajo del Umbral</v>
          </cell>
        </row>
        <row r="251">
          <cell r="H251" t="str">
            <v>Servicios</v>
          </cell>
          <cell r="I251" t="str">
            <v>No</v>
          </cell>
          <cell r="J251" t="str">
            <v>Compras por debajo del Umbral</v>
          </cell>
        </row>
        <row r="263">
          <cell r="H263" t="str">
            <v>Servicios</v>
          </cell>
          <cell r="I263" t="str">
            <v>Sí</v>
          </cell>
          <cell r="J263" t="str">
            <v>Compras por debajo del Umbral</v>
          </cell>
        </row>
        <row r="274">
          <cell r="H274" t="str">
            <v>Servicios</v>
          </cell>
          <cell r="I274" t="str">
            <v>No</v>
          </cell>
          <cell r="J274" t="str">
            <v>Compras por debajo del Umbral</v>
          </cell>
        </row>
        <row r="286">
          <cell r="H286" t="str">
            <v>Servicios</v>
          </cell>
          <cell r="I286" t="str">
            <v>No</v>
          </cell>
          <cell r="J286" t="str">
            <v>Compras por debajo del Umbral</v>
          </cell>
        </row>
        <row r="298">
          <cell r="H298" t="str">
            <v>Servicios</v>
          </cell>
          <cell r="I298" t="str">
            <v>Sí</v>
          </cell>
          <cell r="J298" t="str">
            <v>Compras Menores</v>
          </cell>
        </row>
        <row r="310">
          <cell r="H310" t="str">
            <v>Servicios</v>
          </cell>
          <cell r="I310" t="str">
            <v>Sí</v>
          </cell>
          <cell r="J310" t="str">
            <v>Compras Menores</v>
          </cell>
        </row>
        <row r="323">
          <cell r="H323" t="str">
            <v>Servicios</v>
          </cell>
          <cell r="I323" t="str">
            <v>Sí</v>
          </cell>
          <cell r="J323" t="str">
            <v>Compras por debajo del Umbral</v>
          </cell>
        </row>
        <row r="334">
          <cell r="H334" t="str">
            <v>Servicios</v>
          </cell>
          <cell r="I334" t="str">
            <v>Sí</v>
          </cell>
          <cell r="J334" t="str">
            <v>Comparacion de Precios</v>
          </cell>
        </row>
        <row r="345">
          <cell r="H345" t="str">
            <v>Servicios</v>
          </cell>
          <cell r="I345" t="str">
            <v>Sí</v>
          </cell>
          <cell r="J345" t="str">
            <v>Comparacion de Precios</v>
          </cell>
        </row>
        <row r="357">
          <cell r="H357" t="str">
            <v>Servicios</v>
          </cell>
          <cell r="I357" t="str">
            <v>MIPYME Mujeres</v>
          </cell>
          <cell r="J357" t="str">
            <v>Compras Menores</v>
          </cell>
        </row>
        <row r="369">
          <cell r="H369" t="str">
            <v>Servicios</v>
          </cell>
          <cell r="I369" t="str">
            <v>MIPYME Mujeres</v>
          </cell>
          <cell r="J369" t="str">
            <v>Compras Menores</v>
          </cell>
        </row>
        <row r="380">
          <cell r="H380" t="str">
            <v>Bienes</v>
          </cell>
          <cell r="I380" t="str">
            <v>Sí</v>
          </cell>
          <cell r="J380" t="str">
            <v>Compras por debajo del Umbral</v>
          </cell>
        </row>
        <row r="391">
          <cell r="H391" t="str">
            <v>Bienes</v>
          </cell>
          <cell r="I391" t="str">
            <v>Sí</v>
          </cell>
          <cell r="J391" t="str">
            <v>Compras por debajo del Umbral</v>
          </cell>
        </row>
        <row r="408">
          <cell r="H408" t="str">
            <v>Bienes</v>
          </cell>
          <cell r="I408" t="str">
            <v>Sí</v>
          </cell>
          <cell r="J408" t="str">
            <v>Compras por debajo del Umbral</v>
          </cell>
        </row>
        <row r="419">
          <cell r="H419" t="str">
            <v>Bienes</v>
          </cell>
          <cell r="I419" t="str">
            <v>Sí</v>
          </cell>
          <cell r="J419" t="str">
            <v>Compras por debajo del Umbral</v>
          </cell>
        </row>
        <row r="430">
          <cell r="H430" t="str">
            <v>Bienes</v>
          </cell>
          <cell r="I430" t="str">
            <v>Sí</v>
          </cell>
          <cell r="J430" t="str">
            <v>Compras por debajo del Umbral</v>
          </cell>
        </row>
        <row r="443">
          <cell r="H443" t="str">
            <v>Bienes</v>
          </cell>
          <cell r="I443" t="str">
            <v>Sí</v>
          </cell>
          <cell r="J443" t="str">
            <v>Compras por debajo del Umbral</v>
          </cell>
        </row>
        <row r="455">
          <cell r="H455" t="str">
            <v>Bienes</v>
          </cell>
          <cell r="I455" t="str">
            <v>Sí</v>
          </cell>
          <cell r="J455" t="str">
            <v>Compras por debajo del Umbral</v>
          </cell>
        </row>
        <row r="469">
          <cell r="H469" t="str">
            <v>Bienes</v>
          </cell>
          <cell r="I469" t="str">
            <v>Sí</v>
          </cell>
          <cell r="J469" t="str">
            <v>Compras por debajo del Umbral</v>
          </cell>
        </row>
        <row r="480">
          <cell r="H480" t="str">
            <v>Bienes</v>
          </cell>
          <cell r="I480" t="str">
            <v>MIPYME Mujeres</v>
          </cell>
          <cell r="J480" t="str">
            <v>Compras Menores</v>
          </cell>
        </row>
        <row r="493">
          <cell r="H493" t="str">
            <v>Bienes</v>
          </cell>
          <cell r="I493" t="str">
            <v>MIPYME Mujeres</v>
          </cell>
          <cell r="J493" t="str">
            <v>Compras Menores</v>
          </cell>
        </row>
        <row r="505">
          <cell r="H505" t="str">
            <v>Bienes</v>
          </cell>
          <cell r="I505" t="str">
            <v>MIPYME Mujeres</v>
          </cell>
          <cell r="J505" t="str">
            <v>Compras Menores</v>
          </cell>
        </row>
        <row r="516">
          <cell r="H516" t="str">
            <v>Bienes</v>
          </cell>
          <cell r="I516" t="str">
            <v>MIPYME Mujeres</v>
          </cell>
          <cell r="J516" t="str">
            <v>Compras Menores</v>
          </cell>
        </row>
        <row r="530">
          <cell r="H530" t="str">
            <v>Bienes</v>
          </cell>
          <cell r="I530" t="str">
            <v>Sí</v>
          </cell>
          <cell r="J530" t="str">
            <v>Compras por debajo del Umbral</v>
          </cell>
        </row>
        <row r="543">
          <cell r="H543" t="str">
            <v>Bienes</v>
          </cell>
          <cell r="I543" t="str">
            <v>Sí</v>
          </cell>
          <cell r="J543" t="str">
            <v>Compras Menores</v>
          </cell>
        </row>
        <row r="562">
          <cell r="H562" t="str">
            <v>Bienes</v>
          </cell>
          <cell r="I562" t="str">
            <v>Sí</v>
          </cell>
          <cell r="J562" t="str">
            <v>Compras Menores</v>
          </cell>
        </row>
        <row r="574">
          <cell r="H574" t="str">
            <v>Bienes</v>
          </cell>
          <cell r="I574" t="str">
            <v>Sí</v>
          </cell>
          <cell r="J574" t="str">
            <v>Compras Menores</v>
          </cell>
        </row>
        <row r="587">
          <cell r="H587" t="str">
            <v>Bienes</v>
          </cell>
          <cell r="I587" t="str">
            <v>Sí</v>
          </cell>
          <cell r="J587" t="str">
            <v>Compras Menores</v>
          </cell>
        </row>
        <row r="599">
          <cell r="H599" t="str">
            <v>Bienes</v>
          </cell>
          <cell r="I599" t="str">
            <v>Sí</v>
          </cell>
          <cell r="J599" t="str">
            <v>Compras por debajo del Umbral</v>
          </cell>
        </row>
        <row r="610">
          <cell r="H610" t="str">
            <v>Bienes</v>
          </cell>
          <cell r="I610" t="str">
            <v>Sí</v>
          </cell>
          <cell r="J610" t="str">
            <v>Compras Menores</v>
          </cell>
        </row>
        <row r="621">
          <cell r="H621" t="str">
            <v>Bienes</v>
          </cell>
          <cell r="I621" t="str">
            <v>Sí</v>
          </cell>
          <cell r="J621" t="str">
            <v>Compras Menores</v>
          </cell>
        </row>
        <row r="632">
          <cell r="H632" t="str">
            <v>Bienes</v>
          </cell>
          <cell r="I632" t="str">
            <v>Sí</v>
          </cell>
          <cell r="J632" t="str">
            <v>Compras Menores</v>
          </cell>
        </row>
        <row r="644">
          <cell r="H644" t="str">
            <v>Bienes</v>
          </cell>
          <cell r="I644" t="str">
            <v>Sí</v>
          </cell>
          <cell r="J644" t="str">
            <v>Compras Menores</v>
          </cell>
        </row>
        <row r="656">
          <cell r="H656" t="str">
            <v>Bienes</v>
          </cell>
          <cell r="I656" t="str">
            <v>Sí</v>
          </cell>
          <cell r="J656" t="str">
            <v>Compras Menores</v>
          </cell>
        </row>
        <row r="670">
          <cell r="H670" t="str">
            <v>Bienes</v>
          </cell>
          <cell r="I670" t="str">
            <v>Sí</v>
          </cell>
          <cell r="J670" t="str">
            <v>Compras por debajo del Umbral</v>
          </cell>
        </row>
        <row r="684">
          <cell r="H684" t="str">
            <v>Servicios</v>
          </cell>
          <cell r="I684" t="str">
            <v>Sí</v>
          </cell>
          <cell r="J684" t="str">
            <v>Compras Menores</v>
          </cell>
        </row>
        <row r="698">
          <cell r="H698" t="str">
            <v>Servicios</v>
          </cell>
          <cell r="I698" t="str">
            <v>Sí</v>
          </cell>
          <cell r="J698" t="str">
            <v>Compras Menores</v>
          </cell>
        </row>
        <row r="712">
          <cell r="H712" t="str">
            <v>Servicios</v>
          </cell>
          <cell r="I712" t="str">
            <v>Sí</v>
          </cell>
          <cell r="J712" t="str">
            <v>Compras Menores</v>
          </cell>
        </row>
        <row r="723">
          <cell r="H723" t="str">
            <v>Bienes</v>
          </cell>
          <cell r="I723" t="str">
            <v>Sí</v>
          </cell>
          <cell r="J723" t="str">
            <v>Compras por debajo del Umbral</v>
          </cell>
        </row>
        <row r="734">
          <cell r="H734" t="str">
            <v>Bienes</v>
          </cell>
          <cell r="I734" t="str">
            <v>Sí</v>
          </cell>
          <cell r="J734" t="str">
            <v>Compras por debajo del Umbral</v>
          </cell>
        </row>
        <row r="745">
          <cell r="H745" t="str">
            <v>Bienes</v>
          </cell>
          <cell r="I745" t="str">
            <v>Sí</v>
          </cell>
          <cell r="J745" t="str">
            <v>Compras por debajo del Umbral</v>
          </cell>
        </row>
        <row r="757">
          <cell r="H757" t="str">
            <v>Bienes</v>
          </cell>
          <cell r="I757" t="str">
            <v>Sí</v>
          </cell>
          <cell r="J757" t="str">
            <v>Compras por debajo del Umbral</v>
          </cell>
        </row>
        <row r="768">
          <cell r="H768" t="str">
            <v>Servicios</v>
          </cell>
          <cell r="I768" t="str">
            <v>Sí</v>
          </cell>
          <cell r="J768" t="str">
            <v>Compras por debajo del Umbral</v>
          </cell>
        </row>
        <row r="779">
          <cell r="H779" t="str">
            <v>Servicios</v>
          </cell>
          <cell r="I779" t="str">
            <v>No</v>
          </cell>
          <cell r="J779" t="str">
            <v>Licitacion Publica</v>
          </cell>
        </row>
        <row r="790">
          <cell r="H790" t="str">
            <v>Servicios</v>
          </cell>
          <cell r="I790" t="str">
            <v>No</v>
          </cell>
          <cell r="J790" t="str">
            <v>Licitacion Publica</v>
          </cell>
        </row>
        <row r="801">
          <cell r="H801" t="str">
            <v>Servicios</v>
          </cell>
          <cell r="I801" t="str">
            <v>No</v>
          </cell>
          <cell r="J801" t="str">
            <v>Licitacion Publica</v>
          </cell>
        </row>
        <row r="812">
          <cell r="H812" t="str">
            <v>Servicios</v>
          </cell>
          <cell r="I812" t="str">
            <v>No</v>
          </cell>
          <cell r="J812" t="str">
            <v>Licitacion Publica</v>
          </cell>
        </row>
        <row r="872">
          <cell r="H872" t="str">
            <v>Bienes</v>
          </cell>
          <cell r="I872" t="str">
            <v>Sí</v>
          </cell>
          <cell r="J872" t="str">
            <v>Compras por debajo del Umbral</v>
          </cell>
        </row>
        <row r="883">
          <cell r="H883" t="str">
            <v>Bienes</v>
          </cell>
          <cell r="I883" t="str">
            <v>Sí</v>
          </cell>
          <cell r="J883" t="str">
            <v>Compras por debajo del Umbral</v>
          </cell>
        </row>
        <row r="894">
          <cell r="H894" t="str">
            <v>Bienes</v>
          </cell>
          <cell r="I894" t="str">
            <v>Sí</v>
          </cell>
          <cell r="J894" t="str">
            <v>Compras por debajo del Umbral</v>
          </cell>
        </row>
        <row r="909">
          <cell r="H909" t="str">
            <v>Bienes</v>
          </cell>
          <cell r="I909" t="str">
            <v>Sí</v>
          </cell>
          <cell r="J909" t="str">
            <v>Compras por debajo del Umbral</v>
          </cell>
        </row>
        <row r="920">
          <cell r="H920" t="str">
            <v>Bienes</v>
          </cell>
          <cell r="I920" t="str">
            <v>Sí</v>
          </cell>
          <cell r="J920" t="str">
            <v>Compras por debajo del Umbral</v>
          </cell>
        </row>
        <row r="931">
          <cell r="H931" t="str">
            <v>Bienes</v>
          </cell>
          <cell r="I931" t="str">
            <v>Sí</v>
          </cell>
          <cell r="J931" t="str">
            <v>Compras por debajo del Umbral</v>
          </cell>
        </row>
        <row r="942">
          <cell r="H942" t="str">
            <v>Bienes</v>
          </cell>
          <cell r="I942" t="str">
            <v>Sí</v>
          </cell>
          <cell r="J942" t="str">
            <v>Compras Menores</v>
          </cell>
        </row>
        <row r="953">
          <cell r="H953" t="str">
            <v>Bienes</v>
          </cell>
          <cell r="I953" t="str">
            <v>Sí</v>
          </cell>
          <cell r="J953" t="str">
            <v>Compras Menores</v>
          </cell>
        </row>
        <row r="965">
          <cell r="H965" t="str">
            <v>Bienes</v>
          </cell>
          <cell r="I965" t="str">
            <v>Sí</v>
          </cell>
          <cell r="J965" t="str">
            <v>Compras por debajo del Umbral</v>
          </cell>
        </row>
        <row r="979">
          <cell r="H979" t="str">
            <v>Bienes</v>
          </cell>
          <cell r="I979" t="str">
            <v>Sí</v>
          </cell>
          <cell r="J979" t="str">
            <v>Compras por debajo del Umbral</v>
          </cell>
        </row>
        <row r="993">
          <cell r="H993" t="str">
            <v>Bienes</v>
          </cell>
          <cell r="I993" t="str">
            <v>Sí</v>
          </cell>
          <cell r="J993" t="str">
            <v>Compras por debajo del Umbral</v>
          </cell>
        </row>
        <row r="1004">
          <cell r="H1004" t="str">
            <v>Bienes</v>
          </cell>
          <cell r="I1004" t="str">
            <v>Sí</v>
          </cell>
          <cell r="J1004" t="str">
            <v>Compras por debajo del Umbral</v>
          </cell>
        </row>
        <row r="1015">
          <cell r="H1015" t="str">
            <v>Bienes</v>
          </cell>
          <cell r="I1015" t="str">
            <v>Sí</v>
          </cell>
          <cell r="J1015" t="str">
            <v>Compras por debajo del Umbral</v>
          </cell>
        </row>
        <row r="1026">
          <cell r="H1026" t="str">
            <v>Bienes</v>
          </cell>
          <cell r="I1026" t="str">
            <v>Sí</v>
          </cell>
          <cell r="J1026" t="str">
            <v>Compras por debajo del Umbral</v>
          </cell>
        </row>
        <row r="1037">
          <cell r="H1037" t="str">
            <v>Bienes</v>
          </cell>
          <cell r="I1037" t="str">
            <v>Sí</v>
          </cell>
          <cell r="J1037" t="str">
            <v>Compras por debajo del Umbral</v>
          </cell>
        </row>
        <row r="1048">
          <cell r="H1048" t="str">
            <v>Bienes</v>
          </cell>
          <cell r="I1048" t="str">
            <v>Sí</v>
          </cell>
          <cell r="J1048" t="str">
            <v>Compras por debajo del Umbral</v>
          </cell>
        </row>
        <row r="1060">
          <cell r="H1060" t="str">
            <v>Bienes</v>
          </cell>
          <cell r="I1060" t="str">
            <v>Sí</v>
          </cell>
          <cell r="J1060" t="str">
            <v>Compras por debajo del Umbral</v>
          </cell>
        </row>
        <row r="1071">
          <cell r="H1071" t="str">
            <v>Bienes</v>
          </cell>
          <cell r="I1071" t="str">
            <v>Sí</v>
          </cell>
          <cell r="J1071" t="str">
            <v>Compras por debajo del Umbral</v>
          </cell>
        </row>
        <row r="1082">
          <cell r="H1082" t="str">
            <v>Bienes</v>
          </cell>
          <cell r="I1082" t="str">
            <v>Sí</v>
          </cell>
          <cell r="J1082" t="str">
            <v>Compras por debajo del Umbral</v>
          </cell>
        </row>
        <row r="1104">
          <cell r="H1104" t="str">
            <v>Bienes</v>
          </cell>
          <cell r="I1104" t="str">
            <v>Sí</v>
          </cell>
          <cell r="J1104" t="str">
            <v>Compras por debajo del Umbral</v>
          </cell>
        </row>
        <row r="1125">
          <cell r="H1125" t="str">
            <v>Bienes</v>
          </cell>
          <cell r="I1125" t="str">
            <v>Sí</v>
          </cell>
          <cell r="J1125" t="str">
            <v>Compras por debajo del Umbral</v>
          </cell>
        </row>
        <row r="1136">
          <cell r="H1136" t="str">
            <v>Bienes</v>
          </cell>
          <cell r="I1136" t="str">
            <v>Sí</v>
          </cell>
          <cell r="J1136" t="str">
            <v>Compras por debajo del Umbral</v>
          </cell>
        </row>
        <row r="1154">
          <cell r="H1154" t="str">
            <v>Bienes</v>
          </cell>
          <cell r="I1154" t="str">
            <v>Sí</v>
          </cell>
          <cell r="J1154" t="str">
            <v>Compras por debajo del Umbral</v>
          </cell>
        </row>
        <row r="1165">
          <cell r="H1165" t="str">
            <v>Bienes</v>
          </cell>
          <cell r="I1165" t="str">
            <v>Sí</v>
          </cell>
          <cell r="J1165" t="str">
            <v>Compras por debajo del Umbral</v>
          </cell>
        </row>
        <row r="1176">
          <cell r="H1176" t="str">
            <v>Bienes</v>
          </cell>
          <cell r="I1176" t="str">
            <v>Sí</v>
          </cell>
          <cell r="J1176" t="str">
            <v>Compras por debajo del Umbral</v>
          </cell>
        </row>
        <row r="1187">
          <cell r="H1187" t="str">
            <v>Bienes</v>
          </cell>
          <cell r="I1187" t="str">
            <v>No</v>
          </cell>
          <cell r="J1187" t="str">
            <v>Comparacion de Precios</v>
          </cell>
        </row>
        <row r="1198">
          <cell r="H1198" t="str">
            <v>Bienes</v>
          </cell>
          <cell r="I1198" t="str">
            <v>No</v>
          </cell>
          <cell r="J1198" t="str">
            <v>Comparacion de Precios</v>
          </cell>
        </row>
        <row r="1209">
          <cell r="H1209" t="str">
            <v>Bienes</v>
          </cell>
          <cell r="I1209" t="str">
            <v>No</v>
          </cell>
          <cell r="J1209" t="str">
            <v>Comparacion de Precios</v>
          </cell>
        </row>
        <row r="1220">
          <cell r="H1220" t="str">
            <v>Bienes</v>
          </cell>
          <cell r="I1220" t="str">
            <v>No</v>
          </cell>
          <cell r="J1220" t="str">
            <v>Comparacion de Precios</v>
          </cell>
        </row>
        <row r="1231">
          <cell r="H1231" t="str">
            <v>Bienes</v>
          </cell>
          <cell r="I1231" t="str">
            <v>Sí</v>
          </cell>
          <cell r="J1231" t="str">
            <v>Compras por debajo del Umbral</v>
          </cell>
        </row>
        <row r="1242">
          <cell r="H1242" t="str">
            <v>Bienes</v>
          </cell>
          <cell r="I1242" t="str">
            <v>No</v>
          </cell>
          <cell r="J1242" t="str">
            <v>Compras por debajo del Umbral</v>
          </cell>
        </row>
        <row r="1253">
          <cell r="H1253" t="str">
            <v>Bienes</v>
          </cell>
          <cell r="I1253" t="str">
            <v>Sí</v>
          </cell>
          <cell r="J1253" t="str">
            <v>Compras Menores</v>
          </cell>
        </row>
        <row r="1264">
          <cell r="H1264" t="str">
            <v>Bienes</v>
          </cell>
          <cell r="I1264" t="str">
            <v>Sí</v>
          </cell>
          <cell r="J1264" t="str">
            <v>Compras Menores</v>
          </cell>
        </row>
        <row r="1275">
          <cell r="H1275" t="str">
            <v>Bienes</v>
          </cell>
          <cell r="I1275" t="str">
            <v>Sí</v>
          </cell>
          <cell r="J1275" t="str">
            <v>Compras Menores</v>
          </cell>
        </row>
        <row r="1287">
          <cell r="H1287" t="str">
            <v>Bienes</v>
          </cell>
          <cell r="I1287" t="str">
            <v>Sí</v>
          </cell>
          <cell r="J1287" t="str">
            <v>Compras por debajo del Umbral</v>
          </cell>
        </row>
        <row r="1299">
          <cell r="H1299" t="str">
            <v>Bienes</v>
          </cell>
          <cell r="I1299" t="str">
            <v>Sí</v>
          </cell>
          <cell r="J1299" t="str">
            <v>Compras por debajo del Umbral</v>
          </cell>
        </row>
        <row r="1317">
          <cell r="H1317" t="str">
            <v>Bienes</v>
          </cell>
          <cell r="I1317" t="str">
            <v>Sí</v>
          </cell>
          <cell r="J1317" t="str">
            <v>Compras por debajo del Umbral</v>
          </cell>
        </row>
        <row r="1330">
          <cell r="H1330" t="str">
            <v>Bienes</v>
          </cell>
          <cell r="I1330" t="str">
            <v>Sí</v>
          </cell>
          <cell r="J1330" t="str">
            <v>Compras por debajo del Umbral</v>
          </cell>
        </row>
        <row r="1345">
          <cell r="H1345" t="str">
            <v>Bienes</v>
          </cell>
          <cell r="I1345" t="str">
            <v>Sí</v>
          </cell>
          <cell r="J1345" t="str">
            <v>Compras por debajo del Umbral</v>
          </cell>
        </row>
        <row r="1364">
          <cell r="H1364" t="str">
            <v>Bienes</v>
          </cell>
          <cell r="I1364" t="str">
            <v>Sí</v>
          </cell>
          <cell r="J1364" t="str">
            <v>Compras Menores</v>
          </cell>
        </row>
        <row r="1383">
          <cell r="H1383" t="str">
            <v>Bienes</v>
          </cell>
          <cell r="I1383" t="str">
            <v>Sí</v>
          </cell>
          <cell r="J1383" t="str">
            <v>Compras Menores</v>
          </cell>
        </row>
        <row r="1402">
          <cell r="H1402" t="str">
            <v>Bienes</v>
          </cell>
          <cell r="I1402" t="str">
            <v>Sí</v>
          </cell>
          <cell r="J1402" t="str">
            <v>Compras Menores</v>
          </cell>
        </row>
        <row r="1422">
          <cell r="H1422" t="str">
            <v>Bienes</v>
          </cell>
          <cell r="I1422" t="str">
            <v>Sí</v>
          </cell>
          <cell r="J1422" t="str">
            <v>Compras Menores</v>
          </cell>
        </row>
        <row r="1443">
          <cell r="H1443" t="str">
            <v>Bienes</v>
          </cell>
          <cell r="I1443" t="str">
            <v>Sí</v>
          </cell>
          <cell r="J1443" t="str">
            <v>Compras Menores</v>
          </cell>
        </row>
        <row r="1454">
          <cell r="H1454" t="str">
            <v>Bienes</v>
          </cell>
          <cell r="I1454" t="str">
            <v>Sí</v>
          </cell>
          <cell r="J1454" t="str">
            <v>Compras Menores</v>
          </cell>
        </row>
        <row r="1486">
          <cell r="H1486" t="str">
            <v>Bienes</v>
          </cell>
          <cell r="I1486" t="str">
            <v>Sí</v>
          </cell>
          <cell r="J1486" t="str">
            <v>Compras Menores</v>
          </cell>
        </row>
        <row r="1503">
          <cell r="H1503" t="str">
            <v>Bienes</v>
          </cell>
          <cell r="I1503" t="str">
            <v>Sí</v>
          </cell>
          <cell r="J1503" t="str">
            <v>Compras Menores</v>
          </cell>
        </row>
        <row r="1515">
          <cell r="H1515" t="str">
            <v>Bienes</v>
          </cell>
          <cell r="I1515" t="str">
            <v>Sí</v>
          </cell>
          <cell r="J1515" t="str">
            <v>Compras por debajo del Umbral</v>
          </cell>
        </row>
        <row r="1531">
          <cell r="H1531" t="str">
            <v>Bienes</v>
          </cell>
          <cell r="I1531" t="str">
            <v>Sí</v>
          </cell>
          <cell r="J1531" t="str">
            <v>Compras por debajo del Umbral</v>
          </cell>
        </row>
        <row r="1566">
          <cell r="H1566" t="str">
            <v>Bienes</v>
          </cell>
          <cell r="I1566" t="str">
            <v>Sí</v>
          </cell>
          <cell r="J1566" t="str">
            <v>Compras Menores</v>
          </cell>
        </row>
        <row r="1577">
          <cell r="H1577" t="str">
            <v>Bienes</v>
          </cell>
          <cell r="I1577" t="str">
            <v>Sí</v>
          </cell>
          <cell r="J1577" t="str">
            <v>Compras Menores</v>
          </cell>
        </row>
        <row r="1590">
          <cell r="H1590" t="str">
            <v>Bienes</v>
          </cell>
          <cell r="I1590" t="str">
            <v>Sí</v>
          </cell>
          <cell r="J1590" t="str">
            <v>Compras Menores</v>
          </cell>
        </row>
        <row r="1609">
          <cell r="H1609" t="str">
            <v>Bienes</v>
          </cell>
          <cell r="I1609" t="str">
            <v>Sí</v>
          </cell>
          <cell r="J1609" t="str">
            <v>Compras Menores</v>
          </cell>
        </row>
        <row r="1624">
          <cell r="H1624" t="str">
            <v>Bienes</v>
          </cell>
          <cell r="I1624" t="str">
            <v>Sí</v>
          </cell>
          <cell r="J1624" t="str">
            <v>Compras Menores</v>
          </cell>
        </row>
        <row r="1648">
          <cell r="H1648" t="str">
            <v>Bienes</v>
          </cell>
          <cell r="I1648" t="str">
            <v>Sí</v>
          </cell>
          <cell r="J1648" t="str">
            <v>Compras Menores</v>
          </cell>
        </row>
        <row r="1659">
          <cell r="H1659" t="str">
            <v>Bienes</v>
          </cell>
          <cell r="I1659" t="str">
            <v>Sí</v>
          </cell>
          <cell r="J1659" t="str">
            <v>Compras por debajo del Umbral</v>
          </cell>
        </row>
        <row r="1673">
          <cell r="H1673" t="str">
            <v>Bienes</v>
          </cell>
          <cell r="I1673" t="str">
            <v>Sí</v>
          </cell>
          <cell r="J1673" t="str">
            <v>Compras Menores</v>
          </cell>
        </row>
        <row r="1686">
          <cell r="H1686" t="str">
            <v>Bienes</v>
          </cell>
          <cell r="I1686" t="str">
            <v>Sí</v>
          </cell>
          <cell r="J1686" t="str">
            <v>Compras por debajo del Umbral</v>
          </cell>
        </row>
        <row r="1703">
          <cell r="H1703" t="str">
            <v>Bienes</v>
          </cell>
          <cell r="I1703" t="str">
            <v>Sí</v>
          </cell>
          <cell r="J1703" t="str">
            <v>Compras Menores</v>
          </cell>
        </row>
        <row r="1722">
          <cell r="H1722" t="str">
            <v>Bienes</v>
          </cell>
          <cell r="I1722" t="str">
            <v>Sí</v>
          </cell>
          <cell r="J1722" t="str">
            <v>Compras por debajo del Umbral</v>
          </cell>
        </row>
        <row r="1734">
          <cell r="H1734" t="str">
            <v>Bienes</v>
          </cell>
          <cell r="I1734" t="str">
            <v>Sí</v>
          </cell>
          <cell r="J1734" t="str">
            <v>Compras por debajo del Umbral</v>
          </cell>
        </row>
        <row r="1747">
          <cell r="H1747" t="str">
            <v>Bienes</v>
          </cell>
          <cell r="I1747" t="str">
            <v>Sí</v>
          </cell>
          <cell r="J1747" t="str">
            <v>Compras por debajo del Umbral</v>
          </cell>
        </row>
        <row r="1760">
          <cell r="H1760" t="str">
            <v>Bienes</v>
          </cell>
          <cell r="I1760" t="str">
            <v>Sí</v>
          </cell>
          <cell r="J1760" t="str">
            <v>Compras por debajo del Umbral</v>
          </cell>
        </row>
        <row r="1771">
          <cell r="H1771" t="str">
            <v>Bienes</v>
          </cell>
          <cell r="I1771" t="str">
            <v>Sí</v>
          </cell>
          <cell r="J1771" t="str">
            <v>Compras por debajo del Umbral</v>
          </cell>
        </row>
        <row r="1782">
          <cell r="H1782" t="str">
            <v>Bienes</v>
          </cell>
          <cell r="I1782" t="str">
            <v>Sí</v>
          </cell>
          <cell r="J1782" t="str">
            <v>Compras por debajo del Umbral</v>
          </cell>
        </row>
        <row r="1793">
          <cell r="H1793" t="str">
            <v>Bienes</v>
          </cell>
          <cell r="I1793" t="str">
            <v>Sí</v>
          </cell>
          <cell r="J1793" t="str">
            <v>Compras por debajo del Umbral</v>
          </cell>
        </row>
        <row r="1813">
          <cell r="H1813" t="str">
            <v>Bienes</v>
          </cell>
          <cell r="I1813" t="str">
            <v>Sí</v>
          </cell>
          <cell r="J1813" t="str">
            <v>Compras por debajo del Umbral</v>
          </cell>
        </row>
        <row r="1847">
          <cell r="H1847" t="str">
            <v>Bienes</v>
          </cell>
          <cell r="I1847" t="str">
            <v>Sí</v>
          </cell>
          <cell r="J1847" t="str">
            <v>Comparacion de Precios</v>
          </cell>
        </row>
        <row r="1862">
          <cell r="H1862" t="str">
            <v>Bienes</v>
          </cell>
          <cell r="I1862" t="str">
            <v>Sí</v>
          </cell>
          <cell r="J1862" t="str">
            <v>Compras Menores</v>
          </cell>
        </row>
        <row r="1875">
          <cell r="H1875" t="str">
            <v>Bienes</v>
          </cell>
          <cell r="I1875" t="str">
            <v>Sí</v>
          </cell>
          <cell r="J1875" t="str">
            <v>Compras Menores</v>
          </cell>
        </row>
        <row r="1889">
          <cell r="H1889" t="str">
            <v>Bienes</v>
          </cell>
          <cell r="I1889" t="str">
            <v>No</v>
          </cell>
          <cell r="J1889" t="str">
            <v>Comparacion de Precios</v>
          </cell>
        </row>
        <row r="1900">
          <cell r="H1900" t="str">
            <v>Bienes</v>
          </cell>
          <cell r="I1900" t="str">
            <v>Sí</v>
          </cell>
          <cell r="J1900" t="str">
            <v>Compras por debajo del Umbral</v>
          </cell>
        </row>
        <row r="1912">
          <cell r="H1912" t="str">
            <v>Bienes</v>
          </cell>
          <cell r="I1912" t="str">
            <v>Sí</v>
          </cell>
          <cell r="J1912" t="str">
            <v>Compras por debajo del Umbral</v>
          </cell>
        </row>
        <row r="1925">
          <cell r="H1925" t="str">
            <v>Bienes</v>
          </cell>
          <cell r="I1925" t="str">
            <v>Sí</v>
          </cell>
          <cell r="J1925" t="str">
            <v>Compras Menores</v>
          </cell>
        </row>
        <row r="1937">
          <cell r="H1937" t="str">
            <v>Bienes</v>
          </cell>
          <cell r="I1937" t="str">
            <v>Sí</v>
          </cell>
          <cell r="J1937" t="str">
            <v>Compras Menores</v>
          </cell>
        </row>
        <row r="1949">
          <cell r="H1949" t="str">
            <v>Bienes</v>
          </cell>
          <cell r="I1949" t="str">
            <v>Sí</v>
          </cell>
          <cell r="J1949" t="str">
            <v>Compras por debajo del Umbral</v>
          </cell>
        </row>
        <row r="1965">
          <cell r="H1965" t="str">
            <v>Bienes</v>
          </cell>
          <cell r="I1965" t="str">
            <v>Sí</v>
          </cell>
          <cell r="J1965" t="str">
            <v>Compras Menores</v>
          </cell>
        </row>
        <row r="1979">
          <cell r="H1979" t="str">
            <v>Bienes</v>
          </cell>
          <cell r="I1979" t="str">
            <v>Sí</v>
          </cell>
          <cell r="J1979" t="str">
            <v>Compras por debajo del Umbral</v>
          </cell>
        </row>
        <row r="1991">
          <cell r="H1991" t="str">
            <v>Bienes</v>
          </cell>
          <cell r="I1991" t="str">
            <v>No</v>
          </cell>
          <cell r="J1991" t="str">
            <v>Subasta Inversa</v>
          </cell>
        </row>
        <row r="2006">
          <cell r="H2006" t="str">
            <v>Bienes</v>
          </cell>
          <cell r="I2006" t="str">
            <v>Sí</v>
          </cell>
          <cell r="J2006" t="str">
            <v>Compras por debajo del Umbral</v>
          </cell>
        </row>
        <row r="2017">
          <cell r="H2017" t="str">
            <v>Bienes</v>
          </cell>
          <cell r="I2017" t="str">
            <v>Sí</v>
          </cell>
          <cell r="J2017" t="str">
            <v>Compras Menores</v>
          </cell>
        </row>
        <row r="2031">
          <cell r="H2031" t="str">
            <v>Bienes</v>
          </cell>
          <cell r="I2031" t="str">
            <v>Sí</v>
          </cell>
          <cell r="J2031" t="str">
            <v>Compras Menores</v>
          </cell>
        </row>
        <row r="2043">
          <cell r="H2043" t="str">
            <v>Bienes</v>
          </cell>
          <cell r="I2043" t="str">
            <v>Sí</v>
          </cell>
          <cell r="J2043" t="str">
            <v>Compras por debajo del Umbral</v>
          </cell>
        </row>
        <row r="2056">
          <cell r="H2056" t="str">
            <v>Bienes</v>
          </cell>
          <cell r="I2056" t="str">
            <v>Sí</v>
          </cell>
          <cell r="J2056" t="str">
            <v>Compras por debajo del Umbral</v>
          </cell>
        </row>
        <row r="2069">
          <cell r="H2069" t="str">
            <v>Bienes</v>
          </cell>
          <cell r="I2069" t="str">
            <v>Sí</v>
          </cell>
          <cell r="J2069" t="str">
            <v>Compras Menores</v>
          </cell>
        </row>
        <row r="2081">
          <cell r="H2081" t="str">
            <v>Bienes</v>
          </cell>
          <cell r="I2081" t="str">
            <v>Sí</v>
          </cell>
          <cell r="J2081" t="str">
            <v>Compras Menores</v>
          </cell>
        </row>
        <row r="2093">
          <cell r="H2093" t="str">
            <v>Bienes</v>
          </cell>
          <cell r="I2093" t="str">
            <v>Sí</v>
          </cell>
          <cell r="J2093" t="str">
            <v>Compras por debajo del Umbral</v>
          </cell>
        </row>
        <row r="2104">
          <cell r="H2104" t="str">
            <v>Bienes</v>
          </cell>
          <cell r="I2104" t="str">
            <v>Sí</v>
          </cell>
          <cell r="J2104" t="str">
            <v>Compras por debajo del Umbral</v>
          </cell>
        </row>
        <row r="2115">
          <cell r="H2115" t="str">
            <v>Bienes</v>
          </cell>
          <cell r="I2115" t="str">
            <v>Sí</v>
          </cell>
          <cell r="J2115" t="str">
            <v>Compras por debajo del Umbral</v>
          </cell>
        </row>
        <row r="2126">
          <cell r="H2126" t="str">
            <v>Servicios</v>
          </cell>
          <cell r="I2126" t="str">
            <v>Sí</v>
          </cell>
          <cell r="J2126" t="str">
            <v>Compras Menores</v>
          </cell>
        </row>
        <row r="2144">
          <cell r="H2144" t="str">
            <v>Bienes</v>
          </cell>
          <cell r="I2144" t="str">
            <v>Sí</v>
          </cell>
          <cell r="J2144" t="str">
            <v>Compras Menores</v>
          </cell>
        </row>
        <row r="2155">
          <cell r="H2155" t="str">
            <v>Servicios</v>
          </cell>
          <cell r="I2155" t="str">
            <v>Sí</v>
          </cell>
          <cell r="J2155" t="str">
            <v>Compras Menores</v>
          </cell>
        </row>
        <row r="2166">
          <cell r="H2166" t="str">
            <v>Bienes</v>
          </cell>
          <cell r="I2166" t="str">
            <v>Sí</v>
          </cell>
          <cell r="J2166" t="str">
            <v>Compras por debajo del Umbral</v>
          </cell>
        </row>
        <row r="2178">
          <cell r="H2178" t="str">
            <v>Servicios</v>
          </cell>
          <cell r="I2178" t="str">
            <v>Sí</v>
          </cell>
          <cell r="J2178" t="str">
            <v>Compras Menores</v>
          </cell>
        </row>
        <row r="2210">
          <cell r="H2210" t="str">
            <v>Bienes</v>
          </cell>
          <cell r="I2210" t="str">
            <v>Sí</v>
          </cell>
          <cell r="J2210" t="str">
            <v>Compras Menores</v>
          </cell>
        </row>
        <row r="2225">
          <cell r="H2225" t="str">
            <v>Bienes</v>
          </cell>
          <cell r="I2225" t="str">
            <v>Sí</v>
          </cell>
          <cell r="J2225" t="str">
            <v>Compras por debajo del Umbral</v>
          </cell>
        </row>
        <row r="2237">
          <cell r="H2237" t="str">
            <v>Servicios</v>
          </cell>
          <cell r="I2237" t="str">
            <v>Sí</v>
          </cell>
          <cell r="J2237" t="str">
            <v>Compras Menores</v>
          </cell>
        </row>
        <row r="2250">
          <cell r="H2250" t="str">
            <v>Servicios</v>
          </cell>
          <cell r="I2250" t="str">
            <v>Sí</v>
          </cell>
          <cell r="J2250" t="str">
            <v>Compras por debajo del Umbral</v>
          </cell>
        </row>
        <row r="2262">
          <cell r="H2262" t="str">
            <v>Servicios</v>
          </cell>
          <cell r="I2262" t="str">
            <v>Sí</v>
          </cell>
          <cell r="J2262" t="str">
            <v>Compras por debajo del Umbral</v>
          </cell>
        </row>
        <row r="2274">
          <cell r="H2274" t="str">
            <v>Servicios</v>
          </cell>
          <cell r="I2274" t="str">
            <v>Sí</v>
          </cell>
          <cell r="J2274" t="str">
            <v>Compras por debajo del Umbral</v>
          </cell>
        </row>
        <row r="2286">
          <cell r="H2286" t="str">
            <v>Servicios</v>
          </cell>
          <cell r="I2286" t="str">
            <v>Sí</v>
          </cell>
          <cell r="J2286" t="str">
            <v>Compras por debajo del Umbral</v>
          </cell>
        </row>
        <row r="2298">
          <cell r="H2298" t="str">
            <v>Servicios</v>
          </cell>
          <cell r="I2298" t="str">
            <v>Sí</v>
          </cell>
          <cell r="J2298" t="str">
            <v>Compras por debajo del Umbral</v>
          </cell>
        </row>
        <row r="2312">
          <cell r="H2312" t="str">
            <v>Servicios</v>
          </cell>
          <cell r="I2312" t="str">
            <v>Sí</v>
          </cell>
          <cell r="J2312" t="str">
            <v>Compras por debajo del Umbral</v>
          </cell>
        </row>
        <row r="2323">
          <cell r="H2323" t="str">
            <v>Servicios</v>
          </cell>
          <cell r="I2323" t="str">
            <v>Sí</v>
          </cell>
          <cell r="J2323" t="str">
            <v>Compras Menores</v>
          </cell>
        </row>
        <row r="2334">
          <cell r="H2334" t="str">
            <v>Servicios</v>
          </cell>
          <cell r="I2334" t="str">
            <v>Sí</v>
          </cell>
          <cell r="J2334" t="str">
            <v>Compras por debajo del Umbral</v>
          </cell>
        </row>
        <row r="2345">
          <cell r="H2345" t="str">
            <v>Servicios</v>
          </cell>
          <cell r="I2345" t="str">
            <v>Sí</v>
          </cell>
          <cell r="J2345" t="str">
            <v>Compras por debajo del Umbral</v>
          </cell>
        </row>
        <row r="2356">
          <cell r="H2356" t="str">
            <v>Servicios</v>
          </cell>
          <cell r="I2356" t="str">
            <v>Sí</v>
          </cell>
          <cell r="J2356" t="str">
            <v>Compras por debajo del Umbral</v>
          </cell>
        </row>
        <row r="2367">
          <cell r="H2367" t="str">
            <v>Servicios</v>
          </cell>
          <cell r="I2367" t="str">
            <v>Sí</v>
          </cell>
          <cell r="J2367" t="str">
            <v>Compras Menores</v>
          </cell>
        </row>
        <row r="2378">
          <cell r="H2378" t="str">
            <v>Servicios</v>
          </cell>
          <cell r="I2378" t="str">
            <v>Sí</v>
          </cell>
          <cell r="J2378" t="str">
            <v>Compras por debajo del Umbral</v>
          </cell>
        </row>
        <row r="2389">
          <cell r="H2389" t="str">
            <v>Servicios</v>
          </cell>
          <cell r="I2389" t="str">
            <v>Sí</v>
          </cell>
          <cell r="J2389" t="str">
            <v>Compras Menores</v>
          </cell>
        </row>
        <row r="2400">
          <cell r="H2400" t="str">
            <v>Servicios</v>
          </cell>
          <cell r="I2400" t="str">
            <v>Sí</v>
          </cell>
          <cell r="J2400" t="str">
            <v>Compras por debajo del Umbral</v>
          </cell>
        </row>
        <row r="2411">
          <cell r="H2411" t="str">
            <v>Bienes</v>
          </cell>
          <cell r="I2411" t="str">
            <v>Sí</v>
          </cell>
          <cell r="J2411" t="str">
            <v>Compras Menores</v>
          </cell>
        </row>
        <row r="2422">
          <cell r="H2422" t="str">
            <v>Servicios</v>
          </cell>
          <cell r="I2422" t="str">
            <v>Sí</v>
          </cell>
          <cell r="J2422" t="str">
            <v>Comparacion de Precios</v>
          </cell>
        </row>
        <row r="2434">
          <cell r="H2434" t="str">
            <v>Bienes</v>
          </cell>
          <cell r="I2434" t="str">
            <v>Sí</v>
          </cell>
          <cell r="J2434" t="str">
            <v>Compras Menores</v>
          </cell>
        </row>
        <row r="2445">
          <cell r="H2445" t="str">
            <v>Servicios</v>
          </cell>
          <cell r="I2445" t="str">
            <v>Sí</v>
          </cell>
          <cell r="J2445" t="str">
            <v>Compras por debajo del Umbral</v>
          </cell>
        </row>
        <row r="2456">
          <cell r="H2456" t="str">
            <v>Servicios</v>
          </cell>
          <cell r="I2456" t="str">
            <v>Sí</v>
          </cell>
          <cell r="J2456" t="str">
            <v>Compras por debajo del Umbral</v>
          </cell>
        </row>
        <row r="2467">
          <cell r="H2467" t="str">
            <v>Servicios</v>
          </cell>
          <cell r="I2467" t="str">
            <v>Sí</v>
          </cell>
          <cell r="J2467" t="str">
            <v>Compras por debajo del Umbral</v>
          </cell>
        </row>
        <row r="2478">
          <cell r="H2478" t="str">
            <v>Servicios</v>
          </cell>
          <cell r="I2478" t="str">
            <v>Sí</v>
          </cell>
          <cell r="J2478" t="str">
            <v>Compras por debajo del Umbral</v>
          </cell>
        </row>
        <row r="2490">
          <cell r="H2490" t="str">
            <v>Servicios</v>
          </cell>
          <cell r="I2490" t="str">
            <v>Sí</v>
          </cell>
          <cell r="J2490" t="str">
            <v>Compras por debajo del Umbral</v>
          </cell>
        </row>
        <row r="2501">
          <cell r="H2501" t="str">
            <v>Servicios</v>
          </cell>
          <cell r="I2501" t="str">
            <v>Sí</v>
          </cell>
          <cell r="J2501" t="str">
            <v>Compras Menores</v>
          </cell>
        </row>
        <row r="2513">
          <cell r="H2513" t="str">
            <v>Servicios</v>
          </cell>
          <cell r="I2513" t="str">
            <v>Sí</v>
          </cell>
          <cell r="J2513" t="str">
            <v>Compras por debajo del Umbral</v>
          </cell>
        </row>
        <row r="2525">
          <cell r="H2525" t="str">
            <v>Bienes</v>
          </cell>
          <cell r="I2525" t="str">
            <v>Sí</v>
          </cell>
          <cell r="J2525" t="str">
            <v>Compras por debajo del Umbral</v>
          </cell>
        </row>
        <row r="2536">
          <cell r="H2536" t="str">
            <v>Servicios</v>
          </cell>
          <cell r="I2536" t="str">
            <v>Sí</v>
          </cell>
          <cell r="J2536" t="str">
            <v>Compras por debajo del Umbral</v>
          </cell>
        </row>
        <row r="2548">
          <cell r="H2548" t="str">
            <v>Servicios</v>
          </cell>
          <cell r="I2548" t="str">
            <v>Sí</v>
          </cell>
          <cell r="J2548" t="str">
            <v>Compras por debajo del Umbral</v>
          </cell>
        </row>
        <row r="2559">
          <cell r="H2559" t="str">
            <v>Servicios</v>
          </cell>
          <cell r="I2559" t="str">
            <v>Sí</v>
          </cell>
          <cell r="J2559" t="str">
            <v>Compras por debajo del Umbral</v>
          </cell>
        </row>
        <row r="2570">
          <cell r="H2570" t="str">
            <v>Servicios</v>
          </cell>
          <cell r="I2570" t="str">
            <v>MIPYME Mujeres</v>
          </cell>
          <cell r="J2570" t="str">
            <v>Compras Menores</v>
          </cell>
        </row>
        <row r="2581">
          <cell r="H2581" t="str">
            <v>Servicios</v>
          </cell>
          <cell r="I2581" t="str">
            <v>Sí</v>
          </cell>
          <cell r="J2581" t="str">
            <v>Compras por debajo del Umbral</v>
          </cell>
        </row>
        <row r="2598">
          <cell r="H2598" t="str">
            <v>Bienes</v>
          </cell>
          <cell r="I2598" t="str">
            <v>Sí</v>
          </cell>
          <cell r="J2598" t="str">
            <v>Compras por debajo del Umbral</v>
          </cell>
        </row>
        <row r="2612">
          <cell r="H2612" t="str">
            <v>Bienes</v>
          </cell>
          <cell r="I2612" t="str">
            <v>Sí</v>
          </cell>
          <cell r="J2612" t="str">
            <v>Compras por debajo del Umbral</v>
          </cell>
        </row>
        <row r="2623">
          <cell r="H2623" t="str">
            <v>Bienes</v>
          </cell>
          <cell r="I2623" t="str">
            <v>Sí</v>
          </cell>
          <cell r="J2623" t="str">
            <v>Compras por debajo del Umbral</v>
          </cell>
        </row>
        <row r="2638">
          <cell r="H2638" t="str">
            <v>Bienes</v>
          </cell>
          <cell r="I2638" t="str">
            <v>Sí</v>
          </cell>
          <cell r="J2638" t="str">
            <v>Compras por debajo del Umbral</v>
          </cell>
        </row>
        <row r="2649">
          <cell r="H2649" t="str">
            <v>Bienes</v>
          </cell>
          <cell r="I2649" t="str">
            <v>Sí</v>
          </cell>
          <cell r="J2649" t="str">
            <v>Compras Menores</v>
          </cell>
        </row>
        <row r="2660">
          <cell r="H2660" t="str">
            <v>Bienes</v>
          </cell>
          <cell r="I2660" t="str">
            <v>Sí</v>
          </cell>
          <cell r="J2660" t="str">
            <v>Compras por debajo del Umbral</v>
          </cell>
        </row>
        <row r="2672">
          <cell r="H2672" t="str">
            <v>Bienes</v>
          </cell>
          <cell r="I2672" t="str">
            <v>Sí</v>
          </cell>
          <cell r="J2672" t="str">
            <v>Compras por debajo del Umbral</v>
          </cell>
        </row>
        <row r="2683">
          <cell r="H2683" t="str">
            <v>Bienes</v>
          </cell>
          <cell r="I2683" t="str">
            <v>Sí</v>
          </cell>
          <cell r="J2683" t="str">
            <v>Compras por debajo del Umbral</v>
          </cell>
        </row>
        <row r="2694">
          <cell r="H2694" t="str">
            <v>Bienes</v>
          </cell>
          <cell r="I2694" t="str">
            <v>Sí</v>
          </cell>
          <cell r="J2694" t="str">
            <v>Compras por debajo del Umbral</v>
          </cell>
        </row>
        <row r="2705">
          <cell r="H2705" t="str">
            <v>Servicios</v>
          </cell>
          <cell r="I2705" t="str">
            <v>Sí</v>
          </cell>
          <cell r="J2705" t="str">
            <v>Compras por debajo del Umbral</v>
          </cell>
        </row>
        <row r="2726">
          <cell r="H2726" t="str">
            <v>Bienes</v>
          </cell>
          <cell r="I2726" t="str">
            <v>Sí</v>
          </cell>
          <cell r="J2726" t="str">
            <v>Compras por debajo del Umbral</v>
          </cell>
        </row>
        <row r="2737">
          <cell r="H2737" t="str">
            <v>Servicios</v>
          </cell>
          <cell r="I2737" t="str">
            <v>Sí</v>
          </cell>
          <cell r="J2737" t="str">
            <v>Compras por debajo del Umbral</v>
          </cell>
        </row>
        <row r="2748">
          <cell r="H2748" t="str">
            <v>Obras</v>
          </cell>
          <cell r="I2748" t="str">
            <v>Sí</v>
          </cell>
          <cell r="J2748" t="str">
            <v>Licitacion Publica</v>
          </cell>
        </row>
        <row r="2759">
          <cell r="H2759" t="str">
            <v>Bienes</v>
          </cell>
          <cell r="I2759" t="str">
            <v>Sí</v>
          </cell>
          <cell r="J2759" t="str">
            <v>Compras por debajo del Umbral</v>
          </cell>
        </row>
        <row r="2770">
          <cell r="H2770" t="str">
            <v>Bienes</v>
          </cell>
          <cell r="I2770" t="str">
            <v>Sí</v>
          </cell>
          <cell r="J2770" t="str">
            <v>Compras Menores</v>
          </cell>
        </row>
        <row r="2781">
          <cell r="H2781" t="str">
            <v>Servicios</v>
          </cell>
          <cell r="I2781" t="str">
            <v>Sí</v>
          </cell>
          <cell r="J2781" t="str">
            <v>Compras por debajo del Umbral</v>
          </cell>
        </row>
        <row r="2796">
          <cell r="H2796" t="str">
            <v>Bienes</v>
          </cell>
          <cell r="I2796" t="str">
            <v>Sí</v>
          </cell>
          <cell r="J2796" t="str">
            <v>Compras por debajo del Umbral</v>
          </cell>
        </row>
        <row r="2807">
          <cell r="H2807" t="str">
            <v>Servicios</v>
          </cell>
          <cell r="I2807" t="str">
            <v>Sí</v>
          </cell>
          <cell r="J2807" t="str">
            <v>Compras Menores</v>
          </cell>
        </row>
        <row r="2818">
          <cell r="H2818" t="str">
            <v>Servicios</v>
          </cell>
          <cell r="I2818" t="str">
            <v>Sí</v>
          </cell>
          <cell r="J2818" t="str">
            <v>Compras por debajo del Umbral</v>
          </cell>
        </row>
        <row r="2829">
          <cell r="H2829" t="str">
            <v>Servicios</v>
          </cell>
          <cell r="I2829" t="str">
            <v>Sí</v>
          </cell>
          <cell r="J2829" t="str">
            <v>Compras Menores</v>
          </cell>
        </row>
        <row r="2840">
          <cell r="H2840" t="str">
            <v>Bienes</v>
          </cell>
          <cell r="I2840" t="str">
            <v>Sí</v>
          </cell>
          <cell r="J2840" t="str">
            <v>Compras por debajo del Umbral</v>
          </cell>
        </row>
        <row r="2851">
          <cell r="H2851" t="str">
            <v>Servicios</v>
          </cell>
          <cell r="I2851" t="str">
            <v>Sí</v>
          </cell>
          <cell r="J2851" t="str">
            <v>Compras por debajo del Umbral</v>
          </cell>
        </row>
        <row r="2863">
          <cell r="H2863" t="str">
            <v>Bienes</v>
          </cell>
          <cell r="I2863" t="str">
            <v>Sí</v>
          </cell>
          <cell r="J2863" t="str">
            <v>Compras por debajo del Umbral</v>
          </cell>
        </row>
        <row r="2875">
          <cell r="H2875" t="str">
            <v>Servicios</v>
          </cell>
          <cell r="I2875" t="str">
            <v>Sí</v>
          </cell>
          <cell r="J2875" t="str">
            <v>Compras por debajo del Umbral</v>
          </cell>
        </row>
        <row r="2886">
          <cell r="H2886" t="str">
            <v>Servicios</v>
          </cell>
          <cell r="I2886" t="str">
            <v>Sí</v>
          </cell>
          <cell r="J2886" t="str">
            <v>Compras por debajo del Umbral</v>
          </cell>
        </row>
        <row r="2897">
          <cell r="H2897" t="str">
            <v>Servicios</v>
          </cell>
          <cell r="I2897" t="str">
            <v>Sí</v>
          </cell>
          <cell r="J2897" t="str">
            <v>Compras por debajo del Umbral</v>
          </cell>
        </row>
        <row r="2910">
          <cell r="H2910" t="str">
            <v>Servicios</v>
          </cell>
          <cell r="I2910" t="str">
            <v>Sí</v>
          </cell>
          <cell r="J2910" t="str">
            <v>Comparacion de Precios</v>
          </cell>
        </row>
        <row r="2925">
          <cell r="H2925" t="str">
            <v>Servicios</v>
          </cell>
          <cell r="I2925" t="str">
            <v>Sí</v>
          </cell>
          <cell r="J2925" t="str">
            <v>Compras por debajo del Umbral</v>
          </cell>
        </row>
        <row r="2936">
          <cell r="H2936" t="str">
            <v>Servicios</v>
          </cell>
          <cell r="I2936" t="str">
            <v>Sí</v>
          </cell>
          <cell r="J2936" t="str">
            <v>Compras Menores</v>
          </cell>
        </row>
        <row r="2947">
          <cell r="H2947" t="str">
            <v>Servicios</v>
          </cell>
          <cell r="I2947" t="str">
            <v>Sí</v>
          </cell>
          <cell r="J2947" t="str">
            <v>Compras Menores</v>
          </cell>
        </row>
        <row r="2958">
          <cell r="H2958" t="str">
            <v>Servicios</v>
          </cell>
          <cell r="I2958" t="str">
            <v>Sí</v>
          </cell>
          <cell r="J2958" t="str">
            <v>Compras Menores</v>
          </cell>
        </row>
        <row r="2969">
          <cell r="H2969" t="str">
            <v>Servicios</v>
          </cell>
          <cell r="I2969" t="str">
            <v>Sí</v>
          </cell>
          <cell r="J2969" t="str">
            <v>Compras Menores</v>
          </cell>
        </row>
        <row r="2980">
          <cell r="H2980" t="str">
            <v>Servicios</v>
          </cell>
          <cell r="I2980" t="str">
            <v>Sí</v>
          </cell>
          <cell r="J2980" t="str">
            <v>Compras por debajo del Umbral</v>
          </cell>
        </row>
        <row r="2991">
          <cell r="H2991" t="str">
            <v>Servicios</v>
          </cell>
          <cell r="I2991" t="str">
            <v>Sí</v>
          </cell>
          <cell r="J2991" t="str">
            <v>Compras por debajo del Umbral</v>
          </cell>
        </row>
        <row r="3002">
          <cell r="H3002" t="str">
            <v>Servicios</v>
          </cell>
          <cell r="I3002" t="str">
            <v>Sí</v>
          </cell>
          <cell r="J3002" t="str">
            <v>Compras por debajo del Umbral</v>
          </cell>
        </row>
        <row r="3013">
          <cell r="H3013" t="str">
            <v>Servicios</v>
          </cell>
          <cell r="I3013" t="str">
            <v>Sí</v>
          </cell>
          <cell r="J3013" t="str">
            <v>Compras por debajo del Umbral</v>
          </cell>
        </row>
        <row r="3024">
          <cell r="H3024" t="str">
            <v>Servicios</v>
          </cell>
          <cell r="I3024" t="str">
            <v>Sí</v>
          </cell>
          <cell r="J3024" t="str">
            <v>Compras por debajo del Umbral</v>
          </cell>
        </row>
        <row r="3035">
          <cell r="H3035" t="str">
            <v>Bienes</v>
          </cell>
          <cell r="I3035" t="str">
            <v>Sí</v>
          </cell>
          <cell r="J3035" t="str">
            <v>Compras por debajo del Umbral</v>
          </cell>
        </row>
        <row r="3047">
          <cell r="H3047" t="str">
            <v>Bienes</v>
          </cell>
          <cell r="I3047" t="str">
            <v>Sí</v>
          </cell>
          <cell r="J3047" t="str">
            <v>Compras por debajo del Umbral</v>
          </cell>
        </row>
        <row r="3058">
          <cell r="H3058" t="str">
            <v>Bienes</v>
          </cell>
          <cell r="I3058" t="str">
            <v>Sí</v>
          </cell>
          <cell r="J3058" t="str">
            <v>Compras Menores</v>
          </cell>
        </row>
        <row r="3069">
          <cell r="H3069" t="str">
            <v>Bienes</v>
          </cell>
          <cell r="I3069" t="str">
            <v>Sí</v>
          </cell>
          <cell r="J3069" t="str">
            <v>Compras por debajo del Umbral</v>
          </cell>
        </row>
        <row r="3080">
          <cell r="H3080" t="str">
            <v>Bienes</v>
          </cell>
          <cell r="I3080" t="str">
            <v>Sí</v>
          </cell>
          <cell r="J3080" t="str">
            <v>Compras Menores</v>
          </cell>
        </row>
        <row r="3091">
          <cell r="H3091" t="str">
            <v>Bienes</v>
          </cell>
          <cell r="I3091" t="str">
            <v>No</v>
          </cell>
          <cell r="J3091" t="str">
            <v>Comparacion de Precios</v>
          </cell>
        </row>
        <row r="3102">
          <cell r="H3102" t="str">
            <v>Obras</v>
          </cell>
          <cell r="I3102" t="str">
            <v>No</v>
          </cell>
          <cell r="J3102" t="str">
            <v>Comparacion de Precios</v>
          </cell>
        </row>
        <row r="3113">
          <cell r="H3113" t="str">
            <v>Obras</v>
          </cell>
          <cell r="I3113" t="str">
            <v>No</v>
          </cell>
          <cell r="J3113" t="str">
            <v>Comparacion de Precios</v>
          </cell>
        </row>
        <row r="3124">
          <cell r="H3124" t="str">
            <v>Servicios</v>
          </cell>
          <cell r="I3124" t="str">
            <v>MIPYME Mujeres</v>
          </cell>
          <cell r="J3124" t="str">
            <v>Compras Menores</v>
          </cell>
        </row>
        <row r="3135">
          <cell r="H3135" t="str">
            <v>Servicios</v>
          </cell>
          <cell r="I3135" t="str">
            <v>Sí</v>
          </cell>
          <cell r="J3135" t="str">
            <v>Compras Menores</v>
          </cell>
        </row>
        <row r="3146">
          <cell r="H3146" t="str">
            <v>Servicios</v>
          </cell>
          <cell r="I3146" t="str">
            <v>Sí</v>
          </cell>
          <cell r="J3146" t="str">
            <v>Compras Menores</v>
          </cell>
        </row>
        <row r="3157">
          <cell r="H3157" t="str">
            <v>Servicios</v>
          </cell>
          <cell r="I3157" t="str">
            <v>Sí</v>
          </cell>
          <cell r="J3157" t="str">
            <v>Compras Menores</v>
          </cell>
        </row>
        <row r="3171">
          <cell r="H3171" t="str">
            <v>Bienes</v>
          </cell>
          <cell r="I3171" t="str">
            <v>Sí</v>
          </cell>
          <cell r="J3171" t="str">
            <v>Compras por debajo del Umbral</v>
          </cell>
        </row>
        <row r="3182">
          <cell r="H3182" t="str">
            <v>Bienes</v>
          </cell>
          <cell r="I3182" t="str">
            <v>Sí</v>
          </cell>
          <cell r="J3182" t="str">
            <v>Compras por debajo del Umbral</v>
          </cell>
        </row>
        <row r="3193">
          <cell r="H3193" t="str">
            <v>Servicios</v>
          </cell>
          <cell r="I3193" t="str">
            <v>Sí</v>
          </cell>
          <cell r="J3193" t="str">
            <v>Comparacion de Precios</v>
          </cell>
        </row>
        <row r="3204">
          <cell r="H3204" t="str">
            <v>Servicios</v>
          </cell>
          <cell r="I3204" t="str">
            <v>Sí</v>
          </cell>
          <cell r="J3204" t="str">
            <v>Comparacion de Precios</v>
          </cell>
        </row>
        <row r="3215">
          <cell r="H3215" t="str">
            <v>Servicios</v>
          </cell>
          <cell r="I3215" t="str">
            <v>Sí</v>
          </cell>
          <cell r="J3215" t="str">
            <v>Compras Menores</v>
          </cell>
        </row>
        <row r="3227">
          <cell r="H3227" t="str">
            <v>Bienes</v>
          </cell>
          <cell r="I3227" t="str">
            <v>Sí</v>
          </cell>
          <cell r="J3227" t="str">
            <v>Compras por debajo del Umbral</v>
          </cell>
        </row>
        <row r="3242">
          <cell r="H3242" t="str">
            <v>Bienes</v>
          </cell>
          <cell r="I3242" t="str">
            <v>Sí</v>
          </cell>
          <cell r="J3242" t="str">
            <v>Compras por debajo del Umbral</v>
          </cell>
        </row>
        <row r="3259">
          <cell r="H3259" t="str">
            <v>Bienes</v>
          </cell>
          <cell r="I3259" t="str">
            <v>Sí</v>
          </cell>
          <cell r="J3259" t="str">
            <v>Compras Menores</v>
          </cell>
        </row>
        <row r="3276">
          <cell r="H3276" t="str">
            <v>Bienes</v>
          </cell>
          <cell r="I3276" t="str">
            <v>Sí</v>
          </cell>
          <cell r="J3276" t="str">
            <v>Compras Menores</v>
          </cell>
        </row>
        <row r="3287">
          <cell r="H3287" t="str">
            <v>Bienes</v>
          </cell>
          <cell r="I3287" t="str">
            <v>Sí</v>
          </cell>
          <cell r="J3287" t="str">
            <v>Compras Menores</v>
          </cell>
        </row>
        <row r="3298">
          <cell r="H3298" t="str">
            <v>Bienes</v>
          </cell>
          <cell r="I3298" t="str">
            <v>Sí</v>
          </cell>
          <cell r="J3298" t="str">
            <v>Compras por debajo del Umbral</v>
          </cell>
        </row>
        <row r="3309">
          <cell r="H3309" t="str">
            <v>Bienes</v>
          </cell>
          <cell r="I3309" t="str">
            <v>Sí</v>
          </cell>
          <cell r="J3309" t="str">
            <v>Compras Menores</v>
          </cell>
        </row>
        <row r="3320">
          <cell r="H3320" t="str">
            <v>Bienes</v>
          </cell>
          <cell r="I3320" t="str">
            <v>MIPYME Mujeres</v>
          </cell>
          <cell r="J3320" t="str">
            <v>Comparacion de Precios</v>
          </cell>
        </row>
      </sheetData>
      <sheetData sheetId="2">
        <row r="2">
          <cell r="P2" t="str">
            <v>Un</v>
          </cell>
          <cell r="Q2" t="str">
            <v>Desc.</v>
          </cell>
        </row>
        <row r="3">
          <cell r="A3" t="str">
            <v>CIBAO NORTE</v>
          </cell>
          <cell r="B3" t="str">
            <v>CIBAO NORTE</v>
          </cell>
          <cell r="C3" t="str">
            <v>Santiago</v>
          </cell>
          <cell r="E3" t="str">
            <v>Santiago</v>
          </cell>
          <cell r="F3" t="str">
            <v>Santiago de los Caballeros</v>
          </cell>
          <cell r="I3" t="str">
            <v>Arenoso</v>
          </cell>
          <cell r="J3" t="str">
            <v>Arenoso</v>
          </cell>
          <cell r="L3" t="str">
            <v>Comparacion de Precios</v>
          </cell>
          <cell r="N3" t="str">
            <v>Sí</v>
          </cell>
          <cell r="P3" t="str">
            <v>CAJ</v>
          </cell>
          <cell r="Q3" t="str">
            <v>Caja</v>
          </cell>
          <cell r="S3" t="str">
            <v>Bienes</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L4" t="str">
            <v>Compras Menores</v>
          </cell>
          <cell r="N4" t="str">
            <v>MIPYME Mujeres</v>
          </cell>
          <cell r="P4" t="str">
            <v>CM</v>
          </cell>
          <cell r="Q4" t="str">
            <v>Centímetro</v>
          </cell>
          <cell r="S4" t="str">
            <v>Servicios</v>
          </cell>
        </row>
        <row r="5">
          <cell r="A5" t="str">
            <v>CIBAO NORDESTE</v>
          </cell>
          <cell r="B5" t="str">
            <v>CIBAO NORTE</v>
          </cell>
          <cell r="C5" t="str">
            <v>Espaillat</v>
          </cell>
          <cell r="E5" t="str">
            <v>Santiago</v>
          </cell>
          <cell r="F5" t="str">
            <v>Villa Bisonó (Navarrete)</v>
          </cell>
          <cell r="I5" t="str">
            <v>Arenoso</v>
          </cell>
          <cell r="J5" t="str">
            <v>Las Coles</v>
          </cell>
          <cell r="L5" t="str">
            <v>Compras por debajo del Umbral</v>
          </cell>
          <cell r="N5" t="str">
            <v>No</v>
          </cell>
          <cell r="P5" t="str">
            <v>CM2</v>
          </cell>
          <cell r="Q5" t="str">
            <v>Centímetro Cuadrado</v>
          </cell>
          <cell r="S5" t="str">
            <v>Servicios: Consultorías</v>
          </cell>
        </row>
        <row r="6">
          <cell r="A6" t="str">
            <v>CIBAO NOROESTE</v>
          </cell>
          <cell r="B6" t="str">
            <v>CIBAO SUR</v>
          </cell>
          <cell r="C6" t="str">
            <v>Concepción de La Vega</v>
          </cell>
          <cell r="E6" t="str">
            <v>Santiago</v>
          </cell>
          <cell r="F6" t="str">
            <v>Jánico</v>
          </cell>
          <cell r="I6" t="str">
            <v>Castillo</v>
          </cell>
          <cell r="J6" t="str">
            <v>Castillo</v>
          </cell>
          <cell r="L6" t="str">
            <v>Excepción - Bienes o servicios con exclusividad</v>
          </cell>
          <cell r="P6" t="str">
            <v>CT</v>
          </cell>
          <cell r="Q6" t="str">
            <v>Ciento</v>
          </cell>
          <cell r="S6" t="str">
            <v>Servicios: Consultoría basada en la calidad de los servicios</v>
          </cell>
        </row>
        <row r="7">
          <cell r="A7" t="str">
            <v>VALDESIA</v>
          </cell>
          <cell r="B7" t="str">
            <v>CIBAO SUR</v>
          </cell>
          <cell r="C7" t="str">
            <v>Monseñor Nouel</v>
          </cell>
          <cell r="E7" t="str">
            <v>Santiago</v>
          </cell>
          <cell r="F7" t="str">
            <v>Licey al Medio</v>
          </cell>
          <cell r="I7" t="str">
            <v>Hostos</v>
          </cell>
          <cell r="J7" t="str">
            <v>Hostos</v>
          </cell>
          <cell r="L7" t="str">
            <v>Excepción - Construcción, instalación o adquisición de oficinas para el servicio exterior</v>
          </cell>
          <cell r="P7" t="str">
            <v>DEC</v>
          </cell>
          <cell r="Q7" t="str">
            <v>Decena</v>
          </cell>
          <cell r="S7" t="str">
            <v>Obras</v>
          </cell>
        </row>
        <row r="8">
          <cell r="A8" t="str">
            <v>ENRIQUILLO</v>
          </cell>
          <cell r="B8" t="str">
            <v>CIBAO SUR</v>
          </cell>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P8" t="str">
            <v>DM</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P9" t="str">
            <v>DÍA</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L10" t="str">
            <v>Excepción - Proveedor Único</v>
          </cell>
          <cell r="P10" t="str">
            <v>DOC</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P11" t="str">
            <v>GAL</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P12" t="str">
            <v>G</v>
          </cell>
          <cell r="Q12" t="str">
            <v>Gramo</v>
          </cell>
        </row>
        <row r="13">
          <cell r="B13" t="str">
            <v>CIBAO NOROESTE</v>
          </cell>
          <cell r="C13" t="str">
            <v>Valverde</v>
          </cell>
          <cell r="E13" t="str">
            <v>Puerto Plata</v>
          </cell>
          <cell r="F13" t="str">
            <v>Altamira</v>
          </cell>
          <cell r="I13" t="str">
            <v>San Fco. de Macorís</v>
          </cell>
          <cell r="J13" t="str">
            <v>Jaya</v>
          </cell>
          <cell r="L13" t="str">
            <v>Licitacion Publica</v>
          </cell>
          <cell r="P13" t="str">
            <v>H</v>
          </cell>
          <cell r="Q13" t="str">
            <v>Hora</v>
          </cell>
        </row>
        <row r="14">
          <cell r="B14" t="str">
            <v>CIBAO NOROESTE</v>
          </cell>
          <cell r="C14" t="str">
            <v>Santiago Rodriguez</v>
          </cell>
          <cell r="E14" t="str">
            <v>Puerto Plata</v>
          </cell>
          <cell r="F14" t="str">
            <v>Guananico</v>
          </cell>
          <cell r="I14" t="str">
            <v>San Fco. de Macorís</v>
          </cell>
          <cell r="J14" t="str">
            <v>La Peña</v>
          </cell>
          <cell r="L14" t="str">
            <v>Licitacion Publica Internacional</v>
          </cell>
          <cell r="P14" t="str">
            <v>H/H</v>
          </cell>
          <cell r="Q14" t="str">
            <v>Hora Hombre</v>
          </cell>
        </row>
        <row r="15">
          <cell r="B15" t="str">
            <v>CIBAO NOROESTE</v>
          </cell>
          <cell r="C15" t="str">
            <v>Montecristi</v>
          </cell>
          <cell r="E15" t="str">
            <v>Puerto Plata</v>
          </cell>
          <cell r="F15" t="str">
            <v>Imbert</v>
          </cell>
          <cell r="I15" t="str">
            <v>San Fco. de Macorís</v>
          </cell>
          <cell r="J15" t="str">
            <v>San Fco. de Macorís</v>
          </cell>
          <cell r="L15" t="str">
            <v>Licitacion Restringida</v>
          </cell>
          <cell r="P15" t="str">
            <v>KG</v>
          </cell>
          <cell r="Q15" t="str">
            <v>Kilogramo</v>
          </cell>
        </row>
        <row r="16">
          <cell r="B16" t="str">
            <v>CIBAO NOROESTE</v>
          </cell>
          <cell r="C16" t="str">
            <v>Dajabón</v>
          </cell>
          <cell r="E16" t="str">
            <v>Puerto Plata</v>
          </cell>
          <cell r="F16" t="str">
            <v>Los Hidalgos</v>
          </cell>
          <cell r="I16" t="str">
            <v>Villa Riva</v>
          </cell>
          <cell r="J16" t="str">
            <v>Agua Santa del Yuna</v>
          </cell>
          <cell r="L16" t="str">
            <v>Sorteo de Obras</v>
          </cell>
          <cell r="P16" t="str">
            <v>KM</v>
          </cell>
          <cell r="Q16" t="str">
            <v>Kilómetro</v>
          </cell>
        </row>
        <row r="17">
          <cell r="B17" t="str">
            <v>VALDESIA</v>
          </cell>
          <cell r="C17" t="str">
            <v>San Cristóbal</v>
          </cell>
          <cell r="E17" t="str">
            <v>Puerto Plata</v>
          </cell>
          <cell r="F17" t="str">
            <v>Luperón</v>
          </cell>
          <cell r="I17" t="str">
            <v>Villa Riva</v>
          </cell>
          <cell r="J17" t="str">
            <v>Barraquito</v>
          </cell>
          <cell r="P17" t="str">
            <v>KM2</v>
          </cell>
          <cell r="Q17" t="str">
            <v>Kilómetro cuadrado</v>
          </cell>
        </row>
        <row r="18">
          <cell r="B18" t="str">
            <v>VALDESIA</v>
          </cell>
          <cell r="C18" t="str">
            <v>Peravia</v>
          </cell>
          <cell r="E18" t="str">
            <v>Puerto Plata</v>
          </cell>
          <cell r="F18" t="str">
            <v>Sosúa</v>
          </cell>
          <cell r="I18" t="str">
            <v>Villa Riva</v>
          </cell>
          <cell r="J18" t="str">
            <v>Cristo Rey de Guaraguao</v>
          </cell>
          <cell r="P18" t="str">
            <v>LB</v>
          </cell>
          <cell r="Q18" t="str">
            <v>Libra </v>
          </cell>
        </row>
        <row r="19">
          <cell r="B19" t="str">
            <v>VALDESIA</v>
          </cell>
          <cell r="C19" t="str">
            <v>San José de Ocoa</v>
          </cell>
          <cell r="E19" t="str">
            <v>Puerto Plata</v>
          </cell>
          <cell r="F19" t="str">
            <v>Villa Isabela</v>
          </cell>
          <cell r="I19" t="str">
            <v>Villa Riva</v>
          </cell>
          <cell r="J19" t="str">
            <v>Las Táranas</v>
          </cell>
          <cell r="P19" t="str">
            <v>L</v>
          </cell>
          <cell r="Q19" t="str">
            <v>Litro</v>
          </cell>
        </row>
        <row r="20">
          <cell r="B20" t="str">
            <v>VALDESIA</v>
          </cell>
          <cell r="C20" t="str">
            <v>Azua</v>
          </cell>
          <cell r="E20" t="str">
            <v>Puerto Plata</v>
          </cell>
          <cell r="F20" t="str">
            <v>Villa Montellano</v>
          </cell>
          <cell r="I20" t="str">
            <v>Villa Riva</v>
          </cell>
          <cell r="J20" t="str">
            <v>Villa Riva</v>
          </cell>
          <cell r="P20" t="str">
            <v>MES</v>
          </cell>
          <cell r="Q20" t="str">
            <v>Mes</v>
          </cell>
        </row>
        <row r="21">
          <cell r="B21" t="str">
            <v>ENRIQUILLO</v>
          </cell>
          <cell r="C21" t="str">
            <v>Barahona</v>
          </cell>
          <cell r="E21" t="str">
            <v>Espaillat</v>
          </cell>
          <cell r="F21" t="str">
            <v>Moca</v>
          </cell>
          <cell r="I21" t="str">
            <v>Salcedo</v>
          </cell>
          <cell r="J21" t="str">
            <v>Jamao Afuera</v>
          </cell>
          <cell r="P21" t="str">
            <v>M</v>
          </cell>
          <cell r="Q21" t="str">
            <v>Metro</v>
          </cell>
        </row>
        <row r="22">
          <cell r="B22" t="str">
            <v>ENRIQUILLO</v>
          </cell>
          <cell r="C22" t="str">
            <v>Bahoruco</v>
          </cell>
          <cell r="E22" t="str">
            <v>Espaillat</v>
          </cell>
          <cell r="F22" t="str">
            <v>Cayetano Germosén</v>
          </cell>
          <cell r="I22" t="str">
            <v>Salcedo</v>
          </cell>
          <cell r="J22" t="str">
            <v>Salcedo</v>
          </cell>
          <cell r="P22" t="str">
            <v>M2</v>
          </cell>
          <cell r="Q22" t="str">
            <v>Metro cuadrado</v>
          </cell>
        </row>
        <row r="23">
          <cell r="B23" t="str">
            <v>ENRIQUILLO</v>
          </cell>
          <cell r="C23" t="str">
            <v>Pedernales</v>
          </cell>
          <cell r="E23" t="str">
            <v>Espaillat</v>
          </cell>
          <cell r="F23" t="str">
            <v>Gaspar Hernández</v>
          </cell>
          <cell r="I23" t="str">
            <v>Tenares</v>
          </cell>
          <cell r="J23" t="str">
            <v>Blanco</v>
          </cell>
          <cell r="P23" t="str">
            <v>M3</v>
          </cell>
          <cell r="Q23" t="str">
            <v>Metro cúbico</v>
          </cell>
        </row>
        <row r="24">
          <cell r="B24" t="str">
            <v>ENRIQUILLO</v>
          </cell>
          <cell r="C24" t="str">
            <v>Independencia</v>
          </cell>
          <cell r="E24" t="str">
            <v>Espaillat</v>
          </cell>
          <cell r="F24" t="str">
            <v>Jamao al Norte</v>
          </cell>
          <cell r="I24" t="str">
            <v>Tenares</v>
          </cell>
          <cell r="J24" t="str">
            <v>Tenares</v>
          </cell>
          <cell r="P24" t="str">
            <v>MG</v>
          </cell>
          <cell r="Q24" t="str">
            <v>Miligramo</v>
          </cell>
        </row>
        <row r="25">
          <cell r="B25" t="str">
            <v>EL VALLE</v>
          </cell>
          <cell r="C25" t="str">
            <v>San Juan</v>
          </cell>
          <cell r="E25" t="str">
            <v>Concepción de La Vega</v>
          </cell>
          <cell r="F25" t="str">
            <v>La Vega</v>
          </cell>
          <cell r="I25" t="str">
            <v>Villa Tapia</v>
          </cell>
          <cell r="J25" t="str">
            <v>Villa Tapia</v>
          </cell>
          <cell r="P25" t="str">
            <v>MM</v>
          </cell>
          <cell r="Q25" t="str">
            <v>Milímetro</v>
          </cell>
        </row>
        <row r="26">
          <cell r="B26" t="str">
            <v>EL VALLE</v>
          </cell>
          <cell r="C26" t="str">
            <v>Elías Piña</v>
          </cell>
          <cell r="E26" t="str">
            <v>Concepción de La Vega</v>
          </cell>
          <cell r="F26" t="str">
            <v>Constanza</v>
          </cell>
          <cell r="I26" t="str">
            <v>Cabrera</v>
          </cell>
          <cell r="J26" t="str">
            <v>Arroyo Salado</v>
          </cell>
          <cell r="P26" t="str">
            <v>MI</v>
          </cell>
          <cell r="Q26" t="str">
            <v>Milla</v>
          </cell>
        </row>
        <row r="27">
          <cell r="B27" t="str">
            <v>YUMA</v>
          </cell>
          <cell r="C27" t="str">
            <v>La Romana</v>
          </cell>
          <cell r="E27" t="str">
            <v>Concepción de La Vega</v>
          </cell>
          <cell r="F27" t="str">
            <v>Jarabacoa</v>
          </cell>
          <cell r="I27" t="str">
            <v>Cabrera</v>
          </cell>
          <cell r="J27" t="str">
            <v>Cabrera</v>
          </cell>
          <cell r="P27" t="str">
            <v>MIL</v>
          </cell>
          <cell r="Q27" t="str">
            <v>Millar</v>
          </cell>
        </row>
        <row r="28">
          <cell r="B28" t="str">
            <v>YUMA</v>
          </cell>
          <cell r="C28" t="str">
            <v>La Altagracia</v>
          </cell>
          <cell r="E28" t="str">
            <v>Concepción de La Vega</v>
          </cell>
          <cell r="F28" t="str">
            <v>Jima Abajo</v>
          </cell>
          <cell r="I28" t="str">
            <v>Cabrera</v>
          </cell>
          <cell r="J28" t="str">
            <v>La Entrada</v>
          </cell>
          <cell r="P28" t="str">
            <v>OZ</v>
          </cell>
          <cell r="Q28" t="str">
            <v>Onza</v>
          </cell>
        </row>
        <row r="29">
          <cell r="B29" t="str">
            <v>YUMA</v>
          </cell>
          <cell r="C29" t="str">
            <v>El Seibo</v>
          </cell>
          <cell r="E29" t="str">
            <v>Monseñor Nouel</v>
          </cell>
          <cell r="F29" t="str">
            <v>Bonao</v>
          </cell>
          <cell r="I29" t="str">
            <v>El Factor</v>
          </cell>
          <cell r="J29" t="str">
            <v>El Factor</v>
          </cell>
          <cell r="P29" t="str">
            <v>PAQ</v>
          </cell>
          <cell r="Q29" t="str">
            <v>Paquete</v>
          </cell>
        </row>
        <row r="30">
          <cell r="B30" t="str">
            <v>HIGUAMO</v>
          </cell>
          <cell r="C30" t="str">
            <v>San Pedro de Macorís</v>
          </cell>
          <cell r="E30" t="str">
            <v>Monseñor Nouel</v>
          </cell>
          <cell r="F30" t="str">
            <v>Maimón</v>
          </cell>
          <cell r="I30" t="str">
            <v>El Factor</v>
          </cell>
          <cell r="J30" t="str">
            <v>El Pozo</v>
          </cell>
          <cell r="P30" t="str">
            <v>FT</v>
          </cell>
          <cell r="Q30" t="str">
            <v>Pie</v>
          </cell>
        </row>
        <row r="31">
          <cell r="B31" t="str">
            <v>HIGUAMO</v>
          </cell>
          <cell r="C31" t="str">
            <v>Hato Mayor</v>
          </cell>
          <cell r="E31" t="str">
            <v>Monseñor Nouel</v>
          </cell>
          <cell r="F31" t="str">
            <v>Piedra Blanca</v>
          </cell>
          <cell r="I31" t="str">
            <v>Nagua</v>
          </cell>
          <cell r="J31" t="str">
            <v>Arroyo al Medio</v>
          </cell>
          <cell r="P31" t="str">
            <v>FT2</v>
          </cell>
          <cell r="Q31" t="str">
            <v>Pie cuadrado</v>
          </cell>
        </row>
        <row r="32">
          <cell r="B32" t="str">
            <v>HIGUAMO</v>
          </cell>
          <cell r="C32" t="str">
            <v>Monte Plata</v>
          </cell>
          <cell r="E32" t="str">
            <v>Sánchez Ramírez</v>
          </cell>
          <cell r="F32" t="str">
            <v>Cotuí</v>
          </cell>
          <cell r="I32" t="str">
            <v>Nagua</v>
          </cell>
          <cell r="J32" t="str">
            <v>Las Gordas</v>
          </cell>
          <cell r="P32" t="str">
            <v>FT3</v>
          </cell>
          <cell r="Q32" t="str">
            <v>Pie cúbico</v>
          </cell>
        </row>
        <row r="33">
          <cell r="B33" t="str">
            <v>OZAMA O METROPOLITANA</v>
          </cell>
          <cell r="C33" t="str">
            <v>Distrito Nacional</v>
          </cell>
          <cell r="E33" t="str">
            <v>Sánchez Ramírez</v>
          </cell>
          <cell r="F33" t="str">
            <v>Cevicos</v>
          </cell>
          <cell r="I33" t="str">
            <v>Nagua</v>
          </cell>
          <cell r="J33" t="str">
            <v>Nagua</v>
          </cell>
          <cell r="P33" t="str">
            <v>IN</v>
          </cell>
          <cell r="Q33" t="str">
            <v>Pulgada</v>
          </cell>
        </row>
        <row r="34">
          <cell r="B34" t="str">
            <v>OZAMA O METROPOLITANA</v>
          </cell>
          <cell r="C34" t="str">
            <v>Santo Domingo</v>
          </cell>
          <cell r="E34" t="str">
            <v>Sánchez Ramírez</v>
          </cell>
          <cell r="F34" t="str">
            <v>Fantino</v>
          </cell>
          <cell r="I34" t="str">
            <v>Nagua</v>
          </cell>
          <cell r="J34" t="str">
            <v>San José de Matanzas</v>
          </cell>
          <cell r="P34" t="str">
            <v>PULG</v>
          </cell>
          <cell r="Q34" t="str">
            <v>Pulgada</v>
          </cell>
        </row>
        <row r="35">
          <cell r="E35" t="str">
            <v>Sánchez Ramírez</v>
          </cell>
          <cell r="F35" t="str">
            <v>La Mata</v>
          </cell>
          <cell r="I35" t="str">
            <v>Río San Juan</v>
          </cell>
          <cell r="J35" t="str">
            <v>Río San Juan</v>
          </cell>
          <cell r="P35" t="str">
            <v>IN2</v>
          </cell>
          <cell r="Q35" t="str">
            <v>Pulgada cuadrada</v>
          </cell>
        </row>
        <row r="36">
          <cell r="E36" t="str">
            <v>Duarte</v>
          </cell>
          <cell r="F36" t="str">
            <v>San Fco. de Macorís</v>
          </cell>
          <cell r="I36" t="str">
            <v>Las Terrenas</v>
          </cell>
          <cell r="J36" t="str">
            <v>Las Terrenas</v>
          </cell>
          <cell r="P36" t="str">
            <v>500UD</v>
          </cell>
          <cell r="Q36" t="str">
            <v>Quinientas unidades</v>
          </cell>
        </row>
        <row r="37">
          <cell r="E37" t="str">
            <v>Duarte</v>
          </cell>
          <cell r="F37" t="str">
            <v>Arenoso</v>
          </cell>
          <cell r="I37" t="str">
            <v>Sánchez</v>
          </cell>
          <cell r="J37" t="str">
            <v>Sánchez</v>
          </cell>
          <cell r="P37" t="str">
            <v>Q</v>
          </cell>
          <cell r="Q37" t="str">
            <v>Quintal</v>
          </cell>
        </row>
        <row r="38">
          <cell r="E38" t="str">
            <v>Duarte</v>
          </cell>
          <cell r="F38" t="str">
            <v>Castillo</v>
          </cell>
          <cell r="I38" t="str">
            <v>Santa Bárbara de Samaná</v>
          </cell>
          <cell r="J38" t="str">
            <v>Arroyo Barril</v>
          </cell>
          <cell r="P38" t="str">
            <v>RESMA</v>
          </cell>
          <cell r="Q38" t="str">
            <v>Resma</v>
          </cell>
        </row>
        <row r="39">
          <cell r="E39" t="str">
            <v>Duarte</v>
          </cell>
          <cell r="F39" t="str">
            <v>Hostos</v>
          </cell>
          <cell r="I39" t="str">
            <v>Santa Bárbara de Samaná</v>
          </cell>
          <cell r="J39" t="str">
            <v>El Limón</v>
          </cell>
          <cell r="P39" t="str">
            <v>SEM</v>
          </cell>
          <cell r="Q39" t="str">
            <v>Semana</v>
          </cell>
        </row>
        <row r="40">
          <cell r="E40" t="str">
            <v>Duarte</v>
          </cell>
          <cell r="F40" t="str">
            <v>Pimentel</v>
          </cell>
          <cell r="I40" t="str">
            <v>Santa Bárbara de Samaná</v>
          </cell>
          <cell r="J40" t="str">
            <v>Las Galeras</v>
          </cell>
          <cell r="P40" t="str">
            <v>TON</v>
          </cell>
          <cell r="Q40" t="str">
            <v>Tonelada</v>
          </cell>
        </row>
        <row r="41">
          <cell r="E41" t="str">
            <v>Duarte</v>
          </cell>
          <cell r="F41" t="str">
            <v>Villa Riva</v>
          </cell>
          <cell r="I41" t="str">
            <v>Santa Bárbara de Samaná</v>
          </cell>
          <cell r="J41" t="str">
            <v>Santa Bárbara de Samaná</v>
          </cell>
          <cell r="P41" t="str">
            <v>UD</v>
          </cell>
          <cell r="Q41" t="str">
            <v>Unidad</v>
          </cell>
        </row>
        <row r="42">
          <cell r="E42" t="str">
            <v>Duarte</v>
          </cell>
          <cell r="F42" t="str">
            <v>Las Guáranas</v>
          </cell>
          <cell r="I42" t="str">
            <v>Dajabón</v>
          </cell>
          <cell r="J42" t="str">
            <v>Cañongo</v>
          </cell>
          <cell r="P42" t="str">
            <v>YD</v>
          </cell>
          <cell r="Q42" t="str">
            <v>Yarda</v>
          </cell>
        </row>
        <row r="43">
          <cell r="E43" t="str">
            <v>Hermanas Mirabal</v>
          </cell>
          <cell r="F43" t="str">
            <v>Salcedo</v>
          </cell>
          <cell r="I43" t="str">
            <v>Dajabón</v>
          </cell>
          <cell r="J43" t="str">
            <v>Dajabón</v>
          </cell>
          <cell r="P43" t="str">
            <v>YD2</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húmeda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10151801</v>
          </cell>
          <cell r="B150" t="str">
            <v>Semillas o plántulas de pimienta</v>
          </cell>
        </row>
        <row r="151">
          <cell r="A151">
            <v>10151802</v>
          </cell>
          <cell r="B151" t="str">
            <v>Semillas o plántulas de vainilla</v>
          </cell>
        </row>
        <row r="152">
          <cell r="A152">
            <v>10151803</v>
          </cell>
          <cell r="B152" t="str">
            <v>Semillas o plántulas de canela</v>
          </cell>
        </row>
        <row r="153">
          <cell r="A153">
            <v>10151804</v>
          </cell>
          <cell r="B153" t="str">
            <v>Semillas o plántulas de clavo de olor</v>
          </cell>
        </row>
        <row r="154">
          <cell r="A154">
            <v>10151805</v>
          </cell>
          <cell r="B154" t="str">
            <v>Semillas o plántulas de cilantro</v>
          </cell>
        </row>
        <row r="155">
          <cell r="A155">
            <v>10151806</v>
          </cell>
          <cell r="B155" t="str">
            <v>Semillas o plántulas de jengibre</v>
          </cell>
        </row>
        <row r="156">
          <cell r="A156">
            <v>10151807</v>
          </cell>
          <cell r="B156" t="str">
            <v>Semillas o plántulas de azafrán</v>
          </cell>
        </row>
        <row r="157">
          <cell r="A157">
            <v>10151808</v>
          </cell>
          <cell r="B157" t="str">
            <v>Semillas o plántulas de tomillo</v>
          </cell>
        </row>
        <row r="158">
          <cell r="A158">
            <v>10151809</v>
          </cell>
          <cell r="B158" t="str">
            <v>Semillas o plántulas de curry</v>
          </cell>
        </row>
        <row r="159">
          <cell r="A159">
            <v>10151810</v>
          </cell>
          <cell r="B159" t="str">
            <v>Semillas o plántulas de mostaza</v>
          </cell>
        </row>
        <row r="160">
          <cell r="A160">
            <v>10151811</v>
          </cell>
          <cell r="B160" t="str">
            <v>Semillas o plántulas de ginseng</v>
          </cell>
        </row>
        <row r="161">
          <cell r="A161">
            <v>10151901</v>
          </cell>
          <cell r="B161" t="str">
            <v>Semillas, bulbos, plántulas o esquejes de tulipán</v>
          </cell>
        </row>
        <row r="162">
          <cell r="A162">
            <v>10151902</v>
          </cell>
          <cell r="B162" t="str">
            <v>Semillas, plántulas o esquejes de rosa</v>
          </cell>
        </row>
        <row r="163">
          <cell r="A163">
            <v>10151903</v>
          </cell>
          <cell r="B163" t="str">
            <v>Semillas, bulbos, plántulas o esquejes de narciso</v>
          </cell>
        </row>
        <row r="164">
          <cell r="A164">
            <v>10151904</v>
          </cell>
          <cell r="B164" t="str">
            <v>Semillas de girasol</v>
          </cell>
        </row>
        <row r="165">
          <cell r="A165">
            <v>10151905</v>
          </cell>
          <cell r="B165" t="str">
            <v>Bulbos o tallos de jacinto</v>
          </cell>
        </row>
        <row r="166">
          <cell r="A166">
            <v>10151906</v>
          </cell>
          <cell r="B166" t="str">
            <v>Bulbos de lirio</v>
          </cell>
        </row>
        <row r="167">
          <cell r="A167">
            <v>10151907</v>
          </cell>
          <cell r="B167" t="str">
            <v>Semillas o plántulas de veza</v>
          </cell>
        </row>
        <row r="168">
          <cell r="A168">
            <v>10152001</v>
          </cell>
          <cell r="B168" t="str">
            <v>Semillas o esquejes de árboles frutales</v>
          </cell>
        </row>
        <row r="169">
          <cell r="A169">
            <v>10152002</v>
          </cell>
          <cell r="B169" t="str">
            <v>Semillas o esquejes de coníferas</v>
          </cell>
        </row>
        <row r="170">
          <cell r="A170">
            <v>10152003</v>
          </cell>
          <cell r="B170" t="str">
            <v>Semillas o esquejes de árboles de frutos secos</v>
          </cell>
        </row>
        <row r="171">
          <cell r="A171">
            <v>10152101</v>
          </cell>
          <cell r="B171" t="str">
            <v>Extracción de los residuos de semilla de babool</v>
          </cell>
        </row>
        <row r="172">
          <cell r="A172">
            <v>10152102</v>
          </cell>
          <cell r="B172" t="str">
            <v>Residuos de semilla de colza</v>
          </cell>
        </row>
        <row r="173">
          <cell r="A173">
            <v>10152103</v>
          </cell>
          <cell r="B173" t="str">
            <v>Residuo de semillas de linaza</v>
          </cell>
        </row>
        <row r="174">
          <cell r="A174">
            <v>10152104</v>
          </cell>
          <cell r="B174" t="str">
            <v>Torta de neem</v>
          </cell>
        </row>
        <row r="175">
          <cell r="A175">
            <v>10152201</v>
          </cell>
          <cell r="B175" t="str">
            <v>Semillas o plántulas de algodón</v>
          </cell>
        </row>
        <row r="176">
          <cell r="A176">
            <v>10152202</v>
          </cell>
          <cell r="B176" t="str">
            <v>Semillas o plántulas de lino</v>
          </cell>
        </row>
        <row r="177">
          <cell r="A177">
            <v>10161501</v>
          </cell>
          <cell r="B177" t="str">
            <v>Aceitunos</v>
          </cell>
        </row>
        <row r="178">
          <cell r="A178">
            <v>10161502</v>
          </cell>
          <cell r="B178" t="str">
            <v>Cafetos</v>
          </cell>
        </row>
        <row r="179">
          <cell r="A179">
            <v>10161503</v>
          </cell>
          <cell r="B179" t="str">
            <v>Cacaoteros</v>
          </cell>
        </row>
        <row r="180">
          <cell r="A180">
            <v>10161504</v>
          </cell>
          <cell r="B180" t="str">
            <v>Manzanos</v>
          </cell>
        </row>
        <row r="181">
          <cell r="A181">
            <v>10161505</v>
          </cell>
          <cell r="B181" t="str">
            <v>Peros</v>
          </cell>
        </row>
        <row r="182">
          <cell r="A182">
            <v>10161506</v>
          </cell>
          <cell r="B182" t="str">
            <v>Naranjos</v>
          </cell>
        </row>
        <row r="183">
          <cell r="A183">
            <v>10161507</v>
          </cell>
          <cell r="B183" t="str">
            <v>Rododendros</v>
          </cell>
        </row>
        <row r="184">
          <cell r="A184">
            <v>10161508</v>
          </cell>
          <cell r="B184" t="str">
            <v>Plantas de te</v>
          </cell>
        </row>
        <row r="185">
          <cell r="A185">
            <v>10161509</v>
          </cell>
          <cell r="B185" t="str">
            <v>Coníferas</v>
          </cell>
        </row>
        <row r="186">
          <cell r="A186">
            <v>10161510</v>
          </cell>
          <cell r="B186" t="str">
            <v>Abetos rojos (píceas)</v>
          </cell>
        </row>
        <row r="187">
          <cell r="A187">
            <v>10161511</v>
          </cell>
          <cell r="B187" t="str">
            <v>Pinos</v>
          </cell>
        </row>
        <row r="188">
          <cell r="A188">
            <v>10161512</v>
          </cell>
          <cell r="B188" t="str">
            <v>Abetos</v>
          </cell>
        </row>
        <row r="189">
          <cell r="A189">
            <v>10161513</v>
          </cell>
          <cell r="B189" t="str">
            <v>Palmeras</v>
          </cell>
        </row>
        <row r="190">
          <cell r="A190">
            <v>10161601</v>
          </cell>
          <cell r="B190" t="str">
            <v>Rosales</v>
          </cell>
        </row>
        <row r="191">
          <cell r="A191">
            <v>10161602</v>
          </cell>
          <cell r="B191" t="str">
            <v>Poinsettias</v>
          </cell>
        </row>
        <row r="192">
          <cell r="A192">
            <v>10161603</v>
          </cell>
          <cell r="B192" t="str">
            <v>Orquídeas</v>
          </cell>
        </row>
        <row r="193">
          <cell r="A193">
            <v>10161604</v>
          </cell>
          <cell r="B193" t="str">
            <v>Azaleas</v>
          </cell>
        </row>
        <row r="194">
          <cell r="A194">
            <v>10161605</v>
          </cell>
          <cell r="B194" t="str">
            <v>Cactos</v>
          </cell>
        </row>
        <row r="195">
          <cell r="A195">
            <v>10161701</v>
          </cell>
          <cell r="B195" t="str">
            <v>Gladiolos cortados</v>
          </cell>
        </row>
        <row r="196">
          <cell r="A196">
            <v>10161702</v>
          </cell>
          <cell r="B196" t="str">
            <v>Azucenas cortadas</v>
          </cell>
        </row>
        <row r="197">
          <cell r="A197">
            <v>10161703</v>
          </cell>
          <cell r="B197" t="str">
            <v>Claveles cortados</v>
          </cell>
        </row>
        <row r="198">
          <cell r="A198">
            <v>10161704</v>
          </cell>
          <cell r="B198" t="str">
            <v>Tulipanes cortados</v>
          </cell>
        </row>
        <row r="199">
          <cell r="A199">
            <v>10161705</v>
          </cell>
          <cell r="B199" t="str">
            <v>Rosas cortadas</v>
          </cell>
        </row>
        <row r="200">
          <cell r="A200">
            <v>10161707</v>
          </cell>
          <cell r="B200" t="str">
            <v>Arreglo de flores cortadas</v>
          </cell>
        </row>
        <row r="201">
          <cell r="A201">
            <v>10161801</v>
          </cell>
          <cell r="B201" t="str">
            <v>Helechos</v>
          </cell>
        </row>
        <row r="202">
          <cell r="A202">
            <v>10161802</v>
          </cell>
          <cell r="B202" t="str">
            <v>Hiedras</v>
          </cell>
        </row>
        <row r="203">
          <cell r="A203">
            <v>10161803</v>
          </cell>
          <cell r="B203" t="str">
            <v>Filodendros</v>
          </cell>
        </row>
        <row r="204">
          <cell r="A204">
            <v>10161804</v>
          </cell>
          <cell r="B204" t="str">
            <v>Líquenes</v>
          </cell>
        </row>
        <row r="205">
          <cell r="A205">
            <v>10161901</v>
          </cell>
          <cell r="B205" t="str">
            <v>Vainas secas</v>
          </cell>
        </row>
        <row r="206">
          <cell r="A206">
            <v>10161902</v>
          </cell>
          <cell r="B206" t="str">
            <v>Follaje seco</v>
          </cell>
        </row>
        <row r="207">
          <cell r="A207">
            <v>10161903</v>
          </cell>
          <cell r="B207" t="str">
            <v>Helechos secos</v>
          </cell>
        </row>
        <row r="208">
          <cell r="A208">
            <v>10161904</v>
          </cell>
          <cell r="B208" t="str">
            <v>Flores secas</v>
          </cell>
        </row>
        <row r="209">
          <cell r="A209">
            <v>10161905</v>
          </cell>
          <cell r="B209" t="str">
            <v>Ramas y tallos secos</v>
          </cell>
        </row>
        <row r="210">
          <cell r="A210">
            <v>10161906</v>
          </cell>
          <cell r="B210" t="str">
            <v>Penachos de gramíneas secos</v>
          </cell>
        </row>
        <row r="211">
          <cell r="A211">
            <v>10161907</v>
          </cell>
          <cell r="B211" t="str">
            <v>Flores secas prensadas</v>
          </cell>
        </row>
        <row r="212">
          <cell r="A212">
            <v>10161908</v>
          </cell>
          <cell r="B212" t="str">
            <v>Pétalos secos</v>
          </cell>
        </row>
        <row r="213">
          <cell r="A213">
            <v>10171501</v>
          </cell>
          <cell r="B213" t="str">
            <v>Estiércol o guano</v>
          </cell>
        </row>
        <row r="214">
          <cell r="A214">
            <v>10171502</v>
          </cell>
          <cell r="B214" t="str">
            <v>Hormonas para plantas</v>
          </cell>
        </row>
        <row r="215">
          <cell r="A215">
            <v>10171503</v>
          </cell>
          <cell r="B215" t="str">
            <v>Harina de pescado</v>
          </cell>
        </row>
        <row r="216">
          <cell r="A216">
            <v>10171504</v>
          </cell>
          <cell r="B216" t="str">
            <v>Abono</v>
          </cell>
        </row>
        <row r="217">
          <cell r="A217">
            <v>10171601</v>
          </cell>
          <cell r="B217" t="str">
            <v>Fertilizante nitrogenado</v>
          </cell>
        </row>
        <row r="218">
          <cell r="A218">
            <v>10171602</v>
          </cell>
          <cell r="B218" t="str">
            <v>Fertilizante de potasio</v>
          </cell>
        </row>
        <row r="219">
          <cell r="A219">
            <v>10171603</v>
          </cell>
          <cell r="B219" t="str">
            <v>Fertilizante de fósforo</v>
          </cell>
        </row>
        <row r="220">
          <cell r="A220">
            <v>10171604</v>
          </cell>
          <cell r="B220" t="str">
            <v>Fertilizante de sulfuro</v>
          </cell>
        </row>
        <row r="221">
          <cell r="A221">
            <v>10171605</v>
          </cell>
          <cell r="B221" t="str">
            <v>Mezclas de nitrógeno – fósforo – potasio – npk</v>
          </cell>
        </row>
        <row r="222">
          <cell r="A222">
            <v>10171701</v>
          </cell>
          <cell r="B222" t="str">
            <v>Matamalezas</v>
          </cell>
        </row>
        <row r="223">
          <cell r="A223">
            <v>10171702</v>
          </cell>
          <cell r="B223" t="str">
            <v>Fungicidas</v>
          </cell>
        </row>
        <row r="224">
          <cell r="A224">
            <v>10191506</v>
          </cell>
          <cell r="B224" t="str">
            <v>Mata – roedores</v>
          </cell>
        </row>
        <row r="225">
          <cell r="A225">
            <v>10191507</v>
          </cell>
          <cell r="B225" t="str">
            <v>Repelentes de aves</v>
          </cell>
        </row>
        <row r="226">
          <cell r="A226">
            <v>10191508</v>
          </cell>
          <cell r="B226" t="str">
            <v>Protectores contra termitas</v>
          </cell>
        </row>
        <row r="227">
          <cell r="A227">
            <v>10191509</v>
          </cell>
          <cell r="B227" t="str">
            <v>Insecticidas</v>
          </cell>
        </row>
        <row r="228">
          <cell r="A228">
            <v>10191701</v>
          </cell>
          <cell r="B228" t="str">
            <v>Trampas para control animal</v>
          </cell>
        </row>
        <row r="229">
          <cell r="A229">
            <v>10191703</v>
          </cell>
          <cell r="B229" t="str">
            <v>Trampas para el control de insectos voladores</v>
          </cell>
        </row>
        <row r="230">
          <cell r="A230">
            <v>10191704</v>
          </cell>
          <cell r="B230" t="str">
            <v>Matamoscas</v>
          </cell>
        </row>
        <row r="231">
          <cell r="A231">
            <v>10191705</v>
          </cell>
          <cell r="B231" t="str">
            <v>Lazos</v>
          </cell>
        </row>
        <row r="232">
          <cell r="A232">
            <v>10191706</v>
          </cell>
          <cell r="B232" t="str">
            <v>Cepos</v>
          </cell>
        </row>
        <row r="233">
          <cell r="A233">
            <v>11101501</v>
          </cell>
          <cell r="B233" t="str">
            <v>Mica</v>
          </cell>
        </row>
        <row r="234">
          <cell r="A234">
            <v>11101502</v>
          </cell>
          <cell r="B234" t="str">
            <v>Lija o esmeril</v>
          </cell>
        </row>
        <row r="235">
          <cell r="A235">
            <v>11101503</v>
          </cell>
          <cell r="B235" t="str">
            <v>Cuarzo</v>
          </cell>
        </row>
        <row r="236">
          <cell r="A236">
            <v>11101504</v>
          </cell>
          <cell r="B236" t="str">
            <v>Pirita</v>
          </cell>
        </row>
        <row r="237">
          <cell r="A237">
            <v>11101505</v>
          </cell>
          <cell r="B237" t="str">
            <v>Azufre o sulfuro</v>
          </cell>
        </row>
        <row r="238">
          <cell r="A238">
            <v>11101506</v>
          </cell>
          <cell r="B238" t="str">
            <v>Tiza</v>
          </cell>
        </row>
        <row r="239">
          <cell r="A239">
            <v>11101507</v>
          </cell>
          <cell r="B239" t="str">
            <v>Grafito</v>
          </cell>
        </row>
        <row r="240">
          <cell r="A240">
            <v>11101508</v>
          </cell>
          <cell r="B240" t="str">
            <v>Dolomita</v>
          </cell>
        </row>
        <row r="241">
          <cell r="A241">
            <v>11101509</v>
          </cell>
          <cell r="B241" t="str">
            <v>Magnesita</v>
          </cell>
        </row>
        <row r="242">
          <cell r="A242">
            <v>11101510</v>
          </cell>
          <cell r="B242" t="str">
            <v>Asbesto (amianto)</v>
          </cell>
        </row>
        <row r="243">
          <cell r="A243">
            <v>11101511</v>
          </cell>
          <cell r="B243" t="str">
            <v>Calcio</v>
          </cell>
        </row>
        <row r="244">
          <cell r="A244">
            <v>11101512</v>
          </cell>
          <cell r="B244" t="str">
            <v>Borato</v>
          </cell>
        </row>
        <row r="245">
          <cell r="A245">
            <v>11101513</v>
          </cell>
          <cell r="B245" t="str">
            <v>Criolita</v>
          </cell>
        </row>
        <row r="246">
          <cell r="A246">
            <v>11101514</v>
          </cell>
          <cell r="B246" t="str">
            <v>Feldespato</v>
          </cell>
        </row>
        <row r="247">
          <cell r="A247">
            <v>11101515</v>
          </cell>
          <cell r="B247" t="str">
            <v>Leucita</v>
          </cell>
        </row>
        <row r="248">
          <cell r="A248">
            <v>11101516</v>
          </cell>
          <cell r="B248" t="str">
            <v>Nefelita</v>
          </cell>
        </row>
        <row r="249">
          <cell r="A249">
            <v>11101517</v>
          </cell>
          <cell r="B249" t="str">
            <v>Esteatita</v>
          </cell>
        </row>
        <row r="250">
          <cell r="A250">
            <v>11101518</v>
          </cell>
          <cell r="B250" t="str">
            <v>Talco</v>
          </cell>
        </row>
        <row r="251">
          <cell r="A251">
            <v>11101519</v>
          </cell>
          <cell r="B251" t="str">
            <v>Diamante en bruto</v>
          </cell>
        </row>
        <row r="252">
          <cell r="A252">
            <v>11101520</v>
          </cell>
          <cell r="B252" t="str">
            <v>Granates</v>
          </cell>
        </row>
        <row r="253">
          <cell r="A253">
            <v>11101521</v>
          </cell>
          <cell r="B253" t="str">
            <v>Carburo de silicio</v>
          </cell>
        </row>
        <row r="254">
          <cell r="A254">
            <v>11101522</v>
          </cell>
          <cell r="B254" t="str">
            <v>Carbón activado</v>
          </cell>
        </row>
        <row r="255">
          <cell r="A255">
            <v>11101523</v>
          </cell>
          <cell r="B255" t="str">
            <v>Mulita</v>
          </cell>
        </row>
        <row r="256">
          <cell r="A256">
            <v>11101524</v>
          </cell>
          <cell r="B256" t="str">
            <v>Fluorita</v>
          </cell>
        </row>
        <row r="257">
          <cell r="A257">
            <v>11101525</v>
          </cell>
          <cell r="B257" t="str">
            <v>Kieserita</v>
          </cell>
        </row>
        <row r="258">
          <cell r="A258">
            <v>11101526</v>
          </cell>
          <cell r="B258" t="str">
            <v>Carnalita</v>
          </cell>
        </row>
        <row r="259">
          <cell r="A259">
            <v>11101527</v>
          </cell>
          <cell r="B259" t="str">
            <v>Sílice de diatomeas</v>
          </cell>
        </row>
        <row r="260">
          <cell r="A260">
            <v>11101601</v>
          </cell>
          <cell r="B260" t="str">
            <v>Mineral de hierro</v>
          </cell>
        </row>
        <row r="261">
          <cell r="A261">
            <v>11101602</v>
          </cell>
          <cell r="B261" t="str">
            <v>Mineral de titanio</v>
          </cell>
        </row>
        <row r="262">
          <cell r="A262">
            <v>11101603</v>
          </cell>
          <cell r="B262" t="str">
            <v>Mineral de uranio</v>
          </cell>
        </row>
        <row r="263">
          <cell r="A263">
            <v>11101604</v>
          </cell>
          <cell r="B263" t="str">
            <v>Mineral de cobre</v>
          </cell>
        </row>
        <row r="264">
          <cell r="A264">
            <v>11101605</v>
          </cell>
          <cell r="B264" t="str">
            <v>Mineral de aluminio</v>
          </cell>
        </row>
        <row r="265">
          <cell r="A265">
            <v>11101606</v>
          </cell>
          <cell r="B265" t="str">
            <v>Mineral de níquel</v>
          </cell>
        </row>
        <row r="266">
          <cell r="A266">
            <v>11101607</v>
          </cell>
          <cell r="B266" t="str">
            <v>Mineral de plata</v>
          </cell>
        </row>
        <row r="267">
          <cell r="A267">
            <v>11101608</v>
          </cell>
          <cell r="B267" t="str">
            <v>Mineral de plomo</v>
          </cell>
        </row>
        <row r="268">
          <cell r="A268">
            <v>11101609</v>
          </cell>
          <cell r="B268" t="str">
            <v>Mineral de zinc</v>
          </cell>
        </row>
        <row r="269">
          <cell r="A269">
            <v>11101610</v>
          </cell>
          <cell r="B269" t="str">
            <v>Mineral de estaño</v>
          </cell>
        </row>
        <row r="270">
          <cell r="A270">
            <v>11101611</v>
          </cell>
          <cell r="B270" t="str">
            <v>Mineral de manganeso</v>
          </cell>
        </row>
        <row r="271">
          <cell r="A271">
            <v>11101612</v>
          </cell>
          <cell r="B271" t="str">
            <v>Mineral de cromo</v>
          </cell>
        </row>
        <row r="272">
          <cell r="A272">
            <v>11101613</v>
          </cell>
          <cell r="B272" t="str">
            <v>Mineral de tungsteno o wolframio</v>
          </cell>
        </row>
        <row r="273">
          <cell r="A273">
            <v>11101614</v>
          </cell>
          <cell r="B273" t="str">
            <v>Mineral de molibdeno</v>
          </cell>
        </row>
        <row r="274">
          <cell r="A274">
            <v>11101615</v>
          </cell>
          <cell r="B274" t="str">
            <v>Mineral de cobalto</v>
          </cell>
        </row>
        <row r="275">
          <cell r="A275">
            <v>11101616</v>
          </cell>
          <cell r="B275" t="str">
            <v>Mineral de oro</v>
          </cell>
        </row>
        <row r="276">
          <cell r="A276">
            <v>11101617</v>
          </cell>
          <cell r="B276" t="str">
            <v>Mineral de tántalo</v>
          </cell>
        </row>
        <row r="277">
          <cell r="A277">
            <v>11101618</v>
          </cell>
          <cell r="B277" t="str">
            <v>Mineral de platino</v>
          </cell>
        </row>
        <row r="278">
          <cell r="A278">
            <v>11101619</v>
          </cell>
          <cell r="B278" t="str">
            <v>Mineral de vermiculita</v>
          </cell>
        </row>
        <row r="279">
          <cell r="A279">
            <v>11101620</v>
          </cell>
          <cell r="B279" t="str">
            <v>Mineral de torio</v>
          </cell>
        </row>
        <row r="280">
          <cell r="A280">
            <v>11101621</v>
          </cell>
          <cell r="B280" t="str">
            <v>Mineral de cianita</v>
          </cell>
        </row>
        <row r="281">
          <cell r="A281">
            <v>11101622</v>
          </cell>
          <cell r="B281" t="str">
            <v>Mineral de antimonio</v>
          </cell>
        </row>
        <row r="282">
          <cell r="A282">
            <v>11101623</v>
          </cell>
          <cell r="B282" t="str">
            <v>Mineral de zirconio</v>
          </cell>
        </row>
        <row r="283">
          <cell r="A283">
            <v>11101701</v>
          </cell>
          <cell r="B283" t="str">
            <v>Escoria o ceniza</v>
          </cell>
        </row>
        <row r="284">
          <cell r="A284">
            <v>11101702</v>
          </cell>
          <cell r="B284" t="str">
            <v>Grafito natural</v>
          </cell>
        </row>
        <row r="285">
          <cell r="A285">
            <v>11101703</v>
          </cell>
          <cell r="B285" t="str">
            <v>Titanio</v>
          </cell>
        </row>
        <row r="286">
          <cell r="A286">
            <v>11101704</v>
          </cell>
          <cell r="B286" t="str">
            <v>Acero</v>
          </cell>
        </row>
        <row r="287">
          <cell r="A287">
            <v>11101705</v>
          </cell>
          <cell r="B287" t="str">
            <v>Aluminio</v>
          </cell>
        </row>
        <row r="288">
          <cell r="A288">
            <v>11101706</v>
          </cell>
          <cell r="B288" t="str">
            <v>Níquel</v>
          </cell>
        </row>
        <row r="289">
          <cell r="A289">
            <v>11101707</v>
          </cell>
          <cell r="B289" t="str">
            <v>Magnesio</v>
          </cell>
        </row>
        <row r="290">
          <cell r="A290">
            <v>11101708</v>
          </cell>
          <cell r="B290" t="str">
            <v>Bismuto</v>
          </cell>
        </row>
        <row r="291">
          <cell r="A291">
            <v>11101709</v>
          </cell>
          <cell r="B291" t="str">
            <v>Antimonio</v>
          </cell>
        </row>
        <row r="292">
          <cell r="A292">
            <v>11101710</v>
          </cell>
          <cell r="B292" t="str">
            <v>Cadmio</v>
          </cell>
        </row>
        <row r="293">
          <cell r="A293">
            <v>11101711</v>
          </cell>
          <cell r="B293" t="str">
            <v>Aleación no ferrosa</v>
          </cell>
        </row>
        <row r="294">
          <cell r="A294">
            <v>11101712</v>
          </cell>
          <cell r="B294" t="str">
            <v>Aleación ferrosa</v>
          </cell>
        </row>
        <row r="295">
          <cell r="A295">
            <v>11101713</v>
          </cell>
          <cell r="B295" t="str">
            <v>Hierro</v>
          </cell>
        </row>
        <row r="296">
          <cell r="A296">
            <v>11101714</v>
          </cell>
          <cell r="B296" t="str">
            <v>Plomo</v>
          </cell>
        </row>
        <row r="297">
          <cell r="A297">
            <v>11101715</v>
          </cell>
          <cell r="B297" t="str">
            <v>Cobre</v>
          </cell>
        </row>
        <row r="298">
          <cell r="A298">
            <v>11101716</v>
          </cell>
          <cell r="B298" t="str">
            <v>Estaño</v>
          </cell>
        </row>
        <row r="299">
          <cell r="A299">
            <v>11101717</v>
          </cell>
          <cell r="B299" t="str">
            <v>Indio</v>
          </cell>
        </row>
        <row r="300">
          <cell r="A300">
            <v>11101718</v>
          </cell>
          <cell r="B300" t="str">
            <v>Paladio</v>
          </cell>
        </row>
        <row r="301">
          <cell r="A301">
            <v>11101719</v>
          </cell>
          <cell r="B301" t="str">
            <v>Zinc</v>
          </cell>
        </row>
        <row r="302">
          <cell r="A302">
            <v>11101801</v>
          </cell>
          <cell r="B302" t="str">
            <v>Oro</v>
          </cell>
        </row>
        <row r="303">
          <cell r="A303">
            <v>11101802</v>
          </cell>
          <cell r="B303" t="str">
            <v>Plata</v>
          </cell>
        </row>
        <row r="304">
          <cell r="A304">
            <v>11101803</v>
          </cell>
          <cell r="B304" t="str">
            <v>Platino</v>
          </cell>
        </row>
        <row r="305">
          <cell r="A305">
            <v>11111501</v>
          </cell>
          <cell r="B305" t="str">
            <v>Tierra</v>
          </cell>
        </row>
        <row r="306">
          <cell r="A306">
            <v>11111502</v>
          </cell>
          <cell r="B306" t="str">
            <v>Material de relleno</v>
          </cell>
        </row>
        <row r="307">
          <cell r="A307">
            <v>11111503</v>
          </cell>
          <cell r="B307" t="str">
            <v>Capa vegetal</v>
          </cell>
        </row>
        <row r="308">
          <cell r="A308">
            <v>11111601</v>
          </cell>
          <cell r="B308" t="str">
            <v>Yeso</v>
          </cell>
        </row>
        <row r="309">
          <cell r="A309">
            <v>11111602</v>
          </cell>
          <cell r="B309" t="str">
            <v>Travertino</v>
          </cell>
        </row>
        <row r="310">
          <cell r="A310">
            <v>11111603</v>
          </cell>
          <cell r="B310" t="str">
            <v>Alabastro</v>
          </cell>
        </row>
        <row r="311">
          <cell r="A311">
            <v>11111604</v>
          </cell>
          <cell r="B311" t="str">
            <v>Granito</v>
          </cell>
        </row>
        <row r="312">
          <cell r="A312">
            <v>11111605</v>
          </cell>
          <cell r="B312" t="str">
            <v>Mármol</v>
          </cell>
        </row>
        <row r="313">
          <cell r="A313">
            <v>11111606</v>
          </cell>
          <cell r="B313" t="str">
            <v>Pizarra</v>
          </cell>
        </row>
        <row r="314">
          <cell r="A314">
            <v>11111607</v>
          </cell>
          <cell r="B314" t="str">
            <v>Arenisca</v>
          </cell>
        </row>
        <row r="315">
          <cell r="A315">
            <v>11111608</v>
          </cell>
          <cell r="B315" t="str">
            <v>Caliza</v>
          </cell>
        </row>
        <row r="316">
          <cell r="A316">
            <v>11111609</v>
          </cell>
          <cell r="B316" t="str">
            <v>Basalto</v>
          </cell>
        </row>
        <row r="317">
          <cell r="A317">
            <v>11111610</v>
          </cell>
          <cell r="B317" t="str">
            <v>Piedra pómez</v>
          </cell>
        </row>
        <row r="318">
          <cell r="A318">
            <v>11111611</v>
          </cell>
          <cell r="B318" t="str">
            <v>Gravilla</v>
          </cell>
        </row>
        <row r="319">
          <cell r="A319">
            <v>11111701</v>
          </cell>
          <cell r="B319" t="str">
            <v>Arena de sílice</v>
          </cell>
        </row>
        <row r="320">
          <cell r="A320">
            <v>11111801</v>
          </cell>
          <cell r="B320" t="str">
            <v>Terracota</v>
          </cell>
        </row>
        <row r="321">
          <cell r="A321">
            <v>11111802</v>
          </cell>
          <cell r="B321" t="str">
            <v>Arcilla refractaria</v>
          </cell>
        </row>
        <row r="322">
          <cell r="A322">
            <v>11111803</v>
          </cell>
          <cell r="B322" t="str">
            <v>Caolín u otras arcillas caolínicas</v>
          </cell>
        </row>
        <row r="323">
          <cell r="A323">
            <v>11111804</v>
          </cell>
          <cell r="B323" t="str">
            <v>Bentonita</v>
          </cell>
        </row>
        <row r="324">
          <cell r="A324">
            <v>11111805</v>
          </cell>
          <cell r="B324" t="str">
            <v>Andalucita</v>
          </cell>
        </row>
        <row r="325">
          <cell r="A325">
            <v>11111806</v>
          </cell>
          <cell r="B325" t="str">
            <v>Mullita</v>
          </cell>
        </row>
        <row r="326">
          <cell r="A326">
            <v>11111807</v>
          </cell>
          <cell r="B326" t="str">
            <v>Chamota</v>
          </cell>
        </row>
        <row r="327">
          <cell r="A327">
            <v>11111808</v>
          </cell>
          <cell r="B327" t="str">
            <v>Arcilla común</v>
          </cell>
        </row>
        <row r="328">
          <cell r="A328">
            <v>11111809</v>
          </cell>
          <cell r="B328" t="str">
            <v>Arcilla de bola</v>
          </cell>
        </row>
        <row r="329">
          <cell r="A329">
            <v>11111810</v>
          </cell>
          <cell r="B329" t="str">
            <v>Tierra de fuller</v>
          </cell>
        </row>
        <row r="330">
          <cell r="A330">
            <v>11121502</v>
          </cell>
          <cell r="B330" t="str">
            <v>Resina</v>
          </cell>
        </row>
        <row r="331">
          <cell r="A331">
            <v>11121503</v>
          </cell>
          <cell r="B331" t="str">
            <v>Laca</v>
          </cell>
        </row>
        <row r="332">
          <cell r="A332">
            <v>11121603</v>
          </cell>
          <cell r="B332" t="str">
            <v>Troncos</v>
          </cell>
        </row>
        <row r="333">
          <cell r="A333">
            <v>11121604</v>
          </cell>
          <cell r="B333" t="str">
            <v>Madera blanda</v>
          </cell>
        </row>
        <row r="334">
          <cell r="A334">
            <v>11121605</v>
          </cell>
          <cell r="B334" t="str">
            <v>Ratán</v>
          </cell>
        </row>
        <row r="335">
          <cell r="A335">
            <v>11121606</v>
          </cell>
          <cell r="B335" t="str">
            <v>Corcho</v>
          </cell>
        </row>
        <row r="336">
          <cell r="A336">
            <v>11121607</v>
          </cell>
          <cell r="B336" t="str">
            <v>Pulpa de madera</v>
          </cell>
        </row>
        <row r="337">
          <cell r="A337">
            <v>11121608</v>
          </cell>
          <cell r="B337" t="str">
            <v>Bambú</v>
          </cell>
        </row>
        <row r="338">
          <cell r="A338">
            <v>11121609</v>
          </cell>
          <cell r="B338" t="str">
            <v>Contrachapado</v>
          </cell>
        </row>
        <row r="339">
          <cell r="A339">
            <v>11121610</v>
          </cell>
          <cell r="B339" t="str">
            <v>Maderas duras</v>
          </cell>
        </row>
        <row r="340">
          <cell r="A340">
            <v>11121611</v>
          </cell>
          <cell r="B340" t="str">
            <v>Tablero de partículas</v>
          </cell>
        </row>
        <row r="341">
          <cell r="A341">
            <v>11121612</v>
          </cell>
          <cell r="B341" t="str">
            <v>Médula de madera</v>
          </cell>
        </row>
        <row r="342">
          <cell r="A342">
            <v>11121701</v>
          </cell>
          <cell r="B342" t="str">
            <v>Aserrín</v>
          </cell>
        </row>
        <row r="343">
          <cell r="A343">
            <v>11121702</v>
          </cell>
          <cell r="B343" t="str">
            <v>Astillas de madera</v>
          </cell>
        </row>
        <row r="344">
          <cell r="A344">
            <v>11121703</v>
          </cell>
          <cell r="B344" t="str">
            <v>Musgo de turba</v>
          </cell>
        </row>
        <row r="345">
          <cell r="A345">
            <v>11121705</v>
          </cell>
          <cell r="B345" t="str">
            <v>Corteza</v>
          </cell>
        </row>
        <row r="346">
          <cell r="A346">
            <v>11121706</v>
          </cell>
          <cell r="B346" t="str">
            <v>Composta de madera</v>
          </cell>
        </row>
        <row r="347">
          <cell r="A347">
            <v>11121707</v>
          </cell>
          <cell r="B347" t="str">
            <v>Viruta de madera</v>
          </cell>
        </row>
        <row r="348">
          <cell r="A348">
            <v>11121708</v>
          </cell>
          <cell r="B348" t="str">
            <v>Harina de madera</v>
          </cell>
        </row>
        <row r="349">
          <cell r="A349">
            <v>11121709</v>
          </cell>
          <cell r="B349" t="str">
            <v>Bálsamos</v>
          </cell>
        </row>
        <row r="350">
          <cell r="A350">
            <v>11121710</v>
          </cell>
          <cell r="B350" t="str">
            <v>Brea de madera</v>
          </cell>
        </row>
        <row r="351">
          <cell r="A351">
            <v>11121801</v>
          </cell>
          <cell r="B351" t="str">
            <v>Cáñamo</v>
          </cell>
        </row>
        <row r="352">
          <cell r="A352">
            <v>11121802</v>
          </cell>
          <cell r="B352" t="str">
            <v>Algodón</v>
          </cell>
        </row>
        <row r="353">
          <cell r="A353">
            <v>11121803</v>
          </cell>
          <cell r="B353" t="str">
            <v>Lino</v>
          </cell>
        </row>
        <row r="354">
          <cell r="A354">
            <v>11121804</v>
          </cell>
          <cell r="B354" t="str">
            <v>Yute</v>
          </cell>
        </row>
        <row r="355">
          <cell r="A355">
            <v>11121805</v>
          </cell>
          <cell r="B355" t="str">
            <v>Sisal</v>
          </cell>
        </row>
        <row r="356">
          <cell r="A356">
            <v>11121806</v>
          </cell>
          <cell r="B356" t="str">
            <v>Fibra de coco</v>
          </cell>
        </row>
        <row r="357">
          <cell r="A357">
            <v>11121807</v>
          </cell>
          <cell r="B357" t="str">
            <v>Fibras de abacá</v>
          </cell>
        </row>
        <row r="358">
          <cell r="A358">
            <v>11121808</v>
          </cell>
          <cell r="B358" t="str">
            <v>Ramio</v>
          </cell>
        </row>
        <row r="359">
          <cell r="A359">
            <v>11121809</v>
          </cell>
          <cell r="B359" t="str">
            <v>Paja</v>
          </cell>
        </row>
        <row r="360">
          <cell r="A360">
            <v>11121810</v>
          </cell>
          <cell r="B360" t="str">
            <v>Mijo común o ixtle o piasava</v>
          </cell>
        </row>
        <row r="361">
          <cell r="A361">
            <v>11121901</v>
          </cell>
          <cell r="B361" t="str">
            <v>Raíz de regaliz</v>
          </cell>
        </row>
        <row r="362">
          <cell r="A362">
            <v>11131501</v>
          </cell>
          <cell r="B362" t="str">
            <v>Plumas</v>
          </cell>
        </row>
        <row r="363">
          <cell r="A363">
            <v>11131502</v>
          </cell>
          <cell r="B363" t="str">
            <v>Pieles</v>
          </cell>
        </row>
        <row r="364">
          <cell r="A364">
            <v>11131503</v>
          </cell>
          <cell r="B364" t="str">
            <v>Pelo animal</v>
          </cell>
        </row>
        <row r="365">
          <cell r="A365">
            <v>11131504</v>
          </cell>
          <cell r="B365" t="str">
            <v>Cueros</v>
          </cell>
        </row>
        <row r="366">
          <cell r="A366">
            <v>11131505</v>
          </cell>
          <cell r="B366" t="str">
            <v>Mohair sin procesar</v>
          </cell>
        </row>
        <row r="367">
          <cell r="A367">
            <v>11131506</v>
          </cell>
          <cell r="B367" t="str">
            <v>Lana sin procesar</v>
          </cell>
        </row>
        <row r="368">
          <cell r="A368">
            <v>11131507</v>
          </cell>
          <cell r="B368" t="str">
            <v>Gamuza</v>
          </cell>
        </row>
        <row r="369">
          <cell r="A369">
            <v>11131508</v>
          </cell>
          <cell r="B369" t="str">
            <v>Cuero de grano completo</v>
          </cell>
        </row>
        <row r="370">
          <cell r="A370">
            <v>11131601</v>
          </cell>
          <cell r="B370" t="str">
            <v>Marfil</v>
          </cell>
        </row>
        <row r="371">
          <cell r="A371">
            <v>11131602</v>
          </cell>
          <cell r="B371" t="str">
            <v>Semen</v>
          </cell>
        </row>
        <row r="372">
          <cell r="A372">
            <v>11131603</v>
          </cell>
          <cell r="B372" t="str">
            <v>Excreciones</v>
          </cell>
        </row>
        <row r="373">
          <cell r="A373">
            <v>11131604</v>
          </cell>
          <cell r="B373" t="str">
            <v>Huevas de pescado</v>
          </cell>
        </row>
        <row r="374">
          <cell r="A374">
            <v>11131605</v>
          </cell>
          <cell r="B374" t="str">
            <v>Huesos</v>
          </cell>
        </row>
        <row r="375">
          <cell r="A375">
            <v>11131606</v>
          </cell>
          <cell r="B375" t="str">
            <v>Cuernos de animales</v>
          </cell>
        </row>
        <row r="376">
          <cell r="A376">
            <v>11131607</v>
          </cell>
          <cell r="B376" t="str">
            <v>Embriones</v>
          </cell>
        </row>
        <row r="377">
          <cell r="A377">
            <v>11131608</v>
          </cell>
          <cell r="B377" t="str">
            <v>Artículos de concha</v>
          </cell>
        </row>
        <row r="378">
          <cell r="A378">
            <v>11141601</v>
          </cell>
          <cell r="B378" t="str">
            <v>Desecho o desperdicio textil</v>
          </cell>
        </row>
        <row r="379">
          <cell r="A379">
            <v>11141602</v>
          </cell>
          <cell r="B379" t="str">
            <v>Desecho o desperdicio plástico</v>
          </cell>
        </row>
        <row r="380">
          <cell r="A380">
            <v>11141603</v>
          </cell>
          <cell r="B380" t="str">
            <v>Desechos de aceite</v>
          </cell>
        </row>
        <row r="381">
          <cell r="A381">
            <v>11141604</v>
          </cell>
          <cell r="B381" t="str">
            <v>Desechos de papel</v>
          </cell>
        </row>
        <row r="382">
          <cell r="A382">
            <v>11141605</v>
          </cell>
          <cell r="B382" t="str">
            <v>Desecho o desperdicios de vidrio</v>
          </cell>
        </row>
        <row r="383">
          <cell r="A383">
            <v>11141606</v>
          </cell>
          <cell r="B383" t="str">
            <v>Desecho o desperdicios de madera</v>
          </cell>
        </row>
        <row r="384">
          <cell r="A384">
            <v>11141607</v>
          </cell>
          <cell r="B384" t="str">
            <v>Desecho o desperdicios de caucho</v>
          </cell>
        </row>
        <row r="385">
          <cell r="A385">
            <v>11141608</v>
          </cell>
          <cell r="B385" t="str">
            <v>Desecho o desperdicios peligrosos</v>
          </cell>
        </row>
        <row r="386">
          <cell r="A386">
            <v>11141609</v>
          </cell>
          <cell r="B386" t="str">
            <v>Composición de cuero</v>
          </cell>
        </row>
        <row r="387">
          <cell r="A387">
            <v>11141610</v>
          </cell>
          <cell r="B387" t="str">
            <v>Desecho o desperdicios de cuero</v>
          </cell>
        </row>
        <row r="388">
          <cell r="A388">
            <v>11141701</v>
          </cell>
          <cell r="B388" t="str">
            <v>Desecho o desperdicios de alimentos</v>
          </cell>
        </row>
        <row r="389">
          <cell r="A389">
            <v>11141702</v>
          </cell>
          <cell r="B389" t="str">
            <v>Desecho o desperdicios de tabaco</v>
          </cell>
        </row>
        <row r="390">
          <cell r="A390">
            <v>11151501</v>
          </cell>
          <cell r="B390" t="str">
            <v>Fibras de acetato</v>
          </cell>
        </row>
        <row r="391">
          <cell r="A391">
            <v>11151502</v>
          </cell>
          <cell r="B391" t="str">
            <v>Fibras de nylon</v>
          </cell>
        </row>
        <row r="392">
          <cell r="A392">
            <v>11151503</v>
          </cell>
          <cell r="B392" t="str">
            <v>Fibras de poliéster</v>
          </cell>
        </row>
        <row r="393">
          <cell r="A393">
            <v>11151504</v>
          </cell>
          <cell r="B393" t="str">
            <v>Fibras de acrílico</v>
          </cell>
        </row>
        <row r="394">
          <cell r="A394">
            <v>11151505</v>
          </cell>
          <cell r="B394" t="str">
            <v>Fibras de viscosas</v>
          </cell>
        </row>
        <row r="395">
          <cell r="A395">
            <v>11151506</v>
          </cell>
          <cell r="B395" t="str">
            <v>Fibras de rayón</v>
          </cell>
        </row>
        <row r="396">
          <cell r="A396">
            <v>11151507</v>
          </cell>
          <cell r="B396" t="str">
            <v>Fibras de algodón</v>
          </cell>
        </row>
        <row r="397">
          <cell r="A397">
            <v>11151508</v>
          </cell>
          <cell r="B397" t="str">
            <v>Fibras de lana</v>
          </cell>
        </row>
        <row r="398">
          <cell r="A398">
            <v>11151509</v>
          </cell>
          <cell r="B398" t="str">
            <v>Fibras de seda</v>
          </cell>
        </row>
        <row r="399">
          <cell r="A399">
            <v>11151510</v>
          </cell>
          <cell r="B399" t="str">
            <v>Fibras vegetales</v>
          </cell>
        </row>
        <row r="400">
          <cell r="A400">
            <v>11151511</v>
          </cell>
          <cell r="B400" t="str">
            <v>Fibras de polipropileno</v>
          </cell>
        </row>
        <row r="401">
          <cell r="A401">
            <v>11151512</v>
          </cell>
          <cell r="B401" t="str">
            <v>Fibras de vidrio</v>
          </cell>
        </row>
        <row r="402">
          <cell r="A402">
            <v>11151513</v>
          </cell>
          <cell r="B402" t="str">
            <v>Fibras cerámicas</v>
          </cell>
        </row>
        <row r="403">
          <cell r="A403">
            <v>11151514</v>
          </cell>
          <cell r="B403" t="str">
            <v>Fibras de polímero de aramida</v>
          </cell>
        </row>
        <row r="404">
          <cell r="A404">
            <v>11151515</v>
          </cell>
          <cell r="B404" t="str">
            <v>Fibras de asbesto</v>
          </cell>
        </row>
        <row r="405">
          <cell r="A405">
            <v>11151601</v>
          </cell>
          <cell r="B405" t="str">
            <v>Hebra de algodón</v>
          </cell>
        </row>
        <row r="406">
          <cell r="A406">
            <v>11151602</v>
          </cell>
          <cell r="B406" t="str">
            <v>Hebra de seda</v>
          </cell>
        </row>
        <row r="407">
          <cell r="A407">
            <v>11151603</v>
          </cell>
          <cell r="B407" t="str">
            <v>Hebra de poliéster</v>
          </cell>
        </row>
        <row r="408">
          <cell r="A408">
            <v>11151604</v>
          </cell>
          <cell r="B408" t="str">
            <v>Hebra de poliamida</v>
          </cell>
        </row>
        <row r="409">
          <cell r="A409">
            <v>11151605</v>
          </cell>
          <cell r="B409" t="str">
            <v>Hebra de bismaleimida</v>
          </cell>
        </row>
        <row r="410">
          <cell r="A410">
            <v>11151606</v>
          </cell>
          <cell r="B410" t="str">
            <v>Hebra de fibra de vidrio</v>
          </cell>
        </row>
        <row r="411">
          <cell r="A411">
            <v>11151607</v>
          </cell>
          <cell r="B411" t="str">
            <v>Hebra de grafito</v>
          </cell>
        </row>
        <row r="412">
          <cell r="A412">
            <v>11151608</v>
          </cell>
          <cell r="B412" t="str">
            <v>Hebra de nylon</v>
          </cell>
        </row>
        <row r="413">
          <cell r="A413">
            <v>11151609</v>
          </cell>
          <cell r="B413" t="str">
            <v>Hebra de resina impregnada</v>
          </cell>
        </row>
        <row r="414">
          <cell r="A414">
            <v>11151610</v>
          </cell>
          <cell r="B414" t="str">
            <v>Hebra de caucho o látex</v>
          </cell>
        </row>
        <row r="415">
          <cell r="A415">
            <v>11151611</v>
          </cell>
          <cell r="B415" t="str">
            <v>Hebra de spandex</v>
          </cell>
        </row>
        <row r="416">
          <cell r="A416">
            <v>11151612</v>
          </cell>
          <cell r="B416" t="str">
            <v>Hebra de asbesto</v>
          </cell>
        </row>
        <row r="417">
          <cell r="A417">
            <v>11151701</v>
          </cell>
          <cell r="B417" t="str">
            <v>Hilado de lana</v>
          </cell>
        </row>
        <row r="418">
          <cell r="A418">
            <v>11151702</v>
          </cell>
          <cell r="B418" t="str">
            <v>Hilado de algodón</v>
          </cell>
        </row>
        <row r="419">
          <cell r="A419">
            <v>11151703</v>
          </cell>
          <cell r="B419" t="str">
            <v>Hilado de poliéster</v>
          </cell>
        </row>
        <row r="420">
          <cell r="A420">
            <v>11151704</v>
          </cell>
          <cell r="B420" t="str">
            <v>Hilado de acrílico</v>
          </cell>
        </row>
        <row r="421">
          <cell r="A421">
            <v>11151705</v>
          </cell>
          <cell r="B421" t="str">
            <v>Hilado de seda</v>
          </cell>
        </row>
        <row r="422">
          <cell r="A422">
            <v>11151706</v>
          </cell>
          <cell r="B422" t="str">
            <v>Hilado de ramie</v>
          </cell>
        </row>
        <row r="423">
          <cell r="A423">
            <v>11151708</v>
          </cell>
          <cell r="B423" t="str">
            <v>Hilado de pelo animal</v>
          </cell>
        </row>
        <row r="424">
          <cell r="A424">
            <v>11151709</v>
          </cell>
          <cell r="B424" t="str">
            <v>Hilado de sintético</v>
          </cell>
        </row>
        <row r="425">
          <cell r="A425">
            <v>11151710</v>
          </cell>
          <cell r="B425" t="str">
            <v>Hilado de yute</v>
          </cell>
        </row>
        <row r="426">
          <cell r="A426">
            <v>11151711</v>
          </cell>
          <cell r="B426" t="str">
            <v>Hilado de fibra de coco</v>
          </cell>
        </row>
        <row r="427">
          <cell r="A427">
            <v>11151712</v>
          </cell>
          <cell r="B427" t="str">
            <v>Hilado de papel</v>
          </cell>
        </row>
        <row r="428">
          <cell r="A428">
            <v>11151713</v>
          </cell>
          <cell r="B428" t="str">
            <v>Hilado de cáñamo</v>
          </cell>
        </row>
        <row r="429">
          <cell r="A429">
            <v>11151714</v>
          </cell>
          <cell r="B429" t="str">
            <v>Hilado de vidrio</v>
          </cell>
        </row>
        <row r="430">
          <cell r="A430">
            <v>11151715</v>
          </cell>
          <cell r="B430" t="str">
            <v>Hilado de lino</v>
          </cell>
        </row>
        <row r="431">
          <cell r="A431">
            <v>11161501</v>
          </cell>
          <cell r="B431" t="str">
            <v>Textiles de seda de tejido simple</v>
          </cell>
        </row>
        <row r="432">
          <cell r="A432">
            <v>11161502</v>
          </cell>
          <cell r="B432" t="str">
            <v>Textiles de seda de tejido  jacquard</v>
          </cell>
        </row>
        <row r="433">
          <cell r="A433">
            <v>11161503</v>
          </cell>
          <cell r="B433" t="str">
            <v>Textiles de lana</v>
          </cell>
        </row>
        <row r="434">
          <cell r="A434">
            <v>11161504</v>
          </cell>
          <cell r="B434" t="str">
            <v>Textiles de tejido de pana</v>
          </cell>
        </row>
        <row r="435">
          <cell r="A435">
            <v>11161601</v>
          </cell>
          <cell r="B435" t="str">
            <v>Tejidos de lana en tafetán</v>
          </cell>
        </row>
        <row r="436">
          <cell r="A436">
            <v>11161602</v>
          </cell>
          <cell r="B436" t="str">
            <v>Tejidos de lana urdidos a la jacquard</v>
          </cell>
        </row>
        <row r="437">
          <cell r="A437">
            <v>11161603</v>
          </cell>
          <cell r="B437" t="str">
            <v>Tejidos de lana de punto</v>
          </cell>
        </row>
        <row r="438">
          <cell r="A438">
            <v>11161604</v>
          </cell>
          <cell r="B438" t="str">
            <v>Tejidos de lana de ligamento de sarga</v>
          </cell>
        </row>
        <row r="439">
          <cell r="A439">
            <v>11161701</v>
          </cell>
          <cell r="B439" t="str">
            <v>Textiles de algodón de tejido simple</v>
          </cell>
        </row>
        <row r="440">
          <cell r="A440">
            <v>11161702</v>
          </cell>
          <cell r="B440" t="str">
            <v>Textiles de algodón de tejido de pana</v>
          </cell>
        </row>
        <row r="441">
          <cell r="A441">
            <v>11161703</v>
          </cell>
          <cell r="B441" t="str">
            <v>Tela de algodón oxford</v>
          </cell>
        </row>
        <row r="442">
          <cell r="A442">
            <v>11161704</v>
          </cell>
          <cell r="B442" t="str">
            <v>Textiles de algodón tejido</v>
          </cell>
        </row>
        <row r="443">
          <cell r="A443">
            <v>11161705</v>
          </cell>
          <cell r="B443" t="str">
            <v>Textiles de terciopelo de algodón</v>
          </cell>
        </row>
        <row r="444">
          <cell r="A444">
            <v>11161801</v>
          </cell>
          <cell r="B444" t="str">
            <v>Textil sintético de tejido sintético</v>
          </cell>
        </row>
        <row r="445">
          <cell r="A445">
            <v>11161802</v>
          </cell>
          <cell r="B445" t="str">
            <v>Textil sintético de tejido jacquard</v>
          </cell>
        </row>
        <row r="446">
          <cell r="A446">
            <v>11161803</v>
          </cell>
          <cell r="B446" t="str">
            <v>Textil sintético de tejido dobby</v>
          </cell>
        </row>
        <row r="447">
          <cell r="A447">
            <v>11161804</v>
          </cell>
          <cell r="B447" t="str">
            <v>Textil sintético tejido</v>
          </cell>
        </row>
        <row r="448">
          <cell r="A448">
            <v>11161805</v>
          </cell>
          <cell r="B448" t="str">
            <v>Textil sintético de terciopelo</v>
          </cell>
        </row>
        <row r="449">
          <cell r="A449">
            <v>11162001</v>
          </cell>
          <cell r="B449" t="str">
            <v>Textil de fibra vegetal tejida distinta de algodón simple</v>
          </cell>
        </row>
        <row r="450">
          <cell r="A450">
            <v>11162002</v>
          </cell>
          <cell r="B450" t="str">
            <v>Textil de fibra vegetal tejida distinta de algodón</v>
          </cell>
        </row>
        <row r="451">
          <cell r="A451">
            <v>11162003</v>
          </cell>
          <cell r="B451" t="str">
            <v>Tela de arpillera o cáñamo o yute</v>
          </cell>
        </row>
        <row r="452">
          <cell r="A452">
            <v>11162101</v>
          </cell>
          <cell r="B452" t="str">
            <v>Tela o textil de queso</v>
          </cell>
        </row>
        <row r="453">
          <cell r="A453">
            <v>11162102</v>
          </cell>
          <cell r="B453" t="str">
            <v>Tela o textil de bismaleimida</v>
          </cell>
        </row>
        <row r="454">
          <cell r="A454">
            <v>11162104</v>
          </cell>
          <cell r="B454" t="str">
            <v>Tela o textil de grafito</v>
          </cell>
        </row>
        <row r="455">
          <cell r="A455">
            <v>11162105</v>
          </cell>
          <cell r="B455" t="str">
            <v>Tela o textil de vidrio</v>
          </cell>
        </row>
        <row r="456">
          <cell r="A456">
            <v>11162107</v>
          </cell>
          <cell r="B456" t="str">
            <v>Tela de resina impregnada</v>
          </cell>
        </row>
        <row r="457">
          <cell r="A457">
            <v>11162108</v>
          </cell>
          <cell r="B457" t="str">
            <v>Tela malla de alambre</v>
          </cell>
        </row>
        <row r="458">
          <cell r="A458">
            <v>11162109</v>
          </cell>
          <cell r="B458" t="str">
            <v>Encaje</v>
          </cell>
        </row>
        <row r="459">
          <cell r="A459">
            <v>11162110</v>
          </cell>
          <cell r="B459" t="str">
            <v>Malla red</v>
          </cell>
        </row>
        <row r="460">
          <cell r="A460">
            <v>11162111</v>
          </cell>
          <cell r="B460" t="str">
            <v>Malla</v>
          </cell>
        </row>
        <row r="461">
          <cell r="A461">
            <v>11162112</v>
          </cell>
          <cell r="B461" t="str">
            <v>Telas revestidas</v>
          </cell>
        </row>
        <row r="462">
          <cell r="A462">
            <v>11162113</v>
          </cell>
          <cell r="B462" t="str">
            <v>Telas para tapicería</v>
          </cell>
        </row>
        <row r="463">
          <cell r="A463">
            <v>11162114</v>
          </cell>
          <cell r="B463" t="str">
            <v>Telas o cintas de velcro</v>
          </cell>
        </row>
        <row r="464">
          <cell r="A464">
            <v>11162115</v>
          </cell>
          <cell r="B464" t="str">
            <v>Trenza elástica</v>
          </cell>
        </row>
        <row r="465">
          <cell r="A465">
            <v>11162116</v>
          </cell>
          <cell r="B465" t="str">
            <v>Tela de fique o estopa</v>
          </cell>
        </row>
        <row r="466">
          <cell r="A466">
            <v>11162117</v>
          </cell>
          <cell r="B466" t="str">
            <v>Tela de caucho</v>
          </cell>
        </row>
        <row r="467">
          <cell r="A467">
            <v>11162118</v>
          </cell>
          <cell r="B467" t="str">
            <v>Tela de hilado de papel</v>
          </cell>
        </row>
        <row r="468">
          <cell r="A468">
            <v>11162119</v>
          </cell>
          <cell r="B468" t="str">
            <v>Tela de calcado</v>
          </cell>
        </row>
        <row r="469">
          <cell r="A469">
            <v>11162120</v>
          </cell>
          <cell r="B469" t="str">
            <v>Tela de cernido</v>
          </cell>
        </row>
        <row r="470">
          <cell r="A470">
            <v>11162121</v>
          </cell>
          <cell r="B470" t="str">
            <v>Artículos de pasamanería y ornamentales</v>
          </cell>
        </row>
        <row r="471">
          <cell r="A471">
            <v>11162122</v>
          </cell>
          <cell r="B471" t="str">
            <v>Tela de sujeción</v>
          </cell>
        </row>
        <row r="472">
          <cell r="A472">
            <v>11162123</v>
          </cell>
          <cell r="B472" t="str">
            <v>Tela de cinta</v>
          </cell>
        </row>
        <row r="473">
          <cell r="A473">
            <v>11162124</v>
          </cell>
          <cell r="B473" t="str">
            <v>Tela de fieltro</v>
          </cell>
        </row>
        <row r="474">
          <cell r="A474">
            <v>11162125</v>
          </cell>
          <cell r="B474" t="str">
            <v>Tela de correas</v>
          </cell>
        </row>
        <row r="475">
          <cell r="A475">
            <v>11162126</v>
          </cell>
          <cell r="B475" t="str">
            <v>Tela acolchada</v>
          </cell>
        </row>
        <row r="476">
          <cell r="A476">
            <v>11162127</v>
          </cell>
          <cell r="B476" t="str">
            <v>Tela de camuflaje</v>
          </cell>
        </row>
        <row r="477">
          <cell r="A477">
            <v>11162128</v>
          </cell>
          <cell r="B477" t="str">
            <v>Tela de paracaídas</v>
          </cell>
        </row>
        <row r="478">
          <cell r="A478">
            <v>11162129</v>
          </cell>
          <cell r="B478" t="str">
            <v>Tela marquisette</v>
          </cell>
        </row>
        <row r="479">
          <cell r="A479">
            <v>11162130</v>
          </cell>
          <cell r="B479" t="str">
            <v>Tela dosel</v>
          </cell>
        </row>
        <row r="480">
          <cell r="A480">
            <v>11162131</v>
          </cell>
          <cell r="B480" t="str">
            <v>Tela para ribeteado</v>
          </cell>
        </row>
        <row r="481">
          <cell r="A481">
            <v>11162201</v>
          </cell>
          <cell r="B481" t="str">
            <v>Telas no tejidas ligadas térmicamente</v>
          </cell>
        </row>
        <row r="482">
          <cell r="A482">
            <v>11162202</v>
          </cell>
          <cell r="B482" t="str">
            <v>Telas no tejidas hidroentrelazadas</v>
          </cell>
        </row>
        <row r="483">
          <cell r="A483">
            <v>11162301</v>
          </cell>
          <cell r="B483" t="str">
            <v>Cuero de gamuza</v>
          </cell>
        </row>
        <row r="484">
          <cell r="A484">
            <v>11162302</v>
          </cell>
          <cell r="B484" t="str">
            <v>Cuero de cabra</v>
          </cell>
        </row>
        <row r="485">
          <cell r="A485">
            <v>11162303</v>
          </cell>
          <cell r="B485" t="str">
            <v>Cuero de oveja</v>
          </cell>
        </row>
        <row r="486">
          <cell r="A486">
            <v>11162304</v>
          </cell>
          <cell r="B486" t="str">
            <v>Cuero acharolado</v>
          </cell>
        </row>
        <row r="487">
          <cell r="A487">
            <v>11162305</v>
          </cell>
          <cell r="B487" t="str">
            <v>Cuero de vaca</v>
          </cell>
        </row>
        <row r="488">
          <cell r="A488">
            <v>11162306</v>
          </cell>
          <cell r="B488" t="str">
            <v>Cuero de cerdo</v>
          </cell>
        </row>
        <row r="489">
          <cell r="A489">
            <v>11162307</v>
          </cell>
          <cell r="B489" t="str">
            <v>Cuero sintético o de imitación</v>
          </cell>
        </row>
        <row r="490">
          <cell r="A490">
            <v>11162308</v>
          </cell>
          <cell r="B490" t="str">
            <v>Cuero de búfalo</v>
          </cell>
        </row>
        <row r="491">
          <cell r="A491">
            <v>11162309</v>
          </cell>
          <cell r="B491" t="str">
            <v>Cuero de reptil</v>
          </cell>
        </row>
        <row r="492">
          <cell r="A492">
            <v>11162310</v>
          </cell>
          <cell r="B492" t="str">
            <v>Cuero de caballo</v>
          </cell>
        </row>
        <row r="493">
          <cell r="A493">
            <v>11162311</v>
          </cell>
          <cell r="B493" t="str">
            <v>Cuero de becerro</v>
          </cell>
        </row>
        <row r="494">
          <cell r="A494">
            <v>11171501</v>
          </cell>
          <cell r="B494" t="str">
            <v>Acero e24-2 o a37-2</v>
          </cell>
        </row>
        <row r="495">
          <cell r="A495">
            <v>11171601</v>
          </cell>
          <cell r="B495" t="str">
            <v>Aleación de acero inoxidable 304</v>
          </cell>
        </row>
        <row r="496">
          <cell r="A496">
            <v>11171602</v>
          </cell>
          <cell r="B496" t="str">
            <v>Aleación de acero inoxidable 304i</v>
          </cell>
        </row>
        <row r="497">
          <cell r="A497">
            <v>11171603</v>
          </cell>
          <cell r="B497" t="str">
            <v>Aleación de acero inoxidable 316</v>
          </cell>
        </row>
        <row r="498">
          <cell r="A498">
            <v>11171701</v>
          </cell>
          <cell r="B498" t="str">
            <v>Acero de alta velocidad z90wdcv6542 o m2</v>
          </cell>
        </row>
        <row r="499">
          <cell r="A499">
            <v>11171702</v>
          </cell>
          <cell r="B499" t="str">
            <v>Acero de alta velocidad z90wdkcv65542 or m35</v>
          </cell>
        </row>
        <row r="500">
          <cell r="A500">
            <v>11171801</v>
          </cell>
          <cell r="B500" t="str">
            <v>Súper aleación inconel 600</v>
          </cell>
        </row>
        <row r="501">
          <cell r="A501">
            <v>11171901</v>
          </cell>
          <cell r="B501" t="str">
            <v>Súper aleación ta6v</v>
          </cell>
        </row>
        <row r="502">
          <cell r="A502">
            <v>11172001</v>
          </cell>
          <cell r="B502" t="str">
            <v>Aleación de aluminio 7178</v>
          </cell>
        </row>
        <row r="503">
          <cell r="A503">
            <v>11172101</v>
          </cell>
          <cell r="B503" t="str">
            <v>Aleación pigmalión ú 846</v>
          </cell>
        </row>
        <row r="504">
          <cell r="A504">
            <v>11181501</v>
          </cell>
          <cell r="B504" t="str">
            <v>Óxido de molibdeno</v>
          </cell>
        </row>
        <row r="505">
          <cell r="A505">
            <v>11191501</v>
          </cell>
          <cell r="B505" t="str">
            <v>Sólidos de níquel</v>
          </cell>
        </row>
        <row r="506">
          <cell r="A506">
            <v>11191502</v>
          </cell>
          <cell r="B506" t="str">
            <v>Sólidos de acero básico</v>
          </cell>
        </row>
        <row r="507">
          <cell r="A507">
            <v>11191503</v>
          </cell>
          <cell r="B507" t="str">
            <v>Sólidos de aleación ferrosa</v>
          </cell>
        </row>
        <row r="508">
          <cell r="A508">
            <v>11191504</v>
          </cell>
          <cell r="B508" t="str">
            <v>Sólidos de aleación no ferrosa</v>
          </cell>
        </row>
        <row r="509">
          <cell r="A509">
            <v>11191505</v>
          </cell>
          <cell r="B509" t="str">
            <v>Sólidos de súper aleación</v>
          </cell>
        </row>
        <row r="510">
          <cell r="A510">
            <v>11191601</v>
          </cell>
          <cell r="B510" t="str">
            <v>Chatarra de níquel</v>
          </cell>
        </row>
        <row r="511">
          <cell r="A511">
            <v>11191602</v>
          </cell>
          <cell r="B511" t="str">
            <v>Chatarra de acero básico</v>
          </cell>
        </row>
        <row r="512">
          <cell r="A512">
            <v>11191603</v>
          </cell>
          <cell r="B512" t="str">
            <v>Chatarra de aleación ferrosa</v>
          </cell>
        </row>
        <row r="513">
          <cell r="A513">
            <v>11191604</v>
          </cell>
          <cell r="B513" t="str">
            <v>Chatarra de aleación no ferrosa</v>
          </cell>
        </row>
        <row r="514">
          <cell r="A514">
            <v>11191605</v>
          </cell>
          <cell r="B514" t="str">
            <v>Chatarra de súper aleación</v>
          </cell>
        </row>
        <row r="515">
          <cell r="A515">
            <v>11191606</v>
          </cell>
          <cell r="B515" t="str">
            <v>Destrozos automovilísticos para chatarra o desecho</v>
          </cell>
        </row>
        <row r="516">
          <cell r="A516">
            <v>11191701</v>
          </cell>
          <cell r="B516" t="str">
            <v>Torneados (virutas) de níquel</v>
          </cell>
        </row>
        <row r="517">
          <cell r="A517">
            <v>11191702</v>
          </cell>
          <cell r="B517" t="str">
            <v>Torneados (virutas) de bronce</v>
          </cell>
        </row>
        <row r="518">
          <cell r="A518">
            <v>12131501</v>
          </cell>
          <cell r="B518" t="str">
            <v>Dinamita</v>
          </cell>
        </row>
        <row r="519">
          <cell r="A519">
            <v>12131502</v>
          </cell>
          <cell r="B519" t="str">
            <v>Cartuchos explosivos</v>
          </cell>
        </row>
        <row r="520">
          <cell r="A520">
            <v>12131503</v>
          </cell>
          <cell r="B520" t="str">
            <v>Explosivos propelentes</v>
          </cell>
        </row>
        <row r="521">
          <cell r="A521">
            <v>12131504</v>
          </cell>
          <cell r="B521" t="str">
            <v>Cargas explosivas</v>
          </cell>
        </row>
        <row r="522">
          <cell r="A522">
            <v>12131505</v>
          </cell>
          <cell r="B522" t="str">
            <v>Explosivos plásticos</v>
          </cell>
        </row>
        <row r="523">
          <cell r="A523">
            <v>12131506</v>
          </cell>
          <cell r="B523" t="str">
            <v>Explosivos aluminizados</v>
          </cell>
        </row>
        <row r="524">
          <cell r="A524">
            <v>12131507</v>
          </cell>
          <cell r="B524" t="str">
            <v>Explosivos de nitrato de amonio</v>
          </cell>
        </row>
        <row r="525">
          <cell r="A525">
            <v>12131508</v>
          </cell>
          <cell r="B525" t="str">
            <v>Explosivos de polvo de nitroglicerina</v>
          </cell>
        </row>
        <row r="526">
          <cell r="A526">
            <v>12131601</v>
          </cell>
          <cell r="B526" t="str">
            <v>Fuegos artificiales</v>
          </cell>
        </row>
        <row r="527">
          <cell r="A527">
            <v>12131602</v>
          </cell>
          <cell r="B527" t="str">
            <v>Señales de niebla</v>
          </cell>
        </row>
        <row r="528">
          <cell r="A528">
            <v>12131603</v>
          </cell>
          <cell r="B528" t="str">
            <v>Cohetes de lluvia</v>
          </cell>
        </row>
        <row r="529">
          <cell r="A529">
            <v>12131604</v>
          </cell>
          <cell r="B529" t="str">
            <v>Antorchas</v>
          </cell>
        </row>
        <row r="530">
          <cell r="A530">
            <v>12131605</v>
          </cell>
          <cell r="B530" t="str">
            <v>Materiales pirotécnicos para el teatro o la televisión</v>
          </cell>
        </row>
        <row r="531">
          <cell r="A531">
            <v>12131701</v>
          </cell>
          <cell r="B531" t="str">
            <v>Estopines</v>
          </cell>
        </row>
        <row r="532">
          <cell r="A532">
            <v>12131702</v>
          </cell>
          <cell r="B532" t="str">
            <v>Detonadores</v>
          </cell>
        </row>
        <row r="533">
          <cell r="A533">
            <v>12131703</v>
          </cell>
          <cell r="B533" t="str">
            <v>Mechas explosivas</v>
          </cell>
        </row>
        <row r="534">
          <cell r="A534">
            <v>12131704</v>
          </cell>
          <cell r="B534" t="str">
            <v>Iniciadores explosivos</v>
          </cell>
        </row>
        <row r="535">
          <cell r="A535">
            <v>12131705</v>
          </cell>
          <cell r="B535" t="str">
            <v>Fulminantes explosivos</v>
          </cell>
        </row>
        <row r="536">
          <cell r="A536">
            <v>12131706</v>
          </cell>
          <cell r="B536" t="str">
            <v>Fósforos</v>
          </cell>
        </row>
        <row r="537">
          <cell r="A537">
            <v>12131707</v>
          </cell>
          <cell r="B537" t="str">
            <v>Encendedores</v>
          </cell>
        </row>
        <row r="538">
          <cell r="A538">
            <v>12131708</v>
          </cell>
          <cell r="B538" t="str">
            <v>Caja detonadora</v>
          </cell>
        </row>
        <row r="539">
          <cell r="A539">
            <v>12131801</v>
          </cell>
          <cell r="B539" t="str">
            <v>Propelente en polvo</v>
          </cell>
        </row>
        <row r="540">
          <cell r="A540">
            <v>12131802</v>
          </cell>
          <cell r="B540" t="str">
            <v>Propelente sólido</v>
          </cell>
        </row>
        <row r="541">
          <cell r="A541">
            <v>12131803</v>
          </cell>
          <cell r="B541" t="str">
            <v>Propelente de pistola</v>
          </cell>
        </row>
        <row r="542">
          <cell r="A542">
            <v>12131804</v>
          </cell>
          <cell r="B542" t="str">
            <v>Propelente de alta energía</v>
          </cell>
        </row>
        <row r="543">
          <cell r="A543">
            <v>12131805</v>
          </cell>
          <cell r="B543" t="str">
            <v>Propelente en gel</v>
          </cell>
        </row>
        <row r="544">
          <cell r="A544">
            <v>12131806</v>
          </cell>
          <cell r="B544" t="str">
            <v>Propelente híbridos</v>
          </cell>
        </row>
        <row r="545">
          <cell r="A545">
            <v>12141501</v>
          </cell>
          <cell r="B545" t="str">
            <v>Berilio be</v>
          </cell>
        </row>
        <row r="546">
          <cell r="A546">
            <v>12141502</v>
          </cell>
          <cell r="B546" t="str">
            <v>Magnesio mg</v>
          </cell>
        </row>
        <row r="547">
          <cell r="A547">
            <v>12141503</v>
          </cell>
          <cell r="B547" t="str">
            <v>Calcio ca</v>
          </cell>
        </row>
        <row r="548">
          <cell r="A548">
            <v>12141504</v>
          </cell>
          <cell r="B548" t="str">
            <v>Estroncio sr</v>
          </cell>
        </row>
        <row r="549">
          <cell r="A549">
            <v>12141505</v>
          </cell>
          <cell r="B549" t="str">
            <v>Bario ba</v>
          </cell>
        </row>
        <row r="550">
          <cell r="A550">
            <v>12141506</v>
          </cell>
          <cell r="B550" t="str">
            <v>Radio ra</v>
          </cell>
        </row>
        <row r="551">
          <cell r="A551">
            <v>12141601</v>
          </cell>
          <cell r="B551" t="str">
            <v>Cerio ce</v>
          </cell>
        </row>
        <row r="552">
          <cell r="A552">
            <v>12141602</v>
          </cell>
          <cell r="B552" t="str">
            <v>Disprosio dy</v>
          </cell>
        </row>
        <row r="553">
          <cell r="A553">
            <v>12141603</v>
          </cell>
          <cell r="B553" t="str">
            <v>Erbio er</v>
          </cell>
        </row>
        <row r="554">
          <cell r="A554">
            <v>12141604</v>
          </cell>
          <cell r="B554" t="str">
            <v>Europio eu</v>
          </cell>
        </row>
        <row r="555">
          <cell r="A555">
            <v>12141605</v>
          </cell>
          <cell r="B555" t="str">
            <v>Gadolinio gd</v>
          </cell>
        </row>
        <row r="556">
          <cell r="A556">
            <v>12141606</v>
          </cell>
          <cell r="B556" t="str">
            <v>Holmio ho</v>
          </cell>
        </row>
        <row r="557">
          <cell r="A557">
            <v>12141607</v>
          </cell>
          <cell r="B557" t="str">
            <v>Lantano la</v>
          </cell>
        </row>
        <row r="558">
          <cell r="A558">
            <v>12141608</v>
          </cell>
          <cell r="B558" t="str">
            <v>Lutecio lu</v>
          </cell>
        </row>
        <row r="559">
          <cell r="A559">
            <v>12141609</v>
          </cell>
          <cell r="B559" t="str">
            <v>Neodimio nd</v>
          </cell>
        </row>
        <row r="560">
          <cell r="A560">
            <v>12141610</v>
          </cell>
          <cell r="B560" t="str">
            <v>Praseodimio pr</v>
          </cell>
        </row>
        <row r="561">
          <cell r="A561">
            <v>12141611</v>
          </cell>
          <cell r="B561" t="str">
            <v>Promecio pm</v>
          </cell>
        </row>
        <row r="562">
          <cell r="A562">
            <v>12141612</v>
          </cell>
          <cell r="B562" t="str">
            <v>Samario sm</v>
          </cell>
        </row>
        <row r="563">
          <cell r="A563">
            <v>12141613</v>
          </cell>
          <cell r="B563" t="str">
            <v>Escandio sc</v>
          </cell>
        </row>
        <row r="564">
          <cell r="A564">
            <v>12141614</v>
          </cell>
          <cell r="B564" t="str">
            <v>Terbio tb</v>
          </cell>
        </row>
        <row r="565">
          <cell r="A565">
            <v>12141615</v>
          </cell>
          <cell r="B565" t="str">
            <v>Tulio tm</v>
          </cell>
        </row>
        <row r="566">
          <cell r="A566">
            <v>12141616</v>
          </cell>
          <cell r="B566" t="str">
            <v>Iterbio yb</v>
          </cell>
        </row>
        <row r="567">
          <cell r="A567">
            <v>12141617</v>
          </cell>
          <cell r="B567" t="str">
            <v>Itrio y</v>
          </cell>
        </row>
        <row r="568">
          <cell r="A568">
            <v>12141701</v>
          </cell>
          <cell r="B568" t="str">
            <v>Actinio ac</v>
          </cell>
        </row>
        <row r="569">
          <cell r="A569">
            <v>12141702</v>
          </cell>
          <cell r="B569" t="str">
            <v>Aluminio al</v>
          </cell>
        </row>
        <row r="570">
          <cell r="A570">
            <v>12141703</v>
          </cell>
          <cell r="B570" t="str">
            <v>Americio am</v>
          </cell>
        </row>
        <row r="571">
          <cell r="A571">
            <v>12141704</v>
          </cell>
          <cell r="B571" t="str">
            <v>Antimonio sb</v>
          </cell>
        </row>
        <row r="572">
          <cell r="A572">
            <v>12141705</v>
          </cell>
          <cell r="B572" t="str">
            <v>Berkelio bk</v>
          </cell>
        </row>
        <row r="573">
          <cell r="A573">
            <v>12141706</v>
          </cell>
          <cell r="B573" t="str">
            <v>Bismuto bi</v>
          </cell>
        </row>
        <row r="574">
          <cell r="A574">
            <v>12141707</v>
          </cell>
          <cell r="B574" t="str">
            <v>Cadmio ca</v>
          </cell>
        </row>
        <row r="575">
          <cell r="A575">
            <v>12141708</v>
          </cell>
          <cell r="B575" t="str">
            <v>Californio cf</v>
          </cell>
        </row>
        <row r="576">
          <cell r="A576">
            <v>12141709</v>
          </cell>
          <cell r="B576" t="str">
            <v>Cromo cr</v>
          </cell>
        </row>
        <row r="577">
          <cell r="A577">
            <v>12141710</v>
          </cell>
          <cell r="B577" t="str">
            <v>Cobalto co</v>
          </cell>
        </row>
        <row r="578">
          <cell r="A578">
            <v>12141711</v>
          </cell>
          <cell r="B578" t="str">
            <v>Cobre cu</v>
          </cell>
        </row>
        <row r="579">
          <cell r="A579">
            <v>12141712</v>
          </cell>
          <cell r="B579" t="str">
            <v>Curio cm</v>
          </cell>
        </row>
        <row r="580">
          <cell r="A580">
            <v>12141713</v>
          </cell>
          <cell r="B580" t="str">
            <v>Einstenio es</v>
          </cell>
        </row>
        <row r="581">
          <cell r="A581">
            <v>12141714</v>
          </cell>
          <cell r="B581" t="str">
            <v>Fermio fm</v>
          </cell>
        </row>
        <row r="582">
          <cell r="A582">
            <v>12141715</v>
          </cell>
          <cell r="B582" t="str">
            <v>Galio ga</v>
          </cell>
        </row>
        <row r="583">
          <cell r="A583">
            <v>12141716</v>
          </cell>
          <cell r="B583" t="str">
            <v>Germanio ge</v>
          </cell>
        </row>
        <row r="584">
          <cell r="A584">
            <v>12141717</v>
          </cell>
          <cell r="B584" t="str">
            <v>Oro au</v>
          </cell>
        </row>
        <row r="585">
          <cell r="A585">
            <v>12141718</v>
          </cell>
          <cell r="B585" t="str">
            <v>Hafnio hf</v>
          </cell>
        </row>
        <row r="586">
          <cell r="A586">
            <v>12141719</v>
          </cell>
          <cell r="B586" t="str">
            <v>Indio in</v>
          </cell>
        </row>
        <row r="587">
          <cell r="A587">
            <v>12141720</v>
          </cell>
          <cell r="B587" t="str">
            <v>Iridio ir</v>
          </cell>
        </row>
        <row r="588">
          <cell r="A588">
            <v>12141721</v>
          </cell>
          <cell r="B588" t="str">
            <v>Hierro fe</v>
          </cell>
        </row>
        <row r="589">
          <cell r="A589">
            <v>12141722</v>
          </cell>
          <cell r="B589" t="str">
            <v>Lawrencio lr</v>
          </cell>
        </row>
        <row r="590">
          <cell r="A590">
            <v>12141723</v>
          </cell>
          <cell r="B590" t="str">
            <v>Plomo pb</v>
          </cell>
        </row>
        <row r="591">
          <cell r="A591">
            <v>12141724</v>
          </cell>
          <cell r="B591" t="str">
            <v>Manganeso mn</v>
          </cell>
        </row>
        <row r="592">
          <cell r="A592">
            <v>12141725</v>
          </cell>
          <cell r="B592" t="str">
            <v>Mendelevio md</v>
          </cell>
        </row>
        <row r="593">
          <cell r="A593">
            <v>12141726</v>
          </cell>
          <cell r="B593" t="str">
            <v>Mercurio hg</v>
          </cell>
        </row>
        <row r="594">
          <cell r="A594">
            <v>12141727</v>
          </cell>
          <cell r="B594" t="str">
            <v>Molibdeno mo</v>
          </cell>
        </row>
        <row r="595">
          <cell r="A595">
            <v>12141728</v>
          </cell>
          <cell r="B595" t="str">
            <v>Neptunio np</v>
          </cell>
        </row>
        <row r="596">
          <cell r="A596">
            <v>12141729</v>
          </cell>
          <cell r="B596" t="str">
            <v>Níquel ni</v>
          </cell>
        </row>
        <row r="597">
          <cell r="A597">
            <v>12141730</v>
          </cell>
          <cell r="B597" t="str">
            <v>Niobio nb</v>
          </cell>
        </row>
        <row r="598">
          <cell r="A598">
            <v>12141731</v>
          </cell>
          <cell r="B598" t="str">
            <v>Nobelio no</v>
          </cell>
        </row>
        <row r="599">
          <cell r="A599">
            <v>12141732</v>
          </cell>
          <cell r="B599" t="str">
            <v>Osmio os</v>
          </cell>
        </row>
        <row r="600">
          <cell r="A600">
            <v>12141733</v>
          </cell>
          <cell r="B600" t="str">
            <v>Paladio pd</v>
          </cell>
        </row>
        <row r="601">
          <cell r="A601">
            <v>12141734</v>
          </cell>
          <cell r="B601" t="str">
            <v>Platino pyt</v>
          </cell>
        </row>
        <row r="602">
          <cell r="A602">
            <v>12141735</v>
          </cell>
          <cell r="B602" t="str">
            <v>Plutonio pu</v>
          </cell>
        </row>
        <row r="603">
          <cell r="A603">
            <v>12141736</v>
          </cell>
          <cell r="B603" t="str">
            <v>Protactinio pa</v>
          </cell>
        </row>
        <row r="604">
          <cell r="A604">
            <v>12141737</v>
          </cell>
          <cell r="B604" t="str">
            <v>Renio re</v>
          </cell>
        </row>
        <row r="605">
          <cell r="A605">
            <v>12141738</v>
          </cell>
          <cell r="B605" t="str">
            <v>Rodio rh</v>
          </cell>
        </row>
        <row r="606">
          <cell r="A606">
            <v>12141739</v>
          </cell>
          <cell r="B606" t="str">
            <v>Rutenio ru</v>
          </cell>
        </row>
        <row r="607">
          <cell r="A607">
            <v>12141740</v>
          </cell>
          <cell r="B607" t="str">
            <v>Plata ag</v>
          </cell>
        </row>
        <row r="608">
          <cell r="A608">
            <v>12141741</v>
          </cell>
          <cell r="B608" t="str">
            <v>Tántalo ta</v>
          </cell>
        </row>
        <row r="609">
          <cell r="A609">
            <v>12141742</v>
          </cell>
          <cell r="B609" t="str">
            <v>Tecnecio te</v>
          </cell>
        </row>
        <row r="610">
          <cell r="A610">
            <v>12141743</v>
          </cell>
          <cell r="B610" t="str">
            <v>Talio tl</v>
          </cell>
        </row>
        <row r="611">
          <cell r="A611">
            <v>12141744</v>
          </cell>
          <cell r="B611" t="str">
            <v>Torio th</v>
          </cell>
        </row>
        <row r="612">
          <cell r="A612">
            <v>12141745</v>
          </cell>
          <cell r="B612" t="str">
            <v>Estaño sn</v>
          </cell>
        </row>
        <row r="613">
          <cell r="A613">
            <v>12141746</v>
          </cell>
          <cell r="B613" t="str">
            <v>Titanio ti</v>
          </cell>
        </row>
        <row r="614">
          <cell r="A614">
            <v>12141747</v>
          </cell>
          <cell r="B614" t="str">
            <v>Tungsteno w</v>
          </cell>
        </row>
        <row r="615">
          <cell r="A615">
            <v>12141748</v>
          </cell>
          <cell r="B615" t="str">
            <v>Uranio u</v>
          </cell>
        </row>
        <row r="616">
          <cell r="A616">
            <v>12141749</v>
          </cell>
          <cell r="B616" t="str">
            <v>Vanadio v</v>
          </cell>
        </row>
        <row r="617">
          <cell r="A617">
            <v>12141750</v>
          </cell>
          <cell r="B617" t="str">
            <v>Zinc zn</v>
          </cell>
        </row>
        <row r="618">
          <cell r="A618">
            <v>12141751</v>
          </cell>
          <cell r="B618" t="str">
            <v>Zirconio zr</v>
          </cell>
        </row>
        <row r="619">
          <cell r="A619">
            <v>12141752</v>
          </cell>
          <cell r="B619" t="str">
            <v>Bohrio bh</v>
          </cell>
        </row>
        <row r="620">
          <cell r="A620">
            <v>12141753</v>
          </cell>
          <cell r="B620" t="str">
            <v>Dubnio db</v>
          </cell>
        </row>
        <row r="621">
          <cell r="A621">
            <v>12141754</v>
          </cell>
          <cell r="B621" t="str">
            <v>Hassio hs</v>
          </cell>
        </row>
        <row r="622">
          <cell r="A622">
            <v>12141755</v>
          </cell>
          <cell r="B622" t="str">
            <v>Rutherfordio rf</v>
          </cell>
        </row>
        <row r="623">
          <cell r="A623">
            <v>12141756</v>
          </cell>
          <cell r="B623" t="str">
            <v>Seaborgio sg</v>
          </cell>
        </row>
        <row r="624">
          <cell r="A624">
            <v>12141757</v>
          </cell>
          <cell r="B624" t="str">
            <v>Ununnilium uum</v>
          </cell>
        </row>
        <row r="625">
          <cell r="A625">
            <v>12141758</v>
          </cell>
          <cell r="B625" t="str">
            <v>Unununium uuu</v>
          </cell>
        </row>
        <row r="626">
          <cell r="A626">
            <v>12141759</v>
          </cell>
          <cell r="B626" t="str">
            <v>Ununbium uub</v>
          </cell>
        </row>
        <row r="627">
          <cell r="A627">
            <v>12141760</v>
          </cell>
          <cell r="B627" t="str">
            <v>Polonio po</v>
          </cell>
        </row>
        <row r="628">
          <cell r="A628">
            <v>12141801</v>
          </cell>
          <cell r="B628" t="str">
            <v>Cesio cs</v>
          </cell>
        </row>
        <row r="629">
          <cell r="A629">
            <v>12141802</v>
          </cell>
          <cell r="B629" t="str">
            <v>Francio fm</v>
          </cell>
        </row>
        <row r="630">
          <cell r="A630">
            <v>12141803</v>
          </cell>
          <cell r="B630" t="str">
            <v>Litio li</v>
          </cell>
        </row>
        <row r="631">
          <cell r="A631">
            <v>12141804</v>
          </cell>
          <cell r="B631" t="str">
            <v>Potasio k</v>
          </cell>
        </row>
        <row r="632">
          <cell r="A632">
            <v>12141805</v>
          </cell>
          <cell r="B632" t="str">
            <v>Rubidio rb</v>
          </cell>
        </row>
        <row r="633">
          <cell r="A633">
            <v>12141806</v>
          </cell>
          <cell r="B633" t="str">
            <v>Sodio na</v>
          </cell>
        </row>
        <row r="634">
          <cell r="A634">
            <v>12141901</v>
          </cell>
          <cell r="B634" t="str">
            <v>Cloro cl</v>
          </cell>
        </row>
        <row r="635">
          <cell r="A635">
            <v>12141902</v>
          </cell>
          <cell r="B635" t="str">
            <v>Hidrógeno h</v>
          </cell>
        </row>
        <row r="636">
          <cell r="A636">
            <v>12141903</v>
          </cell>
          <cell r="B636" t="str">
            <v>Nitrógeno n</v>
          </cell>
        </row>
        <row r="637">
          <cell r="A637">
            <v>12141904</v>
          </cell>
          <cell r="B637" t="str">
            <v>Oxígeno o</v>
          </cell>
        </row>
        <row r="638">
          <cell r="A638">
            <v>12141905</v>
          </cell>
          <cell r="B638" t="str">
            <v>Flúor f</v>
          </cell>
        </row>
        <row r="639">
          <cell r="A639">
            <v>12141906</v>
          </cell>
          <cell r="B639" t="str">
            <v>Arsénico as</v>
          </cell>
        </row>
        <row r="640">
          <cell r="A640">
            <v>12141907</v>
          </cell>
          <cell r="B640" t="str">
            <v>Boro b</v>
          </cell>
        </row>
        <row r="641">
          <cell r="A641">
            <v>12141908</v>
          </cell>
          <cell r="B641" t="str">
            <v>Carbono c</v>
          </cell>
        </row>
        <row r="642">
          <cell r="A642">
            <v>12141909</v>
          </cell>
          <cell r="B642" t="str">
            <v>Fósforo p</v>
          </cell>
        </row>
        <row r="643">
          <cell r="A643">
            <v>12141910</v>
          </cell>
          <cell r="B643" t="str">
            <v>Selenio se</v>
          </cell>
        </row>
        <row r="644">
          <cell r="A644">
            <v>12141911</v>
          </cell>
          <cell r="B644" t="str">
            <v>Silicona si</v>
          </cell>
        </row>
        <row r="645">
          <cell r="A645">
            <v>12141912</v>
          </cell>
          <cell r="B645" t="str">
            <v>Azufre s</v>
          </cell>
        </row>
        <row r="646">
          <cell r="A646">
            <v>12141913</v>
          </cell>
          <cell r="B646" t="str">
            <v>Telurio te</v>
          </cell>
        </row>
        <row r="647">
          <cell r="A647">
            <v>12141914</v>
          </cell>
          <cell r="B647" t="str">
            <v>Astato at</v>
          </cell>
        </row>
        <row r="648">
          <cell r="A648">
            <v>12141915</v>
          </cell>
          <cell r="B648" t="str">
            <v>Bromo br</v>
          </cell>
        </row>
        <row r="649">
          <cell r="A649">
            <v>12141916</v>
          </cell>
          <cell r="B649" t="str">
            <v>Yodo i</v>
          </cell>
        </row>
        <row r="650">
          <cell r="A650">
            <v>12142001</v>
          </cell>
          <cell r="B650" t="str">
            <v>Gas xenón xe</v>
          </cell>
        </row>
        <row r="651">
          <cell r="A651">
            <v>12142002</v>
          </cell>
          <cell r="B651" t="str">
            <v>Gas radón rn</v>
          </cell>
        </row>
        <row r="652">
          <cell r="A652">
            <v>12142003</v>
          </cell>
          <cell r="B652" t="str">
            <v>Gas criptón kr</v>
          </cell>
        </row>
        <row r="653">
          <cell r="A653">
            <v>12142004</v>
          </cell>
          <cell r="B653" t="str">
            <v>Gas argón ar</v>
          </cell>
        </row>
        <row r="654">
          <cell r="A654">
            <v>12142005</v>
          </cell>
          <cell r="B654" t="str">
            <v>Gas helio he</v>
          </cell>
        </row>
        <row r="655">
          <cell r="A655">
            <v>12142006</v>
          </cell>
          <cell r="B655" t="str">
            <v>Gas neón ne</v>
          </cell>
        </row>
        <row r="656">
          <cell r="A656">
            <v>12142101</v>
          </cell>
          <cell r="B656" t="str">
            <v>Gases compuestos de hidrógeno</v>
          </cell>
        </row>
        <row r="657">
          <cell r="A657">
            <v>12142102</v>
          </cell>
          <cell r="B657" t="str">
            <v>Gases compuestos clorados</v>
          </cell>
        </row>
        <row r="658">
          <cell r="A658">
            <v>12142103</v>
          </cell>
          <cell r="B658" t="str">
            <v>Amoniaco</v>
          </cell>
        </row>
        <row r="659">
          <cell r="A659">
            <v>12142104</v>
          </cell>
          <cell r="B659" t="str">
            <v>Gas dióxido de carbono</v>
          </cell>
        </row>
        <row r="660">
          <cell r="A660">
            <v>12142105</v>
          </cell>
          <cell r="B660" t="str">
            <v>Aire industrial</v>
          </cell>
        </row>
        <row r="661">
          <cell r="A661">
            <v>12142106</v>
          </cell>
          <cell r="B661" t="str">
            <v>Mezclas de gas inerte</v>
          </cell>
        </row>
        <row r="662">
          <cell r="A662">
            <v>12142201</v>
          </cell>
          <cell r="B662" t="str">
            <v>Disolvente deuterado</v>
          </cell>
        </row>
        <row r="663">
          <cell r="A663">
            <v>12142202</v>
          </cell>
          <cell r="B663" t="str">
            <v>Agua pesada</v>
          </cell>
        </row>
        <row r="664">
          <cell r="A664">
            <v>12142203</v>
          </cell>
          <cell r="B664" t="str">
            <v>Fuentes alfa</v>
          </cell>
        </row>
        <row r="665">
          <cell r="A665">
            <v>12142204</v>
          </cell>
          <cell r="B665" t="str">
            <v>Fuentes beta</v>
          </cell>
        </row>
        <row r="666">
          <cell r="A666">
            <v>12142205</v>
          </cell>
          <cell r="B666" t="str">
            <v>Fuentes de cobalto</v>
          </cell>
        </row>
        <row r="667">
          <cell r="A667">
            <v>12142206</v>
          </cell>
          <cell r="B667" t="str">
            <v>Fuentes gamma</v>
          </cell>
        </row>
        <row r="668">
          <cell r="A668">
            <v>12142207</v>
          </cell>
          <cell r="B668" t="str">
            <v>Fuentes radio – isótopo</v>
          </cell>
        </row>
        <row r="669">
          <cell r="A669">
            <v>12142208</v>
          </cell>
          <cell r="B669" t="str">
            <v>Fuentes de calibración</v>
          </cell>
        </row>
        <row r="670">
          <cell r="A670">
            <v>12161501</v>
          </cell>
          <cell r="B670" t="str">
            <v>Etiquetas de afinidad</v>
          </cell>
        </row>
        <row r="671">
          <cell r="A671">
            <v>12161502</v>
          </cell>
          <cell r="B671" t="str">
            <v>Agentes de entrecruzamiento</v>
          </cell>
        </row>
        <row r="672">
          <cell r="A672">
            <v>12161503</v>
          </cell>
          <cell r="B672" t="str">
            <v>Kits de reactivos</v>
          </cell>
        </row>
        <row r="673">
          <cell r="A673">
            <v>12161504</v>
          </cell>
          <cell r="B673" t="str">
            <v>Reactivos sulfhidrilo</v>
          </cell>
        </row>
        <row r="674">
          <cell r="A674">
            <v>12161505</v>
          </cell>
          <cell r="B674" t="str">
            <v>Agentes de intercalación</v>
          </cell>
        </row>
        <row r="675">
          <cell r="A675">
            <v>12161506</v>
          </cell>
          <cell r="B675" t="str">
            <v>Agentes de desvío</v>
          </cell>
        </row>
        <row r="676">
          <cell r="A676">
            <v>12161507</v>
          </cell>
          <cell r="B676" t="str">
            <v>Reactivo cupferrón</v>
          </cell>
        </row>
        <row r="677">
          <cell r="A677">
            <v>12161601</v>
          </cell>
          <cell r="B677" t="str">
            <v>Catalizadores ácidos</v>
          </cell>
        </row>
        <row r="678">
          <cell r="A678">
            <v>12161602</v>
          </cell>
          <cell r="B678" t="str">
            <v>Catalizadores de combustión</v>
          </cell>
        </row>
        <row r="679">
          <cell r="A679">
            <v>12161603</v>
          </cell>
          <cell r="B679" t="str">
            <v>Catalizadores a la medida</v>
          </cell>
        </row>
        <row r="680">
          <cell r="A680">
            <v>12161604</v>
          </cell>
          <cell r="B680" t="str">
            <v>Catalizadores de ruptura</v>
          </cell>
        </row>
        <row r="681">
          <cell r="A681">
            <v>12161701</v>
          </cell>
          <cell r="B681" t="str">
            <v>Mezclas de anfólito</v>
          </cell>
        </row>
        <row r="682">
          <cell r="A682">
            <v>12161702</v>
          </cell>
          <cell r="B682" t="str">
            <v>Soluciones reguladoras de bicarbonato</v>
          </cell>
        </row>
        <row r="683">
          <cell r="A683">
            <v>12161703</v>
          </cell>
          <cell r="B683" t="str">
            <v>Otras soluciones reguladoras</v>
          </cell>
        </row>
        <row r="684">
          <cell r="A684">
            <v>12161704</v>
          </cell>
          <cell r="B684" t="str">
            <v>Soluciones reguladoras ácidas</v>
          </cell>
        </row>
        <row r="685">
          <cell r="A685">
            <v>12161705</v>
          </cell>
          <cell r="B685" t="str">
            <v>Soluciones reguladoras básicas</v>
          </cell>
        </row>
        <row r="686">
          <cell r="A686">
            <v>12161706</v>
          </cell>
          <cell r="B686" t="str">
            <v>Soluciones reguladoras neutrales</v>
          </cell>
        </row>
        <row r="687">
          <cell r="A687">
            <v>12161801</v>
          </cell>
          <cell r="B687" t="str">
            <v>Geles</v>
          </cell>
        </row>
        <row r="688">
          <cell r="A688">
            <v>12161802</v>
          </cell>
          <cell r="B688" t="str">
            <v>Suspensiones</v>
          </cell>
        </row>
        <row r="689">
          <cell r="A689">
            <v>12161803</v>
          </cell>
          <cell r="B689" t="str">
            <v>Aerosoles</v>
          </cell>
        </row>
        <row r="690">
          <cell r="A690">
            <v>12161804</v>
          </cell>
          <cell r="B690" t="str">
            <v>Emulsiones</v>
          </cell>
        </row>
        <row r="691">
          <cell r="A691">
            <v>12161805</v>
          </cell>
          <cell r="B691" t="str">
            <v>Agentes gelificantes naturales</v>
          </cell>
        </row>
        <row r="692">
          <cell r="A692">
            <v>12161806</v>
          </cell>
          <cell r="B692" t="str">
            <v>Agentes gelificantes sintéticos</v>
          </cell>
        </row>
        <row r="693">
          <cell r="A693">
            <v>12161807</v>
          </cell>
          <cell r="B693" t="str">
            <v>Estabilizadores de gel</v>
          </cell>
        </row>
        <row r="694">
          <cell r="A694">
            <v>12161808</v>
          </cell>
          <cell r="B694" t="str">
            <v>Agentes de suspensión</v>
          </cell>
        </row>
        <row r="695">
          <cell r="A695">
            <v>12161901</v>
          </cell>
          <cell r="B695" t="str">
            <v>Agentes anti – espuma</v>
          </cell>
        </row>
        <row r="696">
          <cell r="A696">
            <v>12161902</v>
          </cell>
          <cell r="B696" t="str">
            <v>Surfactantes detergentes</v>
          </cell>
        </row>
        <row r="697">
          <cell r="A697">
            <v>12161903</v>
          </cell>
          <cell r="B697" t="str">
            <v>Agentes de espuma</v>
          </cell>
        </row>
        <row r="698">
          <cell r="A698">
            <v>12161904</v>
          </cell>
          <cell r="B698" t="str">
            <v>Agentes de dispersión</v>
          </cell>
        </row>
        <row r="699">
          <cell r="A699">
            <v>12161905</v>
          </cell>
          <cell r="B699" t="str">
            <v>Enjuagues</v>
          </cell>
        </row>
        <row r="700">
          <cell r="A700">
            <v>12161906</v>
          </cell>
          <cell r="B700" t="str">
            <v>Agentes de humectación</v>
          </cell>
        </row>
        <row r="701">
          <cell r="A701">
            <v>12161907</v>
          </cell>
          <cell r="B701" t="str">
            <v>Aditivos de inundación de agua</v>
          </cell>
        </row>
        <row r="702">
          <cell r="A702">
            <v>12162002</v>
          </cell>
          <cell r="B702" t="str">
            <v>Poliméricos</v>
          </cell>
        </row>
        <row r="703">
          <cell r="A703">
            <v>12162003</v>
          </cell>
          <cell r="B703" t="str">
            <v>Aceites agrícolas</v>
          </cell>
        </row>
        <row r="704">
          <cell r="A704">
            <v>12162004</v>
          </cell>
          <cell r="B704" t="str">
            <v>Sulfonamidas</v>
          </cell>
        </row>
        <row r="705">
          <cell r="A705">
            <v>12162005</v>
          </cell>
          <cell r="B705" t="str">
            <v>Glutaratos</v>
          </cell>
        </row>
        <row r="706">
          <cell r="A706">
            <v>12162101</v>
          </cell>
          <cell r="B706" t="str">
            <v>Retardantes brominados</v>
          </cell>
        </row>
        <row r="707">
          <cell r="A707">
            <v>12162201</v>
          </cell>
          <cell r="B707" t="str">
            <v>Ácido ascórbico</v>
          </cell>
        </row>
        <row r="708">
          <cell r="A708">
            <v>12162202</v>
          </cell>
          <cell r="B708" t="str">
            <v>Beta caroteno</v>
          </cell>
        </row>
        <row r="709">
          <cell r="A709">
            <v>12162203</v>
          </cell>
          <cell r="B709" t="str">
            <v>Butilhidroxianisol</v>
          </cell>
        </row>
        <row r="710">
          <cell r="A710">
            <v>12162204</v>
          </cell>
          <cell r="B710" t="str">
            <v>Butilado hidroxitolueno</v>
          </cell>
        </row>
        <row r="711">
          <cell r="A711">
            <v>12162205</v>
          </cell>
          <cell r="B711" t="str">
            <v>Citrato de calcio</v>
          </cell>
        </row>
        <row r="712">
          <cell r="A712">
            <v>12162206</v>
          </cell>
          <cell r="B712" t="str">
            <v>Cantaxantina</v>
          </cell>
        </row>
        <row r="713">
          <cell r="A713">
            <v>12162207</v>
          </cell>
          <cell r="B713" t="str">
            <v>Melatonina</v>
          </cell>
        </row>
        <row r="714">
          <cell r="A714">
            <v>12162208</v>
          </cell>
          <cell r="B714" t="str">
            <v>Ácido nordihidroguaiarético</v>
          </cell>
        </row>
        <row r="715">
          <cell r="A715">
            <v>12162209</v>
          </cell>
          <cell r="B715" t="str">
            <v>Galato de propilo</v>
          </cell>
        </row>
        <row r="716">
          <cell r="A716">
            <v>12162210</v>
          </cell>
          <cell r="B716" t="str">
            <v>Silibinina</v>
          </cell>
        </row>
        <row r="717">
          <cell r="A717">
            <v>12162211</v>
          </cell>
          <cell r="B717" t="str">
            <v>Dióxido de azufre</v>
          </cell>
        </row>
        <row r="718">
          <cell r="A718">
            <v>12162212</v>
          </cell>
          <cell r="B718" t="str">
            <v>Ubicquinona o coenzima q10</v>
          </cell>
        </row>
        <row r="719">
          <cell r="A719">
            <v>12162301</v>
          </cell>
          <cell r="B719" t="str">
            <v>Agentes de curado transmitidos por el agua</v>
          </cell>
        </row>
        <row r="720">
          <cell r="A720">
            <v>12162302</v>
          </cell>
          <cell r="B720" t="str">
            <v>Aceleradores de cemento</v>
          </cell>
        </row>
        <row r="721">
          <cell r="A721">
            <v>12162303</v>
          </cell>
          <cell r="B721" t="str">
            <v>Retardantes de cemento</v>
          </cell>
        </row>
        <row r="722">
          <cell r="A722">
            <v>12162401</v>
          </cell>
          <cell r="B722" t="str">
            <v>Rompedores de polímero ácido</v>
          </cell>
        </row>
        <row r="723">
          <cell r="A723">
            <v>12162402</v>
          </cell>
          <cell r="B723" t="str">
            <v>Rompedores de polímero orgánico</v>
          </cell>
        </row>
        <row r="724">
          <cell r="A724">
            <v>12162501</v>
          </cell>
          <cell r="B724" t="str">
            <v>Rompedores de emulsión agua en aceite</v>
          </cell>
        </row>
        <row r="725">
          <cell r="A725">
            <v>12162502</v>
          </cell>
          <cell r="B725" t="str">
            <v>Rompedores de emulsión aceite en agua</v>
          </cell>
        </row>
        <row r="726">
          <cell r="A726">
            <v>12162503</v>
          </cell>
          <cell r="B726" t="str">
            <v>Ayudas de flotación</v>
          </cell>
        </row>
        <row r="727">
          <cell r="A727">
            <v>12162601</v>
          </cell>
          <cell r="B727" t="str">
            <v>Estabilizadores de arcilla inorgánica</v>
          </cell>
        </row>
        <row r="728">
          <cell r="A728">
            <v>12162602</v>
          </cell>
          <cell r="B728" t="str">
            <v>Estabilizadores de arcilla orgánica</v>
          </cell>
        </row>
        <row r="729">
          <cell r="A729">
            <v>12162701</v>
          </cell>
          <cell r="B729" t="str">
            <v>Aditivos de pérdida de fluido de polímeros modificados</v>
          </cell>
        </row>
        <row r="730">
          <cell r="A730">
            <v>12162702</v>
          </cell>
          <cell r="B730" t="str">
            <v>Aditivos de pérdida de fluido de polímeros naturales</v>
          </cell>
        </row>
        <row r="731">
          <cell r="A731">
            <v>12162801</v>
          </cell>
          <cell r="B731" t="str">
            <v>Reductores de fricción aniónico</v>
          </cell>
        </row>
        <row r="732">
          <cell r="A732">
            <v>12162802</v>
          </cell>
          <cell r="B732" t="str">
            <v>Reductores de fricción catódica</v>
          </cell>
        </row>
        <row r="733">
          <cell r="A733">
            <v>12162901</v>
          </cell>
          <cell r="B733" t="str">
            <v>Agentes de control de asfaltenos de parafina tipo solvente</v>
          </cell>
        </row>
        <row r="734">
          <cell r="A734">
            <v>12162902</v>
          </cell>
          <cell r="B734" t="str">
            <v>Agentes de control de asfaltenos de parafina modificados cristal</v>
          </cell>
        </row>
        <row r="735">
          <cell r="A735">
            <v>12162903</v>
          </cell>
          <cell r="B735" t="str">
            <v>Agentes de control de asfaltenos de parafina tipo dispersante</v>
          </cell>
        </row>
        <row r="736">
          <cell r="A736">
            <v>12163001</v>
          </cell>
          <cell r="B736" t="str">
            <v>Agentes de limpieza de lodo</v>
          </cell>
        </row>
        <row r="737">
          <cell r="A737">
            <v>12163101</v>
          </cell>
          <cell r="B737" t="str">
            <v>Aditivos anti – lodos</v>
          </cell>
        </row>
        <row r="738">
          <cell r="A738">
            <v>12163201</v>
          </cell>
          <cell r="B738" t="str">
            <v>Aditivos de migración anti gas</v>
          </cell>
        </row>
        <row r="739">
          <cell r="A739">
            <v>12163301</v>
          </cell>
          <cell r="B739" t="str">
            <v>Agentes de expansión de cemento</v>
          </cell>
        </row>
        <row r="740">
          <cell r="A740">
            <v>12163401</v>
          </cell>
          <cell r="B740" t="str">
            <v>Extensores de cemento</v>
          </cell>
        </row>
        <row r="741">
          <cell r="A741">
            <v>12163501</v>
          </cell>
          <cell r="B741" t="str">
            <v>Sellantes de cemento</v>
          </cell>
        </row>
        <row r="742">
          <cell r="A742">
            <v>12163601</v>
          </cell>
          <cell r="B742" t="str">
            <v>Inhibidores de corrosión en la producción de petróleo</v>
          </cell>
        </row>
        <row r="743">
          <cell r="A743">
            <v>12163602</v>
          </cell>
          <cell r="B743" t="str">
            <v>Inhibidores de corrosión en la producción de gas</v>
          </cell>
        </row>
        <row r="744">
          <cell r="A744">
            <v>12163701</v>
          </cell>
          <cell r="B744" t="str">
            <v>Controladores de hidrato de gas</v>
          </cell>
        </row>
        <row r="745">
          <cell r="A745">
            <v>12163801</v>
          </cell>
          <cell r="B745" t="str">
            <v>Eliminadores de sulfuro de hidrógeno</v>
          </cell>
        </row>
        <row r="746">
          <cell r="A746">
            <v>12163802</v>
          </cell>
          <cell r="B746" t="str">
            <v>Eliminadores de oxígeno</v>
          </cell>
        </row>
        <row r="747">
          <cell r="A747">
            <v>12163901</v>
          </cell>
          <cell r="B747" t="str">
            <v>Inhibidores de incrustaciones</v>
          </cell>
        </row>
        <row r="748">
          <cell r="A748">
            <v>12163902</v>
          </cell>
          <cell r="B748" t="str">
            <v>Removedores o convertidores de incrustaciones</v>
          </cell>
        </row>
        <row r="749">
          <cell r="A749">
            <v>12164001</v>
          </cell>
          <cell r="B749" t="str">
            <v>Microbicidas registrados</v>
          </cell>
        </row>
        <row r="750">
          <cell r="A750">
            <v>12164101</v>
          </cell>
          <cell r="B750" t="str">
            <v>Aditivos in situ</v>
          </cell>
        </row>
        <row r="751">
          <cell r="A751">
            <v>12164102</v>
          </cell>
          <cell r="B751" t="str">
            <v>Aditivos ácidos</v>
          </cell>
        </row>
        <row r="752">
          <cell r="A752">
            <v>12164201</v>
          </cell>
          <cell r="B752" t="str">
            <v>Inhibidores anti – corrosión</v>
          </cell>
        </row>
        <row r="753">
          <cell r="A753">
            <v>12164301</v>
          </cell>
          <cell r="B753" t="str">
            <v>Aditivos de control de hierro</v>
          </cell>
        </row>
        <row r="754">
          <cell r="A754">
            <v>12164401</v>
          </cell>
          <cell r="B754" t="str">
            <v>Aditivos no emulsificantes</v>
          </cell>
        </row>
        <row r="755">
          <cell r="A755">
            <v>12164501</v>
          </cell>
          <cell r="B755" t="str">
            <v>Preservativos de alimentos</v>
          </cell>
        </row>
        <row r="756">
          <cell r="A756">
            <v>12164502</v>
          </cell>
          <cell r="B756" t="str">
            <v>sabores o extractos</v>
          </cell>
        </row>
        <row r="757">
          <cell r="A757">
            <v>12164503</v>
          </cell>
          <cell r="B757" t="str">
            <v>Aditivos de fragancia</v>
          </cell>
        </row>
        <row r="758">
          <cell r="A758">
            <v>12164504</v>
          </cell>
          <cell r="B758" t="str">
            <v>Endulzantes</v>
          </cell>
        </row>
        <row r="759">
          <cell r="A759">
            <v>12171501</v>
          </cell>
          <cell r="B759" t="str">
            <v>Colorantes fluorescentes</v>
          </cell>
        </row>
        <row r="760">
          <cell r="A760">
            <v>12171502</v>
          </cell>
          <cell r="B760" t="str">
            <v>Colorantes ftaleínicos</v>
          </cell>
        </row>
        <row r="761">
          <cell r="A761">
            <v>12171503</v>
          </cell>
          <cell r="B761" t="str">
            <v>Colorantes rosanilina</v>
          </cell>
        </row>
        <row r="762">
          <cell r="A762">
            <v>12171504</v>
          </cell>
          <cell r="B762" t="str">
            <v>Colorantes fdc seguros para alimentos o cosméticos</v>
          </cell>
        </row>
        <row r="763">
          <cell r="A763">
            <v>12171505</v>
          </cell>
          <cell r="B763" t="str">
            <v>Lacado</v>
          </cell>
        </row>
        <row r="764">
          <cell r="A764">
            <v>12171506</v>
          </cell>
          <cell r="B764" t="str">
            <v>Colorantes naturales</v>
          </cell>
        </row>
        <row r="765">
          <cell r="A765">
            <v>12171602</v>
          </cell>
          <cell r="B765" t="str">
            <v>Óxidos metálicos inorgánicos</v>
          </cell>
        </row>
        <row r="766">
          <cell r="A766">
            <v>12171603</v>
          </cell>
          <cell r="B766" t="str">
            <v>Negro carbono</v>
          </cell>
        </row>
        <row r="767">
          <cell r="A767">
            <v>12171604</v>
          </cell>
          <cell r="B767" t="str">
            <v>Dióxido de titanio</v>
          </cell>
        </row>
        <row r="768">
          <cell r="A768">
            <v>12171605</v>
          </cell>
          <cell r="B768" t="str">
            <v>Pigmentos orgánicos</v>
          </cell>
        </row>
        <row r="769">
          <cell r="A769">
            <v>12171701</v>
          </cell>
          <cell r="B769" t="str">
            <v>Concentrado de color de polímero</v>
          </cell>
        </row>
        <row r="770">
          <cell r="A770">
            <v>12171702</v>
          </cell>
          <cell r="B770" t="str">
            <v>Dispersiones de pigmento</v>
          </cell>
        </row>
        <row r="771">
          <cell r="A771">
            <v>12171703</v>
          </cell>
          <cell r="B771" t="str">
            <v>Tintas</v>
          </cell>
        </row>
        <row r="772">
          <cell r="A772">
            <v>12181501</v>
          </cell>
          <cell r="B772" t="str">
            <v>Ceras sintéticas</v>
          </cell>
        </row>
        <row r="773">
          <cell r="A773">
            <v>12181502</v>
          </cell>
          <cell r="B773" t="str">
            <v>Ceras naturales</v>
          </cell>
        </row>
        <row r="774">
          <cell r="A774">
            <v>12181503</v>
          </cell>
          <cell r="B774" t="str">
            <v>Parafinas</v>
          </cell>
        </row>
        <row r="775">
          <cell r="A775">
            <v>12181504</v>
          </cell>
          <cell r="B775" t="str">
            <v>Petrolatos</v>
          </cell>
        </row>
        <row r="776">
          <cell r="A776">
            <v>12181601</v>
          </cell>
          <cell r="B776" t="str">
            <v>Aceites sintéticos</v>
          </cell>
        </row>
        <row r="777">
          <cell r="A777">
            <v>12181602</v>
          </cell>
          <cell r="B777" t="str">
            <v>Aceites naturales</v>
          </cell>
        </row>
        <row r="778">
          <cell r="A778">
            <v>12191501</v>
          </cell>
          <cell r="B778" t="str">
            <v>Disolventes aromáticos</v>
          </cell>
        </row>
        <row r="779">
          <cell r="A779">
            <v>12191502</v>
          </cell>
          <cell r="B779" t="str">
            <v>Disolventes alifáticos</v>
          </cell>
        </row>
        <row r="780">
          <cell r="A780">
            <v>12191503</v>
          </cell>
          <cell r="B780" t="str">
            <v>Fenoles o sus sustitutos y derivados</v>
          </cell>
        </row>
        <row r="781">
          <cell r="A781">
            <v>12191504</v>
          </cell>
          <cell r="B781" t="str">
            <v>Alcanos cíclicos</v>
          </cell>
        </row>
        <row r="782">
          <cell r="A782">
            <v>12191601</v>
          </cell>
          <cell r="B782" t="str">
            <v>Solventes de alcohol</v>
          </cell>
        </row>
        <row r="783">
          <cell r="A783">
            <v>12191602</v>
          </cell>
          <cell r="B783" t="str">
            <v>Solventes activos</v>
          </cell>
        </row>
        <row r="784">
          <cell r="A784">
            <v>12352001</v>
          </cell>
          <cell r="B784" t="str">
            <v>Alcanos</v>
          </cell>
        </row>
        <row r="785">
          <cell r="A785">
            <v>12352002</v>
          </cell>
          <cell r="B785" t="str">
            <v>Alquenos</v>
          </cell>
        </row>
        <row r="786">
          <cell r="A786">
            <v>12352003</v>
          </cell>
          <cell r="B786" t="str">
            <v>Alquinos</v>
          </cell>
        </row>
        <row r="787">
          <cell r="A787">
            <v>12352005</v>
          </cell>
          <cell r="B787" t="str">
            <v>Compuestos aromáticos o heterocíclicos</v>
          </cell>
        </row>
        <row r="788">
          <cell r="A788">
            <v>12352101</v>
          </cell>
          <cell r="B788" t="str">
            <v>Compuestos halogenados orgánicos</v>
          </cell>
        </row>
        <row r="789">
          <cell r="A789">
            <v>12352102</v>
          </cell>
          <cell r="B789" t="str">
            <v>Compuestos orgánicos nitro o nitroso</v>
          </cell>
        </row>
        <row r="790">
          <cell r="A790">
            <v>12352103</v>
          </cell>
          <cell r="B790" t="str">
            <v>Compuestos órgano – metálicos</v>
          </cell>
        </row>
        <row r="791">
          <cell r="A791">
            <v>12352104</v>
          </cell>
          <cell r="B791" t="str">
            <v>Alcoholes o sus sustitutos</v>
          </cell>
        </row>
        <row r="792">
          <cell r="A792">
            <v>12352105</v>
          </cell>
          <cell r="B792" t="str">
            <v>Alcoholes tio (mercaptanos)</v>
          </cell>
        </row>
        <row r="793">
          <cell r="A793">
            <v>12352106</v>
          </cell>
          <cell r="B793" t="str">
            <v>Ácidos orgánicos o sus sustitutos</v>
          </cell>
        </row>
        <row r="794">
          <cell r="A794">
            <v>12352107</v>
          </cell>
          <cell r="B794" t="str">
            <v>Sales orgánicas o sus sustitutos</v>
          </cell>
        </row>
        <row r="795">
          <cell r="A795">
            <v>12352108</v>
          </cell>
          <cell r="B795" t="str">
            <v>Esteres o sus sustitutos</v>
          </cell>
        </row>
        <row r="796">
          <cell r="A796">
            <v>12352111</v>
          </cell>
          <cell r="B796" t="str">
            <v>Amidas o imidas</v>
          </cell>
        </row>
        <row r="797">
          <cell r="A797">
            <v>12352112</v>
          </cell>
          <cell r="B797" t="str">
            <v>Esteres o sus sustitutos</v>
          </cell>
        </row>
        <row r="798">
          <cell r="A798">
            <v>12352113</v>
          </cell>
          <cell r="B798" t="str">
            <v>Tioéteres</v>
          </cell>
        </row>
        <row r="799">
          <cell r="A799">
            <v>12352114</v>
          </cell>
          <cell r="B799" t="str">
            <v>Aldehídos o sus sustitutos</v>
          </cell>
        </row>
        <row r="800">
          <cell r="A800">
            <v>12352115</v>
          </cell>
          <cell r="B800" t="str">
            <v>Cetonas o quinonas o sus sustitutos</v>
          </cell>
        </row>
        <row r="801">
          <cell r="A801">
            <v>12352116</v>
          </cell>
          <cell r="B801" t="str">
            <v>Amines o imines o sus sustitutos</v>
          </cell>
        </row>
        <row r="802">
          <cell r="A802">
            <v>12352117</v>
          </cell>
          <cell r="B802" t="str">
            <v>Cianuros o isocianuros</v>
          </cell>
        </row>
        <row r="803">
          <cell r="A803">
            <v>12352118</v>
          </cell>
          <cell r="B803" t="str">
            <v>Cianatos o isocianatos o tiocianatos o isotiocianatos</v>
          </cell>
        </row>
        <row r="804">
          <cell r="A804">
            <v>12352119</v>
          </cell>
          <cell r="B804" t="str">
            <v>Óxidos orgánicos</v>
          </cell>
        </row>
        <row r="805">
          <cell r="A805">
            <v>12352120</v>
          </cell>
          <cell r="B805" t="str">
            <v>Peróxidos orgánicos</v>
          </cell>
        </row>
        <row r="806">
          <cell r="A806">
            <v>12352121</v>
          </cell>
          <cell r="B806" t="str">
            <v>Hidróxidos orgánicos</v>
          </cell>
        </row>
        <row r="807">
          <cell r="A807">
            <v>12352123</v>
          </cell>
          <cell r="B807" t="str">
            <v>Ureidos o purinas o sus derivados</v>
          </cell>
        </row>
        <row r="808">
          <cell r="A808">
            <v>12352124</v>
          </cell>
          <cell r="B808" t="str">
            <v>Azo compuestos o sus sustitutos</v>
          </cell>
        </row>
        <row r="809">
          <cell r="A809">
            <v>12352125</v>
          </cell>
          <cell r="B809" t="str">
            <v>Azidas o azinas</v>
          </cell>
        </row>
        <row r="810">
          <cell r="A810">
            <v>12352126</v>
          </cell>
          <cell r="B810" t="str">
            <v>Oximas</v>
          </cell>
        </row>
        <row r="811">
          <cell r="A811">
            <v>12352127</v>
          </cell>
          <cell r="B811" t="str">
            <v>Hidracinas o hidracidas o sus sustitutos</v>
          </cell>
        </row>
        <row r="812">
          <cell r="A812">
            <v>12352128</v>
          </cell>
          <cell r="B812" t="str">
            <v>Fosfinas</v>
          </cell>
        </row>
        <row r="813">
          <cell r="A813">
            <v>12352129</v>
          </cell>
          <cell r="B813" t="str">
            <v>Amidinas o imidinas</v>
          </cell>
        </row>
        <row r="814">
          <cell r="A814">
            <v>12352130</v>
          </cell>
          <cell r="B814" t="str">
            <v>Intermedios de acrilato o metacrilato</v>
          </cell>
        </row>
        <row r="815">
          <cell r="A815">
            <v>12352201</v>
          </cell>
          <cell r="B815" t="str">
            <v>Carbohidratos o sus derivados</v>
          </cell>
        </row>
        <row r="816">
          <cell r="A816">
            <v>12352202</v>
          </cell>
          <cell r="B816" t="str">
            <v>Proteínas</v>
          </cell>
        </row>
        <row r="817">
          <cell r="A817">
            <v>12352203</v>
          </cell>
          <cell r="B817" t="str">
            <v>Anticuerpos</v>
          </cell>
        </row>
        <row r="818">
          <cell r="A818">
            <v>12352204</v>
          </cell>
          <cell r="B818" t="str">
            <v>Enzimas</v>
          </cell>
        </row>
        <row r="819">
          <cell r="A819">
            <v>12352205</v>
          </cell>
          <cell r="B819" t="str">
            <v>Nutrientes</v>
          </cell>
        </row>
        <row r="820">
          <cell r="A820">
            <v>12352206</v>
          </cell>
          <cell r="B820" t="str">
            <v>Tejidos</v>
          </cell>
        </row>
        <row r="821">
          <cell r="A821">
            <v>12352207</v>
          </cell>
          <cell r="B821" t="str">
            <v>Cultivos y fluidos</v>
          </cell>
        </row>
        <row r="822">
          <cell r="A822">
            <v>12352208</v>
          </cell>
          <cell r="B822" t="str">
            <v>Ácido nucleico</v>
          </cell>
        </row>
        <row r="823">
          <cell r="A823">
            <v>12352209</v>
          </cell>
          <cell r="B823" t="str">
            <v>Aminoácidos o sus derivados</v>
          </cell>
        </row>
        <row r="824">
          <cell r="A824">
            <v>12352210</v>
          </cell>
          <cell r="B824" t="str">
            <v>Alcaloides</v>
          </cell>
        </row>
        <row r="825">
          <cell r="A825">
            <v>12352211</v>
          </cell>
          <cell r="B825" t="str">
            <v>Grasas o lípidos</v>
          </cell>
        </row>
        <row r="826">
          <cell r="A826">
            <v>12352212</v>
          </cell>
          <cell r="B826" t="str">
            <v>Terpenoides</v>
          </cell>
        </row>
        <row r="827">
          <cell r="A827">
            <v>12352301</v>
          </cell>
          <cell r="B827" t="str">
            <v>Ácidos inorgánicos</v>
          </cell>
        </row>
        <row r="828">
          <cell r="A828">
            <v>12352302</v>
          </cell>
          <cell r="B828" t="str">
            <v>Sales metálicas inorgánicas</v>
          </cell>
        </row>
        <row r="829">
          <cell r="A829">
            <v>12352303</v>
          </cell>
          <cell r="B829" t="str">
            <v>Óxidos inorgánicos</v>
          </cell>
        </row>
        <row r="830">
          <cell r="A830">
            <v>12352304</v>
          </cell>
          <cell r="B830" t="str">
            <v>Peróxidos inorgánicos</v>
          </cell>
        </row>
        <row r="831">
          <cell r="A831">
            <v>12352305</v>
          </cell>
          <cell r="B831" t="str">
            <v>Hidróxidos inorgánicos</v>
          </cell>
        </row>
        <row r="832">
          <cell r="A832">
            <v>12352306</v>
          </cell>
          <cell r="B832" t="str">
            <v>Hídridos inorgánicos</v>
          </cell>
        </row>
        <row r="833">
          <cell r="A833">
            <v>12352307</v>
          </cell>
          <cell r="B833" t="str">
            <v>Halidos ácidos o sus sustitutos</v>
          </cell>
        </row>
        <row r="834">
          <cell r="A834">
            <v>12352308</v>
          </cell>
          <cell r="B834" t="str">
            <v>Silicatos</v>
          </cell>
        </row>
        <row r="835">
          <cell r="A835">
            <v>12352309</v>
          </cell>
          <cell r="B835" t="str">
            <v>Sílice</v>
          </cell>
        </row>
        <row r="836">
          <cell r="A836">
            <v>12352310</v>
          </cell>
          <cell r="B836" t="str">
            <v>Siliconas</v>
          </cell>
        </row>
        <row r="837">
          <cell r="A837">
            <v>12352311</v>
          </cell>
          <cell r="B837" t="str">
            <v>Alúmina y otros compuestos de aluminio</v>
          </cell>
        </row>
        <row r="838">
          <cell r="A838">
            <v>12352312</v>
          </cell>
          <cell r="B838" t="str">
            <v>Permanganato de potasio</v>
          </cell>
        </row>
        <row r="839">
          <cell r="A839">
            <v>12352401</v>
          </cell>
          <cell r="B839" t="str">
            <v>Mezclas químicas orgánicas</v>
          </cell>
        </row>
        <row r="840">
          <cell r="A840">
            <v>12352402</v>
          </cell>
          <cell r="B840" t="str">
            <v>Mezclas químicas inorgánicas</v>
          </cell>
        </row>
        <row r="841">
          <cell r="A841">
            <v>12352501</v>
          </cell>
          <cell r="B841" t="str">
            <v>Formaldehidos</v>
          </cell>
        </row>
        <row r="842">
          <cell r="A842">
            <v>12352502</v>
          </cell>
          <cell r="B842" t="str">
            <v>Glutarales</v>
          </cell>
        </row>
        <row r="843">
          <cell r="A843">
            <v>12352503</v>
          </cell>
          <cell r="B843" t="str">
            <v>Taninos</v>
          </cell>
        </row>
        <row r="844">
          <cell r="A844">
            <v>13101501</v>
          </cell>
          <cell r="B844" t="str">
            <v>Caucho látex</v>
          </cell>
        </row>
        <row r="845">
          <cell r="A845">
            <v>13101502</v>
          </cell>
          <cell r="B845" t="str">
            <v>Caucho crepe</v>
          </cell>
        </row>
        <row r="846">
          <cell r="A846">
            <v>13101503</v>
          </cell>
          <cell r="B846" t="str">
            <v>Caucho hoja ahumada</v>
          </cell>
        </row>
        <row r="847">
          <cell r="A847">
            <v>13101504</v>
          </cell>
          <cell r="B847" t="str">
            <v>Caucho espuma natural</v>
          </cell>
        </row>
        <row r="848">
          <cell r="A848">
            <v>13101505</v>
          </cell>
          <cell r="B848" t="str">
            <v>Caucho bloque o borona</v>
          </cell>
        </row>
        <row r="849">
          <cell r="A849">
            <v>13101601</v>
          </cell>
          <cell r="B849" t="str">
            <v>Caucho vulcanizado</v>
          </cell>
        </row>
        <row r="850">
          <cell r="A850">
            <v>13101602</v>
          </cell>
          <cell r="B850" t="str">
            <v>Caucho clorado</v>
          </cell>
        </row>
        <row r="851">
          <cell r="A851">
            <v>13101603</v>
          </cell>
          <cell r="B851" t="str">
            <v>Caucho clorhidrato</v>
          </cell>
        </row>
        <row r="852">
          <cell r="A852">
            <v>13101604</v>
          </cell>
          <cell r="B852" t="str">
            <v>Caucho ciclizado</v>
          </cell>
        </row>
        <row r="853">
          <cell r="A853">
            <v>13101605</v>
          </cell>
          <cell r="B853" t="str">
            <v>Caucho isomerizado</v>
          </cell>
        </row>
        <row r="854">
          <cell r="A854">
            <v>13101606</v>
          </cell>
          <cell r="B854" t="str">
            <v>Caucho termoplástico</v>
          </cell>
        </row>
        <row r="855">
          <cell r="A855">
            <v>13101607</v>
          </cell>
          <cell r="B855" t="str">
            <v>Compuesto de caucho</v>
          </cell>
        </row>
        <row r="856">
          <cell r="A856">
            <v>13101701</v>
          </cell>
          <cell r="B856" t="str">
            <v>Butadieno acilonitrilo nbr</v>
          </cell>
        </row>
        <row r="857">
          <cell r="A857">
            <v>13101702</v>
          </cell>
          <cell r="B857" t="str">
            <v>Nitrilo altamente saturado nhbr</v>
          </cell>
        </row>
        <row r="858">
          <cell r="A858">
            <v>13101703</v>
          </cell>
          <cell r="B858" t="str">
            <v>Fluorocarbono fcm</v>
          </cell>
        </row>
        <row r="859">
          <cell r="A859">
            <v>13101704</v>
          </cell>
          <cell r="B859" t="str">
            <v>Propileno etileno epe</v>
          </cell>
        </row>
        <row r="860">
          <cell r="A860">
            <v>13101705</v>
          </cell>
          <cell r="B860" t="str">
            <v>Butadieno estireno</v>
          </cell>
        </row>
        <row r="861">
          <cell r="A861">
            <v>13101706</v>
          </cell>
          <cell r="B861" t="str">
            <v>Clorpreno cr</v>
          </cell>
        </row>
        <row r="862">
          <cell r="A862">
            <v>13101707</v>
          </cell>
          <cell r="B862" t="str">
            <v>Isopreno isobutileno iir / xiir</v>
          </cell>
        </row>
        <row r="863">
          <cell r="A863">
            <v>13101708</v>
          </cell>
          <cell r="B863" t="str">
            <v>Silicona vmq y pmq y pvmq</v>
          </cell>
        </row>
        <row r="864">
          <cell r="A864">
            <v>13101709</v>
          </cell>
          <cell r="B864" t="str">
            <v>Fluorosilicona fvmq</v>
          </cell>
        </row>
        <row r="865">
          <cell r="A865">
            <v>13101710</v>
          </cell>
          <cell r="B865" t="str">
            <v>Poliacrilato acm</v>
          </cell>
        </row>
        <row r="866">
          <cell r="A866">
            <v>13101711</v>
          </cell>
          <cell r="B866" t="str">
            <v>Etileno acrílico aem</v>
          </cell>
        </row>
        <row r="867">
          <cell r="A867">
            <v>13101712</v>
          </cell>
          <cell r="B867" t="str">
            <v>Polietileno clorosulfonatado csm</v>
          </cell>
        </row>
        <row r="868">
          <cell r="A868">
            <v>13101713</v>
          </cell>
          <cell r="B868" t="str">
            <v>Cloropolietileno cm</v>
          </cell>
        </row>
        <row r="869">
          <cell r="A869">
            <v>13101714</v>
          </cell>
          <cell r="B869" t="str">
            <v>Epicloridrina</v>
          </cell>
        </row>
        <row r="870">
          <cell r="A870">
            <v>13101715</v>
          </cell>
          <cell r="B870" t="str">
            <v>Polisopreno natural nr</v>
          </cell>
        </row>
        <row r="871">
          <cell r="A871">
            <v>13101716</v>
          </cell>
          <cell r="B871" t="str">
            <v>Polisopreno sintético ir</v>
          </cell>
        </row>
        <row r="872">
          <cell r="A872">
            <v>13101717</v>
          </cell>
          <cell r="B872" t="str">
            <v>Poliéster uretano au</v>
          </cell>
        </row>
        <row r="873">
          <cell r="A873">
            <v>13101718</v>
          </cell>
          <cell r="B873" t="str">
            <v>Poliéster uretano eu</v>
          </cell>
        </row>
        <row r="874">
          <cell r="A874">
            <v>13101719</v>
          </cell>
          <cell r="B874" t="str">
            <v>Polibutadieno br</v>
          </cell>
        </row>
        <row r="875">
          <cell r="A875">
            <v>13101720</v>
          </cell>
          <cell r="B875" t="str">
            <v>Poli éter bloque amida peba</v>
          </cell>
        </row>
        <row r="876">
          <cell r="A876">
            <v>13101721</v>
          </cell>
          <cell r="B876" t="str">
            <v>Estireno bloque copolímero tes</v>
          </cell>
        </row>
        <row r="877">
          <cell r="A877">
            <v>13101722</v>
          </cell>
          <cell r="B877" t="str">
            <v>Copoliester</v>
          </cell>
        </row>
        <row r="878">
          <cell r="A878">
            <v>13101723</v>
          </cell>
          <cell r="B878" t="str">
            <v>Termoplástico</v>
          </cell>
        </row>
        <row r="879">
          <cell r="A879">
            <v>13101724</v>
          </cell>
          <cell r="B879" t="str">
            <v>Poliolefínico</v>
          </cell>
        </row>
        <row r="880">
          <cell r="A880">
            <v>13101902</v>
          </cell>
          <cell r="B880" t="str">
            <v>Fenólico pf</v>
          </cell>
        </row>
        <row r="881">
          <cell r="A881">
            <v>13101903</v>
          </cell>
          <cell r="B881" t="str">
            <v>Poliéster no saturado up</v>
          </cell>
        </row>
        <row r="882">
          <cell r="A882">
            <v>13101904</v>
          </cell>
          <cell r="B882" t="str">
            <v>Urea uf</v>
          </cell>
        </row>
        <row r="883">
          <cell r="A883">
            <v>13101905</v>
          </cell>
          <cell r="B883" t="str">
            <v>Melamina mf</v>
          </cell>
        </row>
        <row r="884">
          <cell r="A884">
            <v>13101906</v>
          </cell>
          <cell r="B884" t="str">
            <v>Poliuretano termoestable pur</v>
          </cell>
        </row>
        <row r="885">
          <cell r="A885">
            <v>13102001</v>
          </cell>
          <cell r="B885" t="str">
            <v>Acrilonitrilo butadieno estireno abs</v>
          </cell>
        </row>
        <row r="886">
          <cell r="A886">
            <v>13102002</v>
          </cell>
          <cell r="B886" t="str">
            <v>Aleaciones de acrilonitrilo butadieno estireno abs</v>
          </cell>
        </row>
        <row r="887">
          <cell r="A887">
            <v>13102003</v>
          </cell>
          <cell r="B887" t="str">
            <v>Polímero acetal</v>
          </cell>
        </row>
        <row r="888">
          <cell r="A888">
            <v>13102005</v>
          </cell>
          <cell r="B888" t="str">
            <v>Acrilonitrilo estireno acrílico asa</v>
          </cell>
        </row>
        <row r="889">
          <cell r="A889">
            <v>13102006</v>
          </cell>
          <cell r="B889" t="str">
            <v>Aleaciones de acrilonitrilo estireno acrílico asa</v>
          </cell>
        </row>
        <row r="890">
          <cell r="A890">
            <v>13102008</v>
          </cell>
          <cell r="B890" t="str">
            <v>Fluoropolímeros ptfe</v>
          </cell>
        </row>
        <row r="891">
          <cell r="A891">
            <v>13102009</v>
          </cell>
          <cell r="B891" t="str">
            <v>Etileno vinil acetato (EVA)</v>
          </cell>
        </row>
        <row r="892">
          <cell r="A892">
            <v>13102010</v>
          </cell>
          <cell r="B892" t="str">
            <v>Polímero cristal líquido lcp</v>
          </cell>
        </row>
        <row r="893">
          <cell r="A893">
            <v>13102011</v>
          </cell>
          <cell r="B893" t="str">
            <v>Nylons poliamida pa</v>
          </cell>
        </row>
        <row r="894">
          <cell r="A894">
            <v>13102012</v>
          </cell>
          <cell r="B894" t="str">
            <v>Polibutileno tereftalato (PBT)</v>
          </cell>
        </row>
        <row r="895">
          <cell r="A895">
            <v>13102013</v>
          </cell>
          <cell r="B895" t="str">
            <v>Policarbonato pc</v>
          </cell>
        </row>
        <row r="896">
          <cell r="A896">
            <v>13102014</v>
          </cell>
          <cell r="B896" t="str">
            <v>Polietereterquetona peek</v>
          </cell>
        </row>
        <row r="897">
          <cell r="A897">
            <v>13102015</v>
          </cell>
          <cell r="B897" t="str">
            <v>Polieterimida (PEI)</v>
          </cell>
        </row>
        <row r="898">
          <cell r="A898">
            <v>13102016</v>
          </cell>
          <cell r="B898" t="str">
            <v>Polietersulfona pes</v>
          </cell>
        </row>
        <row r="899">
          <cell r="A899">
            <v>13102017</v>
          </cell>
          <cell r="B899" t="str">
            <v>Polietileno de baja densidad hdpe</v>
          </cell>
        </row>
        <row r="900">
          <cell r="A900">
            <v>13102018</v>
          </cell>
          <cell r="B900" t="str">
            <v>Polietileno de alta densidad ldpe</v>
          </cell>
        </row>
        <row r="901">
          <cell r="A901">
            <v>13102019</v>
          </cell>
          <cell r="B901" t="str">
            <v>Polietileno de media densidad mdpe</v>
          </cell>
        </row>
        <row r="902">
          <cell r="A902">
            <v>13102020</v>
          </cell>
          <cell r="B902" t="str">
            <v>Polietileno tereftalato pet</v>
          </cell>
        </row>
        <row r="903">
          <cell r="A903">
            <v>13102021</v>
          </cell>
          <cell r="B903" t="str">
            <v>Polimida pi</v>
          </cell>
        </row>
        <row r="904">
          <cell r="A904">
            <v>13102022</v>
          </cell>
          <cell r="B904" t="str">
            <v>Polipropileno pp</v>
          </cell>
        </row>
        <row r="905">
          <cell r="A905">
            <v>13102023</v>
          </cell>
          <cell r="B905" t="str">
            <v>Poliftalamida (PPA)</v>
          </cell>
        </row>
        <row r="906">
          <cell r="A906">
            <v>13102024</v>
          </cell>
          <cell r="B906" t="str">
            <v>Óxido de polifenileno ppo</v>
          </cell>
        </row>
        <row r="907">
          <cell r="A907">
            <v>13102025</v>
          </cell>
          <cell r="B907" t="str">
            <v>Sulfuro de polifenileno pps</v>
          </cell>
        </row>
        <row r="908">
          <cell r="A908">
            <v>13102026</v>
          </cell>
          <cell r="B908" t="str">
            <v>Poliestireno (icopor) ps</v>
          </cell>
        </row>
        <row r="909">
          <cell r="A909">
            <v>13102027</v>
          </cell>
          <cell r="B909" t="str">
            <v>Poliestireno de alto impacto hips</v>
          </cell>
        </row>
        <row r="910">
          <cell r="A910">
            <v>13102028</v>
          </cell>
          <cell r="B910" t="str">
            <v>Polisulfona psu</v>
          </cell>
        </row>
        <row r="911">
          <cell r="A911">
            <v>13102029</v>
          </cell>
          <cell r="B911" t="str">
            <v>Poliuretano termoplástico rígido rptu</v>
          </cell>
        </row>
        <row r="912">
          <cell r="A912">
            <v>13102030</v>
          </cell>
          <cell r="B912" t="str">
            <v>Cloruro de polivinilo pvc</v>
          </cell>
        </row>
        <row r="913">
          <cell r="A913">
            <v>13102031</v>
          </cell>
          <cell r="B913" t="str">
            <v>Éter de polifenilene ppe</v>
          </cell>
        </row>
        <row r="914">
          <cell r="A914">
            <v>13111001</v>
          </cell>
          <cell r="B914" t="str">
            <v>Epoxi</v>
          </cell>
        </row>
        <row r="915">
          <cell r="A915">
            <v>13111002</v>
          </cell>
          <cell r="B915" t="str">
            <v>Resina fenólica</v>
          </cell>
        </row>
        <row r="916">
          <cell r="A916">
            <v>13111003</v>
          </cell>
          <cell r="B916" t="str">
            <v>Resina polester no saturada</v>
          </cell>
        </row>
        <row r="917">
          <cell r="A917">
            <v>13111004</v>
          </cell>
          <cell r="B917" t="str">
            <v>Resina estireno butadieno acrilonitrilo</v>
          </cell>
        </row>
        <row r="918">
          <cell r="A918">
            <v>13111005</v>
          </cell>
          <cell r="B918" t="str">
            <v>Resina acrílica estireno acrilonitrilo</v>
          </cell>
        </row>
        <row r="919">
          <cell r="A919">
            <v>13111006</v>
          </cell>
          <cell r="B919" t="str">
            <v>Resina aleación acrílica estireno acrilonitrilo</v>
          </cell>
        </row>
        <row r="920">
          <cell r="A920">
            <v>13111007</v>
          </cell>
          <cell r="B920" t="str">
            <v>Resina fliuoropolímero</v>
          </cell>
        </row>
        <row r="921">
          <cell r="A921">
            <v>13111008</v>
          </cell>
          <cell r="B921" t="str">
            <v>Resina acetato vinilo etileno</v>
          </cell>
        </row>
        <row r="922">
          <cell r="A922">
            <v>13111009</v>
          </cell>
          <cell r="B922" t="str">
            <v>Resina polímero cristal líquido</v>
          </cell>
        </row>
        <row r="923">
          <cell r="A923">
            <v>13111010</v>
          </cell>
          <cell r="B923" t="str">
            <v>Nylon</v>
          </cell>
        </row>
        <row r="924">
          <cell r="A924">
            <v>13111011</v>
          </cell>
          <cell r="B924" t="str">
            <v>Tetralftalato polibutileno</v>
          </cell>
        </row>
        <row r="925">
          <cell r="A925">
            <v>13111012</v>
          </cell>
          <cell r="B925" t="str">
            <v>Resina de policarbonato</v>
          </cell>
        </row>
        <row r="926">
          <cell r="A926">
            <v>13111013</v>
          </cell>
          <cell r="B926" t="str">
            <v>Resina polietereterquetona</v>
          </cell>
        </row>
        <row r="927">
          <cell r="A927">
            <v>13111014</v>
          </cell>
          <cell r="B927" t="str">
            <v>Resina polieterimida</v>
          </cell>
        </row>
        <row r="928">
          <cell r="A928">
            <v>13111015</v>
          </cell>
          <cell r="B928" t="str">
            <v>Resina polietersulfona</v>
          </cell>
        </row>
        <row r="929">
          <cell r="A929">
            <v>13111016</v>
          </cell>
          <cell r="B929" t="str">
            <v>Polietileno</v>
          </cell>
        </row>
        <row r="930">
          <cell r="A930">
            <v>13111017</v>
          </cell>
          <cell r="B930" t="str">
            <v>Resina terftalato polietileno</v>
          </cell>
        </row>
        <row r="931">
          <cell r="A931">
            <v>13111018</v>
          </cell>
          <cell r="B931" t="str">
            <v>Resina polimida</v>
          </cell>
        </row>
        <row r="932">
          <cell r="A932">
            <v>13111019</v>
          </cell>
          <cell r="B932" t="str">
            <v>Resina polipropileno</v>
          </cell>
        </row>
        <row r="933">
          <cell r="A933">
            <v>13111020</v>
          </cell>
          <cell r="B933" t="str">
            <v>Resina poliftalamida</v>
          </cell>
        </row>
        <row r="934">
          <cell r="A934">
            <v>13111021</v>
          </cell>
          <cell r="B934" t="str">
            <v>Óxido de polietileno</v>
          </cell>
        </row>
        <row r="935">
          <cell r="A935">
            <v>13111022</v>
          </cell>
          <cell r="B935" t="str">
            <v>Resina sulfuro de polifenilene</v>
          </cell>
        </row>
        <row r="936">
          <cell r="A936">
            <v>13111023</v>
          </cell>
          <cell r="B936" t="str">
            <v>Resina de poliestireno</v>
          </cell>
        </row>
        <row r="937">
          <cell r="A937">
            <v>13111024</v>
          </cell>
          <cell r="B937" t="str">
            <v>Resina de polisulfona</v>
          </cell>
        </row>
        <row r="938">
          <cell r="A938">
            <v>13111025</v>
          </cell>
          <cell r="B938" t="str">
            <v>Resina de cloruro de polivinilo</v>
          </cell>
        </row>
        <row r="939">
          <cell r="A939">
            <v>13111026</v>
          </cell>
          <cell r="B939" t="str">
            <v>Resina de acrilonitrilo de estireno</v>
          </cell>
        </row>
        <row r="940">
          <cell r="A940">
            <v>13111027</v>
          </cell>
          <cell r="B940" t="str">
            <v>Formaldehído de urea</v>
          </cell>
        </row>
        <row r="941">
          <cell r="A941">
            <v>13111028</v>
          </cell>
          <cell r="B941" t="str">
            <v>Alquido</v>
          </cell>
        </row>
        <row r="942">
          <cell r="A942">
            <v>13111029</v>
          </cell>
          <cell r="B942" t="str">
            <v>Formaldehído de melamina</v>
          </cell>
        </row>
        <row r="943">
          <cell r="A943">
            <v>13111030</v>
          </cell>
          <cell r="B943" t="str">
            <v>Poliacetal</v>
          </cell>
        </row>
        <row r="944">
          <cell r="A944">
            <v>13111031</v>
          </cell>
          <cell r="B944" t="str">
            <v>Poliamida</v>
          </cell>
        </row>
        <row r="945">
          <cell r="A945">
            <v>13111032</v>
          </cell>
          <cell r="B945" t="str">
            <v>Grupo alilo</v>
          </cell>
        </row>
        <row r="946">
          <cell r="A946">
            <v>13111033</v>
          </cell>
          <cell r="B946" t="str">
            <v>Ácido acrílico de etileno</v>
          </cell>
        </row>
        <row r="947">
          <cell r="A947">
            <v>13111034</v>
          </cell>
          <cell r="B947" t="str">
            <v>Compuesto cloruro de polivinilo</v>
          </cell>
        </row>
        <row r="948">
          <cell r="A948">
            <v>13111035</v>
          </cell>
          <cell r="B948" t="str">
            <v>Solución de vinilo</v>
          </cell>
        </row>
        <row r="949">
          <cell r="A949">
            <v>13111036</v>
          </cell>
          <cell r="B949" t="str">
            <v>Fenoxi</v>
          </cell>
        </row>
        <row r="950">
          <cell r="A950">
            <v>13111037</v>
          </cell>
          <cell r="B950" t="str">
            <v>Resina compuesta</v>
          </cell>
        </row>
        <row r="951">
          <cell r="A951">
            <v>13111038</v>
          </cell>
          <cell r="B951" t="str">
            <v>Pirolidina polivinilo</v>
          </cell>
        </row>
        <row r="952">
          <cell r="A952">
            <v>13111039</v>
          </cell>
          <cell r="B952" t="str">
            <v>Tereftalato de polietileno o glicol modificado</v>
          </cell>
        </row>
        <row r="953">
          <cell r="A953">
            <v>13111040</v>
          </cell>
          <cell r="B953" t="str">
            <v>Fijador de hidrocarburo</v>
          </cell>
        </row>
        <row r="954">
          <cell r="A954">
            <v>13111041</v>
          </cell>
          <cell r="B954" t="str">
            <v>Mezclas de policarbonato</v>
          </cell>
        </row>
        <row r="955">
          <cell r="A955">
            <v>13111042</v>
          </cell>
          <cell r="B955" t="str">
            <v>Alcohol polivinilo</v>
          </cell>
        </row>
        <row r="956">
          <cell r="A956">
            <v>13111043</v>
          </cell>
          <cell r="B956" t="str">
            <v>Butiral polivinilo</v>
          </cell>
        </row>
        <row r="957">
          <cell r="A957">
            <v>13111044</v>
          </cell>
          <cell r="B957" t="str">
            <v>Compuesto de moldeo de poliéster</v>
          </cell>
        </row>
        <row r="958">
          <cell r="A958">
            <v>13111045</v>
          </cell>
          <cell r="B958" t="str">
            <v>Acetato de polivinilo</v>
          </cell>
        </row>
        <row r="959">
          <cell r="A959">
            <v>13111046</v>
          </cell>
          <cell r="B959" t="str">
            <v>Éter de polivinilo</v>
          </cell>
        </row>
        <row r="960">
          <cell r="A960">
            <v>13111047</v>
          </cell>
          <cell r="B960" t="str">
            <v>Polivinilo formal</v>
          </cell>
        </row>
        <row r="961">
          <cell r="A961">
            <v>13111048</v>
          </cell>
          <cell r="B961" t="str">
            <v>Acrílico de estireno</v>
          </cell>
        </row>
        <row r="962">
          <cell r="A962">
            <v>13111049</v>
          </cell>
          <cell r="B962" t="str">
            <v>Polímeros de propileno de etileno</v>
          </cell>
        </row>
        <row r="963">
          <cell r="A963">
            <v>13111050</v>
          </cell>
          <cell r="B963" t="str">
            <v>Óxido de polipropileno</v>
          </cell>
        </row>
        <row r="964">
          <cell r="A964">
            <v>13111051</v>
          </cell>
          <cell r="B964" t="str">
            <v>Éter de polipropileno</v>
          </cell>
        </row>
        <row r="965">
          <cell r="A965">
            <v>13111052</v>
          </cell>
          <cell r="B965" t="str">
            <v>Sulfona de polipropileno</v>
          </cell>
        </row>
        <row r="966">
          <cell r="A966">
            <v>13111053</v>
          </cell>
          <cell r="B966" t="str">
            <v>Polimetilacrilato</v>
          </cell>
        </row>
        <row r="967">
          <cell r="A967">
            <v>13111054</v>
          </cell>
          <cell r="B967" t="str">
            <v>Anhídrido maléico de estireno</v>
          </cell>
        </row>
        <row r="968">
          <cell r="A968">
            <v>13111055</v>
          </cell>
          <cell r="B968" t="str">
            <v>Poliestireno sindiotáctico</v>
          </cell>
        </row>
        <row r="969">
          <cell r="A969">
            <v>13111056</v>
          </cell>
          <cell r="B969" t="str">
            <v>Cloruro de polivinilo clorado</v>
          </cell>
        </row>
        <row r="970">
          <cell r="A970">
            <v>13111057</v>
          </cell>
          <cell r="B970" t="str">
            <v>Poliéster termoplástico</v>
          </cell>
        </row>
        <row r="971">
          <cell r="A971">
            <v>13111058</v>
          </cell>
          <cell r="B971" t="str">
            <v>Resinas de indeno</v>
          </cell>
        </row>
        <row r="972">
          <cell r="A972">
            <v>13111059</v>
          </cell>
          <cell r="B972" t="str">
            <v>Resinas plásticas</v>
          </cell>
        </row>
        <row r="973">
          <cell r="A973">
            <v>13111060</v>
          </cell>
          <cell r="B973" t="str">
            <v>Resinas de petróleo</v>
          </cell>
        </row>
        <row r="974">
          <cell r="A974">
            <v>13111061</v>
          </cell>
          <cell r="B974" t="str">
            <v>Resinas de poliuretano</v>
          </cell>
        </row>
        <row r="975">
          <cell r="A975">
            <v>13111062</v>
          </cell>
          <cell r="B975" t="str">
            <v>Resinas de polieter</v>
          </cell>
        </row>
        <row r="976">
          <cell r="A976">
            <v>13111063</v>
          </cell>
          <cell r="B976" t="str">
            <v>Resinas recicladas</v>
          </cell>
        </row>
        <row r="977">
          <cell r="A977">
            <v>13111064</v>
          </cell>
          <cell r="B977" t="str">
            <v>Resinas acrílicas</v>
          </cell>
        </row>
        <row r="978">
          <cell r="A978">
            <v>13111065</v>
          </cell>
          <cell r="B978" t="str">
            <v>Resinas celulosas</v>
          </cell>
        </row>
        <row r="979">
          <cell r="A979">
            <v>13111066</v>
          </cell>
          <cell r="B979" t="str">
            <v>Resinas de polipropileno</v>
          </cell>
        </row>
        <row r="980">
          <cell r="A980">
            <v>13111101</v>
          </cell>
          <cell r="B980" t="str">
            <v>Rosina de madera</v>
          </cell>
        </row>
        <row r="981">
          <cell r="A981">
            <v>13111102</v>
          </cell>
          <cell r="B981" t="str">
            <v>Rosina de goma</v>
          </cell>
        </row>
        <row r="982">
          <cell r="A982">
            <v>13111103</v>
          </cell>
          <cell r="B982" t="str">
            <v>Rosina aceite de pino</v>
          </cell>
        </row>
        <row r="983">
          <cell r="A983">
            <v>13111201</v>
          </cell>
          <cell r="B983" t="str">
            <v>Películas de polietileno</v>
          </cell>
        </row>
        <row r="984">
          <cell r="A984">
            <v>13111202</v>
          </cell>
          <cell r="B984" t="str">
            <v>Películas de poliuretano</v>
          </cell>
        </row>
        <row r="985">
          <cell r="A985">
            <v>13111203</v>
          </cell>
          <cell r="B985" t="str">
            <v>Películas de acetato</v>
          </cell>
        </row>
        <row r="986">
          <cell r="A986">
            <v>13111204</v>
          </cell>
          <cell r="B986" t="str">
            <v>Películas de acrílico</v>
          </cell>
        </row>
        <row r="987">
          <cell r="A987">
            <v>13111205</v>
          </cell>
          <cell r="B987" t="str">
            <v>Películas coextruídas</v>
          </cell>
        </row>
        <row r="988">
          <cell r="A988">
            <v>13111206</v>
          </cell>
          <cell r="B988" t="str">
            <v>Películas de fluoropolímero</v>
          </cell>
        </row>
        <row r="989">
          <cell r="A989">
            <v>13111207</v>
          </cell>
          <cell r="B989" t="str">
            <v>Películas metalizadas</v>
          </cell>
        </row>
        <row r="990">
          <cell r="A990">
            <v>13111208</v>
          </cell>
          <cell r="B990" t="str">
            <v>Películas de nylon</v>
          </cell>
        </row>
        <row r="991">
          <cell r="A991">
            <v>13111209</v>
          </cell>
          <cell r="B991" t="str">
            <v>Películas de policarbonato</v>
          </cell>
        </row>
        <row r="992">
          <cell r="A992">
            <v>13111210</v>
          </cell>
          <cell r="B992" t="str">
            <v>Películas de poliéster</v>
          </cell>
        </row>
        <row r="993">
          <cell r="A993">
            <v>13111211</v>
          </cell>
          <cell r="B993" t="str">
            <v>Películas de polipropileno</v>
          </cell>
        </row>
        <row r="994">
          <cell r="A994">
            <v>13111212</v>
          </cell>
          <cell r="B994" t="str">
            <v>Polipropileno orientado axialmente</v>
          </cell>
        </row>
        <row r="995">
          <cell r="A995">
            <v>13111213</v>
          </cell>
          <cell r="B995" t="str">
            <v>Películas de poliamida</v>
          </cell>
        </row>
        <row r="996">
          <cell r="A996">
            <v>13111214</v>
          </cell>
          <cell r="B996" t="str">
            <v>Películas de poliestireno</v>
          </cell>
        </row>
        <row r="997">
          <cell r="A997">
            <v>13111215</v>
          </cell>
          <cell r="B997" t="str">
            <v>Películas de cloruro de polivinilo flexible</v>
          </cell>
        </row>
        <row r="998">
          <cell r="A998">
            <v>13111216</v>
          </cell>
          <cell r="B998" t="str">
            <v>Películas de cloruro de polivinilo rígido</v>
          </cell>
        </row>
        <row r="999">
          <cell r="A999">
            <v>13111217</v>
          </cell>
          <cell r="B999" t="str">
            <v>Películas de alcohol vinilo etileno</v>
          </cell>
        </row>
        <row r="1000">
          <cell r="A1000">
            <v>13111218</v>
          </cell>
          <cell r="B1000" t="str">
            <v>Películas de cloruro de polivinilo</v>
          </cell>
        </row>
        <row r="1001">
          <cell r="A1001">
            <v>13111219</v>
          </cell>
          <cell r="B1001" t="str">
            <v>Películas de alcohol polivinilo</v>
          </cell>
        </row>
        <row r="1002">
          <cell r="A1002">
            <v>13111220</v>
          </cell>
          <cell r="B1002" t="str">
            <v>Películas de recubiertas de silicona</v>
          </cell>
        </row>
        <row r="1003">
          <cell r="A1003">
            <v>13111301</v>
          </cell>
          <cell r="B1003" t="str">
            <v>Espumas de poliolefina</v>
          </cell>
        </row>
        <row r="1004">
          <cell r="A1004">
            <v>13111302</v>
          </cell>
          <cell r="B1004" t="str">
            <v>Espumas de poli éter</v>
          </cell>
        </row>
        <row r="1005">
          <cell r="A1005">
            <v>13111303</v>
          </cell>
          <cell r="B1005" t="str">
            <v>Espumas de silicona</v>
          </cell>
        </row>
        <row r="1006">
          <cell r="A1006">
            <v>13111304</v>
          </cell>
          <cell r="B1006" t="str">
            <v>Espumas de terpolímero propileno etileno</v>
          </cell>
        </row>
        <row r="1007">
          <cell r="A1007">
            <v>13111305</v>
          </cell>
          <cell r="B1007" t="str">
            <v>Espumas de neopreno</v>
          </cell>
        </row>
        <row r="1008">
          <cell r="A1008">
            <v>13111306</v>
          </cell>
          <cell r="B1008" t="str">
            <v>Espumas de cloruro de polivinilo</v>
          </cell>
        </row>
        <row r="1009">
          <cell r="A1009">
            <v>13111307</v>
          </cell>
          <cell r="B1009" t="str">
            <v>Espumas de caucho</v>
          </cell>
        </row>
        <row r="1010">
          <cell r="A1010">
            <v>13111308</v>
          </cell>
          <cell r="B1010" t="str">
            <v>Espumas de poliestireno</v>
          </cell>
        </row>
        <row r="1011">
          <cell r="A1011">
            <v>14101501</v>
          </cell>
          <cell r="B1011" t="str">
            <v>Pulpa de papel</v>
          </cell>
        </row>
        <row r="1012">
          <cell r="A1012">
            <v>14111501</v>
          </cell>
          <cell r="B1012" t="str">
            <v>Papel cebolla</v>
          </cell>
        </row>
        <row r="1013">
          <cell r="A1013">
            <v>14111502</v>
          </cell>
          <cell r="B1013" t="str">
            <v>Papel vitela</v>
          </cell>
        </row>
        <row r="1014">
          <cell r="A1014">
            <v>14111503</v>
          </cell>
          <cell r="B1014" t="str">
            <v>Papel pergamino</v>
          </cell>
        </row>
        <row r="1015">
          <cell r="A1015">
            <v>14111504</v>
          </cell>
          <cell r="B1015" t="str">
            <v>Papel en formas continuas</v>
          </cell>
        </row>
        <row r="1016">
          <cell r="A1016">
            <v>14111505</v>
          </cell>
          <cell r="B1016" t="str">
            <v>Papel mimeógrafo</v>
          </cell>
        </row>
        <row r="1017">
          <cell r="A1017">
            <v>14111506</v>
          </cell>
          <cell r="B1017" t="str">
            <v>Papel para impresión de computadores</v>
          </cell>
        </row>
        <row r="1018">
          <cell r="A1018">
            <v>14111507</v>
          </cell>
          <cell r="B1018" t="str">
            <v>Papel para impresora o fotocopiadora</v>
          </cell>
        </row>
        <row r="1019">
          <cell r="A1019">
            <v>14111508</v>
          </cell>
          <cell r="B1019" t="str">
            <v>Papel para fax</v>
          </cell>
        </row>
        <row r="1020">
          <cell r="A1020">
            <v>14111509</v>
          </cell>
          <cell r="B1020" t="str">
            <v>Papel membreteado</v>
          </cell>
        </row>
        <row r="1021">
          <cell r="A1021">
            <v>14111510</v>
          </cell>
          <cell r="B1021" t="str">
            <v>Papel para plotter</v>
          </cell>
        </row>
        <row r="1022">
          <cell r="A1022">
            <v>14111511</v>
          </cell>
          <cell r="B1022" t="str">
            <v>Papel de escritura</v>
          </cell>
        </row>
        <row r="1023">
          <cell r="A1023">
            <v>14111512</v>
          </cell>
          <cell r="B1023" t="str">
            <v>Papel para gráficos</v>
          </cell>
        </row>
        <row r="1024">
          <cell r="A1024">
            <v>14111513</v>
          </cell>
          <cell r="B1024" t="str">
            <v>Papel de libro</v>
          </cell>
        </row>
        <row r="1025">
          <cell r="A1025">
            <v>14111514</v>
          </cell>
          <cell r="B1025" t="str">
            <v>Blocs o cuadernos de papel</v>
          </cell>
        </row>
        <row r="1026">
          <cell r="A1026">
            <v>14111515</v>
          </cell>
          <cell r="B1026" t="str">
            <v>Papel para sumadora o máquina registradora</v>
          </cell>
        </row>
        <row r="1027">
          <cell r="A1027">
            <v>14111516</v>
          </cell>
          <cell r="B1027" t="str">
            <v>Repuestos de papel para cuaderno</v>
          </cell>
        </row>
        <row r="1028">
          <cell r="A1028">
            <v>14111518</v>
          </cell>
          <cell r="B1028" t="str">
            <v>Tarjetas de índice</v>
          </cell>
        </row>
        <row r="1029">
          <cell r="A1029">
            <v>14111519</v>
          </cell>
          <cell r="B1029" t="str">
            <v>Papeles cartulina</v>
          </cell>
        </row>
        <row r="1030">
          <cell r="A1030">
            <v>14111520</v>
          </cell>
          <cell r="B1030" t="str">
            <v>Papel secante</v>
          </cell>
        </row>
        <row r="1031">
          <cell r="A1031">
            <v>14111523</v>
          </cell>
          <cell r="B1031" t="str">
            <v>Papel calcante</v>
          </cell>
        </row>
        <row r="1032">
          <cell r="A1032">
            <v>14111524</v>
          </cell>
          <cell r="B1032" t="str">
            <v>Papel folio</v>
          </cell>
        </row>
        <row r="1033">
          <cell r="A1033">
            <v>14111525</v>
          </cell>
          <cell r="B1033" t="str">
            <v>Papel multipropósito</v>
          </cell>
        </row>
        <row r="1034">
          <cell r="A1034">
            <v>14111526</v>
          </cell>
          <cell r="B1034" t="str">
            <v>Papel libretas o libros de mensajes telefónicos</v>
          </cell>
        </row>
        <row r="1035">
          <cell r="A1035">
            <v>14111527</v>
          </cell>
          <cell r="B1035" t="str">
            <v>Papel autocopiante</v>
          </cell>
        </row>
        <row r="1036">
          <cell r="A1036">
            <v>14111528</v>
          </cell>
          <cell r="B1036" t="str">
            <v>Papel magnético</v>
          </cell>
        </row>
        <row r="1037">
          <cell r="A1037">
            <v>14111529</v>
          </cell>
          <cell r="B1037" t="str">
            <v>Rollos de télex</v>
          </cell>
        </row>
        <row r="1038">
          <cell r="A1038">
            <v>14111530</v>
          </cell>
          <cell r="B1038" t="str">
            <v>Papel de notas autoadhesivas</v>
          </cell>
        </row>
        <row r="1039">
          <cell r="A1039">
            <v>14111531</v>
          </cell>
          <cell r="B1039" t="str">
            <v>Papel libros o cuadernos para bitácoras</v>
          </cell>
        </row>
        <row r="1040">
          <cell r="A1040">
            <v>14111532</v>
          </cell>
          <cell r="B1040" t="str">
            <v>Papel kits de papeles surtidos</v>
          </cell>
        </row>
        <row r="1041">
          <cell r="A1041">
            <v>14111533</v>
          </cell>
          <cell r="B1041" t="str">
            <v>Papel cuadernillos o formularios de exámenes</v>
          </cell>
        </row>
        <row r="1042">
          <cell r="A1042">
            <v>14111534</v>
          </cell>
          <cell r="B1042" t="str">
            <v>Papeles para notación musical o manuscritos</v>
          </cell>
        </row>
        <row r="1043">
          <cell r="A1043">
            <v>14111535</v>
          </cell>
          <cell r="B1043" t="str">
            <v>Papeles para telégrafo</v>
          </cell>
        </row>
        <row r="1044">
          <cell r="A1044">
            <v>14111536</v>
          </cell>
          <cell r="B1044" t="str">
            <v>Tarjetas de préstamo de bibliotecas</v>
          </cell>
        </row>
        <row r="1045">
          <cell r="A1045">
            <v>14111537</v>
          </cell>
          <cell r="B1045" t="str">
            <v>Etiquetas de papel</v>
          </cell>
        </row>
        <row r="1046">
          <cell r="A1046">
            <v>14111601</v>
          </cell>
          <cell r="B1046" t="str">
            <v>Papel o bolsas o cajas de regalo</v>
          </cell>
        </row>
        <row r="1047">
          <cell r="A1047">
            <v>14111604</v>
          </cell>
          <cell r="B1047" t="str">
            <v>Tarjetas de presentación</v>
          </cell>
        </row>
        <row r="1048">
          <cell r="A1048">
            <v>14111605</v>
          </cell>
          <cell r="B1048" t="str">
            <v>Tarjetas postales, de saludo o de notas</v>
          </cell>
        </row>
        <row r="1049">
          <cell r="A1049">
            <v>14111606</v>
          </cell>
          <cell r="B1049" t="str">
            <v>Papel para artes o artesanías</v>
          </cell>
        </row>
        <row r="1050">
          <cell r="A1050">
            <v>14111607</v>
          </cell>
          <cell r="B1050" t="str">
            <v>Tableros para afiches</v>
          </cell>
        </row>
        <row r="1051">
          <cell r="A1051">
            <v>14111608</v>
          </cell>
          <cell r="B1051" t="str">
            <v>Certificados de regalo</v>
          </cell>
        </row>
        <row r="1052">
          <cell r="A1052">
            <v>14111609</v>
          </cell>
          <cell r="B1052" t="str">
            <v>Papel de cubierta</v>
          </cell>
        </row>
        <row r="1053">
          <cell r="A1053">
            <v>14111610</v>
          </cell>
          <cell r="B1053" t="str">
            <v>Papel de construcción</v>
          </cell>
        </row>
        <row r="1054">
          <cell r="A1054">
            <v>14111611</v>
          </cell>
          <cell r="B1054" t="str">
            <v>Tarjetas de invitación o de anuncio</v>
          </cell>
        </row>
        <row r="1055">
          <cell r="A1055">
            <v>14111613</v>
          </cell>
          <cell r="B1055" t="str">
            <v>Papel de pancartas</v>
          </cell>
        </row>
        <row r="1056">
          <cell r="A1056">
            <v>14111614</v>
          </cell>
          <cell r="B1056" t="str">
            <v>Papel o tejidos de álbum</v>
          </cell>
        </row>
        <row r="1057">
          <cell r="A1057">
            <v>14111615</v>
          </cell>
          <cell r="B1057" t="str">
            <v>Papeles de afiche</v>
          </cell>
        </row>
        <row r="1058">
          <cell r="A1058">
            <v>14111616</v>
          </cell>
          <cell r="B1058" t="str">
            <v>Papeles para forrar</v>
          </cell>
        </row>
        <row r="1059">
          <cell r="A1059">
            <v>14111701</v>
          </cell>
          <cell r="B1059" t="str">
            <v>Pañuelos faciales</v>
          </cell>
        </row>
        <row r="1060">
          <cell r="A1060">
            <v>14111702</v>
          </cell>
          <cell r="B1060" t="str">
            <v>Cubiertos de asientos de sanitario</v>
          </cell>
        </row>
        <row r="1061">
          <cell r="A1061">
            <v>14111703</v>
          </cell>
          <cell r="B1061" t="str">
            <v>Toallas de papel</v>
          </cell>
        </row>
        <row r="1062">
          <cell r="A1062">
            <v>14111704</v>
          </cell>
          <cell r="B1062" t="str">
            <v>Papel higiénico</v>
          </cell>
        </row>
        <row r="1063">
          <cell r="A1063">
            <v>14111705</v>
          </cell>
          <cell r="B1063" t="str">
            <v>Servilletas de papel</v>
          </cell>
        </row>
        <row r="1064">
          <cell r="A1064">
            <v>14111706</v>
          </cell>
          <cell r="B1064" t="str">
            <v>Manteles de papel</v>
          </cell>
        </row>
        <row r="1065">
          <cell r="A1065">
            <v>14111801</v>
          </cell>
          <cell r="B1065" t="str">
            <v>Boletas o rollos de boletería</v>
          </cell>
        </row>
        <row r="1066">
          <cell r="A1066">
            <v>14111802</v>
          </cell>
          <cell r="B1066" t="str">
            <v>Recibos o libros de recibos</v>
          </cell>
        </row>
        <row r="1067">
          <cell r="A1067">
            <v>14111803</v>
          </cell>
          <cell r="B1067" t="str">
            <v>Comprobantes</v>
          </cell>
        </row>
        <row r="1068">
          <cell r="A1068">
            <v>14111804</v>
          </cell>
          <cell r="B1068" t="str">
            <v>Facturas o libros de facturas</v>
          </cell>
        </row>
        <row r="1069">
          <cell r="A1069">
            <v>14111805</v>
          </cell>
          <cell r="B1069" t="str">
            <v>Cheques o chequeras</v>
          </cell>
        </row>
        <row r="1070">
          <cell r="A1070">
            <v>14111806</v>
          </cell>
          <cell r="B1070" t="str">
            <v>Formularios o cuestionarios de negocios</v>
          </cell>
        </row>
        <row r="1071">
          <cell r="A1071">
            <v>14111807</v>
          </cell>
          <cell r="B1071" t="str">
            <v>Libros comerciales para múltiples usos</v>
          </cell>
        </row>
        <row r="1072">
          <cell r="A1072">
            <v>14111808</v>
          </cell>
          <cell r="B1072" t="str">
            <v>Formatos contables o libros de contabilidad</v>
          </cell>
        </row>
        <row r="1073">
          <cell r="A1073">
            <v>14111809</v>
          </cell>
          <cell r="B1073" t="str">
            <v>Formas o libros de conocimientos de embarque</v>
          </cell>
        </row>
        <row r="1074">
          <cell r="A1074">
            <v>14111810</v>
          </cell>
          <cell r="B1074" t="str">
            <v>Formatos o libros de personal</v>
          </cell>
        </row>
        <row r="1075">
          <cell r="A1075">
            <v>14111811</v>
          </cell>
          <cell r="B1075" t="str">
            <v>Formatos o libros de ventas</v>
          </cell>
        </row>
        <row r="1076">
          <cell r="A1076">
            <v>14111812</v>
          </cell>
          <cell r="B1076" t="str">
            <v>Formatos o libros de inventarios</v>
          </cell>
        </row>
        <row r="1077">
          <cell r="A1077">
            <v>14111813</v>
          </cell>
          <cell r="B1077" t="str">
            <v>Formatos o libros de correspondencia</v>
          </cell>
        </row>
        <row r="1078">
          <cell r="A1078">
            <v>14111814</v>
          </cell>
          <cell r="B1078" t="str">
            <v>Formatos o libros de impuestos</v>
          </cell>
        </row>
        <row r="1079">
          <cell r="A1079">
            <v>14111815</v>
          </cell>
          <cell r="B1079" t="str">
            <v>Tarjetas de identificación</v>
          </cell>
        </row>
        <row r="1080">
          <cell r="A1080">
            <v>14111816</v>
          </cell>
          <cell r="B1080" t="str">
            <v>Tarjetas de huellas digitales de solicitante</v>
          </cell>
        </row>
        <row r="1081">
          <cell r="A1081">
            <v>14111817</v>
          </cell>
          <cell r="B1081" t="str">
            <v>Formato de verificación de depósito</v>
          </cell>
        </row>
        <row r="1082">
          <cell r="A1082">
            <v>14121501</v>
          </cell>
          <cell r="B1082" t="str">
            <v>Cartón blanqueado</v>
          </cell>
        </row>
        <row r="1083">
          <cell r="A1083">
            <v>14121502</v>
          </cell>
          <cell r="B1083" t="str">
            <v>Cartón no blanqueado</v>
          </cell>
        </row>
        <row r="1084">
          <cell r="A1084">
            <v>14121503</v>
          </cell>
          <cell r="B1084" t="str">
            <v>Cartón</v>
          </cell>
        </row>
        <row r="1085">
          <cell r="A1085">
            <v>14121504</v>
          </cell>
          <cell r="B1085" t="str">
            <v>Papel de empaque</v>
          </cell>
        </row>
        <row r="1086">
          <cell r="A1086">
            <v>14121505</v>
          </cell>
          <cell r="B1086" t="str">
            <v>Material de fibra</v>
          </cell>
        </row>
        <row r="1087">
          <cell r="A1087">
            <v>14121601</v>
          </cell>
          <cell r="B1087" t="str">
            <v>Papel crepé sin blanquear</v>
          </cell>
        </row>
        <row r="1088">
          <cell r="A1088">
            <v>14121602</v>
          </cell>
          <cell r="B1088" t="str">
            <v>Papel crepé semi blanqueado</v>
          </cell>
        </row>
        <row r="1089">
          <cell r="A1089">
            <v>14121603</v>
          </cell>
          <cell r="B1089" t="str">
            <v>Pañuelos de papel resistentes a la humedad</v>
          </cell>
        </row>
        <row r="1090">
          <cell r="A1090">
            <v>14121604</v>
          </cell>
          <cell r="B1090" t="str">
            <v>Pañuelos de papel libres de ácido</v>
          </cell>
        </row>
        <row r="1091">
          <cell r="A1091">
            <v>14121605</v>
          </cell>
          <cell r="B1091" t="str">
            <v>Pañuelos de papel kraft</v>
          </cell>
        </row>
        <row r="1092">
          <cell r="A1092">
            <v>14121701</v>
          </cell>
          <cell r="B1092" t="str">
            <v>Papeles adheridos con película</v>
          </cell>
        </row>
        <row r="1093">
          <cell r="A1093">
            <v>14121702</v>
          </cell>
          <cell r="B1093" t="str">
            <v>Papeles cilindro o papel pesado multi – capas</v>
          </cell>
        </row>
        <row r="1094">
          <cell r="A1094">
            <v>14121801</v>
          </cell>
          <cell r="B1094" t="str">
            <v>Papeles recubiertos de arcilla</v>
          </cell>
        </row>
        <row r="1095">
          <cell r="A1095">
            <v>14121802</v>
          </cell>
          <cell r="B1095" t="str">
            <v>Papeles recubiertos de polietileno</v>
          </cell>
        </row>
        <row r="1096">
          <cell r="A1096">
            <v>14121803</v>
          </cell>
          <cell r="B1096" t="str">
            <v>Papeles recubiertos de poliéster</v>
          </cell>
        </row>
        <row r="1097">
          <cell r="A1097">
            <v>14121804</v>
          </cell>
          <cell r="B1097" t="str">
            <v>Papeles recubiertos de silicona</v>
          </cell>
        </row>
        <row r="1098">
          <cell r="A1098">
            <v>14121805</v>
          </cell>
          <cell r="B1098" t="str">
            <v>Papeles recubiertos tratados con látex</v>
          </cell>
        </row>
        <row r="1099">
          <cell r="A1099">
            <v>14121806</v>
          </cell>
          <cell r="B1099" t="str">
            <v>Papel de parafinado</v>
          </cell>
        </row>
        <row r="1100">
          <cell r="A1100">
            <v>14121807</v>
          </cell>
          <cell r="B1100" t="str">
            <v>Papel mantequilla</v>
          </cell>
        </row>
        <row r="1101">
          <cell r="A1101">
            <v>14121808</v>
          </cell>
          <cell r="B1101" t="str">
            <v>Papel para congelador</v>
          </cell>
        </row>
        <row r="1102">
          <cell r="A1102">
            <v>14121809</v>
          </cell>
          <cell r="B1102" t="str">
            <v>Papel de enmascarar</v>
          </cell>
        </row>
        <row r="1103">
          <cell r="A1103">
            <v>14121810</v>
          </cell>
          <cell r="B1103" t="str">
            <v>Papeles carbón</v>
          </cell>
        </row>
        <row r="1104">
          <cell r="A1104">
            <v>14121811</v>
          </cell>
          <cell r="B1104" t="str">
            <v>Papeles de copiado sensibilizados</v>
          </cell>
        </row>
        <row r="1105">
          <cell r="A1105">
            <v>14121812</v>
          </cell>
          <cell r="B1105" t="str">
            <v>Papel de fotografía</v>
          </cell>
        </row>
        <row r="1106">
          <cell r="A1106">
            <v>14121901</v>
          </cell>
          <cell r="B1106" t="str">
            <v>Papel periódico estándar</v>
          </cell>
        </row>
        <row r="1107">
          <cell r="A1107">
            <v>14121902</v>
          </cell>
          <cell r="B1107" t="str">
            <v>Papel periódico de colores</v>
          </cell>
        </row>
        <row r="1108">
          <cell r="A1108">
            <v>14121903</v>
          </cell>
          <cell r="B1108" t="str">
            <v>Papel periódico de alto brillo</v>
          </cell>
        </row>
        <row r="1109">
          <cell r="A1109">
            <v>14121904</v>
          </cell>
          <cell r="B1109" t="str">
            <v>Papel offset</v>
          </cell>
        </row>
        <row r="1110">
          <cell r="A1110">
            <v>14121905</v>
          </cell>
          <cell r="B1110" t="str">
            <v>Papeles tímpano</v>
          </cell>
        </row>
        <row r="1111">
          <cell r="A1111">
            <v>14122101</v>
          </cell>
          <cell r="B1111" t="str">
            <v>Papel kraft súper calandrado</v>
          </cell>
        </row>
        <row r="1112">
          <cell r="A1112">
            <v>14122102</v>
          </cell>
          <cell r="B1112" t="str">
            <v>Papel kraft terminado o satinado en máquina</v>
          </cell>
        </row>
        <row r="1113">
          <cell r="A1113">
            <v>14122103</v>
          </cell>
          <cell r="B1113" t="str">
            <v>Papel no recubierto no tratado</v>
          </cell>
        </row>
        <row r="1114">
          <cell r="A1114">
            <v>14122104</v>
          </cell>
          <cell r="B1114" t="str">
            <v>Papel crepé no tratado</v>
          </cell>
        </row>
        <row r="1115">
          <cell r="A1115">
            <v>14122105</v>
          </cell>
          <cell r="B1115" t="str">
            <v>Papel crepé tratado con látex</v>
          </cell>
        </row>
        <row r="1116">
          <cell r="A1116">
            <v>14122106</v>
          </cell>
          <cell r="B1116" t="str">
            <v>Papel no recubierto tratado con látex</v>
          </cell>
        </row>
        <row r="1117">
          <cell r="A1117">
            <v>14122201</v>
          </cell>
          <cell r="B1117" t="str">
            <v>Papel para germinación de semillas</v>
          </cell>
        </row>
        <row r="1118">
          <cell r="A1118">
            <v>15101502</v>
          </cell>
          <cell r="B1118" t="str">
            <v>Kerosene</v>
          </cell>
        </row>
        <row r="1119">
          <cell r="A1119">
            <v>15101503</v>
          </cell>
          <cell r="B1119" t="str">
            <v>Nafta</v>
          </cell>
        </row>
        <row r="1120">
          <cell r="A1120">
            <v>15101504</v>
          </cell>
          <cell r="B1120" t="str">
            <v>Combustible de aviación</v>
          </cell>
        </row>
        <row r="1121">
          <cell r="A1121">
            <v>15101505</v>
          </cell>
          <cell r="B1121" t="str">
            <v>Combustible diesel</v>
          </cell>
        </row>
        <row r="1122">
          <cell r="A1122">
            <v>15101506</v>
          </cell>
          <cell r="B1122" t="str">
            <v>Gasolina</v>
          </cell>
        </row>
        <row r="1123">
          <cell r="A1123">
            <v>15101507</v>
          </cell>
          <cell r="B1123" t="str">
            <v>Benceno</v>
          </cell>
        </row>
        <row r="1124">
          <cell r="A1124">
            <v>15101508</v>
          </cell>
          <cell r="B1124" t="str">
            <v>Petróleo crudo</v>
          </cell>
        </row>
        <row r="1125">
          <cell r="A1125">
            <v>15101509</v>
          </cell>
          <cell r="B1125" t="str">
            <v>Combustible marítimo</v>
          </cell>
        </row>
        <row r="1126">
          <cell r="A1126">
            <v>15101510</v>
          </cell>
          <cell r="B1126" t="str">
            <v>Condensado</v>
          </cell>
        </row>
        <row r="1127">
          <cell r="A1127">
            <v>15101601</v>
          </cell>
          <cell r="B1127" t="str">
            <v>Carbón sub – bituminosos o débil</v>
          </cell>
        </row>
        <row r="1128">
          <cell r="A1128">
            <v>15101602</v>
          </cell>
          <cell r="B1128" t="str">
            <v>Lignito</v>
          </cell>
        </row>
        <row r="1129">
          <cell r="A1129">
            <v>15101603</v>
          </cell>
          <cell r="B1129" t="str">
            <v>Turba</v>
          </cell>
        </row>
        <row r="1130">
          <cell r="A1130">
            <v>15101604</v>
          </cell>
          <cell r="B1130" t="str">
            <v>Coque</v>
          </cell>
        </row>
        <row r="1131">
          <cell r="A1131">
            <v>15101605</v>
          </cell>
          <cell r="B1131" t="str">
            <v>Carbón de leña o vegetal</v>
          </cell>
        </row>
        <row r="1132">
          <cell r="A1132">
            <v>15101606</v>
          </cell>
          <cell r="B1132" t="str">
            <v>Combustibles de alcohol gelatinoso</v>
          </cell>
        </row>
        <row r="1133">
          <cell r="A1133">
            <v>15101607</v>
          </cell>
          <cell r="B1133" t="str">
            <v>Hexaminas</v>
          </cell>
        </row>
        <row r="1134">
          <cell r="A1134">
            <v>15101608</v>
          </cell>
          <cell r="B1134" t="str">
            <v>Trioxanos</v>
          </cell>
        </row>
        <row r="1135">
          <cell r="A1135">
            <v>15101701</v>
          </cell>
          <cell r="B1135" t="str">
            <v>Fuel oil de calefacción # 2</v>
          </cell>
        </row>
        <row r="1136">
          <cell r="A1136">
            <v>15101702</v>
          </cell>
          <cell r="B1136" t="str">
            <v>Fuel oils pesados residuales # 4 ó # 6</v>
          </cell>
        </row>
        <row r="1137">
          <cell r="A1137">
            <v>15111501</v>
          </cell>
          <cell r="B1137" t="str">
            <v>Propano</v>
          </cell>
        </row>
        <row r="1138">
          <cell r="A1138">
            <v>15111502</v>
          </cell>
          <cell r="B1138" t="str">
            <v>Metano</v>
          </cell>
        </row>
        <row r="1139">
          <cell r="A1139">
            <v>15111503</v>
          </cell>
          <cell r="B1139" t="str">
            <v>Propileno</v>
          </cell>
        </row>
        <row r="1140">
          <cell r="A1140">
            <v>15111504</v>
          </cell>
          <cell r="B1140" t="str">
            <v>Etileno</v>
          </cell>
        </row>
        <row r="1141">
          <cell r="A1141">
            <v>15111505</v>
          </cell>
          <cell r="B1141" t="str">
            <v>Butano</v>
          </cell>
        </row>
        <row r="1142">
          <cell r="A1142">
            <v>15111506</v>
          </cell>
          <cell r="B1142" t="str">
            <v>Acetileno</v>
          </cell>
        </row>
        <row r="1143">
          <cell r="A1143">
            <v>15111507</v>
          </cell>
          <cell r="B1143" t="str">
            <v>Gas de agua o gas productor</v>
          </cell>
        </row>
        <row r="1144">
          <cell r="A1144">
            <v>15111508</v>
          </cell>
          <cell r="B1144" t="str">
            <v>Gas de carbón</v>
          </cell>
        </row>
        <row r="1145">
          <cell r="A1145">
            <v>15111509</v>
          </cell>
          <cell r="B1145" t="str">
            <v>Gas metilacetileno propadieno mapp</v>
          </cell>
        </row>
        <row r="1146">
          <cell r="A1146">
            <v>15111510</v>
          </cell>
          <cell r="B1146" t="str">
            <v>Gas licuado de petróleo</v>
          </cell>
        </row>
        <row r="1147">
          <cell r="A1147">
            <v>15111701</v>
          </cell>
          <cell r="B1147" t="str">
            <v>Espesantes de combustible</v>
          </cell>
        </row>
        <row r="1148">
          <cell r="A1148">
            <v>15111702</v>
          </cell>
          <cell r="B1148" t="str">
            <v>Inhibidores de hielo para sistemas de combustibles</v>
          </cell>
        </row>
        <row r="1149">
          <cell r="A1149">
            <v>15121501</v>
          </cell>
          <cell r="B1149" t="str">
            <v>Aceite motor</v>
          </cell>
        </row>
        <row r="1150">
          <cell r="A1150">
            <v>15121502</v>
          </cell>
          <cell r="B1150" t="str">
            <v>Aceite de corte</v>
          </cell>
        </row>
        <row r="1151">
          <cell r="A1151">
            <v>15121503</v>
          </cell>
          <cell r="B1151" t="str">
            <v>Aceite de engranajes</v>
          </cell>
        </row>
        <row r="1152">
          <cell r="A1152">
            <v>15121504</v>
          </cell>
          <cell r="B1152" t="str">
            <v>Aceite hidráulico</v>
          </cell>
        </row>
        <row r="1153">
          <cell r="A1153">
            <v>15121505</v>
          </cell>
          <cell r="B1153" t="str">
            <v>Aceite de transformador o aislador</v>
          </cell>
        </row>
        <row r="1154">
          <cell r="A1154">
            <v>15121508</v>
          </cell>
          <cell r="B1154" t="str">
            <v>Aceite de transmisión</v>
          </cell>
        </row>
        <row r="1155">
          <cell r="A1155">
            <v>15121509</v>
          </cell>
          <cell r="B1155" t="str">
            <v>Aceite de frenos</v>
          </cell>
        </row>
        <row r="1156">
          <cell r="A1156">
            <v>15121510</v>
          </cell>
          <cell r="B1156" t="str">
            <v>Anti – excoriación</v>
          </cell>
        </row>
        <row r="1157">
          <cell r="A1157">
            <v>15121511</v>
          </cell>
          <cell r="B1157" t="str">
            <v>Pastas de ensamble</v>
          </cell>
        </row>
        <row r="1158">
          <cell r="A1158">
            <v>15121512</v>
          </cell>
          <cell r="B1158" t="str">
            <v>Anti adhesivos</v>
          </cell>
        </row>
        <row r="1159">
          <cell r="A1159">
            <v>15121513</v>
          </cell>
          <cell r="B1159" t="str">
            <v>Lubricantes de grafito</v>
          </cell>
        </row>
        <row r="1160">
          <cell r="A1160">
            <v>15121514</v>
          </cell>
          <cell r="B1160" t="str">
            <v>Lubricantes espray</v>
          </cell>
        </row>
        <row r="1161">
          <cell r="A1161">
            <v>15121515</v>
          </cell>
          <cell r="B1161" t="str">
            <v>Compuestos anti – adherentes o anti – manchas</v>
          </cell>
        </row>
        <row r="1162">
          <cell r="A1162">
            <v>15121516</v>
          </cell>
          <cell r="B1162" t="str">
            <v>Eliminador de fugas</v>
          </cell>
        </row>
        <row r="1163">
          <cell r="A1163">
            <v>15121517</v>
          </cell>
          <cell r="B1163" t="str">
            <v>Jabones lubricantes</v>
          </cell>
        </row>
        <row r="1164">
          <cell r="A1164">
            <v>15121518</v>
          </cell>
          <cell r="B1164" t="str">
            <v>Fluidos de amortiguación</v>
          </cell>
        </row>
        <row r="1165">
          <cell r="A1165">
            <v>15121519</v>
          </cell>
          <cell r="B1165" t="str">
            <v>Aceites de lubricación de relojes</v>
          </cell>
        </row>
        <row r="1166">
          <cell r="A1166">
            <v>15121520</v>
          </cell>
          <cell r="B1166" t="str">
            <v>Lubricantes de propósito general</v>
          </cell>
        </row>
        <row r="1167">
          <cell r="A1167">
            <v>15121521</v>
          </cell>
          <cell r="B1167" t="str">
            <v>Aceites para lubricación de bombas</v>
          </cell>
        </row>
        <row r="1168">
          <cell r="A1168">
            <v>15121522</v>
          </cell>
          <cell r="B1168" t="str">
            <v>Aceites para lubricación de armas</v>
          </cell>
        </row>
        <row r="1169">
          <cell r="A1169">
            <v>15121523</v>
          </cell>
          <cell r="B1169" t="str">
            <v>Fluidos para preparación de lentes</v>
          </cell>
        </row>
        <row r="1170">
          <cell r="A1170">
            <v>15121524</v>
          </cell>
          <cell r="B1170" t="str">
            <v>Aceites de templado</v>
          </cell>
        </row>
        <row r="1171">
          <cell r="A1171">
            <v>15121525</v>
          </cell>
          <cell r="B1171" t="str">
            <v>Aceite atemperante</v>
          </cell>
        </row>
        <row r="1172">
          <cell r="A1172">
            <v>15121526</v>
          </cell>
          <cell r="B1172" t="str">
            <v>Lubricantes para equipo de procesamiento de alimentos</v>
          </cell>
        </row>
        <row r="1173">
          <cell r="A1173">
            <v>15121527</v>
          </cell>
          <cell r="B1173" t="str">
            <v>Aceite de turbina</v>
          </cell>
        </row>
        <row r="1174">
          <cell r="A1174">
            <v>15121801</v>
          </cell>
          <cell r="B1174" t="str">
            <v>Repelente de humedad</v>
          </cell>
        </row>
        <row r="1175">
          <cell r="A1175">
            <v>15121802</v>
          </cell>
          <cell r="B1175" t="str">
            <v>Lubricante anti – corrosión</v>
          </cell>
        </row>
        <row r="1176">
          <cell r="A1176">
            <v>15121803</v>
          </cell>
          <cell r="B1176" t="str">
            <v>Removedor de óxido</v>
          </cell>
        </row>
        <row r="1177">
          <cell r="A1177">
            <v>15121804</v>
          </cell>
          <cell r="B1177" t="str">
            <v>Preparación contra óxido</v>
          </cell>
        </row>
        <row r="1178">
          <cell r="A1178">
            <v>15121805</v>
          </cell>
          <cell r="B1178" t="str">
            <v>Pastas anti – soldado</v>
          </cell>
        </row>
        <row r="1179">
          <cell r="A1179">
            <v>15121806</v>
          </cell>
          <cell r="B1179" t="str">
            <v>Aceites penetrantes</v>
          </cell>
        </row>
        <row r="1180">
          <cell r="A1180">
            <v>15121901</v>
          </cell>
          <cell r="B1180" t="str">
            <v>Grasa de silicona</v>
          </cell>
        </row>
        <row r="1181">
          <cell r="A1181">
            <v>15121902</v>
          </cell>
          <cell r="B1181" t="str">
            <v>Grasa</v>
          </cell>
        </row>
        <row r="1182">
          <cell r="A1182">
            <v>15121903</v>
          </cell>
          <cell r="B1182" t="str">
            <v>Grasa fluoropolímero</v>
          </cell>
        </row>
        <row r="1183">
          <cell r="A1183">
            <v>15121904</v>
          </cell>
          <cell r="B1183" t="str">
            <v>Grasa de lana</v>
          </cell>
        </row>
        <row r="1184">
          <cell r="A1184">
            <v>15131502</v>
          </cell>
          <cell r="B1184" t="str">
            <v>Uranio empobrecido</v>
          </cell>
        </row>
        <row r="1185">
          <cell r="A1185">
            <v>15131503</v>
          </cell>
          <cell r="B1185" t="str">
            <v>Uranio enriquecido</v>
          </cell>
        </row>
        <row r="1186">
          <cell r="A1186">
            <v>15131504</v>
          </cell>
          <cell r="B1186" t="str">
            <v>Iridio</v>
          </cell>
        </row>
        <row r="1187">
          <cell r="A1187">
            <v>15131505</v>
          </cell>
          <cell r="B1187" t="str">
            <v>Plutonio enriquecido</v>
          </cell>
        </row>
        <row r="1188">
          <cell r="A1188">
            <v>15131506</v>
          </cell>
          <cell r="B1188" t="str">
            <v>Plutonio empobrecido</v>
          </cell>
        </row>
        <row r="1189">
          <cell r="A1189">
            <v>15131601</v>
          </cell>
          <cell r="B1189" t="str">
            <v>Barra de combustible nuclear</v>
          </cell>
        </row>
        <row r="1190">
          <cell r="A1190">
            <v>20101501</v>
          </cell>
          <cell r="B1190" t="str">
            <v>Equipo de minería continua</v>
          </cell>
        </row>
        <row r="1191">
          <cell r="A1191">
            <v>20101502</v>
          </cell>
          <cell r="B1191" t="str">
            <v>Cizallas de pared alta</v>
          </cell>
        </row>
        <row r="1192">
          <cell r="A1192">
            <v>20101503</v>
          </cell>
          <cell r="B1192" t="str">
            <v>Cortadores de carbón</v>
          </cell>
        </row>
        <row r="1193">
          <cell r="A1193">
            <v>20101504</v>
          </cell>
          <cell r="B1193" t="str">
            <v>Cortadores de roca</v>
          </cell>
        </row>
        <row r="1194">
          <cell r="A1194">
            <v>20101601</v>
          </cell>
          <cell r="B1194" t="str">
            <v>Pantallas</v>
          </cell>
        </row>
        <row r="1195">
          <cell r="A1195">
            <v>20101602</v>
          </cell>
          <cell r="B1195" t="str">
            <v>Alimentadores</v>
          </cell>
        </row>
        <row r="1196">
          <cell r="A1196">
            <v>20101603</v>
          </cell>
          <cell r="B1196" t="str">
            <v>Pantalla de hoyo de desagüe</v>
          </cell>
        </row>
        <row r="1197">
          <cell r="A1197">
            <v>20101701</v>
          </cell>
          <cell r="B1197" t="str">
            <v>Trituradores de roca</v>
          </cell>
        </row>
        <row r="1198">
          <cell r="A1198">
            <v>20101702</v>
          </cell>
          <cell r="B1198" t="str">
            <v>Trituradores de rollo</v>
          </cell>
        </row>
        <row r="1199">
          <cell r="A1199">
            <v>20101703</v>
          </cell>
          <cell r="B1199" t="str">
            <v>Trituradores de cono</v>
          </cell>
        </row>
        <row r="1200">
          <cell r="A1200">
            <v>20101704</v>
          </cell>
          <cell r="B1200" t="str">
            <v>Trituradores giratorios</v>
          </cell>
        </row>
        <row r="1201">
          <cell r="A1201">
            <v>20101705</v>
          </cell>
          <cell r="B1201" t="str">
            <v>Trituradores de impacto</v>
          </cell>
        </row>
        <row r="1202">
          <cell r="A1202">
            <v>20101706</v>
          </cell>
          <cell r="B1202" t="str">
            <v>Trituradores de mandíbula</v>
          </cell>
        </row>
        <row r="1203">
          <cell r="A1203">
            <v>20101707</v>
          </cell>
          <cell r="B1203" t="str">
            <v>Plantas de trituración</v>
          </cell>
        </row>
        <row r="1204">
          <cell r="A1204">
            <v>20101708</v>
          </cell>
          <cell r="B1204" t="str">
            <v>Molino de varilla</v>
          </cell>
        </row>
        <row r="1205">
          <cell r="A1205">
            <v>20101709</v>
          </cell>
          <cell r="B1205" t="str">
            <v>Molino de bola</v>
          </cell>
        </row>
        <row r="1206">
          <cell r="A1206">
            <v>20101710</v>
          </cell>
          <cell r="B1206" t="str">
            <v>Maquinaria de pulverización</v>
          </cell>
        </row>
        <row r="1207">
          <cell r="A1207">
            <v>20101711</v>
          </cell>
          <cell r="B1207" t="str">
            <v>Rompedores de roca</v>
          </cell>
        </row>
        <row r="1208">
          <cell r="A1208">
            <v>20101712</v>
          </cell>
          <cell r="B1208" t="str">
            <v>Moledores de roca</v>
          </cell>
        </row>
        <row r="1209">
          <cell r="A1209">
            <v>20101713</v>
          </cell>
          <cell r="B1209" t="str">
            <v>Moledoras de ciclón o vórtex</v>
          </cell>
        </row>
        <row r="1210">
          <cell r="A1210">
            <v>20101714</v>
          </cell>
          <cell r="B1210" t="str">
            <v>Placas de mandíbula</v>
          </cell>
        </row>
        <row r="1211">
          <cell r="A1211">
            <v>20101801</v>
          </cell>
          <cell r="B1211" t="str">
            <v>Apernador de cable</v>
          </cell>
        </row>
        <row r="1212">
          <cell r="A1212">
            <v>20101802</v>
          </cell>
          <cell r="B1212" t="str">
            <v>Apernador de tijera</v>
          </cell>
        </row>
        <row r="1213">
          <cell r="A1213">
            <v>20101803</v>
          </cell>
          <cell r="B1213" t="str">
            <v>Apernador de boom</v>
          </cell>
        </row>
        <row r="1214">
          <cell r="A1214">
            <v>20101804</v>
          </cell>
          <cell r="B1214" t="str">
            <v>Equipo para aplicar concreto lanzado o shotcrete</v>
          </cell>
        </row>
        <row r="1215">
          <cell r="A1215">
            <v>20101805</v>
          </cell>
          <cell r="B1215" t="str">
            <v>Repuestos o accesorios de sistema mecanizado de soporte en tierra</v>
          </cell>
        </row>
        <row r="1216">
          <cell r="A1216">
            <v>20101901</v>
          </cell>
          <cell r="B1216" t="str">
            <v>Sistema blockholer o taladro y cargue</v>
          </cell>
        </row>
        <row r="1217">
          <cell r="A1217">
            <v>20101902</v>
          </cell>
          <cell r="B1217" t="str">
            <v>Sistemas de impacto repetitivo</v>
          </cell>
        </row>
        <row r="1218">
          <cell r="A1218">
            <v>20101903</v>
          </cell>
          <cell r="B1218" t="str">
            <v>Repuestos o accesorios de sistema secundario de ruptura de roca</v>
          </cell>
        </row>
        <row r="1219">
          <cell r="A1219">
            <v>20102001</v>
          </cell>
          <cell r="B1219" t="str">
            <v>Taladros de barreno profundo en el hoyo ith o abajo del hoyo dth</v>
          </cell>
        </row>
        <row r="1220">
          <cell r="A1220">
            <v>20102002</v>
          </cell>
          <cell r="B1220" t="str">
            <v>Taladros de barreo profundo de martillo superior</v>
          </cell>
        </row>
        <row r="1221">
          <cell r="A1221">
            <v>20102003</v>
          </cell>
          <cell r="B1221" t="str">
            <v>Jumbos neumáticos para perforación de pozos</v>
          </cell>
        </row>
        <row r="1222">
          <cell r="A1222">
            <v>20102004</v>
          </cell>
          <cell r="B1222" t="str">
            <v>Jumbos hidráulicos para perforación de pozos</v>
          </cell>
        </row>
        <row r="1223">
          <cell r="A1223">
            <v>20102005</v>
          </cell>
          <cell r="B1223" t="str">
            <v>Jumbos neumáticos de desarrollo horizontal</v>
          </cell>
        </row>
        <row r="1224">
          <cell r="A1224">
            <v>20102006</v>
          </cell>
          <cell r="B1224" t="str">
            <v>Jumbos hidráulicos de desarrollo horizontal</v>
          </cell>
        </row>
        <row r="1225">
          <cell r="A1225">
            <v>20102007</v>
          </cell>
          <cell r="B1225" t="str">
            <v>Taladros de núcleo</v>
          </cell>
        </row>
        <row r="1226">
          <cell r="A1226">
            <v>20102008</v>
          </cell>
          <cell r="B1226" t="str">
            <v>Repuestos o accesorios de sistema de exploración o desarrollo</v>
          </cell>
        </row>
        <row r="1227">
          <cell r="A1227">
            <v>20102101</v>
          </cell>
          <cell r="B1227" t="str">
            <v>Taladros de roca neumáticos</v>
          </cell>
        </row>
        <row r="1228">
          <cell r="A1228">
            <v>20102102</v>
          </cell>
          <cell r="B1228" t="str">
            <v>Taladros de roca hidráulicos</v>
          </cell>
        </row>
        <row r="1229">
          <cell r="A1229">
            <v>20102103</v>
          </cell>
          <cell r="B1229" t="str">
            <v>Taladros de roca manuales</v>
          </cell>
        </row>
        <row r="1230">
          <cell r="A1230">
            <v>20102104</v>
          </cell>
          <cell r="B1230" t="str">
            <v>Repuestos y accesorios de taladros de roca</v>
          </cell>
        </row>
        <row r="1231">
          <cell r="A1231">
            <v>20102201</v>
          </cell>
          <cell r="B1231" t="str">
            <v>Maquinaria para cargar nitrato de amonio y fuel oil - anfo</v>
          </cell>
        </row>
        <row r="1232">
          <cell r="A1232">
            <v>20102202</v>
          </cell>
          <cell r="B1232" t="str">
            <v>Maquinaria para cargar emulsión</v>
          </cell>
        </row>
        <row r="1233">
          <cell r="A1233">
            <v>20102203</v>
          </cell>
          <cell r="B1233" t="str">
            <v>Repuestos y accesorios para maquinaria de cargue de explosivos</v>
          </cell>
        </row>
        <row r="1234">
          <cell r="A1234">
            <v>20102301</v>
          </cell>
          <cell r="B1234" t="str">
            <v>Transporte de personal</v>
          </cell>
        </row>
        <row r="1235">
          <cell r="A1235">
            <v>20102302</v>
          </cell>
          <cell r="B1235" t="str">
            <v>Vehículos grúa</v>
          </cell>
        </row>
        <row r="1236">
          <cell r="A1236">
            <v>20102303</v>
          </cell>
          <cell r="B1236" t="str">
            <v>Cama bajas para el transporte de material</v>
          </cell>
        </row>
        <row r="1237">
          <cell r="A1237">
            <v>20102304</v>
          </cell>
          <cell r="B1237" t="str">
            <v>Transportadores de carga a granel</v>
          </cell>
        </row>
        <row r="1238">
          <cell r="A1238">
            <v>20102305</v>
          </cell>
          <cell r="B1238" t="str">
            <v>Vehículos utilitarios</v>
          </cell>
        </row>
        <row r="1239">
          <cell r="A1239">
            <v>20102306</v>
          </cell>
          <cell r="B1239" t="str">
            <v>Vehículos de plataforma elevable o elevadores de tijera</v>
          </cell>
        </row>
        <row r="1240">
          <cell r="A1240">
            <v>20102307</v>
          </cell>
          <cell r="B1240" t="str">
            <v>Repuestos o accesorios de vehículo de servicio minero subterráneo</v>
          </cell>
        </row>
        <row r="1241">
          <cell r="A1241">
            <v>20111504</v>
          </cell>
          <cell r="B1241" t="str">
            <v>Equipos para perforar pozos de agua</v>
          </cell>
        </row>
        <row r="1242">
          <cell r="A1242">
            <v>20111505</v>
          </cell>
          <cell r="B1242" t="str">
            <v>Equipo para la exploración de uranio</v>
          </cell>
        </row>
        <row r="1243">
          <cell r="A1243">
            <v>20111601</v>
          </cell>
          <cell r="B1243" t="str">
            <v>Maquinaria de sondeo o de perforación</v>
          </cell>
        </row>
        <row r="1244">
          <cell r="A1244">
            <v>20111602</v>
          </cell>
          <cell r="B1244" t="str">
            <v>Maquinaria de ensamble en fondo de pozo</v>
          </cell>
        </row>
        <row r="1245">
          <cell r="A1245">
            <v>20111603</v>
          </cell>
          <cell r="B1245" t="str">
            <v>Martillos perforadores</v>
          </cell>
        </row>
        <row r="1246">
          <cell r="A1246">
            <v>20111604</v>
          </cell>
          <cell r="B1246" t="str">
            <v>Taladro sobre orugas</v>
          </cell>
        </row>
        <row r="1247">
          <cell r="A1247">
            <v>20111606</v>
          </cell>
          <cell r="B1247" t="str">
            <v>Vibradores neumáticos</v>
          </cell>
        </row>
        <row r="1248">
          <cell r="A1248">
            <v>20111607</v>
          </cell>
          <cell r="B1248" t="str">
            <v>Maquinaria para hacer túneles</v>
          </cell>
        </row>
        <row r="1249">
          <cell r="A1249">
            <v>20111608</v>
          </cell>
          <cell r="B1249" t="str">
            <v>Martillos de poder</v>
          </cell>
        </row>
        <row r="1250">
          <cell r="A1250">
            <v>20111609</v>
          </cell>
          <cell r="B1250" t="str">
            <v>Taladro de platina</v>
          </cell>
        </row>
        <row r="1251">
          <cell r="A1251">
            <v>20111610</v>
          </cell>
          <cell r="B1251" t="str">
            <v>Maquinaria de inspección de alcantarillas</v>
          </cell>
        </row>
        <row r="1252">
          <cell r="A1252">
            <v>20111611</v>
          </cell>
          <cell r="B1252" t="str">
            <v>Taladros giratorios</v>
          </cell>
        </row>
        <row r="1253">
          <cell r="A1253">
            <v>20111612</v>
          </cell>
          <cell r="B1253" t="str">
            <v>Taladros de perforación de pozos</v>
          </cell>
        </row>
        <row r="1254">
          <cell r="A1254">
            <v>20111613</v>
          </cell>
          <cell r="B1254" t="str">
            <v>Taladros de barreno profundo</v>
          </cell>
        </row>
        <row r="1255">
          <cell r="A1255">
            <v>20111614</v>
          </cell>
          <cell r="B1255" t="str">
            <v>Brocas industriales</v>
          </cell>
        </row>
        <row r="1256">
          <cell r="A1256">
            <v>20111615</v>
          </cell>
          <cell r="B1256" t="str">
            <v>Perforadora de avance</v>
          </cell>
        </row>
        <row r="1257">
          <cell r="A1257">
            <v>20111616</v>
          </cell>
          <cell r="B1257" t="str">
            <v>Torre de perforación</v>
          </cell>
        </row>
        <row r="1258">
          <cell r="A1258">
            <v>20111617</v>
          </cell>
          <cell r="B1258" t="str">
            <v>Carros de perforación</v>
          </cell>
        </row>
        <row r="1259">
          <cell r="A1259">
            <v>20111618</v>
          </cell>
          <cell r="B1259" t="str">
            <v>Caña de pecar de fondo de pozo</v>
          </cell>
        </row>
        <row r="1260">
          <cell r="A1260">
            <v>20111619</v>
          </cell>
          <cell r="B1260" t="str">
            <v>Cono de perforación de pozos</v>
          </cell>
        </row>
        <row r="1261">
          <cell r="A1261">
            <v>20111701</v>
          </cell>
          <cell r="B1261" t="str">
            <v>Instrumentos audiovisuales para inspección de pozos</v>
          </cell>
        </row>
        <row r="1262">
          <cell r="A1262">
            <v>20111702</v>
          </cell>
          <cell r="B1262" t="str">
            <v>Tapones o anclajes de tubos</v>
          </cell>
        </row>
        <row r="1263">
          <cell r="A1263">
            <v>20111703</v>
          </cell>
          <cell r="B1263" t="str">
            <v>Recubrimientos de perforación</v>
          </cell>
        </row>
        <row r="1264">
          <cell r="A1264">
            <v>20111704</v>
          </cell>
          <cell r="B1264" t="str">
            <v>Pantallas de perforación</v>
          </cell>
        </row>
        <row r="1265">
          <cell r="A1265">
            <v>20111705</v>
          </cell>
          <cell r="B1265" t="str">
            <v>Puntos de pozo</v>
          </cell>
        </row>
        <row r="1266">
          <cell r="A1266">
            <v>20111706</v>
          </cell>
          <cell r="B1266" t="str">
            <v>Cuñas de perforación</v>
          </cell>
        </row>
        <row r="1267">
          <cell r="A1267">
            <v>20111707</v>
          </cell>
          <cell r="B1267" t="str">
            <v>Adaptadores de herramientas de perforación</v>
          </cell>
        </row>
        <row r="1268">
          <cell r="A1268">
            <v>20111708</v>
          </cell>
          <cell r="B1268" t="str">
            <v>Columnas de perforación</v>
          </cell>
        </row>
        <row r="1269">
          <cell r="A1269">
            <v>20111709</v>
          </cell>
          <cell r="B1269" t="str">
            <v>Herramientas o kits de accesorios para perforar pozos</v>
          </cell>
        </row>
        <row r="1270">
          <cell r="A1270">
            <v>20121001</v>
          </cell>
          <cell r="B1270" t="str">
            <v>Unidades de mezcla acidificante</v>
          </cell>
        </row>
        <row r="1271">
          <cell r="A1271">
            <v>20121002</v>
          </cell>
          <cell r="B1271" t="str">
            <v>Sensores de densidad acidificante</v>
          </cell>
        </row>
        <row r="1272">
          <cell r="A1272">
            <v>20121003</v>
          </cell>
          <cell r="B1272" t="str">
            <v>Unidades de bombeo acidificante</v>
          </cell>
        </row>
        <row r="1273">
          <cell r="A1273">
            <v>20121004</v>
          </cell>
          <cell r="B1273" t="str">
            <v>Unidades acidificantes</v>
          </cell>
        </row>
        <row r="1274">
          <cell r="A1274">
            <v>20121005</v>
          </cell>
          <cell r="B1274" t="str">
            <v>Tubería de aire acidificante</v>
          </cell>
        </row>
        <row r="1275">
          <cell r="A1275">
            <v>20121006</v>
          </cell>
          <cell r="B1275" t="str">
            <v>Inyectores de bola acidificantes</v>
          </cell>
        </row>
        <row r="1276">
          <cell r="A1276">
            <v>20121007</v>
          </cell>
          <cell r="B1276" t="str">
            <v>Equipo de ácido líquido a granel</v>
          </cell>
        </row>
        <row r="1277">
          <cell r="A1277">
            <v>20121008</v>
          </cell>
          <cell r="B1277" t="str">
            <v>Cajas de gota acidificante</v>
          </cell>
        </row>
        <row r="1278">
          <cell r="A1278">
            <v>20121009</v>
          </cell>
          <cell r="B1278" t="str">
            <v>Medidores de acidificación</v>
          </cell>
        </row>
        <row r="1279">
          <cell r="A1279">
            <v>20121010</v>
          </cell>
          <cell r="B1279" t="str">
            <v>Cajas de unión de acidificación</v>
          </cell>
        </row>
        <row r="1280">
          <cell r="A1280">
            <v>20121011</v>
          </cell>
          <cell r="B1280" t="str">
            <v>Sensores de presión de acidificación</v>
          </cell>
        </row>
        <row r="1281">
          <cell r="A1281">
            <v>20121012</v>
          </cell>
          <cell r="B1281" t="str">
            <v>Tubería de proceso acidificante</v>
          </cell>
        </row>
        <row r="1282">
          <cell r="A1282">
            <v>20121013</v>
          </cell>
          <cell r="B1282" t="str">
            <v>Uniones estrechas de acidificación</v>
          </cell>
        </row>
        <row r="1283">
          <cell r="A1283">
            <v>20121014</v>
          </cell>
          <cell r="B1283" t="str">
            <v>Pivotes de acidificación</v>
          </cell>
        </row>
        <row r="1284">
          <cell r="A1284">
            <v>20121015</v>
          </cell>
          <cell r="B1284" t="str">
            <v>Hierros de tratamiento de acidificación</v>
          </cell>
        </row>
        <row r="1285">
          <cell r="A1285">
            <v>20121016</v>
          </cell>
          <cell r="B1285" t="str">
            <v>Protectores de árboles de acidificación</v>
          </cell>
        </row>
        <row r="1286">
          <cell r="A1286">
            <v>20121101</v>
          </cell>
          <cell r="B1286" t="str">
            <v>Unidades de mezclado</v>
          </cell>
        </row>
        <row r="1287">
          <cell r="A1287">
            <v>20121102</v>
          </cell>
          <cell r="B1287" t="str">
            <v>Tapones de puente</v>
          </cell>
        </row>
        <row r="1288">
          <cell r="A1288">
            <v>20121103</v>
          </cell>
          <cell r="B1288" t="str">
            <v>Equipo de cemento líquido a granel</v>
          </cell>
        </row>
        <row r="1289">
          <cell r="A1289">
            <v>20121104</v>
          </cell>
          <cell r="B1289" t="str">
            <v>Equipo de material de cemento a granel</v>
          </cell>
        </row>
        <row r="1290">
          <cell r="A1290">
            <v>20121105</v>
          </cell>
          <cell r="B1290" t="str">
            <v>Sensores de densidad del cemento</v>
          </cell>
        </row>
        <row r="1291">
          <cell r="A1291">
            <v>20121106</v>
          </cell>
          <cell r="B1291" t="str">
            <v>Unidades de flotación de cemento a granel</v>
          </cell>
        </row>
        <row r="1292">
          <cell r="A1292">
            <v>20121107</v>
          </cell>
          <cell r="B1292" t="str">
            <v>Herramientas de flotación de cemento</v>
          </cell>
        </row>
        <row r="1293">
          <cell r="A1293">
            <v>20121108</v>
          </cell>
          <cell r="B1293" t="str">
            <v>Tapones limpiadores de equipo de flotación de cemento</v>
          </cell>
        </row>
        <row r="1294">
          <cell r="A1294">
            <v>20121109</v>
          </cell>
          <cell r="B1294" t="str">
            <v>Unidades de bombeo de cemento</v>
          </cell>
        </row>
        <row r="1295">
          <cell r="A1295">
            <v>20121110</v>
          </cell>
          <cell r="B1295" t="str">
            <v>Retenedores de cemento</v>
          </cell>
        </row>
        <row r="1296">
          <cell r="A1296">
            <v>20121111</v>
          </cell>
          <cell r="B1296" t="str">
            <v>Centralizadores</v>
          </cell>
        </row>
        <row r="1297">
          <cell r="A1297">
            <v>20121112</v>
          </cell>
          <cell r="B1297" t="str">
            <v>Acoples de pestillo expreso</v>
          </cell>
        </row>
        <row r="1298">
          <cell r="A1298">
            <v>20121113</v>
          </cell>
          <cell r="B1298" t="str">
            <v>Collares de flotación</v>
          </cell>
        </row>
        <row r="1299">
          <cell r="A1299">
            <v>20121114</v>
          </cell>
          <cell r="B1299" t="str">
            <v>Zapatas de flotación</v>
          </cell>
        </row>
        <row r="1300">
          <cell r="A1300">
            <v>20121115</v>
          </cell>
          <cell r="B1300" t="str">
            <v>Herramientas para cementación de campos petroleros</v>
          </cell>
        </row>
        <row r="1301">
          <cell r="A1301">
            <v>20121116</v>
          </cell>
          <cell r="B1301" t="str">
            <v>Tapones recuperables de cementación</v>
          </cell>
        </row>
        <row r="1302">
          <cell r="A1302">
            <v>20121117</v>
          </cell>
          <cell r="B1302" t="str">
            <v>Eslingas de seguridad</v>
          </cell>
        </row>
        <row r="1303">
          <cell r="A1303">
            <v>20121118</v>
          </cell>
          <cell r="B1303" t="str">
            <v>Cabezales de cemento bajo el mar</v>
          </cell>
        </row>
        <row r="1304">
          <cell r="A1304">
            <v>20121119</v>
          </cell>
          <cell r="B1304" t="str">
            <v>Cabezales de cemento en superficie</v>
          </cell>
        </row>
        <row r="1305">
          <cell r="A1305">
            <v>20121201</v>
          </cell>
          <cell r="B1305" t="str">
            <v>Equipo de fractura líquida a granel</v>
          </cell>
        </row>
        <row r="1306">
          <cell r="A1306">
            <v>20121202</v>
          </cell>
          <cell r="B1306" t="str">
            <v>Equipo de fractura a granel usando unidades de soporte</v>
          </cell>
        </row>
        <row r="1307">
          <cell r="A1307">
            <v>20121203</v>
          </cell>
          <cell r="B1307" t="str">
            <v>Unidades de control de fracturación</v>
          </cell>
        </row>
        <row r="1308">
          <cell r="A1308">
            <v>20121204</v>
          </cell>
          <cell r="B1308" t="str">
            <v>Sensores de densidad de fracturación</v>
          </cell>
        </row>
        <row r="1309">
          <cell r="A1309">
            <v>20121205</v>
          </cell>
          <cell r="B1309" t="str">
            <v>Unidades múltiples de fracturación</v>
          </cell>
        </row>
        <row r="1310">
          <cell r="A1310">
            <v>20121206</v>
          </cell>
          <cell r="B1310" t="str">
            <v>Equipo de transporte de fracturación usando unidades de soporte</v>
          </cell>
        </row>
        <row r="1311">
          <cell r="A1311">
            <v>20121207</v>
          </cell>
          <cell r="B1311" t="str">
            <v>Unidades de bombeo de fracturación</v>
          </cell>
        </row>
        <row r="1312">
          <cell r="A1312">
            <v>20121208</v>
          </cell>
          <cell r="B1312" t="str">
            <v>Unidades de mezclado de lechada fracturación</v>
          </cell>
        </row>
        <row r="1313">
          <cell r="A1313">
            <v>20121209</v>
          </cell>
          <cell r="B1313" t="str">
            <v>Unidades de mezcla de gel</v>
          </cell>
        </row>
        <row r="1314">
          <cell r="A1314">
            <v>20121210</v>
          </cell>
          <cell r="B1314" t="str">
            <v>Misiles de fracturación</v>
          </cell>
        </row>
        <row r="1315">
          <cell r="A1315">
            <v>20121211</v>
          </cell>
          <cell r="B1315" t="str">
            <v>Monitores de integridad de bombeo</v>
          </cell>
        </row>
        <row r="1316">
          <cell r="A1316">
            <v>20121212</v>
          </cell>
          <cell r="B1316" t="str">
            <v>Tapones de servicio de fracturación</v>
          </cell>
        </row>
        <row r="1317">
          <cell r="A1317">
            <v>20121213</v>
          </cell>
          <cell r="B1317" t="str">
            <v>Unidades de estimulación de bombeo</v>
          </cell>
        </row>
        <row r="1318">
          <cell r="A1318">
            <v>20121301</v>
          </cell>
          <cell r="B1318" t="str">
            <v>Tapones obturadores</v>
          </cell>
        </row>
        <row r="1319">
          <cell r="A1319">
            <v>20121302</v>
          </cell>
          <cell r="B1319" t="str">
            <v>Flotadores</v>
          </cell>
        </row>
        <row r="1320">
          <cell r="A1320">
            <v>20121303</v>
          </cell>
          <cell r="B1320" t="str">
            <v>Sistemas frac pack</v>
          </cell>
        </row>
        <row r="1321">
          <cell r="A1321">
            <v>20121304</v>
          </cell>
          <cell r="B1321" t="str">
            <v>Sistemas paquete de gravilla</v>
          </cell>
        </row>
        <row r="1322">
          <cell r="A1322">
            <v>20121305</v>
          </cell>
          <cell r="B1322" t="str">
            <v>Zapatas guía</v>
          </cell>
        </row>
        <row r="1323">
          <cell r="A1323">
            <v>20121306</v>
          </cell>
          <cell r="B1323" t="str">
            <v>Boquillas de acometida</v>
          </cell>
        </row>
        <row r="1324">
          <cell r="A1324">
            <v>20121307</v>
          </cell>
          <cell r="B1324" t="str">
            <v>Acoples de conformación</v>
          </cell>
        </row>
        <row r="1325">
          <cell r="A1325">
            <v>20121308</v>
          </cell>
          <cell r="B1325" t="str">
            <v>Rebosamientos de tuberías de producción</v>
          </cell>
        </row>
        <row r="1326">
          <cell r="A1326">
            <v>20121309</v>
          </cell>
          <cell r="B1326" t="str">
            <v>Obturadores de control de arena</v>
          </cell>
        </row>
        <row r="1327">
          <cell r="A1327">
            <v>20121310</v>
          </cell>
          <cell r="B1327" t="str">
            <v>Equipo de granel líquido para control de arena</v>
          </cell>
        </row>
        <row r="1328">
          <cell r="A1328">
            <v>20121311</v>
          </cell>
          <cell r="B1328" t="str">
            <v>Equipo que usa unidades de soporte para control de arena a granel</v>
          </cell>
        </row>
        <row r="1329">
          <cell r="A1329">
            <v>20121312</v>
          </cell>
          <cell r="B1329" t="str">
            <v>Sensores de densidad de control de arena</v>
          </cell>
        </row>
        <row r="1330">
          <cell r="A1330">
            <v>20121313</v>
          </cell>
          <cell r="B1330" t="str">
            <v>Unidades múltiples de control de arena</v>
          </cell>
        </row>
        <row r="1331">
          <cell r="A1331">
            <v>20121314</v>
          </cell>
          <cell r="B1331" t="str">
            <v>Equipo de transporte de arena usando unidades de soporte</v>
          </cell>
        </row>
        <row r="1332">
          <cell r="A1332">
            <v>20121315</v>
          </cell>
          <cell r="B1332" t="str">
            <v>Unidades control de bombeo de arena</v>
          </cell>
        </row>
        <row r="1333">
          <cell r="A1333">
            <v>20121316</v>
          </cell>
          <cell r="B1333" t="str">
            <v>Pantallas de control de arena</v>
          </cell>
        </row>
        <row r="1334">
          <cell r="A1334">
            <v>20121317</v>
          </cell>
          <cell r="B1334" t="str">
            <v>Unidades de mezclado de lechada control de arena</v>
          </cell>
        </row>
        <row r="1335">
          <cell r="A1335">
            <v>20121318</v>
          </cell>
          <cell r="B1335" t="str">
            <v>Detectores de arena</v>
          </cell>
        </row>
        <row r="1336">
          <cell r="A1336">
            <v>20121319</v>
          </cell>
          <cell r="B1336" t="str">
            <v>Localizadores de ensamble de sello</v>
          </cell>
        </row>
        <row r="1337">
          <cell r="A1337">
            <v>20121320</v>
          </cell>
          <cell r="B1337" t="str">
            <v>Uniones de cizalla</v>
          </cell>
        </row>
        <row r="1338">
          <cell r="A1338">
            <v>20121321</v>
          </cell>
          <cell r="B1338" t="str">
            <v>Herramientas de levantamiento de manga</v>
          </cell>
        </row>
        <row r="1339">
          <cell r="A1339">
            <v>20121322</v>
          </cell>
          <cell r="B1339" t="str">
            <v>Mangas deslizantes</v>
          </cell>
        </row>
        <row r="1340">
          <cell r="A1340">
            <v>20121323</v>
          </cell>
          <cell r="B1340" t="str">
            <v>Cuerdas de velocidad</v>
          </cell>
        </row>
        <row r="1341">
          <cell r="A1341">
            <v>20121401</v>
          </cell>
          <cell r="B1341" t="str">
            <v>Subs de atrapado de bola</v>
          </cell>
        </row>
        <row r="1342">
          <cell r="A1342">
            <v>20121402</v>
          </cell>
          <cell r="B1342" t="str">
            <v>Uniones de voladura</v>
          </cell>
        </row>
        <row r="1343">
          <cell r="A1343">
            <v>20121403</v>
          </cell>
          <cell r="B1343" t="str">
            <v>Boquillas de voladura</v>
          </cell>
        </row>
        <row r="1344">
          <cell r="A1344">
            <v>20121404</v>
          </cell>
          <cell r="B1344" t="str">
            <v>Tapón calibrador de cierre</v>
          </cell>
        </row>
        <row r="1345">
          <cell r="A1345">
            <v>20121405</v>
          </cell>
          <cell r="B1345" t="str">
            <v>Dispositivos de circulación de producción</v>
          </cell>
        </row>
        <row r="1346">
          <cell r="A1346">
            <v>20121406</v>
          </cell>
          <cell r="B1346" t="str">
            <v>Equipo de prueba de culminación</v>
          </cell>
        </row>
        <row r="1347">
          <cell r="A1347">
            <v>20121407</v>
          </cell>
          <cell r="B1347" t="str">
            <v>Protectores de línea de control</v>
          </cell>
        </row>
        <row r="1348">
          <cell r="A1348">
            <v>20121408</v>
          </cell>
          <cell r="B1348" t="str">
            <v>Herramientas de deflexión</v>
          </cell>
        </row>
        <row r="1349">
          <cell r="A1349">
            <v>20121409</v>
          </cell>
          <cell r="B1349" t="str">
            <v>Uniones de expansión de culminación</v>
          </cell>
        </row>
        <row r="1350">
          <cell r="A1350">
            <v>20121410</v>
          </cell>
          <cell r="B1350" t="str">
            <v>Acoples de flujo</v>
          </cell>
        </row>
        <row r="1351">
          <cell r="A1351">
            <v>20121411</v>
          </cell>
          <cell r="B1351" t="str">
            <v>Equipo de elevación de gas</v>
          </cell>
        </row>
        <row r="1352">
          <cell r="A1352">
            <v>20121412</v>
          </cell>
          <cell r="B1352" t="str">
            <v>Herramientas de estabilización de colgador</v>
          </cell>
        </row>
        <row r="1353">
          <cell r="A1353">
            <v>20121413</v>
          </cell>
          <cell r="B1353" t="str">
            <v>Bombas hidráulicas de culminación</v>
          </cell>
        </row>
        <row r="1354">
          <cell r="A1354">
            <v>20121414</v>
          </cell>
          <cell r="B1354" t="str">
            <v>Herramientas hidráulicas de curado</v>
          </cell>
        </row>
        <row r="1355">
          <cell r="A1355">
            <v>20121415</v>
          </cell>
          <cell r="B1355" t="str">
            <v>Sistemas de inyección</v>
          </cell>
        </row>
        <row r="1356">
          <cell r="A1356">
            <v>20121416</v>
          </cell>
          <cell r="B1356" t="str">
            <v>Boquillas de estabilización</v>
          </cell>
        </row>
        <row r="1357">
          <cell r="A1357">
            <v>20121417</v>
          </cell>
          <cell r="B1357" t="str">
            <v>Colgadores de línea</v>
          </cell>
        </row>
        <row r="1358">
          <cell r="A1358">
            <v>20121418</v>
          </cell>
          <cell r="B1358" t="str">
            <v>Herramientas de halar tapones</v>
          </cell>
        </row>
        <row r="1359">
          <cell r="A1359">
            <v>20121419</v>
          </cell>
          <cell r="B1359" t="str">
            <v>Herramientas de correr tapones</v>
          </cell>
        </row>
        <row r="1360">
          <cell r="A1360">
            <v>20121420</v>
          </cell>
          <cell r="B1360" t="str">
            <v>Tapones de producción</v>
          </cell>
        </row>
        <row r="1361">
          <cell r="A1361">
            <v>20121421</v>
          </cell>
          <cell r="B1361" t="str">
            <v>Equipos de bombeo a través de la línea de flujo</v>
          </cell>
        </row>
        <row r="1362">
          <cell r="A1362">
            <v>20121422</v>
          </cell>
          <cell r="B1362" t="str">
            <v>Uniones de seguridad de culminación</v>
          </cell>
        </row>
        <row r="1363">
          <cell r="A1363">
            <v>20121423</v>
          </cell>
          <cell r="B1363" t="str">
            <v>Ensambles de sello de culminación</v>
          </cell>
        </row>
        <row r="1364">
          <cell r="A1364">
            <v>20121424</v>
          </cell>
          <cell r="B1364" t="str">
            <v>Sello hoyo u hoyo pulido</v>
          </cell>
        </row>
        <row r="1365">
          <cell r="A1365">
            <v>20121425</v>
          </cell>
          <cell r="B1365" t="str">
            <v>Mandriles de bolsillos laterales</v>
          </cell>
        </row>
        <row r="1366">
          <cell r="A1366">
            <v>20121427</v>
          </cell>
          <cell r="B1366" t="str">
            <v>Válvulas de seguridad sub – superficie</v>
          </cell>
        </row>
        <row r="1367">
          <cell r="A1367">
            <v>20121428</v>
          </cell>
          <cell r="B1367" t="str">
            <v>Uniones de desplazamiento</v>
          </cell>
        </row>
        <row r="1368">
          <cell r="A1368">
            <v>20121429</v>
          </cell>
          <cell r="B1368" t="str">
            <v>Anclajes de tubería</v>
          </cell>
        </row>
        <row r="1369">
          <cell r="A1369">
            <v>20121430</v>
          </cell>
          <cell r="B1369" t="str">
            <v>Ensamblajes de flujo paralelo</v>
          </cell>
        </row>
        <row r="1370">
          <cell r="A1370">
            <v>20121501</v>
          </cell>
          <cell r="B1370" t="str">
            <v>Preventor de reventones</v>
          </cell>
        </row>
        <row r="1371">
          <cell r="A1371">
            <v>20121502</v>
          </cell>
          <cell r="B1371" t="str">
            <v>Controles del preventor de reventones</v>
          </cell>
        </row>
        <row r="1372">
          <cell r="A1372">
            <v>20121503</v>
          </cell>
          <cell r="B1372" t="str">
            <v>Raspadores de revestimiento</v>
          </cell>
        </row>
        <row r="1373">
          <cell r="A1373">
            <v>20121504</v>
          </cell>
          <cell r="B1373" t="str">
            <v>Collar de perforación</v>
          </cell>
        </row>
        <row r="1374">
          <cell r="A1374">
            <v>20121505</v>
          </cell>
          <cell r="B1374" t="str">
            <v>Equipo de núcleos</v>
          </cell>
        </row>
        <row r="1375">
          <cell r="A1375">
            <v>20121506</v>
          </cell>
          <cell r="B1375" t="str">
            <v>Protectores de rosca de tubería de perforación</v>
          </cell>
        </row>
        <row r="1376">
          <cell r="A1376">
            <v>20121507</v>
          </cell>
          <cell r="B1376" t="str">
            <v>Uniones de herramientas de tubería de perforación</v>
          </cell>
        </row>
        <row r="1377">
          <cell r="A1377">
            <v>20121508</v>
          </cell>
          <cell r="B1377" t="str">
            <v>Tubo de perforación</v>
          </cell>
        </row>
        <row r="1378">
          <cell r="A1378">
            <v>20121509</v>
          </cell>
          <cell r="B1378" t="str">
            <v>Anillos de calibre</v>
          </cell>
        </row>
        <row r="1379">
          <cell r="A1379">
            <v>20121510</v>
          </cell>
          <cell r="B1379" t="str">
            <v>Abridores de hoyos</v>
          </cell>
        </row>
        <row r="1380">
          <cell r="A1380">
            <v>20121511</v>
          </cell>
          <cell r="B1380" t="str">
            <v>Escariadores de hoyos</v>
          </cell>
        </row>
        <row r="1381">
          <cell r="A1381">
            <v>20121512</v>
          </cell>
          <cell r="B1381" t="str">
            <v>Tarros de pesca</v>
          </cell>
        </row>
        <row r="1382">
          <cell r="A1382">
            <v>20121513</v>
          </cell>
          <cell r="B1382" t="str">
            <v>Amortiguadores de fondo de pozo</v>
          </cell>
        </row>
        <row r="1383">
          <cell r="A1383">
            <v>20121514</v>
          </cell>
          <cell r="B1383" t="str">
            <v>Subs de perforación</v>
          </cell>
        </row>
        <row r="1384">
          <cell r="A1384">
            <v>20121515</v>
          </cell>
          <cell r="B1384" t="str">
            <v>Estabilizadores de fondo de pozo</v>
          </cell>
        </row>
        <row r="1385">
          <cell r="A1385">
            <v>20121516</v>
          </cell>
          <cell r="B1385" t="str">
            <v>Propulsores</v>
          </cell>
        </row>
        <row r="1386">
          <cell r="A1386">
            <v>20121601</v>
          </cell>
          <cell r="B1386" t="str">
            <v>Brocas de cortadora fija</v>
          </cell>
        </row>
        <row r="1387">
          <cell r="A1387">
            <v>20121602</v>
          </cell>
          <cell r="B1387" t="str">
            <v>Brocas de diamante natural</v>
          </cell>
        </row>
        <row r="1388">
          <cell r="A1388">
            <v>20121603</v>
          </cell>
          <cell r="B1388" t="str">
            <v>Brocas de boquilla</v>
          </cell>
        </row>
        <row r="1389">
          <cell r="A1389">
            <v>20121604</v>
          </cell>
          <cell r="B1389" t="str">
            <v>Brocas pdc</v>
          </cell>
        </row>
        <row r="1390">
          <cell r="A1390">
            <v>20121605</v>
          </cell>
          <cell r="B1390" t="str">
            <v>Brocas cónicas de rodillo de botón de inserción</v>
          </cell>
        </row>
        <row r="1391">
          <cell r="A1391">
            <v>20121606</v>
          </cell>
          <cell r="B1391" t="str">
            <v>Brocas de rodillo de diente de acero</v>
          </cell>
        </row>
        <row r="1392">
          <cell r="A1392">
            <v>20121607</v>
          </cell>
          <cell r="B1392" t="str">
            <v>Brocas de núcleo</v>
          </cell>
        </row>
        <row r="1393">
          <cell r="A1393">
            <v>20121701</v>
          </cell>
          <cell r="B1393" t="str">
            <v>Bumper subs</v>
          </cell>
        </row>
        <row r="1394">
          <cell r="A1394">
            <v>20121702</v>
          </cell>
          <cell r="B1394" t="str">
            <v>Parches de revestimiento</v>
          </cell>
        </row>
        <row r="1395">
          <cell r="A1395">
            <v>20121703</v>
          </cell>
          <cell r="B1395" t="str">
            <v>Impulsores de tarro</v>
          </cell>
        </row>
        <row r="1396">
          <cell r="A1396">
            <v>20121704</v>
          </cell>
          <cell r="B1396" t="str">
            <v>Subs de chatarra</v>
          </cell>
        </row>
        <row r="1397">
          <cell r="A1397">
            <v>20121705</v>
          </cell>
          <cell r="B1397" t="str">
            <v>Molinos o zapatas de quemado</v>
          </cell>
        </row>
        <row r="1398">
          <cell r="A1398">
            <v>20121706</v>
          </cell>
          <cell r="B1398" t="str">
            <v>Rebosamientos</v>
          </cell>
        </row>
        <row r="1399">
          <cell r="A1399">
            <v>20121707</v>
          </cell>
          <cell r="B1399" t="str">
            <v>Lanzas de pesca en campo petrolero</v>
          </cell>
        </row>
        <row r="1400">
          <cell r="A1400">
            <v>20121708</v>
          </cell>
          <cell r="B1400" t="str">
            <v>Herramientas de pesca no especificada</v>
          </cell>
        </row>
        <row r="1401">
          <cell r="A1401">
            <v>20121801</v>
          </cell>
          <cell r="B1401" t="str">
            <v>Herramientas de geo - dirección</v>
          </cell>
        </row>
        <row r="1402">
          <cell r="A1402">
            <v>20121802</v>
          </cell>
          <cell r="B1402" t="str">
            <v>Motores de lodo</v>
          </cell>
        </row>
        <row r="1403">
          <cell r="A1403">
            <v>20121803</v>
          </cell>
          <cell r="B1403" t="str">
            <v>Herramientas dirigibles giratorias</v>
          </cell>
        </row>
        <row r="1404">
          <cell r="A1404">
            <v>20121804</v>
          </cell>
          <cell r="B1404" t="str">
            <v>Sistemas de control de superficie de perforación direccional</v>
          </cell>
        </row>
        <row r="1405">
          <cell r="A1405">
            <v>20121805</v>
          </cell>
          <cell r="B1405" t="str">
            <v>Herramientas de perforación direccional de hoyo derecho</v>
          </cell>
        </row>
        <row r="1406">
          <cell r="A1406">
            <v>20121901</v>
          </cell>
          <cell r="B1406" t="str">
            <v>Herramientas acústicas</v>
          </cell>
        </row>
        <row r="1407">
          <cell r="A1407">
            <v>20121902</v>
          </cell>
          <cell r="B1407" t="str">
            <v>Instrumentos de control de perforación o lodo</v>
          </cell>
        </row>
        <row r="1408">
          <cell r="A1408">
            <v>20121903</v>
          </cell>
          <cell r="B1408" t="str">
            <v>Herramientas de medición de desempeño de perforación</v>
          </cell>
        </row>
        <row r="1409">
          <cell r="A1409">
            <v>20121904</v>
          </cell>
          <cell r="B1409" t="str">
            <v>Equipo de medición de flujo</v>
          </cell>
        </row>
        <row r="1410">
          <cell r="A1410">
            <v>20121905</v>
          </cell>
          <cell r="B1410" t="str">
            <v>Herramientas de resonancia magnética nuclear</v>
          </cell>
        </row>
        <row r="1411">
          <cell r="A1411">
            <v>20121906</v>
          </cell>
          <cell r="B1411" t="str">
            <v>Herramientas nucleares</v>
          </cell>
        </row>
        <row r="1412">
          <cell r="A1412">
            <v>20121907</v>
          </cell>
          <cell r="B1412" t="str">
            <v>Equipos de registro de producción</v>
          </cell>
        </row>
        <row r="1413">
          <cell r="A1413">
            <v>20121908</v>
          </cell>
          <cell r="B1413" t="str">
            <v>Herramientas de resistividad</v>
          </cell>
        </row>
        <row r="1414">
          <cell r="A1414">
            <v>20121909</v>
          </cell>
          <cell r="B1414" t="str">
            <v>Sistemas de levantamiento</v>
          </cell>
        </row>
        <row r="1415">
          <cell r="A1415">
            <v>20121910</v>
          </cell>
          <cell r="B1415" t="str">
            <v>Sistemas de telemetría</v>
          </cell>
        </row>
        <row r="1416">
          <cell r="A1416">
            <v>20121911</v>
          </cell>
          <cell r="B1416" t="str">
            <v>Herramientas ultrasónicas</v>
          </cell>
        </row>
        <row r="1417">
          <cell r="A1417">
            <v>20121912</v>
          </cell>
          <cell r="B1417" t="str">
            <v>Equipo de presión de registro de fondo de pozo</v>
          </cell>
        </row>
        <row r="1418">
          <cell r="A1418">
            <v>20121913</v>
          </cell>
          <cell r="B1418" t="str">
            <v>Equipo de prueba de registro de fondo de pozo</v>
          </cell>
        </row>
        <row r="1419">
          <cell r="A1419">
            <v>20121914</v>
          </cell>
          <cell r="B1419" t="str">
            <v>Unidades de registro de pozo</v>
          </cell>
        </row>
        <row r="1420">
          <cell r="A1420">
            <v>20122001</v>
          </cell>
          <cell r="B1420" t="str">
            <v>Barra de desplazamiento</v>
          </cell>
        </row>
        <row r="1421">
          <cell r="A1421">
            <v>20122002</v>
          </cell>
          <cell r="B1421" t="str">
            <v>Mangas de desplazamiento</v>
          </cell>
        </row>
        <row r="1422">
          <cell r="A1422">
            <v>20122003</v>
          </cell>
          <cell r="B1422" t="str">
            <v>Conejo de desplazamiento</v>
          </cell>
        </row>
        <row r="1423">
          <cell r="A1423">
            <v>20122004</v>
          </cell>
          <cell r="B1423" t="str">
            <v>Accesorios de prueba</v>
          </cell>
        </row>
        <row r="1424">
          <cell r="A1424">
            <v>20122005</v>
          </cell>
          <cell r="B1424" t="str">
            <v>Boquillas de prueba</v>
          </cell>
        </row>
        <row r="1425">
          <cell r="A1425">
            <v>20122006</v>
          </cell>
          <cell r="B1425" t="str">
            <v>Tapones de prueba</v>
          </cell>
        </row>
        <row r="1426">
          <cell r="A1426">
            <v>20122101</v>
          </cell>
          <cell r="B1426" t="str">
            <v>Pistolas de cápsulas</v>
          </cell>
        </row>
        <row r="1427">
          <cell r="A1427">
            <v>20122102</v>
          </cell>
          <cell r="B1427" t="str">
            <v>Pistolas de revestimiento</v>
          </cell>
        </row>
        <row r="1428">
          <cell r="A1428">
            <v>20122103</v>
          </cell>
          <cell r="B1428" t="str">
            <v>Cabezas de despliegue</v>
          </cell>
        </row>
        <row r="1429">
          <cell r="A1429">
            <v>20122104</v>
          </cell>
          <cell r="B1429" t="str">
            <v>Explosivos de perforación</v>
          </cell>
        </row>
        <row r="1430">
          <cell r="A1430">
            <v>20122105</v>
          </cell>
          <cell r="B1430" t="str">
            <v>Cabezas de disparo</v>
          </cell>
        </row>
        <row r="1431">
          <cell r="A1431">
            <v>20122106</v>
          </cell>
          <cell r="B1431" t="str">
            <v>Adaptadores de pistola</v>
          </cell>
        </row>
        <row r="1432">
          <cell r="A1432">
            <v>20122107</v>
          </cell>
          <cell r="B1432" t="str">
            <v>Pistola de disparo de alta densidad</v>
          </cell>
        </row>
        <row r="1433">
          <cell r="A1433">
            <v>20122108</v>
          </cell>
          <cell r="B1433" t="str">
            <v>Tapones bull de perforación</v>
          </cell>
        </row>
        <row r="1434">
          <cell r="A1434">
            <v>20122109</v>
          </cell>
          <cell r="B1434" t="str">
            <v>Herramientas de poner tapones</v>
          </cell>
        </row>
        <row r="1435">
          <cell r="A1435">
            <v>20122110</v>
          </cell>
          <cell r="B1435" t="str">
            <v>Equipo de posicionamiento de perforación</v>
          </cell>
        </row>
        <row r="1436">
          <cell r="A1436">
            <v>20122111</v>
          </cell>
          <cell r="B1436" t="str">
            <v>Pistolas festoneadas</v>
          </cell>
        </row>
        <row r="1437">
          <cell r="A1437">
            <v>20122112</v>
          </cell>
          <cell r="B1437" t="str">
            <v>Subs en tándem</v>
          </cell>
        </row>
        <row r="1438">
          <cell r="A1438">
            <v>20122113</v>
          </cell>
          <cell r="B1438" t="str">
            <v>Accesorios de pistola de perforación de tubos completa</v>
          </cell>
        </row>
        <row r="1439">
          <cell r="A1439">
            <v>20122114</v>
          </cell>
          <cell r="B1439" t="str">
            <v>Pistola de perforación de tubos completa</v>
          </cell>
        </row>
        <row r="1440">
          <cell r="A1440">
            <v>20122115</v>
          </cell>
          <cell r="B1440" t="str">
            <v>Subs ventilación bajo balance</v>
          </cell>
        </row>
        <row r="1441">
          <cell r="A1441">
            <v>20122201</v>
          </cell>
          <cell r="B1441" t="str">
            <v>Booms de bengalas</v>
          </cell>
        </row>
        <row r="1442">
          <cell r="A1442">
            <v>20122202</v>
          </cell>
          <cell r="B1442" t="str">
            <v>Quemadores de bengalas</v>
          </cell>
        </row>
        <row r="1443">
          <cell r="A1443">
            <v>20122203</v>
          </cell>
          <cell r="B1443" t="str">
            <v>Herramientas de prueba de hoyo</v>
          </cell>
        </row>
        <row r="1444">
          <cell r="A1444">
            <v>20122204</v>
          </cell>
          <cell r="B1444" t="str">
            <v>Colector del choke</v>
          </cell>
        </row>
        <row r="1445">
          <cell r="A1445">
            <v>20122205</v>
          </cell>
          <cell r="B1445" t="str">
            <v>Colector de desviación</v>
          </cell>
        </row>
        <row r="1446">
          <cell r="A1446">
            <v>20122206</v>
          </cell>
          <cell r="B1446" t="str">
            <v>Canastas de flowhead</v>
          </cell>
        </row>
        <row r="1447">
          <cell r="A1447">
            <v>20122207</v>
          </cell>
          <cell r="B1447" t="str">
            <v>Pivote de flowhead</v>
          </cell>
        </row>
        <row r="1448">
          <cell r="A1448">
            <v>20122208</v>
          </cell>
          <cell r="B1448" t="str">
            <v>Flowheads</v>
          </cell>
        </row>
        <row r="1449">
          <cell r="A1449">
            <v>20122209</v>
          </cell>
          <cell r="B1449" t="str">
            <v>Herramientas de formación de cierre</v>
          </cell>
        </row>
        <row r="1450">
          <cell r="A1450">
            <v>20122210</v>
          </cell>
          <cell r="B1450" t="str">
            <v>Bengalas de gas</v>
          </cell>
        </row>
        <row r="1451">
          <cell r="A1451">
            <v>20122211</v>
          </cell>
          <cell r="B1451" t="str">
            <v>Analizadores de gas de lodos</v>
          </cell>
        </row>
        <row r="1452">
          <cell r="A1452">
            <v>20122212</v>
          </cell>
          <cell r="B1452" t="str">
            <v>Muestreadores de petróleo</v>
          </cell>
        </row>
        <row r="1453">
          <cell r="A1453">
            <v>20122213</v>
          </cell>
          <cell r="B1453" t="str">
            <v>Separadores de pruebas de pozo</v>
          </cell>
        </row>
        <row r="1454">
          <cell r="A1454">
            <v>20122214</v>
          </cell>
          <cell r="B1454" t="str">
            <v>Tubería de superficie de pruebas de pozo</v>
          </cell>
        </row>
        <row r="1455">
          <cell r="A1455">
            <v>20122215</v>
          </cell>
          <cell r="B1455" t="str">
            <v>Tanques de compensación</v>
          </cell>
        </row>
        <row r="1456">
          <cell r="A1456">
            <v>20122216</v>
          </cell>
          <cell r="B1456" t="str">
            <v>Herramientas de prueba de fondo de pozo</v>
          </cell>
        </row>
        <row r="1457">
          <cell r="A1457">
            <v>20122301</v>
          </cell>
          <cell r="B1457" t="str">
            <v>Cabezas de adaptador de cable de recuperación</v>
          </cell>
        </row>
        <row r="1458">
          <cell r="A1458">
            <v>20122302</v>
          </cell>
          <cell r="B1458" t="str">
            <v>Retardo de envío del cable de recuperación</v>
          </cell>
        </row>
        <row r="1459">
          <cell r="A1459">
            <v>20122303</v>
          </cell>
          <cell r="B1459" t="str">
            <v>Guías de campana de cable de recuperación</v>
          </cell>
        </row>
        <row r="1460">
          <cell r="A1460">
            <v>20122304</v>
          </cell>
          <cell r="B1460" t="str">
            <v>Cajas ciegas de cable de recuperación</v>
          </cell>
        </row>
        <row r="1461">
          <cell r="A1461">
            <v>20122305</v>
          </cell>
          <cell r="B1461" t="str">
            <v>Equipo de presión de fondo de hoyo de cable de recuperación</v>
          </cell>
        </row>
        <row r="1462">
          <cell r="A1462">
            <v>20122306</v>
          </cell>
          <cell r="B1462" t="str">
            <v>Herramientas de calibración de cable de recuperación</v>
          </cell>
        </row>
        <row r="1463">
          <cell r="A1463">
            <v>20122307</v>
          </cell>
          <cell r="B1463" t="str">
            <v>Volcado de cemento de rescate de equipos cable de recuperación</v>
          </cell>
        </row>
        <row r="1464">
          <cell r="A1464">
            <v>20122308</v>
          </cell>
          <cell r="B1464" t="str">
            <v>Cortadores químicos de cable de recuperación</v>
          </cell>
        </row>
        <row r="1465">
          <cell r="A1465">
            <v>20122309</v>
          </cell>
          <cell r="B1465" t="str">
            <v>Centralizadores de cadena de herramientas de almeja de cable de recuperación</v>
          </cell>
        </row>
        <row r="1466">
          <cell r="A1466">
            <v>20122310</v>
          </cell>
          <cell r="B1466" t="str">
            <v>Centralizadores de cable de acero de almeja de cable de recuperación</v>
          </cell>
        </row>
        <row r="1467">
          <cell r="A1467">
            <v>20122311</v>
          </cell>
          <cell r="B1467" t="str">
            <v>Localizadores de collar de cable de recuperación</v>
          </cell>
        </row>
        <row r="1468">
          <cell r="A1468">
            <v>20122312</v>
          </cell>
          <cell r="B1468" t="str">
            <v>Colectores de cable de recuperación</v>
          </cell>
        </row>
        <row r="1469">
          <cell r="A1469">
            <v>20122313</v>
          </cell>
          <cell r="B1469" t="str">
            <v>Herramientas de colisión de cable de recuperación</v>
          </cell>
        </row>
        <row r="1470">
          <cell r="A1470">
            <v>20122314</v>
          </cell>
          <cell r="B1470" t="str">
            <v>Cruces de cable de recuperación</v>
          </cell>
        </row>
        <row r="1471">
          <cell r="A1471">
            <v>20122315</v>
          </cell>
          <cell r="B1471" t="str">
            <v>Equipo de medición de profundidad de cable de recuperación</v>
          </cell>
        </row>
        <row r="1472">
          <cell r="A1472">
            <v>20122316</v>
          </cell>
          <cell r="B1472" t="str">
            <v>Frasco dewar de cable de recuperación</v>
          </cell>
        </row>
        <row r="1473">
          <cell r="A1473">
            <v>20122317</v>
          </cell>
          <cell r="B1473" t="str">
            <v>Herramientas del dipmeter de cable de recuperación</v>
          </cell>
        </row>
        <row r="1474">
          <cell r="A1474">
            <v>20122318</v>
          </cell>
          <cell r="B1474" t="str">
            <v>Herramientas direccionales de cable de recuperación</v>
          </cell>
        </row>
        <row r="1475">
          <cell r="A1475">
            <v>20122319</v>
          </cell>
          <cell r="B1475" t="str">
            <v>Herramientas de vaya con el diablo de cable de recuperación</v>
          </cell>
        </row>
        <row r="1476">
          <cell r="A1476">
            <v>20122320</v>
          </cell>
          <cell r="B1476" t="str">
            <v>Abridores de hoyos de cable de recuperación</v>
          </cell>
        </row>
        <row r="1477">
          <cell r="A1477">
            <v>20122321</v>
          </cell>
          <cell r="B1477" t="str">
            <v>Cortadores jet de cable de recuperación</v>
          </cell>
        </row>
        <row r="1478">
          <cell r="A1478">
            <v>20122322</v>
          </cell>
          <cell r="B1478" t="str">
            <v>Disparos de desperdicios de cable de recuperación</v>
          </cell>
        </row>
        <row r="1479">
          <cell r="A1479">
            <v>20122323</v>
          </cell>
          <cell r="B1479" t="str">
            <v>Herramientas de kickover de cable de recuperación</v>
          </cell>
        </row>
        <row r="1480">
          <cell r="A1480">
            <v>20122324</v>
          </cell>
          <cell r="B1480" t="str">
            <v>Uniones de nudillos de cable de recuperación</v>
          </cell>
        </row>
        <row r="1481">
          <cell r="A1481">
            <v>20122325</v>
          </cell>
          <cell r="B1481" t="str">
            <v>Bloques de impresión de cable de recuperación</v>
          </cell>
        </row>
        <row r="1482">
          <cell r="A1482">
            <v>20122326</v>
          </cell>
          <cell r="B1482" t="str">
            <v>Mandriles de ubicación de cable de recuperación</v>
          </cell>
        </row>
        <row r="1483">
          <cell r="A1483">
            <v>20122327</v>
          </cell>
          <cell r="B1483" t="str">
            <v>Mandriles de bloqueo de cable de recuperación</v>
          </cell>
        </row>
        <row r="1484">
          <cell r="A1484">
            <v>20122328</v>
          </cell>
          <cell r="B1484" t="str">
            <v>Lubricadores de cable de recuperación</v>
          </cell>
        </row>
        <row r="1485">
          <cell r="A1485">
            <v>20122329</v>
          </cell>
          <cell r="B1485" t="str">
            <v>Achicadores mecánicos de cable de recuperación</v>
          </cell>
        </row>
        <row r="1486">
          <cell r="A1486">
            <v>20122330</v>
          </cell>
          <cell r="B1486" t="str">
            <v>Plugback mecánico de cable de recuperación</v>
          </cell>
        </row>
        <row r="1487">
          <cell r="A1487">
            <v>20122331</v>
          </cell>
          <cell r="B1487" t="str">
            <v>Otras herramientas de cable de recuperación</v>
          </cell>
        </row>
        <row r="1488">
          <cell r="A1488">
            <v>20122332</v>
          </cell>
          <cell r="B1488" t="str">
            <v>Raspadores de parafina de cable de recuperación</v>
          </cell>
        </row>
        <row r="1489">
          <cell r="A1489">
            <v>20122333</v>
          </cell>
          <cell r="B1489" t="str">
            <v>Enchufe de línea de cable de recuperación</v>
          </cell>
        </row>
        <row r="1490">
          <cell r="A1490">
            <v>20122334</v>
          </cell>
          <cell r="B1490" t="str">
            <v>Tenazas para halar o correr el cable de recuperación</v>
          </cell>
        </row>
        <row r="1491">
          <cell r="A1491">
            <v>20122335</v>
          </cell>
          <cell r="B1491" t="str">
            <v>Herramientas para cortar el cable de recuperación</v>
          </cell>
        </row>
        <row r="1492">
          <cell r="A1492">
            <v>20122336</v>
          </cell>
          <cell r="B1492" t="str">
            <v>Roldanas o bloques de piso de la cable de recuperación</v>
          </cell>
        </row>
        <row r="1493">
          <cell r="A1493">
            <v>20122338</v>
          </cell>
          <cell r="B1493" t="str">
            <v>Accesorios de herramientas para halar el cable de recuperación</v>
          </cell>
        </row>
        <row r="1494">
          <cell r="A1494">
            <v>20122339</v>
          </cell>
          <cell r="B1494" t="str">
            <v>Herramientas para halar el cable de recuperación</v>
          </cell>
        </row>
        <row r="1495">
          <cell r="A1495">
            <v>20122340</v>
          </cell>
          <cell r="B1495" t="str">
            <v>Herramientas para correr el cable de recuperación</v>
          </cell>
        </row>
        <row r="1496">
          <cell r="A1496">
            <v>20122341</v>
          </cell>
          <cell r="B1496" t="str">
            <v>Unidades de cable de recuperación</v>
          </cell>
        </row>
        <row r="1497">
          <cell r="A1497">
            <v>20122342</v>
          </cell>
          <cell r="B1497" t="str">
            <v>Alambre del cable de recuperación</v>
          </cell>
        </row>
        <row r="1498">
          <cell r="A1498">
            <v>20122343</v>
          </cell>
          <cell r="B1498" t="str">
            <v>Herramientas sónicas del cable de recuperación</v>
          </cell>
        </row>
        <row r="1499">
          <cell r="A1499">
            <v>20122344</v>
          </cell>
          <cell r="B1499" t="str">
            <v>Barras espaciadoras del cable de recuperación</v>
          </cell>
        </row>
        <row r="1500">
          <cell r="A1500">
            <v>20122345</v>
          </cell>
          <cell r="B1500" t="str">
            <v>Terminales de prensado del cable de recuperación</v>
          </cell>
        </row>
        <row r="1501">
          <cell r="A1501">
            <v>20122346</v>
          </cell>
          <cell r="B1501" t="str">
            <v>Dispositivos de tensión del cable de recuperación</v>
          </cell>
        </row>
        <row r="1502">
          <cell r="A1502">
            <v>20122347</v>
          </cell>
          <cell r="B1502" t="str">
            <v>Tapones de tubos de cable de recuperación</v>
          </cell>
        </row>
        <row r="1503">
          <cell r="A1503">
            <v>20122348</v>
          </cell>
          <cell r="B1503" t="str">
            <v>Herramientas ultrasónicas cable de recuperación</v>
          </cell>
        </row>
        <row r="1504">
          <cell r="A1504">
            <v>20122349</v>
          </cell>
          <cell r="B1504" t="str">
            <v>Agarres del cable de recuperación</v>
          </cell>
        </row>
        <row r="1505">
          <cell r="A1505">
            <v>20122350</v>
          </cell>
          <cell r="B1505" t="str">
            <v>Tarros del cable de recuperación</v>
          </cell>
        </row>
        <row r="1506">
          <cell r="A1506">
            <v>20122351</v>
          </cell>
          <cell r="B1506" t="str">
            <v>Raspadores del cable de recuperación</v>
          </cell>
        </row>
        <row r="1507">
          <cell r="A1507">
            <v>20122352</v>
          </cell>
          <cell r="B1507" t="str">
            <v>Lanza del cable de recuperación</v>
          </cell>
        </row>
        <row r="1508">
          <cell r="A1508">
            <v>20122353</v>
          </cell>
          <cell r="B1508" t="str">
            <v>Tallos del cable de recuperación</v>
          </cell>
        </row>
        <row r="1509">
          <cell r="A1509">
            <v>20122354</v>
          </cell>
          <cell r="B1509" t="str">
            <v>Válvulas del cable de recuperación</v>
          </cell>
        </row>
        <row r="1510">
          <cell r="A1510">
            <v>20122356</v>
          </cell>
          <cell r="B1510" t="str">
            <v>Preventores del cable de recuperación</v>
          </cell>
        </row>
        <row r="1511">
          <cell r="A1511">
            <v>20122357</v>
          </cell>
          <cell r="B1511" t="str">
            <v>Aceleradores de tarro del cable de recuperación</v>
          </cell>
        </row>
        <row r="1512">
          <cell r="A1512">
            <v>20122401</v>
          </cell>
          <cell r="B1512" t="str">
            <v>Dispositivo golpeador de cable</v>
          </cell>
        </row>
        <row r="1513">
          <cell r="A1513">
            <v>20122402</v>
          </cell>
          <cell r="B1513" t="str">
            <v>Evaporadores de producción de campo de petróleo</v>
          </cell>
        </row>
        <row r="1514">
          <cell r="A1514">
            <v>20122403</v>
          </cell>
          <cell r="B1514" t="str">
            <v>Probadores hipot</v>
          </cell>
        </row>
        <row r="1515">
          <cell r="A1515">
            <v>20122404</v>
          </cell>
          <cell r="B1515" t="str">
            <v>Maquinas de vueltas de campo de petróleo</v>
          </cell>
        </row>
        <row r="1516">
          <cell r="A1516">
            <v>20122405</v>
          </cell>
          <cell r="B1516" t="str">
            <v>Elevadores finales de motor</v>
          </cell>
        </row>
        <row r="1517">
          <cell r="A1517">
            <v>20122406</v>
          </cell>
          <cell r="B1517" t="str">
            <v>Probadores dieléctricos de aceite</v>
          </cell>
        </row>
        <row r="1518">
          <cell r="A1518">
            <v>20122407</v>
          </cell>
          <cell r="B1518" t="str">
            <v>Unidades de llenado al vacío de aceite</v>
          </cell>
        </row>
        <row r="1519">
          <cell r="A1519">
            <v>20122408</v>
          </cell>
          <cell r="B1519" t="str">
            <v>Enderezadores de eje de producción de campo petrolero</v>
          </cell>
        </row>
        <row r="1520">
          <cell r="A1520">
            <v>20122409</v>
          </cell>
          <cell r="B1520" t="str">
            <v>Bobina de producción de campo de petróleo</v>
          </cell>
        </row>
        <row r="1521">
          <cell r="A1521">
            <v>20122410</v>
          </cell>
          <cell r="B1521" t="str">
            <v>Analizadores de vibración</v>
          </cell>
        </row>
        <row r="1522">
          <cell r="A1522">
            <v>20122501</v>
          </cell>
          <cell r="B1522" t="str">
            <v>Herramientas de arenadora</v>
          </cell>
        </row>
        <row r="1523">
          <cell r="A1523">
            <v>20122502</v>
          </cell>
          <cell r="B1523" t="str">
            <v>Unidades de camión grúa de tubería flexible</v>
          </cell>
        </row>
        <row r="1524">
          <cell r="A1524">
            <v>20122503</v>
          </cell>
          <cell r="B1524" t="str">
            <v>Unidades de tubería flexible</v>
          </cell>
        </row>
        <row r="1525">
          <cell r="A1525">
            <v>20122504</v>
          </cell>
          <cell r="B1525" t="str">
            <v>Paquetes de manguera de tubería flexible</v>
          </cell>
        </row>
        <row r="1526">
          <cell r="A1526">
            <v>20122505</v>
          </cell>
          <cell r="B1526" t="str">
            <v>Sistemas inflables de tubería flexible</v>
          </cell>
        </row>
        <row r="1527">
          <cell r="A1527">
            <v>20122506</v>
          </cell>
          <cell r="B1527" t="str">
            <v>Cabezales de inyector de tubería flexible</v>
          </cell>
        </row>
        <row r="1528">
          <cell r="A1528">
            <v>20122507</v>
          </cell>
          <cell r="B1528" t="str">
            <v>Equipo de elevación de tubería flexible</v>
          </cell>
        </row>
        <row r="1529">
          <cell r="A1529">
            <v>20122508</v>
          </cell>
          <cell r="B1529" t="str">
            <v>Casas de operadores</v>
          </cell>
        </row>
        <row r="1530">
          <cell r="A1530">
            <v>20122509</v>
          </cell>
          <cell r="B1530" t="str">
            <v>Fuentes de poder de tubería flexible</v>
          </cell>
        </row>
        <row r="1531">
          <cell r="A1531">
            <v>20122510</v>
          </cell>
          <cell r="B1531" t="str">
            <v>Rollos de tubería flexible</v>
          </cell>
        </row>
        <row r="1532">
          <cell r="A1532">
            <v>20122511</v>
          </cell>
          <cell r="B1532" t="str">
            <v>Carretes de embobinar tubería flexible</v>
          </cell>
        </row>
        <row r="1533">
          <cell r="A1533">
            <v>20122512</v>
          </cell>
          <cell r="B1533" t="str">
            <v>Guías de tubería</v>
          </cell>
        </row>
        <row r="1534">
          <cell r="A1534">
            <v>20122513</v>
          </cell>
          <cell r="B1534" t="str">
            <v>Enganches de boca de pozo</v>
          </cell>
        </row>
        <row r="1535">
          <cell r="A1535">
            <v>20122514</v>
          </cell>
          <cell r="B1535" t="str">
            <v>Estructuras de soporte de boca de pozo</v>
          </cell>
        </row>
        <row r="1536">
          <cell r="A1536">
            <v>20122515</v>
          </cell>
          <cell r="B1536" t="str">
            <v>Tubería flexible de campo petrolero</v>
          </cell>
        </row>
        <row r="1537">
          <cell r="A1537">
            <v>20122601</v>
          </cell>
          <cell r="B1537" t="str">
            <v>Sensores análogos sísmicos</v>
          </cell>
        </row>
        <row r="1538">
          <cell r="A1538">
            <v>20122602</v>
          </cell>
          <cell r="B1538" t="str">
            <v>Arreglos sísmicos</v>
          </cell>
        </row>
        <row r="1539">
          <cell r="A1539">
            <v>20122603</v>
          </cell>
          <cell r="B1539" t="str">
            <v>Aves de cable de serpentina sísmica</v>
          </cell>
        </row>
        <row r="1540">
          <cell r="A1540">
            <v>20122604</v>
          </cell>
          <cell r="B1540" t="str">
            <v>Tanqueros de taladro sísmico</v>
          </cell>
        </row>
        <row r="1541">
          <cell r="A1541">
            <v>20122605</v>
          </cell>
          <cell r="B1541" t="str">
            <v>Geófonos sísmicos</v>
          </cell>
        </row>
        <row r="1542">
          <cell r="A1542">
            <v>20122606</v>
          </cell>
          <cell r="B1542" t="str">
            <v>Sistemas de gravedad sísmicos</v>
          </cell>
        </row>
        <row r="1543">
          <cell r="A1543">
            <v>20122607</v>
          </cell>
          <cell r="B1543" t="str">
            <v>Sistemas de malacate de cañón sísmico</v>
          </cell>
        </row>
        <row r="1544">
          <cell r="A1544">
            <v>20122608</v>
          </cell>
          <cell r="B1544" t="str">
            <v>Hidrofonos sísmicos</v>
          </cell>
        </row>
        <row r="1545">
          <cell r="A1545">
            <v>20122609</v>
          </cell>
          <cell r="B1545" t="str">
            <v>Fuentes de impulso sísmicos</v>
          </cell>
        </row>
        <row r="1546">
          <cell r="A1546">
            <v>20122610</v>
          </cell>
          <cell r="B1546" t="str">
            <v>Cables serpentinas marinos sísmicos</v>
          </cell>
        </row>
        <row r="1547">
          <cell r="A1547">
            <v>20122611</v>
          </cell>
          <cell r="B1547" t="str">
            <v>Cables del fondo del océano sísmico</v>
          </cell>
        </row>
        <row r="1548">
          <cell r="A1548">
            <v>20122612</v>
          </cell>
          <cell r="B1548" t="str">
            <v>Sistemas magnéticos sísmicos</v>
          </cell>
        </row>
        <row r="1549">
          <cell r="A1549">
            <v>20122613</v>
          </cell>
          <cell r="B1549" t="str">
            <v>Equipo de posicionar sísmico</v>
          </cell>
        </row>
        <row r="1550">
          <cell r="A1550">
            <v>20122614</v>
          </cell>
          <cell r="B1550" t="str">
            <v>Arietes sísmicos</v>
          </cell>
        </row>
        <row r="1551">
          <cell r="A1551">
            <v>20122615</v>
          </cell>
          <cell r="B1551" t="str">
            <v>Receptores sísmicos</v>
          </cell>
        </row>
        <row r="1552">
          <cell r="A1552">
            <v>20122616</v>
          </cell>
          <cell r="B1552" t="str">
            <v>Sistemas de refracción sísmicos</v>
          </cell>
        </row>
        <row r="1553">
          <cell r="A1553">
            <v>20122617</v>
          </cell>
          <cell r="B1553" t="str">
            <v>Controladores de fuente sísmicos</v>
          </cell>
        </row>
        <row r="1554">
          <cell r="A1554">
            <v>20122618</v>
          </cell>
          <cell r="B1554" t="str">
            <v>Dispositivos de bobinar sísmicos</v>
          </cell>
        </row>
        <row r="1555">
          <cell r="A1555">
            <v>20122619</v>
          </cell>
          <cell r="B1555" t="str">
            <v>Bloques de remolque sísmicos</v>
          </cell>
        </row>
        <row r="1556">
          <cell r="A1556">
            <v>20122620</v>
          </cell>
          <cell r="B1556" t="str">
            <v>Puntos de remolque sísmicos</v>
          </cell>
        </row>
        <row r="1557">
          <cell r="A1557">
            <v>20122621</v>
          </cell>
          <cell r="B1557" t="str">
            <v>Vibradores sísmicos</v>
          </cell>
        </row>
        <row r="1558">
          <cell r="A1558">
            <v>20122622</v>
          </cell>
          <cell r="B1558" t="str">
            <v>Sistemas de grabar sísmicos</v>
          </cell>
        </row>
        <row r="1559">
          <cell r="A1559">
            <v>20122623</v>
          </cell>
          <cell r="B1559" t="str">
            <v>Sistemas de procesamiento de datos sísmicos</v>
          </cell>
        </row>
        <row r="1560">
          <cell r="A1560">
            <v>20122701</v>
          </cell>
          <cell r="B1560" t="str">
            <v>Revestimiento para campo petrolero</v>
          </cell>
        </row>
        <row r="1561">
          <cell r="A1561">
            <v>20122702</v>
          </cell>
          <cell r="B1561" t="str">
            <v>Acoples para campo petrolero</v>
          </cell>
        </row>
        <row r="1562">
          <cell r="A1562">
            <v>20122703</v>
          </cell>
          <cell r="B1562" t="str">
            <v>Tubería corta para campo petrolero</v>
          </cell>
        </row>
        <row r="1563">
          <cell r="A1563">
            <v>20122704</v>
          </cell>
          <cell r="B1563" t="str">
            <v>Tubería para campo petrolero</v>
          </cell>
        </row>
        <row r="1564">
          <cell r="A1564">
            <v>20122705</v>
          </cell>
          <cell r="B1564" t="str">
            <v>Recubrimiento de tubería para campo petrolero</v>
          </cell>
        </row>
        <row r="1565">
          <cell r="A1565">
            <v>20122706</v>
          </cell>
          <cell r="B1565" t="str">
            <v>Revestimiento de conductor</v>
          </cell>
        </row>
        <row r="1566">
          <cell r="A1566">
            <v>20122707</v>
          </cell>
          <cell r="B1566" t="str">
            <v>Equipo para operar el revestimiento para conductor</v>
          </cell>
        </row>
        <row r="1567">
          <cell r="A1567">
            <v>20122708</v>
          </cell>
          <cell r="B1567" t="str">
            <v>Cruces de la tubería de perforación</v>
          </cell>
        </row>
        <row r="1568">
          <cell r="A1568">
            <v>20122709</v>
          </cell>
          <cell r="B1568" t="str">
            <v>Protectores de rosca para campo petrolero</v>
          </cell>
        </row>
        <row r="1569">
          <cell r="A1569">
            <v>20122801</v>
          </cell>
          <cell r="B1569" t="str">
            <v>Agitadores de lodos</v>
          </cell>
        </row>
        <row r="1570">
          <cell r="A1570">
            <v>20122802</v>
          </cell>
          <cell r="B1570" t="str">
            <v>Depósitos de lodos</v>
          </cell>
        </row>
        <row r="1571">
          <cell r="A1571">
            <v>20122803</v>
          </cell>
          <cell r="B1571" t="str">
            <v>Equipo de aire para perforaciones</v>
          </cell>
        </row>
        <row r="1572">
          <cell r="A1572">
            <v>20122804</v>
          </cell>
          <cell r="B1572" t="str">
            <v>Taladros en barcazas</v>
          </cell>
        </row>
        <row r="1573">
          <cell r="A1573">
            <v>20122806</v>
          </cell>
          <cell r="B1573" t="str">
            <v>Desviadores de fluido</v>
          </cell>
        </row>
        <row r="1574">
          <cell r="A1574">
            <v>20122807</v>
          </cell>
          <cell r="B1574" t="str">
            <v>Aparejos de maniobras</v>
          </cell>
        </row>
        <row r="1575">
          <cell r="A1575">
            <v>20122808</v>
          </cell>
          <cell r="B1575" t="str">
            <v>Equipo para lecho de perforación</v>
          </cell>
        </row>
        <row r="1576">
          <cell r="A1576">
            <v>20122809</v>
          </cell>
          <cell r="B1576" t="str">
            <v>Pivotes de perforación</v>
          </cell>
        </row>
        <row r="1577">
          <cell r="A1577">
            <v>20122810</v>
          </cell>
          <cell r="B1577" t="str">
            <v>Barco – taladro de perforación</v>
          </cell>
        </row>
        <row r="1578">
          <cell r="A1578">
            <v>20122811</v>
          </cell>
          <cell r="B1578" t="str">
            <v>Elevadores de taladro de perforación</v>
          </cell>
        </row>
        <row r="1579">
          <cell r="A1579">
            <v>20122812</v>
          </cell>
          <cell r="B1579" t="str">
            <v>Estribos del taladro de perforación</v>
          </cell>
        </row>
        <row r="1580">
          <cell r="A1580">
            <v>20122813</v>
          </cell>
          <cell r="B1580" t="str">
            <v>Unidades de reacondicionamiento hidráulico</v>
          </cell>
        </row>
        <row r="1581">
          <cell r="A1581">
            <v>20122814</v>
          </cell>
          <cell r="B1581" t="str">
            <v>Sistemas de gatos para mover el taladro de perforación</v>
          </cell>
        </row>
        <row r="1582">
          <cell r="A1582">
            <v>20122815</v>
          </cell>
          <cell r="B1582" t="str">
            <v>Taladro de perforación marina movido con gatos</v>
          </cell>
        </row>
        <row r="1583">
          <cell r="A1583">
            <v>20122816</v>
          </cell>
          <cell r="B1583" t="str">
            <v>Bujes kelly</v>
          </cell>
        </row>
        <row r="1584">
          <cell r="A1584">
            <v>20122817</v>
          </cell>
          <cell r="B1584" t="str">
            <v>Válvulas kelly</v>
          </cell>
        </row>
        <row r="1585">
          <cell r="A1585">
            <v>20122818</v>
          </cell>
          <cell r="B1585" t="str">
            <v>Escobillas kelly</v>
          </cell>
        </row>
        <row r="1586">
          <cell r="A1586">
            <v>20122819</v>
          </cell>
          <cell r="B1586" t="str">
            <v>Kellys</v>
          </cell>
        </row>
        <row r="1587">
          <cell r="A1587">
            <v>20122820</v>
          </cell>
          <cell r="B1587" t="str">
            <v>Taladro de perforación en tierra</v>
          </cell>
        </row>
        <row r="1588">
          <cell r="A1588">
            <v>20122821</v>
          </cell>
          <cell r="B1588" t="str">
            <v>Equipo de limpieza de lodo</v>
          </cell>
        </row>
        <row r="1589">
          <cell r="A1589">
            <v>20122822</v>
          </cell>
          <cell r="B1589" t="str">
            <v>Múltiples para lodo</v>
          </cell>
        </row>
        <row r="1590">
          <cell r="A1590">
            <v>20122823</v>
          </cell>
          <cell r="B1590" t="str">
            <v>Mezcladoras de lodo</v>
          </cell>
        </row>
        <row r="1591">
          <cell r="A1591">
            <v>20122824</v>
          </cell>
          <cell r="B1591" t="str">
            <v>Equipo para manejo de tubería</v>
          </cell>
        </row>
        <row r="1592">
          <cell r="A1592">
            <v>20122825</v>
          </cell>
          <cell r="B1592" t="str">
            <v>Plataforma de taladro de perforación</v>
          </cell>
        </row>
        <row r="1593">
          <cell r="A1593">
            <v>20122826</v>
          </cell>
          <cell r="B1593" t="str">
            <v>Pivote de energía o transmisión superior</v>
          </cell>
        </row>
        <row r="1594">
          <cell r="A1594">
            <v>20122827</v>
          </cell>
          <cell r="B1594" t="str">
            <v>Patines para taladro</v>
          </cell>
        </row>
        <row r="1595">
          <cell r="A1595">
            <v>20122828</v>
          </cell>
          <cell r="B1595" t="str">
            <v>Elevadores del taladro de perforación</v>
          </cell>
        </row>
        <row r="1596">
          <cell r="A1596">
            <v>20122829</v>
          </cell>
          <cell r="B1596" t="str">
            <v>Mesas giratorias de taladro de perforación</v>
          </cell>
        </row>
        <row r="1597">
          <cell r="A1597">
            <v>20122830</v>
          </cell>
          <cell r="B1597" t="str">
            <v>Plataformas auto – elevadoras para el reacondicionamiento</v>
          </cell>
        </row>
        <row r="1598">
          <cell r="A1598">
            <v>20122831</v>
          </cell>
          <cell r="B1598" t="str">
            <v>Taladros de perforación semi – sumergibles</v>
          </cell>
        </row>
        <row r="1599">
          <cell r="A1599">
            <v>20122832</v>
          </cell>
          <cell r="B1599" t="str">
            <v>Deslizadores del lecho de perforación</v>
          </cell>
        </row>
        <row r="1600">
          <cell r="A1600">
            <v>20122833</v>
          </cell>
          <cell r="B1600" t="str">
            <v>Tenazas de reposición</v>
          </cell>
        </row>
        <row r="1601">
          <cell r="A1601">
            <v>20122834</v>
          </cell>
          <cell r="B1601" t="str">
            <v>Llave doble automática</v>
          </cell>
        </row>
        <row r="1602">
          <cell r="A1602">
            <v>20122835</v>
          </cell>
          <cell r="B1602" t="str">
            <v>Equipo viajero</v>
          </cell>
        </row>
        <row r="1603">
          <cell r="A1603">
            <v>20122836</v>
          </cell>
          <cell r="B1603" t="str">
            <v>Barcos de reacondicionamiento</v>
          </cell>
        </row>
        <row r="1604">
          <cell r="A1604">
            <v>20122837</v>
          </cell>
          <cell r="B1604" t="str">
            <v>Taladros de reacondicionamiento</v>
          </cell>
        </row>
        <row r="1605">
          <cell r="A1605">
            <v>20122838</v>
          </cell>
          <cell r="B1605" t="str">
            <v>Separadores de lodo (lutita)</v>
          </cell>
        </row>
        <row r="1606">
          <cell r="A1606">
            <v>20122839</v>
          </cell>
          <cell r="B1606" t="str">
            <v>Desgasificadores de lodo</v>
          </cell>
        </row>
        <row r="1607">
          <cell r="A1607">
            <v>20122840</v>
          </cell>
          <cell r="B1607" t="str">
            <v>Bloques de corona</v>
          </cell>
        </row>
        <row r="1608">
          <cell r="A1608">
            <v>20122841</v>
          </cell>
          <cell r="B1608" t="str">
            <v>Bloques móviles</v>
          </cell>
        </row>
        <row r="1609">
          <cell r="A1609">
            <v>20122842</v>
          </cell>
          <cell r="B1609" t="str">
            <v>Desarenadores de lodo</v>
          </cell>
        </row>
        <row r="1610">
          <cell r="A1610">
            <v>20122843</v>
          </cell>
          <cell r="B1610" t="str">
            <v>Separadores de granos finos de lodo</v>
          </cell>
        </row>
        <row r="1611">
          <cell r="A1611">
            <v>20122901</v>
          </cell>
          <cell r="B1611" t="str">
            <v>Conductos de registrar datos de superficie</v>
          </cell>
        </row>
        <row r="1612">
          <cell r="A1612">
            <v>20122902</v>
          </cell>
          <cell r="B1612" t="str">
            <v>Sensores de registrar datos de superficie</v>
          </cell>
        </row>
        <row r="1613">
          <cell r="A1613">
            <v>20122903</v>
          </cell>
          <cell r="B1613" t="str">
            <v>Unidades de registrar datos de superficie</v>
          </cell>
        </row>
        <row r="1614">
          <cell r="A1614">
            <v>20123001</v>
          </cell>
          <cell r="B1614" t="str">
            <v>Revestimiento multilateral</v>
          </cell>
        </row>
        <row r="1615">
          <cell r="A1615">
            <v>20123002</v>
          </cell>
          <cell r="B1615" t="str">
            <v>Uniones multilaterales</v>
          </cell>
        </row>
        <row r="1616">
          <cell r="A1616">
            <v>20123003</v>
          </cell>
          <cell r="B1616" t="str">
            <v>Tapones multilaterales</v>
          </cell>
        </row>
        <row r="1617">
          <cell r="A1617">
            <v>20131001</v>
          </cell>
          <cell r="B1617" t="str">
            <v>Agentes de control de filtración</v>
          </cell>
        </row>
        <row r="1618">
          <cell r="A1618">
            <v>20131002</v>
          </cell>
          <cell r="B1618" t="str">
            <v>Espaciadores de fluido</v>
          </cell>
        </row>
        <row r="1619">
          <cell r="A1619">
            <v>20131003</v>
          </cell>
          <cell r="B1619" t="str">
            <v>Agentes de circulación perdida</v>
          </cell>
        </row>
        <row r="1620">
          <cell r="A1620">
            <v>20131004</v>
          </cell>
          <cell r="B1620" t="str">
            <v>Lodos con base de petróleo</v>
          </cell>
        </row>
        <row r="1621">
          <cell r="A1621">
            <v>20131005</v>
          </cell>
          <cell r="B1621" t="str">
            <v>Aumentadores de la rata de penetración</v>
          </cell>
        </row>
        <row r="1622">
          <cell r="A1622">
            <v>20131006</v>
          </cell>
          <cell r="B1622" t="str">
            <v>Fluidos centradores</v>
          </cell>
        </row>
        <row r="1623">
          <cell r="A1623">
            <v>20131007</v>
          </cell>
          <cell r="B1623" t="str">
            <v>Lodos con base sintética</v>
          </cell>
        </row>
        <row r="1624">
          <cell r="A1624">
            <v>20131008</v>
          </cell>
          <cell r="B1624" t="str">
            <v>Agentes para adelgazar el lodo</v>
          </cell>
        </row>
        <row r="1625">
          <cell r="A1625">
            <v>20131009</v>
          </cell>
          <cell r="B1625" t="str">
            <v>Lodos con base en agua</v>
          </cell>
        </row>
        <row r="1626">
          <cell r="A1626">
            <v>20131010</v>
          </cell>
          <cell r="B1626" t="str">
            <v>Agentes para engruesar el lodo</v>
          </cell>
        </row>
        <row r="1627">
          <cell r="A1627">
            <v>20131101</v>
          </cell>
          <cell r="B1627" t="str">
            <v>Apuntaladores cerámicos</v>
          </cell>
        </row>
        <row r="1628">
          <cell r="A1628">
            <v>20131102</v>
          </cell>
          <cell r="B1628" t="str">
            <v>Arenas de fracturación</v>
          </cell>
        </row>
        <row r="1629">
          <cell r="A1629">
            <v>20131103</v>
          </cell>
          <cell r="B1629" t="str">
            <v>Apuntaladores cerámicos cubiertos de resina</v>
          </cell>
        </row>
        <row r="1630">
          <cell r="A1630">
            <v>20131104</v>
          </cell>
          <cell r="B1630" t="str">
            <v>Arenas de fracturación cubiertas de resina</v>
          </cell>
        </row>
        <row r="1631">
          <cell r="A1631">
            <v>20131105</v>
          </cell>
          <cell r="B1631" t="str">
            <v>Bauxitas sinterizadas cubierta de resina</v>
          </cell>
        </row>
        <row r="1632">
          <cell r="A1632">
            <v>20131106</v>
          </cell>
          <cell r="B1632" t="str">
            <v>Bauxitas sinterizadas</v>
          </cell>
        </row>
        <row r="1633">
          <cell r="A1633">
            <v>20131201</v>
          </cell>
          <cell r="B1633" t="str">
            <v>Salmueras divalentes</v>
          </cell>
        </row>
        <row r="1634">
          <cell r="A1634">
            <v>20131202</v>
          </cell>
          <cell r="B1634" t="str">
            <v>Salmueras monovalentes</v>
          </cell>
        </row>
        <row r="1635">
          <cell r="A1635">
            <v>20131301</v>
          </cell>
          <cell r="B1635" t="str">
            <v>Cemento a granel de pozo petrolero</v>
          </cell>
        </row>
        <row r="1636">
          <cell r="A1636">
            <v>20131302</v>
          </cell>
          <cell r="B1636" t="str">
            <v>Pozo petrolero cemento tipo i clase a</v>
          </cell>
        </row>
        <row r="1637">
          <cell r="A1637">
            <v>20131303</v>
          </cell>
          <cell r="B1637" t="str">
            <v>Pozo petrolero cemento tipo ii clase b</v>
          </cell>
        </row>
        <row r="1638">
          <cell r="A1638">
            <v>20131304</v>
          </cell>
          <cell r="B1638" t="str">
            <v>Pozo petrolero cemento clase c</v>
          </cell>
        </row>
        <row r="1639">
          <cell r="A1639">
            <v>20131305</v>
          </cell>
          <cell r="B1639" t="str">
            <v>Pozo petrolero cemento clase g</v>
          </cell>
        </row>
        <row r="1640">
          <cell r="A1640">
            <v>20131306</v>
          </cell>
          <cell r="B1640" t="str">
            <v>Pozo petrolero cemento clase h</v>
          </cell>
        </row>
        <row r="1641">
          <cell r="A1641">
            <v>20131307</v>
          </cell>
          <cell r="B1641" t="str">
            <v>Cemento liviano de pozo petrolero</v>
          </cell>
        </row>
        <row r="1642">
          <cell r="A1642">
            <v>20131308</v>
          </cell>
          <cell r="B1642" t="str">
            <v>Pozo petrolero cemento estándar fino tipo iii</v>
          </cell>
        </row>
        <row r="1643">
          <cell r="A1643">
            <v>20141001</v>
          </cell>
          <cell r="B1643" t="str">
            <v>Actuadores de boca de pozo</v>
          </cell>
        </row>
        <row r="1644">
          <cell r="A1644">
            <v>20141002</v>
          </cell>
          <cell r="B1644" t="str">
            <v>Bombas de balancín de boca de pozo</v>
          </cell>
        </row>
        <row r="1645">
          <cell r="A1645">
            <v>20141003</v>
          </cell>
          <cell r="B1645" t="str">
            <v>Líneas de flujo de boca de pozo</v>
          </cell>
        </row>
        <row r="1646">
          <cell r="A1646">
            <v>20141004</v>
          </cell>
          <cell r="B1646" t="str">
            <v>Válvulas de compuerta de boca de pozo</v>
          </cell>
        </row>
        <row r="1647">
          <cell r="A1647">
            <v>20141005</v>
          </cell>
          <cell r="B1647" t="str">
            <v>Reguladores de producción de boca de pozo</v>
          </cell>
        </row>
        <row r="1648">
          <cell r="A1648">
            <v>20141006</v>
          </cell>
          <cell r="B1648" t="str">
            <v>Accesorios de boca de pozo o flujo debajo de la superficie de boca de pozo</v>
          </cell>
        </row>
        <row r="1649">
          <cell r="A1649">
            <v>20141007</v>
          </cell>
          <cell r="B1649" t="str">
            <v>Accesorios de boca de pozo o flujo de superficie de boca de pozo</v>
          </cell>
        </row>
        <row r="1650">
          <cell r="A1650">
            <v>20141008</v>
          </cell>
          <cell r="B1650" t="str">
            <v>Válvulas de seguridad de la superficie de boca de pozo</v>
          </cell>
        </row>
        <row r="1651">
          <cell r="A1651">
            <v>20141011</v>
          </cell>
          <cell r="B1651" t="str">
            <v>Adaptador de cabeza de tubería</v>
          </cell>
        </row>
        <row r="1652">
          <cell r="A1652">
            <v>20141012</v>
          </cell>
          <cell r="B1652" t="str">
            <v>Revestimiento del cabezal de la carcasa</v>
          </cell>
        </row>
        <row r="1653">
          <cell r="A1653">
            <v>20141013</v>
          </cell>
          <cell r="B1653" t="str">
            <v>Carrete del cabezal de la tubería</v>
          </cell>
        </row>
        <row r="1654">
          <cell r="A1654">
            <v>20141014</v>
          </cell>
          <cell r="B1654" t="str">
            <v>Carrete del cabezal del revestimiento</v>
          </cell>
        </row>
        <row r="1655">
          <cell r="A1655">
            <v>20141015</v>
          </cell>
          <cell r="B1655" t="str">
            <v>Conexiones en t o en cruz de la boca de pozo</v>
          </cell>
        </row>
        <row r="1656">
          <cell r="A1656">
            <v>20141101</v>
          </cell>
          <cell r="B1656" t="str">
            <v>Sistemas de inyección de parafina</v>
          </cell>
        </row>
        <row r="1657">
          <cell r="A1657">
            <v>20141201</v>
          </cell>
          <cell r="B1657" t="str">
            <v>Equipo de desarenar producción</v>
          </cell>
        </row>
        <row r="1658">
          <cell r="A1658">
            <v>20141301</v>
          </cell>
          <cell r="B1658" t="str">
            <v>Bombas de chorro de fondo de pozo</v>
          </cell>
        </row>
        <row r="1659">
          <cell r="A1659">
            <v>20141401</v>
          </cell>
          <cell r="B1659" t="str">
            <v>Topes de tubería</v>
          </cell>
        </row>
        <row r="1660">
          <cell r="A1660">
            <v>20141501</v>
          </cell>
          <cell r="B1660" t="str">
            <v>Bombas eléctricas de fondo de pozo</v>
          </cell>
        </row>
        <row r="1661">
          <cell r="A1661">
            <v>20141601</v>
          </cell>
          <cell r="B1661" t="str">
            <v>Bombas neumáticas de exportación</v>
          </cell>
        </row>
        <row r="1662">
          <cell r="A1662">
            <v>20141701</v>
          </cell>
          <cell r="B1662" t="str">
            <v>Plataformas fijas de producción costa afuera</v>
          </cell>
        </row>
        <row r="1663">
          <cell r="A1663">
            <v>20141702</v>
          </cell>
          <cell r="B1663" t="str">
            <v>Plataformas flotantes de producción costa afuera</v>
          </cell>
        </row>
        <row r="1664">
          <cell r="A1664">
            <v>20141703</v>
          </cell>
          <cell r="B1664" t="str">
            <v>Plataformas flotantes de almacenamiento costa afuera</v>
          </cell>
        </row>
        <row r="1665">
          <cell r="A1665">
            <v>20141704</v>
          </cell>
          <cell r="B1665" t="str">
            <v>Plataformas flotantes de brazo de tensión de producción costa afuera</v>
          </cell>
        </row>
        <row r="1666">
          <cell r="A1666">
            <v>20141705</v>
          </cell>
          <cell r="B1666" t="str">
            <v>Plataformas flotantes de brazo de tensión de almacenamiento costa afuera</v>
          </cell>
        </row>
        <row r="1667">
          <cell r="A1667">
            <v>20141801</v>
          </cell>
          <cell r="B1667" t="str">
            <v>Contadores de la turbina de gas de producción del pozo</v>
          </cell>
        </row>
        <row r="1668">
          <cell r="A1668">
            <v>20141901</v>
          </cell>
          <cell r="B1668" t="str">
            <v>Equipo de tratamiento de gas para producción del pozo</v>
          </cell>
        </row>
        <row r="1669">
          <cell r="A1669">
            <v>20142001</v>
          </cell>
          <cell r="B1669" t="str">
            <v>Regeneradores de glicol de pozo petrolero</v>
          </cell>
        </row>
        <row r="1670">
          <cell r="A1670">
            <v>20142101</v>
          </cell>
          <cell r="B1670" t="str">
            <v>Tratadores de calentadores de aceite para pozo</v>
          </cell>
        </row>
        <row r="1671">
          <cell r="A1671">
            <v>20142201</v>
          </cell>
          <cell r="B1671" t="str">
            <v>Calentadores de línea eléctrica</v>
          </cell>
        </row>
        <row r="1672">
          <cell r="A1672">
            <v>20142301</v>
          </cell>
          <cell r="B1672" t="str">
            <v>Patines de inyección neumática de metanol</v>
          </cell>
        </row>
        <row r="1673">
          <cell r="A1673">
            <v>20142401</v>
          </cell>
          <cell r="B1673" t="str">
            <v>Equipo para producción submarina de boca de pozo</v>
          </cell>
        </row>
        <row r="1674">
          <cell r="A1674">
            <v>20142402</v>
          </cell>
          <cell r="B1674" t="str">
            <v>Tuberías submarinas umbilicales o flexibles</v>
          </cell>
        </row>
        <row r="1675">
          <cell r="A1675">
            <v>20142403</v>
          </cell>
          <cell r="B1675" t="str">
            <v>Sistema múltiple de distribución de producción submarina</v>
          </cell>
        </row>
        <row r="1676">
          <cell r="A1676">
            <v>20142404</v>
          </cell>
          <cell r="B1676" t="str">
            <v>Sistema de bombeo y separación anular vertical</v>
          </cell>
        </row>
        <row r="1677">
          <cell r="A1677">
            <v>20142405</v>
          </cell>
          <cell r="B1677" t="str">
            <v>Cruz de producción y componente submarino</v>
          </cell>
        </row>
        <row r="1678">
          <cell r="A1678">
            <v>20142501</v>
          </cell>
          <cell r="B1678" t="str">
            <v>Centrífugas de petróleo del agua del campo petrolífero</v>
          </cell>
        </row>
        <row r="1679">
          <cell r="A1679">
            <v>20142601</v>
          </cell>
          <cell r="B1679" t="str">
            <v>Sistemas inalámbricos de control de producción</v>
          </cell>
        </row>
        <row r="1680">
          <cell r="A1680">
            <v>20142701</v>
          </cell>
          <cell r="B1680" t="str">
            <v>Gatos de la varilla de bombeo</v>
          </cell>
        </row>
        <row r="1681">
          <cell r="A1681">
            <v>20142702</v>
          </cell>
          <cell r="B1681" t="str">
            <v>Bombas de barra</v>
          </cell>
        </row>
        <row r="1682">
          <cell r="A1682">
            <v>20142703</v>
          </cell>
          <cell r="B1682" t="str">
            <v>Bombas de barra mecánica</v>
          </cell>
        </row>
        <row r="1683">
          <cell r="A1683">
            <v>20142801</v>
          </cell>
          <cell r="B1683" t="str">
            <v>Separadores de agua petróleo</v>
          </cell>
        </row>
        <row r="1684">
          <cell r="A1684">
            <v>20142901</v>
          </cell>
          <cell r="B1684" t="str">
            <v>Tanques almacenadores de petróleo</v>
          </cell>
        </row>
        <row r="1685">
          <cell r="A1685">
            <v>20143001</v>
          </cell>
          <cell r="B1685" t="str">
            <v>Vástagos de succión de aleación de acero</v>
          </cell>
        </row>
        <row r="1686">
          <cell r="A1686">
            <v>20143002</v>
          </cell>
          <cell r="B1686" t="str">
            <v>Varillas cortas</v>
          </cell>
        </row>
        <row r="1687">
          <cell r="A1687">
            <v>21101501</v>
          </cell>
          <cell r="B1687" t="str">
            <v>Arados</v>
          </cell>
        </row>
        <row r="1688">
          <cell r="A1688">
            <v>21101502</v>
          </cell>
          <cell r="B1688" t="str">
            <v>Pulverizadores</v>
          </cell>
        </row>
        <row r="1689">
          <cell r="A1689">
            <v>21101503</v>
          </cell>
          <cell r="B1689" t="str">
            <v>Cultivadoras</v>
          </cell>
        </row>
        <row r="1690">
          <cell r="A1690">
            <v>21101504</v>
          </cell>
          <cell r="B1690" t="str">
            <v>Desmalezadoras</v>
          </cell>
        </row>
        <row r="1691">
          <cell r="A1691">
            <v>21101505</v>
          </cell>
          <cell r="B1691" t="str">
            <v>Máquinas desyerbadoras</v>
          </cell>
        </row>
        <row r="1692">
          <cell r="A1692">
            <v>21101506</v>
          </cell>
          <cell r="B1692" t="str">
            <v>Máquinas aplanadoras o niveladoras</v>
          </cell>
        </row>
        <row r="1693">
          <cell r="A1693">
            <v>21101507</v>
          </cell>
          <cell r="B1693" t="str">
            <v>Rodillos agrícolas</v>
          </cell>
        </row>
        <row r="1694">
          <cell r="A1694">
            <v>21101508</v>
          </cell>
          <cell r="B1694" t="str">
            <v>Rodillos para prados o terrenos deportivos</v>
          </cell>
        </row>
        <row r="1695">
          <cell r="A1695">
            <v>21101509</v>
          </cell>
          <cell r="B1695" t="str">
            <v>Máquina para drenaje de zanjas</v>
          </cell>
        </row>
        <row r="1696">
          <cell r="A1696">
            <v>21101510</v>
          </cell>
          <cell r="B1696" t="str">
            <v>Cañerías o tuberías de riego</v>
          </cell>
        </row>
        <row r="1697">
          <cell r="A1697">
            <v>21101511</v>
          </cell>
          <cell r="B1697" t="str">
            <v>Chorros de riego</v>
          </cell>
        </row>
        <row r="1698">
          <cell r="A1698">
            <v>21101512</v>
          </cell>
          <cell r="B1698" t="str">
            <v>Gastos generales de riego</v>
          </cell>
        </row>
        <row r="1699">
          <cell r="A1699">
            <v>21101513</v>
          </cell>
          <cell r="B1699" t="str">
            <v>Discos</v>
          </cell>
        </row>
        <row r="1700">
          <cell r="A1700">
            <v>21101514</v>
          </cell>
          <cell r="B1700" t="str">
            <v>Arados de subsuelo</v>
          </cell>
        </row>
        <row r="1701">
          <cell r="A1701">
            <v>21101516</v>
          </cell>
          <cell r="B1701" t="str">
            <v>Sembradoras</v>
          </cell>
        </row>
        <row r="1702">
          <cell r="A1702">
            <v>21101601</v>
          </cell>
          <cell r="B1702" t="str">
            <v>Plantadoras</v>
          </cell>
        </row>
        <row r="1703">
          <cell r="A1703">
            <v>21101602</v>
          </cell>
          <cell r="B1703" t="str">
            <v>Transplantadoras</v>
          </cell>
        </row>
        <row r="1704">
          <cell r="A1704">
            <v>21101603</v>
          </cell>
          <cell r="B1704" t="str">
            <v>Sembradoras de grano</v>
          </cell>
        </row>
        <row r="1705">
          <cell r="A1705">
            <v>21101604</v>
          </cell>
          <cell r="B1705" t="str">
            <v>Sembradoras de semillas</v>
          </cell>
        </row>
        <row r="1706">
          <cell r="A1706">
            <v>21101605</v>
          </cell>
          <cell r="B1706" t="str">
            <v>Equipo para tratamiento de semillas</v>
          </cell>
        </row>
        <row r="1707">
          <cell r="A1707">
            <v>21101606</v>
          </cell>
          <cell r="B1707" t="str">
            <v>Excavadoras de agujeros</v>
          </cell>
        </row>
        <row r="1708">
          <cell r="A1708">
            <v>21101607</v>
          </cell>
          <cell r="B1708" t="str">
            <v>Remolque de sembradora</v>
          </cell>
        </row>
        <row r="1709">
          <cell r="A1709">
            <v>21101701</v>
          </cell>
          <cell r="B1709" t="str">
            <v>Cortadoras de pasto</v>
          </cell>
        </row>
        <row r="1710">
          <cell r="A1710">
            <v>21101702</v>
          </cell>
          <cell r="B1710" t="str">
            <v>Máquina segadora de heno</v>
          </cell>
        </row>
        <row r="1711">
          <cell r="A1711">
            <v>21101703</v>
          </cell>
          <cell r="B1711" t="str">
            <v>Cosechadoras</v>
          </cell>
        </row>
        <row r="1712">
          <cell r="A1712">
            <v>21101704</v>
          </cell>
          <cell r="B1712" t="str">
            <v>Cosechadoras “trilladoras” o mixtas</v>
          </cell>
        </row>
        <row r="1713">
          <cell r="A1713">
            <v>21101705</v>
          </cell>
          <cell r="B1713" t="str">
            <v>Trilladoras</v>
          </cell>
        </row>
        <row r="1714">
          <cell r="A1714">
            <v>21101706</v>
          </cell>
          <cell r="B1714" t="str">
            <v>Separadores de cultivos</v>
          </cell>
        </row>
        <row r="1715">
          <cell r="A1715">
            <v>21101707</v>
          </cell>
          <cell r="B1715" t="str">
            <v>Piezas de cosechadora o accesorios</v>
          </cell>
        </row>
        <row r="1716">
          <cell r="A1716">
            <v>21101708</v>
          </cell>
          <cell r="B1716" t="str">
            <v>Piezas de segadora o accesorios</v>
          </cell>
        </row>
        <row r="1717">
          <cell r="A1717">
            <v>21101801</v>
          </cell>
          <cell r="B1717" t="str">
            <v>Rociadores</v>
          </cell>
        </row>
        <row r="1718">
          <cell r="A1718">
            <v>21101802</v>
          </cell>
          <cell r="B1718" t="str">
            <v>Guarda polvos</v>
          </cell>
        </row>
        <row r="1719">
          <cell r="A1719">
            <v>21101803</v>
          </cell>
          <cell r="B1719" t="str">
            <v>Aspersores de agua</v>
          </cell>
        </row>
        <row r="1720">
          <cell r="A1720">
            <v>21101804</v>
          </cell>
          <cell r="B1720" t="str">
            <v>Dispersores o distribuidores de fertilizante</v>
          </cell>
        </row>
        <row r="1721">
          <cell r="A1721">
            <v>21101805</v>
          </cell>
          <cell r="B1721" t="str">
            <v>Generadores de niebla o neblina</v>
          </cell>
        </row>
        <row r="1722">
          <cell r="A1722">
            <v>21101806</v>
          </cell>
          <cell r="B1722" t="str">
            <v>Compostadores</v>
          </cell>
        </row>
        <row r="1723">
          <cell r="A1723">
            <v>21101807</v>
          </cell>
          <cell r="B1723" t="str">
            <v>Equipo y suministros para polinización</v>
          </cell>
        </row>
        <row r="1724">
          <cell r="A1724">
            <v>21101808</v>
          </cell>
          <cell r="B1724" t="str">
            <v>Equipo para protección contra las heladas</v>
          </cell>
        </row>
        <row r="1725">
          <cell r="A1725">
            <v>21101901</v>
          </cell>
          <cell r="B1725" t="str">
            <v>Ordeñadoras</v>
          </cell>
        </row>
        <row r="1726">
          <cell r="A1726">
            <v>21101902</v>
          </cell>
          <cell r="B1726" t="str">
            <v>Equipo para cría de ganado</v>
          </cell>
        </row>
        <row r="1727">
          <cell r="A1727">
            <v>21101903</v>
          </cell>
          <cell r="B1727" t="str">
            <v>Incubadoras o polleras para aves de corral</v>
          </cell>
        </row>
        <row r="1728">
          <cell r="A1728">
            <v>21101904</v>
          </cell>
          <cell r="B1728" t="str">
            <v>Mezcladoras de forraje</v>
          </cell>
        </row>
        <row r="1729">
          <cell r="A1729">
            <v>21101905</v>
          </cell>
          <cell r="B1729" t="str">
            <v>Equipo para identificación de ganado</v>
          </cell>
        </row>
        <row r="1730">
          <cell r="A1730">
            <v>21101906</v>
          </cell>
          <cell r="B1730" t="str">
            <v>Equipo de inspección o recolección de huevos</v>
          </cell>
        </row>
        <row r="1731">
          <cell r="A1731">
            <v>21101907</v>
          </cell>
          <cell r="B1731" t="str">
            <v>Máquinas para abrevar animales</v>
          </cell>
        </row>
        <row r="1732">
          <cell r="A1732">
            <v>21101908</v>
          </cell>
          <cell r="B1732" t="str">
            <v>Tanques refrigeradores de leche</v>
          </cell>
        </row>
        <row r="1733">
          <cell r="A1733">
            <v>21101909</v>
          </cell>
          <cell r="B1733" t="str">
            <v>Equipo para el esquilar o peluquear de animales</v>
          </cell>
        </row>
        <row r="1734">
          <cell r="A1734">
            <v>21102001</v>
          </cell>
          <cell r="B1734" t="str">
            <v>Máquinas limpiadoras de semillas, grano o legumbres secas</v>
          </cell>
        </row>
        <row r="1735">
          <cell r="A1735">
            <v>21102002</v>
          </cell>
          <cell r="B1735" t="str">
            <v>Máquinas seleccionadoras de semillas, grano o legumbres secas</v>
          </cell>
        </row>
        <row r="1736">
          <cell r="A1736">
            <v>21102003</v>
          </cell>
          <cell r="B1736" t="str">
            <v>Clasificadoras de semillas, grano o legumbres secas</v>
          </cell>
        </row>
        <row r="1737">
          <cell r="A1737">
            <v>21102004</v>
          </cell>
          <cell r="B1737" t="str">
            <v>Equipo para limpieza y descascarillado de arroz</v>
          </cell>
        </row>
        <row r="1738">
          <cell r="A1738">
            <v>21102005</v>
          </cell>
          <cell r="B1738" t="str">
            <v>Molino para trituración</v>
          </cell>
        </row>
        <row r="1739">
          <cell r="A1739">
            <v>21102006</v>
          </cell>
          <cell r="B1739" t="str">
            <v>Molinos de martillo</v>
          </cell>
        </row>
        <row r="1740">
          <cell r="A1740">
            <v>21102101</v>
          </cell>
          <cell r="B1740" t="str">
            <v>Máquinas agrícolas de briqueta</v>
          </cell>
        </row>
        <row r="1741">
          <cell r="A1741">
            <v>21102201</v>
          </cell>
          <cell r="B1741" t="str">
            <v>Descortezadoras</v>
          </cell>
        </row>
        <row r="1742">
          <cell r="A1742">
            <v>21102202</v>
          </cell>
          <cell r="B1742" t="str">
            <v>Equipo de explotación forestal</v>
          </cell>
        </row>
        <row r="1743">
          <cell r="A1743">
            <v>21102203</v>
          </cell>
          <cell r="B1743" t="str">
            <v>Equipo de reforestación</v>
          </cell>
        </row>
        <row r="1744">
          <cell r="A1744">
            <v>21102204</v>
          </cell>
          <cell r="B1744" t="str">
            <v>Sierras para silvicultura</v>
          </cell>
        </row>
        <row r="1745">
          <cell r="A1745">
            <v>21102205</v>
          </cell>
          <cell r="B1745" t="str">
            <v>Deslizadores forestales</v>
          </cell>
        </row>
        <row r="1746">
          <cell r="A1746">
            <v>21102206</v>
          </cell>
          <cell r="B1746" t="str">
            <v>Barrenos para aumento forestal</v>
          </cell>
        </row>
        <row r="1747">
          <cell r="A1747">
            <v>21102207</v>
          </cell>
          <cell r="B1747" t="str">
            <v>Hipsómetro para silvicultura</v>
          </cell>
        </row>
        <row r="1748">
          <cell r="A1748">
            <v>21102301</v>
          </cell>
          <cell r="B1748" t="str">
            <v>Equipo de riego para invernadero</v>
          </cell>
        </row>
        <row r="1749">
          <cell r="A1749">
            <v>21102302</v>
          </cell>
          <cell r="B1749" t="str">
            <v>Materas para invernadero</v>
          </cell>
        </row>
        <row r="1750">
          <cell r="A1750">
            <v>21102303</v>
          </cell>
          <cell r="B1750" t="str">
            <v>Equipo de ventilación para invernadero</v>
          </cell>
        </row>
        <row r="1751">
          <cell r="A1751">
            <v>21102304</v>
          </cell>
          <cell r="B1751" t="str">
            <v>Equipo aislante para invernadero</v>
          </cell>
        </row>
        <row r="1752">
          <cell r="A1752">
            <v>21102401</v>
          </cell>
          <cell r="B1752" t="str">
            <v>Equipo para apicultura</v>
          </cell>
        </row>
        <row r="1753">
          <cell r="A1753">
            <v>21102402</v>
          </cell>
          <cell r="B1753" t="str">
            <v>Equipo para gusanos de seda</v>
          </cell>
        </row>
        <row r="1754">
          <cell r="A1754">
            <v>21102403</v>
          </cell>
          <cell r="B1754" t="str">
            <v>Equipo para la cría de mariposas</v>
          </cell>
        </row>
        <row r="1755">
          <cell r="A1755">
            <v>21102404</v>
          </cell>
          <cell r="B1755" t="str">
            <v>Equipo para la cría de escarabajos</v>
          </cell>
        </row>
        <row r="1756">
          <cell r="A1756">
            <v>21111501</v>
          </cell>
          <cell r="B1756" t="str">
            <v>Anzuelos para pesca comercial</v>
          </cell>
        </row>
        <row r="1757">
          <cell r="A1757">
            <v>21111502</v>
          </cell>
          <cell r="B1757" t="str">
            <v>Carretes para pesca comercial</v>
          </cell>
        </row>
        <row r="1758">
          <cell r="A1758">
            <v>21111503</v>
          </cell>
          <cell r="B1758" t="str">
            <v>Aparejos para pesca comercial</v>
          </cell>
        </row>
        <row r="1759">
          <cell r="A1759">
            <v>21111504</v>
          </cell>
          <cell r="B1759" t="str">
            <v>Redes para pesca comercial</v>
          </cell>
        </row>
        <row r="1760">
          <cell r="A1760">
            <v>21111506</v>
          </cell>
          <cell r="B1760" t="str">
            <v>Flotadores para pesca comercial</v>
          </cell>
        </row>
        <row r="1761">
          <cell r="A1761">
            <v>21111507</v>
          </cell>
          <cell r="B1761" t="str">
            <v>Plomos o pesos comerciales</v>
          </cell>
        </row>
        <row r="1762">
          <cell r="A1762">
            <v>21111508</v>
          </cell>
          <cell r="B1762" t="str">
            <v>Transportadores de redes de pesca</v>
          </cell>
        </row>
        <row r="1763">
          <cell r="A1763">
            <v>21111601</v>
          </cell>
          <cell r="B1763" t="str">
            <v>Equipo para piscicultura marina</v>
          </cell>
        </row>
        <row r="1764">
          <cell r="A1764">
            <v>21111602</v>
          </cell>
          <cell r="B1764" t="str">
            <v>Suministros para piscicultura</v>
          </cell>
        </row>
        <row r="1765">
          <cell r="A1765">
            <v>22101501</v>
          </cell>
          <cell r="B1765" t="str">
            <v>Cargadores frontales</v>
          </cell>
        </row>
        <row r="1766">
          <cell r="A1766">
            <v>22101502</v>
          </cell>
          <cell r="B1766" t="str">
            <v>Niveladoras</v>
          </cell>
        </row>
        <row r="1767">
          <cell r="A1767">
            <v>22101504</v>
          </cell>
          <cell r="B1767" t="str">
            <v>Piloteadoras</v>
          </cell>
        </row>
        <row r="1768">
          <cell r="A1768">
            <v>22101505</v>
          </cell>
          <cell r="B1768" t="str">
            <v>Aplanadoras</v>
          </cell>
        </row>
        <row r="1769">
          <cell r="A1769">
            <v>22101507</v>
          </cell>
          <cell r="B1769" t="str">
            <v>Bateadoras</v>
          </cell>
        </row>
        <row r="1770">
          <cell r="A1770">
            <v>22101508</v>
          </cell>
          <cell r="B1770" t="str">
            <v>Máquinas para abrir zanjas</v>
          </cell>
        </row>
        <row r="1771">
          <cell r="A1771">
            <v>22101509</v>
          </cell>
          <cell r="B1771" t="str">
            <v>Retroexcavadoras</v>
          </cell>
        </row>
        <row r="1772">
          <cell r="A1772">
            <v>22101511</v>
          </cell>
          <cell r="B1772" t="str">
            <v>Compactadores</v>
          </cell>
        </row>
        <row r="1773">
          <cell r="A1773">
            <v>22101513</v>
          </cell>
          <cell r="B1773" t="str">
            <v>Dragalíneas</v>
          </cell>
        </row>
        <row r="1774">
          <cell r="A1774">
            <v>22101514</v>
          </cell>
          <cell r="B1774" t="str">
            <v>Dragas</v>
          </cell>
        </row>
        <row r="1775">
          <cell r="A1775">
            <v>22101516</v>
          </cell>
          <cell r="B1775" t="str">
            <v>Excavadoras de fosos</v>
          </cell>
        </row>
        <row r="1776">
          <cell r="A1776">
            <v>22101518</v>
          </cell>
          <cell r="B1776" t="str">
            <v>Raspadores elevadores</v>
          </cell>
        </row>
        <row r="1777">
          <cell r="A1777">
            <v>22101519</v>
          </cell>
          <cell r="B1777" t="str">
            <v>Máquina giratoria con cazoleta de rastrillos abiertas</v>
          </cell>
        </row>
        <row r="1778">
          <cell r="A1778">
            <v>22101520</v>
          </cell>
          <cell r="B1778" t="str">
            <v>Máquina giratoria con rastrillos elevadores</v>
          </cell>
        </row>
        <row r="1779">
          <cell r="A1779">
            <v>22101521</v>
          </cell>
          <cell r="B1779" t="str">
            <v>Rastrilladora arrastrada</v>
          </cell>
        </row>
        <row r="1780">
          <cell r="A1780">
            <v>22101522</v>
          </cell>
          <cell r="B1780" t="str">
            <v>Buldóceres de orugas</v>
          </cell>
        </row>
        <row r="1781">
          <cell r="A1781">
            <v>22101523</v>
          </cell>
          <cell r="B1781" t="str">
            <v>Buldóceres de ruedas</v>
          </cell>
        </row>
        <row r="1782">
          <cell r="A1782">
            <v>22101524</v>
          </cell>
          <cell r="B1782" t="str">
            <v>Excavadoras móviles</v>
          </cell>
        </row>
        <row r="1783">
          <cell r="A1783">
            <v>22101525</v>
          </cell>
          <cell r="B1783" t="str">
            <v>Excavadoras de ruedas</v>
          </cell>
        </row>
        <row r="1784">
          <cell r="A1784">
            <v>22101526</v>
          </cell>
          <cell r="B1784" t="str">
            <v>Excavadoras de orugas</v>
          </cell>
        </row>
        <row r="1785">
          <cell r="A1785">
            <v>22101527</v>
          </cell>
          <cell r="B1785" t="str">
            <v>Transportes integrados de carga</v>
          </cell>
        </row>
        <row r="1786">
          <cell r="A1786">
            <v>22101528</v>
          </cell>
          <cell r="B1786" t="str">
            <v>Cargadores de ruedas</v>
          </cell>
        </row>
        <row r="1787">
          <cell r="A1787">
            <v>22101529</v>
          </cell>
          <cell r="B1787" t="str">
            <v>Cargadores sobre patines con dirección</v>
          </cell>
        </row>
        <row r="1788">
          <cell r="A1788">
            <v>22101530</v>
          </cell>
          <cell r="B1788" t="str">
            <v>Raspadores abiertos</v>
          </cell>
        </row>
        <row r="1789">
          <cell r="A1789">
            <v>22101531</v>
          </cell>
          <cell r="B1789" t="str">
            <v>Cañones para quitar nieve</v>
          </cell>
        </row>
        <row r="1790">
          <cell r="A1790">
            <v>22101532</v>
          </cell>
          <cell r="B1790" t="str">
            <v>Cargadores de orugas</v>
          </cell>
        </row>
        <row r="1791">
          <cell r="A1791">
            <v>22101533</v>
          </cell>
          <cell r="B1791" t="str">
            <v>Arrancadoras de troncos</v>
          </cell>
        </row>
        <row r="1792">
          <cell r="A1792">
            <v>22101534</v>
          </cell>
          <cell r="B1792" t="str">
            <v>Excavadoras de campaña</v>
          </cell>
        </row>
        <row r="1793">
          <cell r="A1793">
            <v>22101602</v>
          </cell>
          <cell r="B1793" t="str">
            <v>Equipo de apisonamiento</v>
          </cell>
        </row>
        <row r="1794">
          <cell r="A1794">
            <v>22101603</v>
          </cell>
          <cell r="B1794" t="str">
            <v>Ensanchadores de carreteras</v>
          </cell>
        </row>
        <row r="1795">
          <cell r="A1795">
            <v>22101604</v>
          </cell>
          <cell r="B1795" t="str">
            <v>Placas vibradoras</v>
          </cell>
        </row>
        <row r="1796">
          <cell r="A1796">
            <v>22101605</v>
          </cell>
          <cell r="B1796" t="str">
            <v>Acabadoras de asfalto</v>
          </cell>
        </row>
        <row r="1797">
          <cell r="A1797">
            <v>22101606</v>
          </cell>
          <cell r="B1797" t="str">
            <v>Esparcidoras de gravilla</v>
          </cell>
        </row>
        <row r="1798">
          <cell r="A1798">
            <v>22101607</v>
          </cell>
          <cell r="B1798" t="str">
            <v>Pavimentadoras</v>
          </cell>
        </row>
        <row r="1799">
          <cell r="A1799">
            <v>22101608</v>
          </cell>
          <cell r="B1799" t="str">
            <v>Aplanadoras en frío</v>
          </cell>
        </row>
        <row r="1800">
          <cell r="A1800">
            <v>22101609</v>
          </cell>
          <cell r="B1800" t="str">
            <v>Mezcladoras de material de pavimentación</v>
          </cell>
        </row>
        <row r="1801">
          <cell r="A1801">
            <v>22101610</v>
          </cell>
          <cell r="B1801" t="str">
            <v>Distribuidoras de agregados</v>
          </cell>
        </row>
        <row r="1802">
          <cell r="A1802">
            <v>22101611</v>
          </cell>
          <cell r="B1802" t="str">
            <v>Distribuidoras de material bituminoso</v>
          </cell>
        </row>
        <row r="1803">
          <cell r="A1803">
            <v>22101612</v>
          </cell>
          <cell r="B1803" t="str">
            <v>Escarificadoras de carreteras</v>
          </cell>
        </row>
        <row r="1804">
          <cell r="A1804">
            <v>22101613</v>
          </cell>
          <cell r="B1804" t="str">
            <v>Aplanadoras calentadoras de la superficie de la carretera</v>
          </cell>
        </row>
        <row r="1805">
          <cell r="A1805">
            <v>22101614</v>
          </cell>
          <cell r="B1805" t="str">
            <v>Revestimientos de pavimento de concreto</v>
          </cell>
        </row>
        <row r="1806">
          <cell r="A1806">
            <v>22101615</v>
          </cell>
          <cell r="B1806" t="str">
            <v>Trituradoras de pavimento</v>
          </cell>
        </row>
        <row r="1807">
          <cell r="A1807">
            <v>22101616</v>
          </cell>
          <cell r="B1807" t="str">
            <v>Máquinas para hacer andenes</v>
          </cell>
        </row>
        <row r="1808">
          <cell r="A1808">
            <v>22101617</v>
          </cell>
          <cell r="B1808" t="str">
            <v>Máquinas de relleno</v>
          </cell>
        </row>
        <row r="1809">
          <cell r="A1809">
            <v>22101618</v>
          </cell>
          <cell r="B1809" t="str">
            <v>Equipos de preparación de superficies de rodamiento o mecanismos para su colocación</v>
          </cell>
        </row>
        <row r="1810">
          <cell r="A1810">
            <v>22101619</v>
          </cell>
          <cell r="B1810" t="str">
            <v>Máquinas pulidoras</v>
          </cell>
        </row>
        <row r="1811">
          <cell r="A1811">
            <v>22101620</v>
          </cell>
          <cell r="B1811" t="str">
            <v>Máquinas de limpieza o acabado de juntas</v>
          </cell>
        </row>
        <row r="1812">
          <cell r="A1812">
            <v>22101701</v>
          </cell>
          <cell r="B1812" t="str">
            <v>Palas excavadoras</v>
          </cell>
        </row>
        <row r="1813">
          <cell r="A1813">
            <v>22101702</v>
          </cell>
          <cell r="B1813" t="str">
            <v>Palas mecánicas para el de movimiento de tierra o sus piezas o accesorios</v>
          </cell>
        </row>
        <row r="1814">
          <cell r="A1814">
            <v>22101703</v>
          </cell>
          <cell r="B1814" t="str">
            <v>Cuchillas o dientes u otros filos cortantes</v>
          </cell>
        </row>
        <row r="1815">
          <cell r="A1815">
            <v>22101704</v>
          </cell>
          <cell r="B1815" t="str">
            <v>Escarificadores</v>
          </cell>
        </row>
        <row r="1816">
          <cell r="A1816">
            <v>22101705</v>
          </cell>
          <cell r="B1816" t="str">
            <v>Orugas: eslabones o zapatas o sus piezas</v>
          </cell>
        </row>
        <row r="1817">
          <cell r="A1817">
            <v>22101706</v>
          </cell>
          <cell r="B1817" t="str">
            <v>Cucharas de pala</v>
          </cell>
        </row>
        <row r="1818">
          <cell r="A1818">
            <v>22101707</v>
          </cell>
          <cell r="B1818" t="str">
            <v>Cables de retención</v>
          </cell>
        </row>
        <row r="1819">
          <cell r="A1819">
            <v>22101708</v>
          </cell>
          <cell r="B1819" t="str">
            <v>Extractores</v>
          </cell>
        </row>
        <row r="1820">
          <cell r="A1820">
            <v>22101709</v>
          </cell>
          <cell r="B1820" t="str">
            <v>Cucharones bivalvos</v>
          </cell>
        </row>
        <row r="1821">
          <cell r="A1821">
            <v>22101710</v>
          </cell>
          <cell r="B1821" t="str">
            <v>Remolques quitanieves</v>
          </cell>
        </row>
        <row r="1822">
          <cell r="A1822">
            <v>22101711</v>
          </cell>
          <cell r="B1822" t="str">
            <v>Herramientas de trituración de pavimento o accesorios</v>
          </cell>
        </row>
        <row r="1823">
          <cell r="A1823">
            <v>22101712</v>
          </cell>
          <cell r="B1823" t="str">
            <v>Herramientas de piloteadoras o sus piezas o accesorios</v>
          </cell>
        </row>
        <row r="1824">
          <cell r="A1824">
            <v>22101713</v>
          </cell>
          <cell r="B1824" t="str">
            <v>Brazo de retroexcavadora o secciones del brazo</v>
          </cell>
        </row>
        <row r="1825">
          <cell r="A1825">
            <v>22101714</v>
          </cell>
          <cell r="B1825" t="str">
            <v>Kits de reparación o piezas de apisonadora</v>
          </cell>
        </row>
        <row r="1826">
          <cell r="A1826">
            <v>22101715</v>
          </cell>
          <cell r="B1826" t="str">
            <v>Plantas o alimentadoras de dosificación</v>
          </cell>
        </row>
        <row r="1827">
          <cell r="A1827">
            <v>22101716</v>
          </cell>
          <cell r="B1827" t="str">
            <v>Kits de conversión de maquinaria de construcción</v>
          </cell>
        </row>
        <row r="1828">
          <cell r="A1828">
            <v>22101717</v>
          </cell>
          <cell r="B1828" t="str">
            <v>Vertederas de movimiento de tierra</v>
          </cell>
        </row>
        <row r="1829">
          <cell r="A1829">
            <v>22101718</v>
          </cell>
          <cell r="B1829" t="str">
            <v>Sistemas de control de aplanadora</v>
          </cell>
        </row>
        <row r="1830">
          <cell r="A1830">
            <v>22101719</v>
          </cell>
          <cell r="B1830" t="str">
            <v>Portaherramientas de corredera transversal de aplanadora</v>
          </cell>
        </row>
        <row r="1831">
          <cell r="A1831">
            <v>22101720</v>
          </cell>
          <cell r="B1831" t="str">
            <v>Zapatas perfiladoras de zanjadora</v>
          </cell>
        </row>
        <row r="1832">
          <cell r="A1832">
            <v>22101801</v>
          </cell>
          <cell r="B1832" t="str">
            <v>Manlift o elevador de personal</v>
          </cell>
        </row>
        <row r="1833">
          <cell r="A1833">
            <v>22101802</v>
          </cell>
          <cell r="B1833" t="str">
            <v>Elevador de plataforma</v>
          </cell>
        </row>
        <row r="1834">
          <cell r="A1834">
            <v>22101803</v>
          </cell>
          <cell r="B1834" t="str">
            <v>Elevador de boom articulado</v>
          </cell>
        </row>
        <row r="1835">
          <cell r="A1835">
            <v>22101804</v>
          </cell>
          <cell r="B1835" t="str">
            <v>Elevador de boom telescópico</v>
          </cell>
        </row>
        <row r="1836">
          <cell r="A1836">
            <v>22101901</v>
          </cell>
          <cell r="B1836" t="str">
            <v>Mezcladoras o plantas de concreto</v>
          </cell>
        </row>
        <row r="1837">
          <cell r="A1837">
            <v>22101902</v>
          </cell>
          <cell r="B1837" t="str">
            <v>Mezcladoras de argamasa, pañete o mortero</v>
          </cell>
        </row>
        <row r="1838">
          <cell r="A1838">
            <v>22101903</v>
          </cell>
          <cell r="B1838" t="str">
            <v>Mezcladoras de grada giratoria</v>
          </cell>
        </row>
        <row r="1839">
          <cell r="A1839">
            <v>22101904</v>
          </cell>
          <cell r="B1839" t="str">
            <v>Máquinas de curado</v>
          </cell>
        </row>
        <row r="1840">
          <cell r="A1840">
            <v>22101905</v>
          </cell>
          <cell r="B1840" t="str">
            <v>Distribuidoras de concreto</v>
          </cell>
        </row>
        <row r="1841">
          <cell r="A1841">
            <v>22101906</v>
          </cell>
          <cell r="B1841" t="str">
            <v>Equipo de apuntalamiento</v>
          </cell>
        </row>
        <row r="1842">
          <cell r="A1842">
            <v>22101907</v>
          </cell>
          <cell r="B1842" t="str">
            <v>Puntales de zanja</v>
          </cell>
        </row>
        <row r="1843">
          <cell r="A1843">
            <v>22102001</v>
          </cell>
          <cell r="B1843" t="str">
            <v>Kits de equipo de demolición</v>
          </cell>
        </row>
        <row r="1844">
          <cell r="A1844">
            <v>23101501</v>
          </cell>
          <cell r="B1844" t="str">
            <v>Caladoras</v>
          </cell>
        </row>
        <row r="1845">
          <cell r="A1845">
            <v>23101502</v>
          </cell>
          <cell r="B1845" t="str">
            <v>Taladros</v>
          </cell>
        </row>
        <row r="1846">
          <cell r="A1846">
            <v>23101503</v>
          </cell>
          <cell r="B1846" t="str">
            <v>Brochadoras</v>
          </cell>
        </row>
        <row r="1847">
          <cell r="A1847">
            <v>23101504</v>
          </cell>
          <cell r="B1847" t="str">
            <v>Máquinas dobladoras</v>
          </cell>
        </row>
        <row r="1848">
          <cell r="A1848">
            <v>23101505</v>
          </cell>
          <cell r="B1848" t="str">
            <v>Maquinas abre huecos</v>
          </cell>
        </row>
        <row r="1849">
          <cell r="A1849">
            <v>23101506</v>
          </cell>
          <cell r="B1849" t="str">
            <v>Esmeriladoras</v>
          </cell>
        </row>
        <row r="1850">
          <cell r="A1850">
            <v>23101507</v>
          </cell>
          <cell r="B1850" t="str">
            <v>Troqueladoras</v>
          </cell>
        </row>
        <row r="1851">
          <cell r="A1851">
            <v>23101508</v>
          </cell>
          <cell r="B1851" t="str">
            <v>Cortadoras</v>
          </cell>
        </row>
        <row r="1852">
          <cell r="A1852">
            <v>23101509</v>
          </cell>
          <cell r="B1852" t="str">
            <v>Lijadoras</v>
          </cell>
        </row>
        <row r="1853">
          <cell r="A1853">
            <v>23101510</v>
          </cell>
          <cell r="B1853" t="str">
            <v>Pulidoras</v>
          </cell>
        </row>
        <row r="1854">
          <cell r="A1854">
            <v>23101511</v>
          </cell>
          <cell r="B1854" t="str">
            <v>Máquinas para tornear</v>
          </cell>
        </row>
        <row r="1855">
          <cell r="A1855">
            <v>23101512</v>
          </cell>
          <cell r="B1855" t="str">
            <v>Sierras mecánicas</v>
          </cell>
        </row>
        <row r="1856">
          <cell r="A1856">
            <v>23101513</v>
          </cell>
          <cell r="B1856" t="str">
            <v>Fresadoras</v>
          </cell>
        </row>
        <row r="1857">
          <cell r="A1857">
            <v>23101514</v>
          </cell>
          <cell r="B1857" t="str">
            <v>Cepilladoras</v>
          </cell>
        </row>
        <row r="1858">
          <cell r="A1858">
            <v>23101515</v>
          </cell>
          <cell r="B1858" t="str">
            <v>Máquinas para grabar</v>
          </cell>
        </row>
        <row r="1859">
          <cell r="A1859">
            <v>23101516</v>
          </cell>
          <cell r="B1859" t="str">
            <v>Máquina de martillar con la peña de cuentas de vidrio</v>
          </cell>
        </row>
        <row r="1860">
          <cell r="A1860">
            <v>23101517</v>
          </cell>
          <cell r="B1860" t="str">
            <v>Máquinas de sanblasteado</v>
          </cell>
        </row>
        <row r="1861">
          <cell r="A1861">
            <v>23101518</v>
          </cell>
          <cell r="B1861" t="str">
            <v>Máquina de picar con chorro de perdigones</v>
          </cell>
        </row>
        <row r="1862">
          <cell r="A1862">
            <v>23101519</v>
          </cell>
          <cell r="B1862" t="str">
            <v>Robots</v>
          </cell>
        </row>
        <row r="1863">
          <cell r="A1863">
            <v>23101520</v>
          </cell>
          <cell r="B1863" t="str">
            <v>Máquinas Ram de electro descarga</v>
          </cell>
        </row>
        <row r="1864">
          <cell r="A1864">
            <v>23101521</v>
          </cell>
          <cell r="B1864" t="str">
            <v>Máquina de descarga de electrodo de cátodo de alambre</v>
          </cell>
        </row>
        <row r="1865">
          <cell r="A1865">
            <v>23101522</v>
          </cell>
          <cell r="B1865" t="str">
            <v>Rompevirutas</v>
          </cell>
        </row>
        <row r="1866">
          <cell r="A1866">
            <v>23111501</v>
          </cell>
          <cell r="B1866" t="str">
            <v>Equipo de hidroprocesamiento de destilado</v>
          </cell>
        </row>
        <row r="1867">
          <cell r="A1867">
            <v>23111502</v>
          </cell>
          <cell r="B1867" t="str">
            <v>Máquina para destilación de crudo</v>
          </cell>
        </row>
        <row r="1868">
          <cell r="A1868">
            <v>23111503</v>
          </cell>
          <cell r="B1868" t="str">
            <v>Equipo de ruptura catalítica</v>
          </cell>
        </row>
        <row r="1869">
          <cell r="A1869">
            <v>23111504</v>
          </cell>
          <cell r="B1869" t="str">
            <v>Equipo de hidro - ruptura</v>
          </cell>
        </row>
        <row r="1870">
          <cell r="A1870">
            <v>23111505</v>
          </cell>
          <cell r="B1870" t="str">
            <v>Maquinaria de isomerización</v>
          </cell>
        </row>
        <row r="1871">
          <cell r="A1871">
            <v>23111506</v>
          </cell>
          <cell r="B1871" t="str">
            <v>Máquina coquizadora</v>
          </cell>
        </row>
        <row r="1872">
          <cell r="A1872">
            <v>23111507</v>
          </cell>
          <cell r="B1872" t="str">
            <v>Maquinaria para recuperación de gas</v>
          </cell>
        </row>
        <row r="1873">
          <cell r="A1873">
            <v>23111601</v>
          </cell>
          <cell r="B1873" t="str">
            <v>Hidrotratador de nafta</v>
          </cell>
        </row>
        <row r="1874">
          <cell r="A1874">
            <v>23111602</v>
          </cell>
          <cell r="B1874" t="str">
            <v>Hidrotratador de destilado</v>
          </cell>
        </row>
        <row r="1875">
          <cell r="A1875">
            <v>23111603</v>
          </cell>
          <cell r="B1875" t="str">
            <v>Hidrotratador de alimentación catalítica</v>
          </cell>
        </row>
        <row r="1876">
          <cell r="A1876">
            <v>23111604</v>
          </cell>
          <cell r="B1876" t="str">
            <v>Hidrotratador de lubricantes</v>
          </cell>
        </row>
        <row r="1877">
          <cell r="A1877">
            <v>23111605</v>
          </cell>
          <cell r="B1877" t="str">
            <v>Hidrotratador de gasolina</v>
          </cell>
        </row>
        <row r="1878">
          <cell r="A1878">
            <v>23111606</v>
          </cell>
          <cell r="B1878" t="str">
            <v>Hidrotratador de aceite residual</v>
          </cell>
        </row>
        <row r="1879">
          <cell r="A1879">
            <v>23121501</v>
          </cell>
          <cell r="B1879" t="str">
            <v>Maquinaria para bordados</v>
          </cell>
        </row>
        <row r="1880">
          <cell r="A1880">
            <v>23121502</v>
          </cell>
          <cell r="B1880" t="str">
            <v>Maquinaria para afelpado</v>
          </cell>
        </row>
        <row r="1881">
          <cell r="A1881">
            <v>23121503</v>
          </cell>
          <cell r="B1881" t="str">
            <v>Devanadoras o encarretadoras</v>
          </cell>
        </row>
        <row r="1882">
          <cell r="A1882">
            <v>23121504</v>
          </cell>
          <cell r="B1882" t="str">
            <v>Máquinas de Torción</v>
          </cell>
        </row>
        <row r="1883">
          <cell r="A1883">
            <v>23121505</v>
          </cell>
          <cell r="B1883" t="str">
            <v>Máquina para pegar puntadas</v>
          </cell>
        </row>
        <row r="1884">
          <cell r="A1884">
            <v>23121506</v>
          </cell>
          <cell r="B1884" t="str">
            <v>Tejedoras</v>
          </cell>
        </row>
        <row r="1885">
          <cell r="A1885">
            <v>23121507</v>
          </cell>
          <cell r="B1885" t="str">
            <v>Urdidoras</v>
          </cell>
        </row>
        <row r="1886">
          <cell r="A1886">
            <v>23121508</v>
          </cell>
          <cell r="B1886" t="str">
            <v>Máquinas de acabados</v>
          </cell>
        </row>
        <row r="1887">
          <cell r="A1887">
            <v>23121509</v>
          </cell>
          <cell r="B1887" t="str">
            <v>Husos</v>
          </cell>
        </row>
        <row r="1888">
          <cell r="A1888">
            <v>23121510</v>
          </cell>
          <cell r="B1888" t="str">
            <v>Máquinas para hacer encaje</v>
          </cell>
        </row>
        <row r="1889">
          <cell r="A1889">
            <v>23121601</v>
          </cell>
          <cell r="B1889" t="str">
            <v>Máquinas para forrar botones</v>
          </cell>
        </row>
        <row r="1890">
          <cell r="A1890">
            <v>23121602</v>
          </cell>
          <cell r="B1890" t="str">
            <v>Máquinas para coser botones</v>
          </cell>
        </row>
        <row r="1891">
          <cell r="A1891">
            <v>23121603</v>
          </cell>
          <cell r="B1891" t="str">
            <v>Máquinas de hacer ojales</v>
          </cell>
        </row>
        <row r="1892">
          <cell r="A1892">
            <v>23121604</v>
          </cell>
          <cell r="B1892" t="str">
            <v>Máquinas cortadoras de tela</v>
          </cell>
        </row>
        <row r="1893">
          <cell r="A1893">
            <v>23121605</v>
          </cell>
          <cell r="B1893" t="str">
            <v>Máquinas para rellenar cojines</v>
          </cell>
        </row>
        <row r="1894">
          <cell r="A1894">
            <v>23121606</v>
          </cell>
          <cell r="B1894" t="str">
            <v>Máquinas plegadoras o rebobinadoras</v>
          </cell>
        </row>
        <row r="1895">
          <cell r="A1895">
            <v>23121607</v>
          </cell>
          <cell r="B1895" t="str">
            <v>Máquinas blanqueadoras</v>
          </cell>
        </row>
        <row r="1896">
          <cell r="A1896">
            <v>23121608</v>
          </cell>
          <cell r="B1896" t="str">
            <v>Máquinas para doblar telas o paños</v>
          </cell>
        </row>
        <row r="1897">
          <cell r="A1897">
            <v>23121609</v>
          </cell>
          <cell r="B1897" t="str">
            <v>Máquinas bobinadoras o desenrolladoras</v>
          </cell>
        </row>
        <row r="1898">
          <cell r="A1898">
            <v>23121610</v>
          </cell>
          <cell r="B1898" t="str">
            <v>Máquinas para teñir</v>
          </cell>
        </row>
        <row r="1899">
          <cell r="A1899">
            <v>23121611</v>
          </cell>
          <cell r="B1899" t="str">
            <v>Máquinas cortadoras o festoneadoras</v>
          </cell>
        </row>
        <row r="1900">
          <cell r="A1900">
            <v>23121612</v>
          </cell>
          <cell r="B1900" t="str">
            <v>Agujas para máquina de cose</v>
          </cell>
        </row>
        <row r="1901">
          <cell r="A1901">
            <v>23121613</v>
          </cell>
          <cell r="B1901" t="str">
            <v>Máquinas para procesar seda</v>
          </cell>
        </row>
        <row r="1902">
          <cell r="A1902">
            <v>23121614</v>
          </cell>
          <cell r="B1902" t="str">
            <v>Máquinas de coser</v>
          </cell>
        </row>
        <row r="1903">
          <cell r="A1903">
            <v>23121615</v>
          </cell>
          <cell r="B1903" t="str">
            <v>Mesas para cortar telas</v>
          </cell>
        </row>
        <row r="1904">
          <cell r="A1904">
            <v>23131501</v>
          </cell>
          <cell r="B1904" t="str">
            <v>Compuestos abrasivos</v>
          </cell>
        </row>
        <row r="1905">
          <cell r="A1905">
            <v>23131502</v>
          </cell>
          <cell r="B1905" t="str">
            <v>Ruedas de fieltro</v>
          </cell>
        </row>
        <row r="1906">
          <cell r="A1906">
            <v>23131503</v>
          </cell>
          <cell r="B1906" t="str">
            <v>Ruedas de esmerilado</v>
          </cell>
        </row>
        <row r="1907">
          <cell r="A1907">
            <v>23131504</v>
          </cell>
          <cell r="B1907" t="str">
            <v>Compuestos para brillado</v>
          </cell>
        </row>
        <row r="1908">
          <cell r="A1908">
            <v>23131505</v>
          </cell>
          <cell r="B1908" t="str">
            <v>Cabezas de pulir</v>
          </cell>
        </row>
        <row r="1909">
          <cell r="A1909">
            <v>23131506</v>
          </cell>
          <cell r="B1909" t="str">
            <v>Ruedas para pulir</v>
          </cell>
        </row>
        <row r="1910">
          <cell r="A1910">
            <v>23131507</v>
          </cell>
          <cell r="B1910" t="str">
            <v>Tela para lijar</v>
          </cell>
        </row>
        <row r="1911">
          <cell r="A1911">
            <v>23131508</v>
          </cell>
          <cell r="B1911" t="str">
            <v>Tambores para lijar</v>
          </cell>
        </row>
        <row r="1912">
          <cell r="A1912">
            <v>23131509</v>
          </cell>
          <cell r="B1912" t="str">
            <v>Cilindros o brilladoras</v>
          </cell>
        </row>
        <row r="1913">
          <cell r="A1913">
            <v>23131510</v>
          </cell>
          <cell r="B1913" t="str">
            <v>Suministros o medios de cilindro</v>
          </cell>
        </row>
        <row r="1914">
          <cell r="A1914">
            <v>23131511</v>
          </cell>
          <cell r="B1914" t="str">
            <v>Pivotes de agua</v>
          </cell>
        </row>
        <row r="1915">
          <cell r="A1915">
            <v>23131512</v>
          </cell>
          <cell r="B1915" t="str">
            <v>Bandejas de agua</v>
          </cell>
        </row>
        <row r="1916">
          <cell r="A1916">
            <v>23131513</v>
          </cell>
          <cell r="B1916" t="str">
            <v>Bloques para lijar</v>
          </cell>
        </row>
        <row r="1917">
          <cell r="A1917">
            <v>23131514</v>
          </cell>
          <cell r="B1917" t="str">
            <v>Piedras montadas</v>
          </cell>
        </row>
        <row r="1918">
          <cell r="A1918">
            <v>23131515</v>
          </cell>
          <cell r="B1918" t="str">
            <v>Rectificadora de piedra de moler</v>
          </cell>
        </row>
        <row r="1919">
          <cell r="A1919">
            <v>23131601</v>
          </cell>
          <cell r="B1919" t="str">
            <v>Accesorios para hacer facetas o pulir caras</v>
          </cell>
        </row>
        <row r="1920">
          <cell r="A1920">
            <v>23131602</v>
          </cell>
          <cell r="B1920" t="str">
            <v>Máquinas para hacer facetas o pulir caras</v>
          </cell>
        </row>
        <row r="1921">
          <cell r="A1921">
            <v>23131603</v>
          </cell>
          <cell r="B1921" t="str">
            <v>Pulidoras para hacer facetas o pulir caras</v>
          </cell>
        </row>
        <row r="1922">
          <cell r="A1922">
            <v>23131604</v>
          </cell>
          <cell r="B1922" t="str">
            <v>Sierras para hacer facetas o pulir caras</v>
          </cell>
        </row>
        <row r="1923">
          <cell r="A1923">
            <v>23131701</v>
          </cell>
          <cell r="B1923" t="str">
            <v>Accesorios para hacer cabuchones</v>
          </cell>
        </row>
        <row r="1924">
          <cell r="A1924">
            <v>23131702</v>
          </cell>
          <cell r="B1924" t="str">
            <v>Cinturones para hacer cabuchones</v>
          </cell>
        </row>
        <row r="1925">
          <cell r="A1925">
            <v>23131703</v>
          </cell>
          <cell r="B1925" t="str">
            <v>Discos para hacer cabuchones</v>
          </cell>
        </row>
        <row r="1926">
          <cell r="A1926">
            <v>23131704</v>
          </cell>
          <cell r="B1926" t="str">
            <v>Máquinas para hacer cabuchones</v>
          </cell>
        </row>
        <row r="1927">
          <cell r="A1927">
            <v>23141601</v>
          </cell>
          <cell r="B1927" t="str">
            <v>Máquinas para descarnar cuero</v>
          </cell>
        </row>
        <row r="1928">
          <cell r="A1928">
            <v>23141602</v>
          </cell>
          <cell r="B1928" t="str">
            <v>Máquinas para curtir cuero</v>
          </cell>
        </row>
        <row r="1929">
          <cell r="A1929">
            <v>23141603</v>
          </cell>
          <cell r="B1929" t="str">
            <v>Máquinas para teñir cuero</v>
          </cell>
        </row>
        <row r="1930">
          <cell r="A1930">
            <v>23141604</v>
          </cell>
          <cell r="B1930" t="str">
            <v>Máquinas para desengrasar cuero</v>
          </cell>
        </row>
        <row r="1931">
          <cell r="A1931">
            <v>23141605</v>
          </cell>
          <cell r="B1931" t="str">
            <v>Prensadoras de cuero</v>
          </cell>
        </row>
        <row r="1932">
          <cell r="A1932">
            <v>23141701</v>
          </cell>
          <cell r="B1932" t="str">
            <v>Máquinas cortadoras de cuero</v>
          </cell>
        </row>
        <row r="1933">
          <cell r="A1933">
            <v>23141702</v>
          </cell>
          <cell r="B1933" t="str">
            <v>Máquinas ribeteadoras de cuero</v>
          </cell>
        </row>
        <row r="1934">
          <cell r="A1934">
            <v>23141703</v>
          </cell>
          <cell r="B1934" t="str">
            <v>Máquinas clavadoras de cuero</v>
          </cell>
        </row>
        <row r="1935">
          <cell r="A1935">
            <v>23141704</v>
          </cell>
          <cell r="B1935" t="str">
            <v>Equipo para talabartería</v>
          </cell>
        </row>
        <row r="1936">
          <cell r="A1936">
            <v>23151501</v>
          </cell>
          <cell r="B1936" t="str">
            <v>Máquinas de moldeo por soplado</v>
          </cell>
        </row>
        <row r="1937">
          <cell r="A1937">
            <v>23151502</v>
          </cell>
          <cell r="B1937" t="str">
            <v>Máquinas revestidoras</v>
          </cell>
        </row>
        <row r="1938">
          <cell r="A1938">
            <v>23151503</v>
          </cell>
          <cell r="B1938" t="str">
            <v>Extrusoras</v>
          </cell>
        </row>
        <row r="1939">
          <cell r="A1939">
            <v>23151504</v>
          </cell>
          <cell r="B1939" t="str">
            <v>Máquinas de moldeo por inyección</v>
          </cell>
        </row>
        <row r="1940">
          <cell r="A1940">
            <v>23151506</v>
          </cell>
          <cell r="B1940" t="str">
            <v>Prensas de caucho o plástico</v>
          </cell>
        </row>
        <row r="1941">
          <cell r="A1941">
            <v>23151507</v>
          </cell>
          <cell r="B1941" t="str">
            <v>Máquinas termo modeladoras</v>
          </cell>
        </row>
        <row r="1942">
          <cell r="A1942">
            <v>23151508</v>
          </cell>
          <cell r="B1942" t="str">
            <v>Máquinas para moldear al vacío</v>
          </cell>
        </row>
        <row r="1943">
          <cell r="A1943">
            <v>23151509</v>
          </cell>
          <cell r="B1943" t="str">
            <v>Vulcanizadoras</v>
          </cell>
        </row>
        <row r="1944">
          <cell r="A1944">
            <v>23151510</v>
          </cell>
          <cell r="B1944" t="str">
            <v>Maquinaria para cortar plástico</v>
          </cell>
        </row>
        <row r="1945">
          <cell r="A1945">
            <v>23151511</v>
          </cell>
          <cell r="B1945" t="str">
            <v>Maquinaria para triturar plástico</v>
          </cell>
        </row>
        <row r="1946">
          <cell r="A1946">
            <v>23151512</v>
          </cell>
          <cell r="B1946" t="str">
            <v>Molinos de caucho o plástico</v>
          </cell>
        </row>
        <row r="1947">
          <cell r="A1947">
            <v>23151513</v>
          </cell>
          <cell r="B1947" t="str">
            <v>Moldes de extrusión de caucho o plástico</v>
          </cell>
        </row>
        <row r="1948">
          <cell r="A1948">
            <v>23151514</v>
          </cell>
          <cell r="B1948" t="str">
            <v>Moldes de inyección para plástico</v>
          </cell>
        </row>
        <row r="1949">
          <cell r="A1949">
            <v>23151515</v>
          </cell>
          <cell r="B1949" t="str">
            <v>Moldes de termoformar</v>
          </cell>
        </row>
        <row r="1950">
          <cell r="A1950">
            <v>23151516</v>
          </cell>
          <cell r="B1950" t="str">
            <v>Pasadores del eyector</v>
          </cell>
        </row>
        <row r="1951">
          <cell r="A1951">
            <v>23151601</v>
          </cell>
          <cell r="B1951" t="str">
            <v>Sopladores o secadores</v>
          </cell>
        </row>
        <row r="1952">
          <cell r="A1952">
            <v>23151602</v>
          </cell>
          <cell r="B1952" t="str">
            <v>Trituradoras</v>
          </cell>
        </row>
        <row r="1953">
          <cell r="A1953">
            <v>23151603</v>
          </cell>
          <cell r="B1953" t="str">
            <v>Máquinas de soldadura por fusión o de estirado de vidrio</v>
          </cell>
        </row>
        <row r="1954">
          <cell r="A1954">
            <v>23151604</v>
          </cell>
          <cell r="B1954" t="str">
            <v>Esmeriladoras p pulidoras</v>
          </cell>
        </row>
        <row r="1955">
          <cell r="A1955">
            <v>23151606</v>
          </cell>
          <cell r="B1955" t="str">
            <v>Máquinas moldeadoras de cemento o cerámica o vidrio o similar</v>
          </cell>
        </row>
        <row r="1956">
          <cell r="A1956">
            <v>23151607</v>
          </cell>
          <cell r="B1956" t="str">
            <v>Prensas</v>
          </cell>
        </row>
        <row r="1957">
          <cell r="A1957">
            <v>23151608</v>
          </cell>
          <cell r="B1957" t="str">
            <v>Tamices</v>
          </cell>
        </row>
        <row r="1958">
          <cell r="A1958">
            <v>23151701</v>
          </cell>
          <cell r="B1958" t="str">
            <v>Máquinas para pulir lentes</v>
          </cell>
        </row>
        <row r="1959">
          <cell r="A1959">
            <v>23151702</v>
          </cell>
          <cell r="B1959" t="str">
            <v>Equipo de medición de lentes</v>
          </cell>
        </row>
        <row r="1960">
          <cell r="A1960">
            <v>23151703</v>
          </cell>
          <cell r="B1960" t="str">
            <v>Equipo de esmerilado de lentes</v>
          </cell>
        </row>
        <row r="1961">
          <cell r="A1961">
            <v>23151704</v>
          </cell>
          <cell r="B1961" t="str">
            <v>Equipos de ensayo de lentes</v>
          </cell>
        </row>
        <row r="1962">
          <cell r="A1962">
            <v>23151705</v>
          </cell>
          <cell r="B1962" t="str">
            <v>Equipo para recubrir el vacío óptico</v>
          </cell>
        </row>
        <row r="1963">
          <cell r="A1963">
            <v>23151801</v>
          </cell>
          <cell r="B1963" t="str">
            <v>Equipo para llenado de ampolletas</v>
          </cell>
        </row>
        <row r="1964">
          <cell r="A1964">
            <v>23151802</v>
          </cell>
          <cell r="B1964" t="str">
            <v>Colocadores de tapas, insertadores de algodón o aplicadores de sellos de seguridad</v>
          </cell>
        </row>
        <row r="1965">
          <cell r="A1965">
            <v>23151803</v>
          </cell>
          <cell r="B1965" t="str">
            <v>Máquinas encapsuladoras</v>
          </cell>
        </row>
        <row r="1966">
          <cell r="A1966">
            <v>23151804</v>
          </cell>
          <cell r="B1966" t="str">
            <v>Reactores, fermentadores o digestores</v>
          </cell>
        </row>
        <row r="1967">
          <cell r="A1967">
            <v>23151805</v>
          </cell>
          <cell r="B1967" t="str">
            <v>Máquinas dosificadoras de barrena para llenado o cerrado hermético</v>
          </cell>
        </row>
        <row r="1968">
          <cell r="A1968">
            <v>23151806</v>
          </cell>
          <cell r="B1968" t="str">
            <v>Filtros o ultrafiltros farmacéuticos</v>
          </cell>
        </row>
        <row r="1969">
          <cell r="A1969">
            <v>23151807</v>
          </cell>
          <cell r="B1969" t="str">
            <v>Secadores por congelación o liofilizadores</v>
          </cell>
        </row>
        <row r="1970">
          <cell r="A1970">
            <v>23151808</v>
          </cell>
          <cell r="B1970" t="str">
            <v>Granuladores</v>
          </cell>
        </row>
        <row r="1971">
          <cell r="A1971">
            <v>23151809</v>
          </cell>
          <cell r="B1971" t="str">
            <v>Máquinas farmacéuticas de tamizado</v>
          </cell>
        </row>
        <row r="1972">
          <cell r="A1972">
            <v>23151810</v>
          </cell>
          <cell r="B1972" t="str">
            <v>Máquinas de procesado o llenado estéril o aséptico</v>
          </cell>
        </row>
        <row r="1973">
          <cell r="A1973">
            <v>23151811</v>
          </cell>
          <cell r="B1973" t="str">
            <v>Máquinas para hacer ensayos de tabletas o cápsulas</v>
          </cell>
        </row>
        <row r="1974">
          <cell r="A1974">
            <v>23151812</v>
          </cell>
          <cell r="B1974" t="str">
            <v>Contadores de tabletas</v>
          </cell>
        </row>
        <row r="1975">
          <cell r="A1975">
            <v>23151813</v>
          </cell>
          <cell r="B1975" t="str">
            <v>Máquinas de hacer tabletas</v>
          </cell>
        </row>
        <row r="1976">
          <cell r="A1976">
            <v>23151814</v>
          </cell>
          <cell r="B1976" t="str">
            <v>Equipo de producción de vacunas</v>
          </cell>
        </row>
        <row r="1977">
          <cell r="A1977">
            <v>23151816</v>
          </cell>
          <cell r="B1977" t="str">
            <v>Columnas de cromatografía</v>
          </cell>
        </row>
        <row r="1978">
          <cell r="A1978">
            <v>23151817</v>
          </cell>
          <cell r="B1978" t="str">
            <v>Medios de cromatografía</v>
          </cell>
        </row>
        <row r="1979">
          <cell r="A1979">
            <v>23151818</v>
          </cell>
          <cell r="B1979" t="str">
            <v>Dispositivos de prueba de esterilidad</v>
          </cell>
        </row>
        <row r="1980">
          <cell r="A1980">
            <v>23151819</v>
          </cell>
          <cell r="B1980" t="str">
            <v>Comprobadores de integridad de los filtros</v>
          </cell>
        </row>
        <row r="1981">
          <cell r="A1981">
            <v>23151820</v>
          </cell>
          <cell r="B1981" t="str">
            <v>Manómetro</v>
          </cell>
        </row>
        <row r="1982">
          <cell r="A1982">
            <v>23151821</v>
          </cell>
          <cell r="B1982" t="str">
            <v>Adaptador de cartucho filtro</v>
          </cell>
        </row>
        <row r="1983">
          <cell r="A1983">
            <v>23151822</v>
          </cell>
          <cell r="B1983" t="str">
            <v>Adaptadores o conectores o accesorios para soportes de filtros farmacéuticos</v>
          </cell>
        </row>
        <row r="1984">
          <cell r="A1984">
            <v>23151823</v>
          </cell>
          <cell r="B1984" t="str">
            <v>Radiofármaco de diagnóstico</v>
          </cell>
        </row>
        <row r="1985">
          <cell r="A1985">
            <v>23151901</v>
          </cell>
          <cell r="B1985" t="str">
            <v>Cortadores</v>
          </cell>
        </row>
        <row r="1986">
          <cell r="A1986">
            <v>23151902</v>
          </cell>
          <cell r="B1986" t="str">
            <v>Rajadores</v>
          </cell>
        </row>
        <row r="1987">
          <cell r="A1987">
            <v>23151903</v>
          </cell>
          <cell r="B1987" t="str">
            <v>Máquinas de lavado o para sacar el agua</v>
          </cell>
        </row>
        <row r="1988">
          <cell r="A1988">
            <v>23151904</v>
          </cell>
          <cell r="B1988" t="str">
            <v>Rebobinadoras</v>
          </cell>
        </row>
        <row r="1989">
          <cell r="A1989">
            <v>23151905</v>
          </cell>
          <cell r="B1989" t="str">
            <v>Máquinas para hacer pulpa de madera</v>
          </cell>
        </row>
        <row r="1990">
          <cell r="A1990">
            <v>23151906</v>
          </cell>
          <cell r="B1990" t="str">
            <v>Calandrias para hacer papel o cartón</v>
          </cell>
        </row>
        <row r="1991">
          <cell r="A1991">
            <v>23152001</v>
          </cell>
          <cell r="B1991" t="str">
            <v>Tratadores de corona</v>
          </cell>
        </row>
        <row r="1992">
          <cell r="A1992">
            <v>23152002</v>
          </cell>
          <cell r="B1992" t="str">
            <v>Tratadores por llama</v>
          </cell>
        </row>
        <row r="1993">
          <cell r="A1993">
            <v>23152101</v>
          </cell>
          <cell r="B1993" t="str">
            <v>Pantallas o piezas o equipo vibratorios de separación</v>
          </cell>
        </row>
        <row r="1994">
          <cell r="A1994">
            <v>23152102</v>
          </cell>
          <cell r="B1994" t="str">
            <v>Pantallas o piezas o equipo estacionario de separación</v>
          </cell>
        </row>
        <row r="1995">
          <cell r="A1995">
            <v>23152103</v>
          </cell>
          <cell r="B1995" t="str">
            <v>Pantallas o piezas o equipo de clasificación neumática</v>
          </cell>
        </row>
        <row r="1996">
          <cell r="A1996">
            <v>23152104</v>
          </cell>
          <cell r="B1996" t="str">
            <v>Equipo o piezas y pantallas de separación centrífuga</v>
          </cell>
        </row>
        <row r="1997">
          <cell r="A1997">
            <v>23152201</v>
          </cell>
          <cell r="B1997" t="str">
            <v>Mesas rotatorias</v>
          </cell>
        </row>
        <row r="1998">
          <cell r="A1998">
            <v>23152202</v>
          </cell>
          <cell r="B1998" t="str">
            <v>Bancos de apilado</v>
          </cell>
        </row>
        <row r="1999">
          <cell r="A1999">
            <v>23152203</v>
          </cell>
          <cell r="B1999" t="str">
            <v>Bancos de pruebas de componentes o motores</v>
          </cell>
        </row>
        <row r="2000">
          <cell r="A2000">
            <v>23152204</v>
          </cell>
          <cell r="B2000" t="str">
            <v>Resguardo de la máquina</v>
          </cell>
        </row>
        <row r="2001">
          <cell r="A2001">
            <v>23152205</v>
          </cell>
          <cell r="B2001" t="str">
            <v>Mesas de sierra de banda</v>
          </cell>
        </row>
        <row r="2002">
          <cell r="A2002">
            <v>23152206</v>
          </cell>
          <cell r="B2002" t="str">
            <v>Protección de barrera</v>
          </cell>
        </row>
        <row r="2003">
          <cell r="A2003">
            <v>23152901</v>
          </cell>
          <cell r="B2003" t="str">
            <v>Maquinaria de envolver</v>
          </cell>
        </row>
        <row r="2004">
          <cell r="A2004">
            <v>23152902</v>
          </cell>
          <cell r="B2004" t="str">
            <v>Maquinaria de formar, rellenar o sellar</v>
          </cell>
        </row>
        <row r="2005">
          <cell r="A2005">
            <v>23152903</v>
          </cell>
          <cell r="B2005" t="str">
            <v>Empacadora al vacío</v>
          </cell>
        </row>
        <row r="2006">
          <cell r="A2006">
            <v>23152904</v>
          </cell>
          <cell r="B2006" t="str">
            <v>Tolvas para empacar</v>
          </cell>
        </row>
        <row r="2007">
          <cell r="A2007">
            <v>23152905</v>
          </cell>
          <cell r="B2007" t="str">
            <v>Máquinas para el formado de cartón</v>
          </cell>
        </row>
        <row r="2008">
          <cell r="A2008">
            <v>23152906</v>
          </cell>
          <cell r="B2008" t="str">
            <v>Maquinas para encintar</v>
          </cell>
        </row>
        <row r="2009">
          <cell r="A2009">
            <v>23153001</v>
          </cell>
          <cell r="B2009" t="str">
            <v>Plantilla de medición</v>
          </cell>
        </row>
        <row r="2010">
          <cell r="A2010">
            <v>23153002</v>
          </cell>
          <cell r="B2010" t="str">
            <v>Plantilla de guía</v>
          </cell>
        </row>
        <row r="2011">
          <cell r="A2011">
            <v>23153003</v>
          </cell>
          <cell r="B2011" t="str">
            <v>Plantilla maestro</v>
          </cell>
        </row>
        <row r="2012">
          <cell r="A2012">
            <v>23153004</v>
          </cell>
          <cell r="B2012" t="str">
            <v>Plantilla de aguja</v>
          </cell>
        </row>
        <row r="2013">
          <cell r="A2013">
            <v>23153005</v>
          </cell>
          <cell r="B2013" t="str">
            <v>Plantilla de eje</v>
          </cell>
        </row>
        <row r="2014">
          <cell r="A2014">
            <v>23153006</v>
          </cell>
          <cell r="B2014" t="str">
            <v>Plantilla de chequeo</v>
          </cell>
        </row>
        <row r="2015">
          <cell r="A2015">
            <v>23153007</v>
          </cell>
          <cell r="B2015" t="str">
            <v>Plantilla de instalación</v>
          </cell>
        </row>
        <row r="2016">
          <cell r="A2016">
            <v>23153008</v>
          </cell>
          <cell r="B2016" t="str">
            <v>Plantilla de cámara</v>
          </cell>
        </row>
        <row r="2017">
          <cell r="A2017">
            <v>23153009</v>
          </cell>
          <cell r="B2017" t="str">
            <v>Plantilla de captación</v>
          </cell>
        </row>
        <row r="2018">
          <cell r="A2018">
            <v>23153010</v>
          </cell>
          <cell r="B2018" t="str">
            <v>Plantilla de eliminación</v>
          </cell>
        </row>
        <row r="2019">
          <cell r="A2019">
            <v>23153011</v>
          </cell>
          <cell r="B2019" t="str">
            <v>Plantilla de boquilla</v>
          </cell>
        </row>
        <row r="2020">
          <cell r="A2020">
            <v>23153012</v>
          </cell>
          <cell r="B2020" t="str">
            <v>Plantilla de deslizamiento</v>
          </cell>
        </row>
        <row r="2021">
          <cell r="A2021">
            <v>23153013</v>
          </cell>
          <cell r="B2021" t="str">
            <v>Plantilla de centrado</v>
          </cell>
        </row>
        <row r="2022">
          <cell r="A2022">
            <v>23153014</v>
          </cell>
          <cell r="B2022" t="str">
            <v>Plantilla de inspección</v>
          </cell>
        </row>
        <row r="2023">
          <cell r="A2023">
            <v>23153015</v>
          </cell>
          <cell r="B2023" t="str">
            <v>Plantilla de alimentador</v>
          </cell>
        </row>
        <row r="2024">
          <cell r="A2024">
            <v>23153016</v>
          </cell>
          <cell r="B2024" t="str">
            <v>Plantilla de embrague</v>
          </cell>
        </row>
        <row r="2025">
          <cell r="A2025">
            <v>23153017</v>
          </cell>
          <cell r="B2025" t="str">
            <v>Plantilla de alineación</v>
          </cell>
        </row>
        <row r="2026">
          <cell r="A2026">
            <v>23153018</v>
          </cell>
          <cell r="B2026" t="str">
            <v>Plantilla de posicionamiento</v>
          </cell>
        </row>
        <row r="2027">
          <cell r="A2027">
            <v>23153019</v>
          </cell>
          <cell r="B2027" t="str">
            <v>Placa elevadora</v>
          </cell>
        </row>
        <row r="2028">
          <cell r="A2028">
            <v>23153020</v>
          </cell>
          <cell r="B2028" t="str">
            <v>Guía de cinta</v>
          </cell>
        </row>
        <row r="2029">
          <cell r="A2029">
            <v>23153021</v>
          </cell>
          <cell r="B2029" t="str">
            <v>Mordaza de alimentación de cinta</v>
          </cell>
        </row>
        <row r="2030">
          <cell r="A2030">
            <v>23153022</v>
          </cell>
          <cell r="B2030" t="str">
            <v>Alimentador mecánico</v>
          </cell>
        </row>
        <row r="2031">
          <cell r="A2031">
            <v>23153023</v>
          </cell>
          <cell r="B2031" t="str">
            <v>Arnés del alimentador</v>
          </cell>
        </row>
        <row r="2032">
          <cell r="A2032">
            <v>23153024</v>
          </cell>
          <cell r="B2032" t="str">
            <v>Mordaza de alimentación</v>
          </cell>
        </row>
        <row r="2033">
          <cell r="A2033">
            <v>23153025</v>
          </cell>
          <cell r="B2033" t="str">
            <v>Agarrador mecánico</v>
          </cell>
        </row>
        <row r="2034">
          <cell r="A2034">
            <v>23153026</v>
          </cell>
          <cell r="B2034" t="str">
            <v>Mordaza de soporte</v>
          </cell>
        </row>
        <row r="2035">
          <cell r="A2035">
            <v>23153027</v>
          </cell>
          <cell r="B2035" t="str">
            <v>Conjunto de mordaza</v>
          </cell>
        </row>
        <row r="2036">
          <cell r="A2036">
            <v>23153028</v>
          </cell>
          <cell r="B2036" t="str">
            <v>Mordaza estacionaria</v>
          </cell>
        </row>
        <row r="2037">
          <cell r="A2037">
            <v>23153029</v>
          </cell>
          <cell r="B2037" t="str">
            <v>Bloque de plantilla</v>
          </cell>
        </row>
        <row r="2038">
          <cell r="A2038">
            <v>23153030</v>
          </cell>
          <cell r="B2038" t="str">
            <v>Guías de desplazamiento lineal</v>
          </cell>
        </row>
        <row r="2039">
          <cell r="A2039">
            <v>23153031</v>
          </cell>
          <cell r="B2039" t="str">
            <v>Plantillas de medición</v>
          </cell>
        </row>
        <row r="2040">
          <cell r="A2040">
            <v>23153032</v>
          </cell>
          <cell r="B2040" t="str">
            <v>Plantilla de anillo</v>
          </cell>
        </row>
        <row r="2041">
          <cell r="A2041">
            <v>23153033</v>
          </cell>
          <cell r="B2041" t="str">
            <v>Placa de garganta</v>
          </cell>
        </row>
        <row r="2042">
          <cell r="A2042">
            <v>23153034</v>
          </cell>
          <cell r="B2042" t="str">
            <v>Rieles de máquina</v>
          </cell>
        </row>
        <row r="2043">
          <cell r="A2043">
            <v>23153035</v>
          </cell>
          <cell r="B2043" t="str">
            <v>Placa</v>
          </cell>
        </row>
        <row r="2044">
          <cell r="A2044">
            <v>23153036</v>
          </cell>
          <cell r="B2044" t="str">
            <v>Placas de cerrojo</v>
          </cell>
        </row>
        <row r="2045">
          <cell r="A2045">
            <v>23153037</v>
          </cell>
          <cell r="B2045" t="str">
            <v>Conjunto de rodillos de alimentación</v>
          </cell>
        </row>
        <row r="2046">
          <cell r="A2046">
            <v>23153101</v>
          </cell>
          <cell r="B2046" t="str">
            <v>Tope de paso</v>
          </cell>
        </row>
        <row r="2047">
          <cell r="A2047">
            <v>23153102</v>
          </cell>
          <cell r="B2047" t="str">
            <v>Limitador de papel</v>
          </cell>
        </row>
        <row r="2048">
          <cell r="A2048">
            <v>23153103</v>
          </cell>
          <cell r="B2048" t="str">
            <v>Almohadilla de topa</v>
          </cell>
        </row>
        <row r="2049">
          <cell r="A2049">
            <v>23153129</v>
          </cell>
          <cell r="B2049" t="str">
            <v>Limpiador de la vía de máquina</v>
          </cell>
        </row>
        <row r="2050">
          <cell r="A2050">
            <v>23153130</v>
          </cell>
          <cell r="B2050" t="str">
            <v>Soportes de máquina o aisladores de vibración</v>
          </cell>
        </row>
        <row r="2051">
          <cell r="A2051">
            <v>23153131</v>
          </cell>
          <cell r="B2051" t="str">
            <v>Placas o barras o cintas de desgaste</v>
          </cell>
        </row>
        <row r="2052">
          <cell r="A2052">
            <v>23153132</v>
          </cell>
          <cell r="B2052" t="str">
            <v>Deflectores de polvo</v>
          </cell>
        </row>
        <row r="2053">
          <cell r="A2053">
            <v>23153133</v>
          </cell>
          <cell r="B2053" t="str">
            <v>Diente de rueda de cadena</v>
          </cell>
        </row>
        <row r="2054">
          <cell r="A2054">
            <v>23153134</v>
          </cell>
          <cell r="B2054" t="str">
            <v>Rodillos de avance o de arrastre</v>
          </cell>
        </row>
        <row r="2055">
          <cell r="A2055">
            <v>23153135</v>
          </cell>
          <cell r="B2055" t="str">
            <v>Cubiertas de rodillos de avance</v>
          </cell>
        </row>
        <row r="2056">
          <cell r="A2056">
            <v>23153136</v>
          </cell>
          <cell r="B2056" t="str">
            <v>Conductores de aserrín</v>
          </cell>
        </row>
        <row r="2057">
          <cell r="A2057">
            <v>23153137</v>
          </cell>
          <cell r="B2057" t="str">
            <v>Cubiertas guardapolvos de máquina</v>
          </cell>
        </row>
        <row r="2058">
          <cell r="A2058">
            <v>23153138</v>
          </cell>
          <cell r="B2058" t="str">
            <v>Cabezales de corte o desbastado</v>
          </cell>
        </row>
        <row r="2059">
          <cell r="A2059">
            <v>23153139</v>
          </cell>
          <cell r="B2059" t="str">
            <v>Camas guía</v>
          </cell>
        </row>
        <row r="2060">
          <cell r="A2060">
            <v>23153140</v>
          </cell>
          <cell r="B2060" t="str">
            <v>Brazos articulados</v>
          </cell>
        </row>
        <row r="2061">
          <cell r="A2061">
            <v>23153201</v>
          </cell>
          <cell r="B2061" t="str">
            <v>Robots de pintura</v>
          </cell>
        </row>
        <row r="2062">
          <cell r="A2062">
            <v>23153202</v>
          </cell>
          <cell r="B2062" t="str">
            <v>Robots para levantar o poner</v>
          </cell>
        </row>
        <row r="2063">
          <cell r="A2063">
            <v>23153203</v>
          </cell>
          <cell r="B2063" t="str">
            <v>Robots de sellado adhesivo</v>
          </cell>
        </row>
        <row r="2064">
          <cell r="A2064">
            <v>23153204</v>
          </cell>
          <cell r="B2064" t="str">
            <v>Robots de soldadura</v>
          </cell>
        </row>
        <row r="2065">
          <cell r="A2065">
            <v>23153301</v>
          </cell>
          <cell r="B2065" t="str">
            <v>Taladradoras</v>
          </cell>
        </row>
        <row r="2066">
          <cell r="A2066">
            <v>23153302</v>
          </cell>
          <cell r="B2066" t="str">
            <v>Fresadora para escariador</v>
          </cell>
        </row>
        <row r="2067">
          <cell r="A2067">
            <v>23153303</v>
          </cell>
          <cell r="B2067" t="str">
            <v>Brocas o herramientas de moldeado</v>
          </cell>
        </row>
        <row r="2068">
          <cell r="A2068">
            <v>23153305</v>
          </cell>
          <cell r="B2068" t="str">
            <v>Machos de roscar o matrices de trefilar</v>
          </cell>
        </row>
        <row r="2069">
          <cell r="A2069">
            <v>23153306</v>
          </cell>
          <cell r="B2069" t="str">
            <v>Brocha de corte</v>
          </cell>
        </row>
        <row r="2070">
          <cell r="A2070">
            <v>23153307</v>
          </cell>
          <cell r="B2070" t="str">
            <v>Herramientas de tallar</v>
          </cell>
        </row>
        <row r="2071">
          <cell r="A2071">
            <v>23153308</v>
          </cell>
          <cell r="B2071" t="str">
            <v>Portaherramientas o monturas de herramienta graduables</v>
          </cell>
        </row>
        <row r="2072">
          <cell r="A2072">
            <v>23153309</v>
          </cell>
          <cell r="B2072" t="str">
            <v>Insertos graduables para herramientas de corte</v>
          </cell>
        </row>
        <row r="2073">
          <cell r="A2073">
            <v>23153310</v>
          </cell>
          <cell r="B2073" t="str">
            <v>Desbarbadores rotatorios</v>
          </cell>
        </row>
        <row r="2074">
          <cell r="A2074">
            <v>23153311</v>
          </cell>
          <cell r="B2074" t="str">
            <v>Servicios de trituración secundaria, regeneración o revestimiento para herramientas de corte</v>
          </cell>
        </row>
        <row r="2075">
          <cell r="A2075">
            <v>23153312</v>
          </cell>
          <cell r="B2075" t="str">
            <v>Herramientas de avellanado o escariado</v>
          </cell>
        </row>
        <row r="2076">
          <cell r="A2076">
            <v>23153313</v>
          </cell>
          <cell r="B2076" t="str">
            <v>Cuchillas o conjuntos de cuchillas de maquinaria</v>
          </cell>
        </row>
        <row r="2077">
          <cell r="A2077">
            <v>23153401</v>
          </cell>
          <cell r="B2077" t="str">
            <v>Sistemas de aplicación de pegante o adhesivo</v>
          </cell>
        </row>
        <row r="2078">
          <cell r="A2078">
            <v>23153402</v>
          </cell>
          <cell r="B2078" t="str">
            <v>Accesorios de ensamblaje</v>
          </cell>
        </row>
        <row r="2079">
          <cell r="A2079">
            <v>23153403</v>
          </cell>
          <cell r="B2079" t="str">
            <v>Ensamblaje especializado</v>
          </cell>
        </row>
        <row r="2080">
          <cell r="A2080">
            <v>23153404</v>
          </cell>
          <cell r="B2080" t="str">
            <v>Sistemas de ensamblaje para vehículos de chasis (vo)</v>
          </cell>
        </row>
        <row r="2081">
          <cell r="A2081">
            <v>23153405</v>
          </cell>
          <cell r="B2081" t="str">
            <v>Ensamblaje de componentes ilimitados</v>
          </cell>
        </row>
        <row r="2082">
          <cell r="A2082">
            <v>23153406</v>
          </cell>
          <cell r="B2082" t="str">
            <v>Líneas completas de tren motor</v>
          </cell>
        </row>
        <row r="2083">
          <cell r="A2083">
            <v>23153407</v>
          </cell>
          <cell r="B2083" t="str">
            <v>Dispositivo de montaje de superficies</v>
          </cell>
        </row>
        <row r="2084">
          <cell r="A2084">
            <v>23153408</v>
          </cell>
          <cell r="B2084" t="str">
            <v>Prueba de llenado</v>
          </cell>
        </row>
        <row r="2085">
          <cell r="A2085">
            <v>23153409</v>
          </cell>
          <cell r="B2085" t="str">
            <v>Multihusillo fijo de corredera roscada</v>
          </cell>
        </row>
        <row r="2086">
          <cell r="A2086">
            <v>23153410</v>
          </cell>
          <cell r="B2086" t="str">
            <v>Patines de carrocería</v>
          </cell>
        </row>
        <row r="2087">
          <cell r="A2087">
            <v>23153411</v>
          </cell>
          <cell r="B2087" t="str">
            <v>Inflado de montaje de llantas</v>
          </cell>
        </row>
        <row r="2088">
          <cell r="A2088">
            <v>23153412</v>
          </cell>
          <cell r="B2088" t="str">
            <v>Cizalla de guillotina</v>
          </cell>
        </row>
        <row r="2089">
          <cell r="A2089">
            <v>23153413</v>
          </cell>
          <cell r="B2089" t="str">
            <v>Aplicación de recepción (pu) de inserción de vidrio</v>
          </cell>
        </row>
        <row r="2090">
          <cell r="A2090">
            <v>23153414</v>
          </cell>
          <cell r="B2090" t="str">
            <v>Brazos articulados de movimiento giratorio</v>
          </cell>
        </row>
        <row r="2091">
          <cell r="A2091">
            <v>23153415</v>
          </cell>
          <cell r="B2091" t="str">
            <v>Acoplamiento automático del chasis</v>
          </cell>
        </row>
        <row r="2092">
          <cell r="A2092">
            <v>23153416</v>
          </cell>
          <cell r="B2092" t="str">
            <v>Componentes flexibles</v>
          </cell>
        </row>
        <row r="2093">
          <cell r="A2093">
            <v>23153417</v>
          </cell>
          <cell r="B2093" t="str">
            <v>Maquinas diversas para ensamble</v>
          </cell>
        </row>
        <row r="2094">
          <cell r="A2094">
            <v>23153501</v>
          </cell>
          <cell r="B2094" t="str">
            <v>Sistemas de aplicación de pintura</v>
          </cell>
        </row>
        <row r="2095">
          <cell r="A2095">
            <v>23153502</v>
          </cell>
          <cell r="B2095" t="str">
            <v>Caseta para reparación de pintura</v>
          </cell>
        </row>
        <row r="2096">
          <cell r="A2096">
            <v>23153503</v>
          </cell>
          <cell r="B2096" t="str">
            <v>Hornos de sistemas de pintura</v>
          </cell>
        </row>
        <row r="2097">
          <cell r="A2097">
            <v>23153504</v>
          </cell>
          <cell r="B2097" t="str">
            <v>Ingeniería o disposición de la planta de pintura</v>
          </cell>
        </row>
        <row r="2098">
          <cell r="A2098">
            <v>23153505</v>
          </cell>
          <cell r="B2098" t="str">
            <v>Sistema de pintura llave en mano</v>
          </cell>
        </row>
        <row r="2099">
          <cell r="A2099">
            <v>23153506</v>
          </cell>
          <cell r="B2099" t="str">
            <v>Sistema de pintura de fosfato o “e coat”</v>
          </cell>
        </row>
        <row r="2100">
          <cell r="A2100">
            <v>23153507</v>
          </cell>
          <cell r="B2100" t="str">
            <v>Taller de pintura variado</v>
          </cell>
        </row>
        <row r="2101">
          <cell r="A2101">
            <v>23153508</v>
          </cell>
          <cell r="B2101" t="str">
            <v>Sistemas diversos de pintura</v>
          </cell>
        </row>
        <row r="2102">
          <cell r="A2102">
            <v>23161501</v>
          </cell>
          <cell r="B2102" t="str">
            <v>Fuelles de fundición</v>
          </cell>
        </row>
        <row r="2103">
          <cell r="A2103">
            <v>23161502</v>
          </cell>
          <cell r="B2103" t="str">
            <v>Quemadores de fundición</v>
          </cell>
        </row>
        <row r="2104">
          <cell r="A2104">
            <v>23161503</v>
          </cell>
          <cell r="B2104" t="str">
            <v>Horno de secado del núcleo</v>
          </cell>
        </row>
        <row r="2105">
          <cell r="A2105">
            <v>23161504</v>
          </cell>
          <cell r="B2105" t="str">
            <v>Prensas de forja</v>
          </cell>
        </row>
        <row r="2106">
          <cell r="A2106">
            <v>23161506</v>
          </cell>
          <cell r="B2106" t="str">
            <v>Crisoles de fundición</v>
          </cell>
        </row>
        <row r="2107">
          <cell r="A2107">
            <v>23161507</v>
          </cell>
          <cell r="B2107" t="str">
            <v>Convertidores para fundición</v>
          </cell>
        </row>
        <row r="2108">
          <cell r="A2108">
            <v>23161508</v>
          </cell>
          <cell r="B2108" t="str">
            <v>Prensa para forja con matriz abierta</v>
          </cell>
        </row>
        <row r="2109">
          <cell r="A2109">
            <v>23161509</v>
          </cell>
          <cell r="B2109" t="str">
            <v>Máquinas de estampación de forjado</v>
          </cell>
        </row>
        <row r="2110">
          <cell r="A2110">
            <v>23161510</v>
          </cell>
          <cell r="B2110" t="str">
            <v>Máquinas fundidoras</v>
          </cell>
        </row>
        <row r="2111">
          <cell r="A2111">
            <v>23161511</v>
          </cell>
          <cell r="B2111" t="str">
            <v>Cilindros de forjar</v>
          </cell>
        </row>
        <row r="2112">
          <cell r="A2112">
            <v>23161512</v>
          </cell>
          <cell r="B2112" t="str">
            <v>Máquinas de forja radial</v>
          </cell>
        </row>
        <row r="2113">
          <cell r="A2113">
            <v>23161513</v>
          </cell>
          <cell r="B2113" t="str">
            <v>Prensas de moldeo en frío</v>
          </cell>
        </row>
        <row r="2114">
          <cell r="A2114">
            <v>23161514</v>
          </cell>
          <cell r="B2114" t="str">
            <v>Prensas de dimensionamiento o grabado en relieve</v>
          </cell>
        </row>
        <row r="2115">
          <cell r="A2115">
            <v>23161515</v>
          </cell>
          <cell r="B2115" t="str">
            <v>Máquinas de forja de extremos</v>
          </cell>
        </row>
        <row r="2116">
          <cell r="A2116">
            <v>23161601</v>
          </cell>
          <cell r="B2116" t="str">
            <v>Fuelles de fundición</v>
          </cell>
        </row>
        <row r="2117">
          <cell r="A2117">
            <v>23161602</v>
          </cell>
          <cell r="B2117" t="str">
            <v>Arcillas de fundición</v>
          </cell>
        </row>
        <row r="2118">
          <cell r="A2118">
            <v>23161603</v>
          </cell>
          <cell r="B2118" t="str">
            <v>Frascos de fundición</v>
          </cell>
        </row>
        <row r="2119">
          <cell r="A2119">
            <v>23161605</v>
          </cell>
          <cell r="B2119" t="str">
            <v>Cucharas de fundición</v>
          </cell>
        </row>
        <row r="2120">
          <cell r="A2120">
            <v>23161606</v>
          </cell>
          <cell r="B2120" t="str">
            <v>Troqueles de fundición</v>
          </cell>
        </row>
        <row r="2121">
          <cell r="A2121">
            <v>23161607</v>
          </cell>
          <cell r="B2121" t="str">
            <v>Arena de fundición</v>
          </cell>
        </row>
        <row r="2122">
          <cell r="A2122">
            <v>23161608</v>
          </cell>
          <cell r="B2122" t="str">
            <v>Palas de fundición</v>
          </cell>
        </row>
        <row r="2123">
          <cell r="A2123">
            <v>23171501</v>
          </cell>
          <cell r="B2123" t="str">
            <v>Aerosoles antisalpicaduras</v>
          </cell>
        </row>
        <row r="2124">
          <cell r="A2124">
            <v>23171502</v>
          </cell>
          <cell r="B2124" t="str">
            <v>Varillas de soldadura o soldadura con latón a gas</v>
          </cell>
        </row>
        <row r="2125">
          <cell r="A2125">
            <v>23171504</v>
          </cell>
          <cell r="B2125" t="str">
            <v>Sopletes</v>
          </cell>
        </row>
        <row r="2126">
          <cell r="A2126">
            <v>23171505</v>
          </cell>
          <cell r="B2126" t="str">
            <v>Polvo de hierro</v>
          </cell>
        </row>
        <row r="2127">
          <cell r="A2127">
            <v>23171506</v>
          </cell>
          <cell r="B2127" t="str">
            <v>Fluido de soldadura</v>
          </cell>
        </row>
        <row r="2128">
          <cell r="A2128">
            <v>23171507</v>
          </cell>
          <cell r="B2128" t="str">
            <v>Soldadores o pistolas para sueldas</v>
          </cell>
        </row>
        <row r="2129">
          <cell r="A2129">
            <v>23171508</v>
          </cell>
          <cell r="B2129" t="str">
            <v>Máquinas de soldar</v>
          </cell>
        </row>
        <row r="2130">
          <cell r="A2130">
            <v>23171509</v>
          </cell>
          <cell r="B2130" t="str">
            <v>Soldadura</v>
          </cell>
        </row>
        <row r="2131">
          <cell r="A2131">
            <v>23171510</v>
          </cell>
          <cell r="B2131" t="str">
            <v>Alambre soldador</v>
          </cell>
        </row>
        <row r="2132">
          <cell r="A2132">
            <v>23171511</v>
          </cell>
          <cell r="B2132" t="str">
            <v>Herramientas de soldadura</v>
          </cell>
        </row>
        <row r="2133">
          <cell r="A2133">
            <v>23171512</v>
          </cell>
          <cell r="B2133" t="str">
            <v>Varillas soldadoras</v>
          </cell>
        </row>
        <row r="2134">
          <cell r="A2134">
            <v>23171513</v>
          </cell>
          <cell r="B2134" t="str">
            <v>Rectificadores de soldadura</v>
          </cell>
        </row>
        <row r="2135">
          <cell r="A2135">
            <v>23171514</v>
          </cell>
          <cell r="B2135" t="str">
            <v>Generadores para soldadura</v>
          </cell>
        </row>
        <row r="2136">
          <cell r="A2136">
            <v>23171515</v>
          </cell>
          <cell r="B2136" t="str">
            <v>Electrodos para soldar</v>
          </cell>
        </row>
        <row r="2137">
          <cell r="A2137">
            <v>23171517</v>
          </cell>
          <cell r="B2137" t="str">
            <v>Sopletes</v>
          </cell>
        </row>
        <row r="2138">
          <cell r="A2138">
            <v>23171518</v>
          </cell>
          <cell r="B2138" t="str">
            <v>Maquinaria para soldadura de plasma</v>
          </cell>
        </row>
        <row r="2139">
          <cell r="A2139">
            <v>23171519</v>
          </cell>
          <cell r="B2139" t="str">
            <v>Maquinaria de soldadura de tungsteno a gas inerte (TIG)</v>
          </cell>
        </row>
        <row r="2140">
          <cell r="A2140">
            <v>23171520</v>
          </cell>
          <cell r="B2140" t="str">
            <v>Maquinaria de soldadura por ultrasonido</v>
          </cell>
        </row>
        <row r="2141">
          <cell r="A2141">
            <v>23171521</v>
          </cell>
          <cell r="B2141" t="str">
            <v>Maquinaria de soldadura por láser</v>
          </cell>
        </row>
        <row r="2142">
          <cell r="A2142">
            <v>23171522</v>
          </cell>
          <cell r="B2142" t="str">
            <v>Fundentes para soldar</v>
          </cell>
        </row>
        <row r="2143">
          <cell r="A2143">
            <v>23171523</v>
          </cell>
          <cell r="B2143" t="str">
            <v>Palos indicadores de temperatura</v>
          </cell>
        </row>
        <row r="2144">
          <cell r="A2144">
            <v>23171524</v>
          </cell>
          <cell r="B2144" t="str">
            <v>Anillos para soldar en fuerte</v>
          </cell>
        </row>
        <row r="2145">
          <cell r="A2145">
            <v>23171525</v>
          </cell>
          <cell r="B2145" t="str">
            <v>Aditivos soldantes</v>
          </cell>
        </row>
        <row r="2146">
          <cell r="A2146">
            <v>23171526</v>
          </cell>
          <cell r="B2146" t="str">
            <v>Aditivos desoldantes</v>
          </cell>
        </row>
        <row r="2147">
          <cell r="A2147">
            <v>23171527</v>
          </cell>
          <cell r="B2147" t="str">
            <v>Trencilla desoldante</v>
          </cell>
        </row>
        <row r="2148">
          <cell r="A2148">
            <v>23171528</v>
          </cell>
          <cell r="B2148" t="str">
            <v>Pantallas o cortinas para soldar</v>
          </cell>
        </row>
        <row r="2149">
          <cell r="A2149">
            <v>23171529</v>
          </cell>
          <cell r="B2149" t="str">
            <v>La soldadura o el kit</v>
          </cell>
        </row>
        <row r="2150">
          <cell r="A2150">
            <v>23171530</v>
          </cell>
          <cell r="B2150" t="str">
            <v>Estaciones de soldado, desoldado o mixtas</v>
          </cell>
        </row>
        <row r="2151">
          <cell r="A2151">
            <v>23171531</v>
          </cell>
          <cell r="B2151" t="str">
            <v>Pistola de desoldado</v>
          </cell>
        </row>
        <row r="2152">
          <cell r="A2152">
            <v>23171532</v>
          </cell>
          <cell r="B2152" t="str">
            <v>Bomba de desoldado</v>
          </cell>
        </row>
        <row r="2153">
          <cell r="A2153">
            <v>23171533</v>
          </cell>
          <cell r="B2153" t="str">
            <v>Fundentes de soldadura</v>
          </cell>
        </row>
        <row r="2154">
          <cell r="A2154">
            <v>23171534</v>
          </cell>
          <cell r="B2154" t="str">
            <v>Fundentes de soldadura fuerte</v>
          </cell>
        </row>
        <row r="2155">
          <cell r="A2155">
            <v>23171535</v>
          </cell>
          <cell r="B2155" t="str">
            <v>Puntas de corte o soldadura</v>
          </cell>
        </row>
        <row r="2156">
          <cell r="A2156">
            <v>23171536</v>
          </cell>
          <cell r="B2156" t="str">
            <v>Portaelectrodos</v>
          </cell>
        </row>
        <row r="2157">
          <cell r="A2157">
            <v>23171537</v>
          </cell>
          <cell r="B2157" t="str">
            <v>Limas limpiadoras de punta de soldadura o soldadura fuerte</v>
          </cell>
        </row>
        <row r="2158">
          <cell r="A2158">
            <v>23171538</v>
          </cell>
          <cell r="B2158" t="str">
            <v>Reacondicionadores de punta de soldadura o accesorios</v>
          </cell>
        </row>
        <row r="2159">
          <cell r="A2159">
            <v>23171539</v>
          </cell>
          <cell r="B2159" t="str">
            <v>Cuchillas de acondicionamiento de punta de soldadura</v>
          </cell>
        </row>
        <row r="2160">
          <cell r="A2160">
            <v>23171540</v>
          </cell>
          <cell r="B2160" t="str">
            <v>Maquinaria de soldadura al arco en atmósfera de gas inerte con electrodo consumible (MIG)</v>
          </cell>
        </row>
        <row r="2161">
          <cell r="A2161">
            <v>23171541</v>
          </cell>
          <cell r="B2161" t="str">
            <v>Aparato de corte o de soldadura fuerte o de soldadura por llama de gas</v>
          </cell>
        </row>
        <row r="2162">
          <cell r="A2162">
            <v>23171602</v>
          </cell>
          <cell r="B2162" t="str">
            <v>Cortadores de barras o varillas</v>
          </cell>
        </row>
        <row r="2163">
          <cell r="A2163">
            <v>23171603</v>
          </cell>
          <cell r="B2163" t="str">
            <v>Cortadores de cañerías o tubos</v>
          </cell>
        </row>
        <row r="2164">
          <cell r="A2164">
            <v>23171604</v>
          </cell>
          <cell r="B2164" t="str">
            <v>Cortadores de alambres o cables</v>
          </cell>
        </row>
        <row r="2165">
          <cell r="A2165">
            <v>23171605</v>
          </cell>
          <cell r="B2165" t="str">
            <v>Equipo para desbarbar</v>
          </cell>
        </row>
        <row r="2166">
          <cell r="A2166">
            <v>23171606</v>
          </cell>
          <cell r="B2166" t="str">
            <v>Tornos</v>
          </cell>
        </row>
        <row r="2167">
          <cell r="A2167">
            <v>23171607</v>
          </cell>
          <cell r="B2167" t="str">
            <v>Herramientas y troqueles para tornos</v>
          </cell>
        </row>
        <row r="2168">
          <cell r="A2168">
            <v>23171608</v>
          </cell>
          <cell r="B2168" t="str">
            <v>Herramientas de corte con láser</v>
          </cell>
        </row>
        <row r="2169">
          <cell r="A2169">
            <v>23171609</v>
          </cell>
          <cell r="B2169" t="str">
            <v>Brocas americanas</v>
          </cell>
        </row>
        <row r="2170">
          <cell r="A2170">
            <v>23171610</v>
          </cell>
          <cell r="B2170" t="str">
            <v>Escariadores</v>
          </cell>
        </row>
        <row r="2171">
          <cell r="A2171">
            <v>23171611</v>
          </cell>
          <cell r="B2171" t="str">
            <v>Contrataladros</v>
          </cell>
        </row>
        <row r="2172">
          <cell r="A2172">
            <v>23171612</v>
          </cell>
          <cell r="B2172" t="str">
            <v>Cortadores rotatorios de metales</v>
          </cell>
        </row>
        <row r="2173">
          <cell r="A2173">
            <v>23171613</v>
          </cell>
          <cell r="B2173" t="str">
            <v>Fresas</v>
          </cell>
        </row>
        <row r="2174">
          <cell r="A2174">
            <v>23171614</v>
          </cell>
          <cell r="B2174" t="str">
            <v>Limadores de engranajes</v>
          </cell>
        </row>
        <row r="2175">
          <cell r="A2175">
            <v>23171615</v>
          </cell>
          <cell r="B2175" t="str">
            <v>Cortadores de virutas</v>
          </cell>
        </row>
        <row r="2176">
          <cell r="A2176">
            <v>23171616</v>
          </cell>
          <cell r="B2176" t="str">
            <v>Equipo de mecanizado por chorro abrasivo</v>
          </cell>
        </row>
        <row r="2177">
          <cell r="A2177">
            <v>23171617</v>
          </cell>
          <cell r="B2177" t="str">
            <v>Herramientas de escariado</v>
          </cell>
        </row>
        <row r="2178">
          <cell r="A2178">
            <v>23171618</v>
          </cell>
          <cell r="B2178" t="str">
            <v>Insertos Indexables</v>
          </cell>
        </row>
        <row r="2179">
          <cell r="A2179">
            <v>23171619</v>
          </cell>
          <cell r="B2179" t="str">
            <v>Herramientas de perforación</v>
          </cell>
        </row>
        <row r="2180">
          <cell r="A2180">
            <v>23171620</v>
          </cell>
          <cell r="B2180" t="str">
            <v>Mandriles</v>
          </cell>
        </row>
        <row r="2181">
          <cell r="A2181">
            <v>23171621</v>
          </cell>
          <cell r="B2181" t="str">
            <v>Herramientas de inserción</v>
          </cell>
        </row>
        <row r="2182">
          <cell r="A2182">
            <v>23171622</v>
          </cell>
          <cell r="B2182" t="str">
            <v>Prensas de taller</v>
          </cell>
        </row>
        <row r="2183">
          <cell r="A2183">
            <v>23171623</v>
          </cell>
          <cell r="B2183" t="str">
            <v>Terminadoras</v>
          </cell>
        </row>
        <row r="2184">
          <cell r="A2184">
            <v>23171701</v>
          </cell>
          <cell r="B2184" t="str">
            <v>Máquinas de curvar tangentes</v>
          </cell>
        </row>
        <row r="2185">
          <cell r="A2185">
            <v>23171702</v>
          </cell>
          <cell r="B2185" t="str">
            <v>Máquinas de curvar laterales</v>
          </cell>
        </row>
        <row r="2186">
          <cell r="A2186">
            <v>23171703</v>
          </cell>
          <cell r="B2186" t="str">
            <v>Maquinaria de doblado de tubos</v>
          </cell>
        </row>
        <row r="2187">
          <cell r="A2187">
            <v>23171704</v>
          </cell>
          <cell r="B2187" t="str">
            <v>Mandriles para doblar tuberías</v>
          </cell>
        </row>
        <row r="2188">
          <cell r="A2188">
            <v>23171705</v>
          </cell>
          <cell r="B2188" t="str">
            <v>Codos de troquel</v>
          </cell>
        </row>
        <row r="2189">
          <cell r="A2189">
            <v>23171706</v>
          </cell>
          <cell r="B2189" t="str">
            <v>Máquina de moldeado continuo</v>
          </cell>
        </row>
        <row r="2190">
          <cell r="A2190">
            <v>23171707</v>
          </cell>
          <cell r="B2190" t="str">
            <v>Acabadores de terminales de tubos</v>
          </cell>
        </row>
        <row r="2191">
          <cell r="A2191">
            <v>23171708</v>
          </cell>
          <cell r="B2191" t="str">
            <v>Aterrajadoras</v>
          </cell>
        </row>
        <row r="2192">
          <cell r="A2192">
            <v>23171801</v>
          </cell>
          <cell r="B2192" t="str">
            <v>Moldes para estampar y formar</v>
          </cell>
        </row>
        <row r="2193">
          <cell r="A2193">
            <v>23171802</v>
          </cell>
          <cell r="B2193" t="str">
            <v>Moldes para matrizar</v>
          </cell>
        </row>
        <row r="2194">
          <cell r="A2194">
            <v>23171803</v>
          </cell>
          <cell r="B2194" t="str">
            <v>Moldes de estiramiento de metal por presión</v>
          </cell>
        </row>
        <row r="2195">
          <cell r="A2195">
            <v>23171804</v>
          </cell>
          <cell r="B2195" t="str">
            <v>Troqueles de cortar o labrar</v>
          </cell>
        </row>
        <row r="2196">
          <cell r="A2196">
            <v>23171805</v>
          </cell>
          <cell r="B2196" t="str">
            <v>Troqueles rotativos</v>
          </cell>
        </row>
        <row r="2197">
          <cell r="A2197">
            <v>23171806</v>
          </cell>
          <cell r="B2197" t="str">
            <v>Troqueles de acero de medida</v>
          </cell>
        </row>
        <row r="2198">
          <cell r="A2198">
            <v>23171901</v>
          </cell>
          <cell r="B2198" t="str">
            <v>Artefactos de Retención</v>
          </cell>
        </row>
        <row r="2199">
          <cell r="A2199">
            <v>23171902</v>
          </cell>
          <cell r="B2199" t="str">
            <v>Dispositivos de inspección o medición</v>
          </cell>
        </row>
        <row r="2200">
          <cell r="A2200">
            <v>23171903</v>
          </cell>
          <cell r="B2200" t="str">
            <v>Artefactos de útiles fabricados</v>
          </cell>
        </row>
        <row r="2201">
          <cell r="A2201">
            <v>23171904</v>
          </cell>
          <cell r="B2201" t="str">
            <v>Herramientas de fundición</v>
          </cell>
        </row>
        <row r="2202">
          <cell r="A2202">
            <v>23171905</v>
          </cell>
          <cell r="B2202" t="str">
            <v>Herramientas de Forjar</v>
          </cell>
        </row>
        <row r="2203">
          <cell r="A2203">
            <v>23171906</v>
          </cell>
          <cell r="B2203" t="str">
            <v>Herramientas de Montaje o Desmontaje</v>
          </cell>
        </row>
        <row r="2204">
          <cell r="A2204">
            <v>23172001</v>
          </cell>
          <cell r="B2204" t="str">
            <v>Rebabas</v>
          </cell>
        </row>
        <row r="2205">
          <cell r="A2205">
            <v>23172002</v>
          </cell>
          <cell r="B2205" t="str">
            <v>Relieve de forma</v>
          </cell>
        </row>
        <row r="2206">
          <cell r="A2206">
            <v>23172003</v>
          </cell>
          <cell r="B2206" t="str">
            <v>Máquina de roscar machos</v>
          </cell>
        </row>
        <row r="2207">
          <cell r="A2207">
            <v>23172005</v>
          </cell>
          <cell r="B2207" t="str">
            <v>Fábrica de máquina de acabar</v>
          </cell>
        </row>
        <row r="2208">
          <cell r="A2208">
            <v>23172006</v>
          </cell>
          <cell r="B2208" t="str">
            <v>Estampadores o troqueles para metal</v>
          </cell>
        </row>
        <row r="2209">
          <cell r="A2209">
            <v>23172007</v>
          </cell>
          <cell r="B2209" t="str">
            <v>Filos de sierra de banda para cortar metal</v>
          </cell>
        </row>
        <row r="2210">
          <cell r="A2210">
            <v>23172008</v>
          </cell>
          <cell r="B2210" t="str">
            <v>Filos de sierra circular para cortar metal</v>
          </cell>
        </row>
        <row r="2211">
          <cell r="A2211">
            <v>23172009</v>
          </cell>
          <cell r="B2211" t="str">
            <v>Insertos de carburo</v>
          </cell>
        </row>
        <row r="2212">
          <cell r="A2212">
            <v>23172010</v>
          </cell>
          <cell r="B2212" t="str">
            <v>Insertos cerámicos</v>
          </cell>
        </row>
        <row r="2213">
          <cell r="A2213">
            <v>23172011</v>
          </cell>
          <cell r="B2213" t="str">
            <v>Insertos de acero</v>
          </cell>
        </row>
        <row r="2214">
          <cell r="A2214">
            <v>23172012</v>
          </cell>
          <cell r="B2214" t="str">
            <v>Insertos de diamantes</v>
          </cell>
        </row>
        <row r="2215">
          <cell r="A2215">
            <v>23172013</v>
          </cell>
          <cell r="B2215" t="str">
            <v>Roscando molinos</v>
          </cell>
        </row>
        <row r="2216">
          <cell r="A2216">
            <v>23172014</v>
          </cell>
          <cell r="B2216" t="str">
            <v>Roscadoras o fileteadoras</v>
          </cell>
        </row>
        <row r="2217">
          <cell r="A2217">
            <v>23172015</v>
          </cell>
          <cell r="B2217" t="str">
            <v>Aterrajadoras</v>
          </cell>
        </row>
        <row r="2218">
          <cell r="A2218">
            <v>23181501</v>
          </cell>
          <cell r="B2218" t="str">
            <v>Maquinaria de llenado</v>
          </cell>
        </row>
        <row r="2219">
          <cell r="A2219">
            <v>23181502</v>
          </cell>
          <cell r="B2219" t="str">
            <v>Maquinaria de molido</v>
          </cell>
        </row>
        <row r="2220">
          <cell r="A2220">
            <v>23181504</v>
          </cell>
          <cell r="B2220" t="str">
            <v>Maquinaria de tamizado</v>
          </cell>
        </row>
        <row r="2221">
          <cell r="A2221">
            <v>23181505</v>
          </cell>
          <cell r="B2221" t="str">
            <v>Maquinaria para deshidratación</v>
          </cell>
        </row>
        <row r="2222">
          <cell r="A2222">
            <v>23181506</v>
          </cell>
          <cell r="B2222" t="str">
            <v>Maquinaria de lavado</v>
          </cell>
        </row>
        <row r="2223">
          <cell r="A2223">
            <v>23181507</v>
          </cell>
          <cell r="B2223" t="str">
            <v>Maquinaria de triturado</v>
          </cell>
        </row>
        <row r="2224">
          <cell r="A2224">
            <v>23181508</v>
          </cell>
          <cell r="B2224" t="str">
            <v>Máquinas blanqueadoras</v>
          </cell>
        </row>
        <row r="2225">
          <cell r="A2225">
            <v>23181509</v>
          </cell>
          <cell r="B2225" t="str">
            <v>Maquinaria de clasificación</v>
          </cell>
        </row>
        <row r="2226">
          <cell r="A2226">
            <v>23181510</v>
          </cell>
          <cell r="B2226" t="str">
            <v>Atadoras de carne</v>
          </cell>
        </row>
        <row r="2227">
          <cell r="A2227">
            <v>23181511</v>
          </cell>
          <cell r="B2227" t="str">
            <v>Conformadora</v>
          </cell>
        </row>
        <row r="2228">
          <cell r="A2228">
            <v>23181512</v>
          </cell>
          <cell r="B2228" t="str">
            <v>Enfriadora</v>
          </cell>
        </row>
        <row r="2229">
          <cell r="A2229">
            <v>23181513</v>
          </cell>
          <cell r="B2229" t="str">
            <v>Preespolvoreadora</v>
          </cell>
        </row>
        <row r="2230">
          <cell r="A2230">
            <v>23181601</v>
          </cell>
          <cell r="B2230" t="str">
            <v>Maquinaria para cortar en cubos</v>
          </cell>
        </row>
        <row r="2231">
          <cell r="A2231">
            <v>23181602</v>
          </cell>
          <cell r="B2231" t="str">
            <v>Máquina tajadora</v>
          </cell>
        </row>
        <row r="2232">
          <cell r="A2232">
            <v>23181603</v>
          </cell>
          <cell r="B2232" t="str">
            <v>Máquina picadora</v>
          </cell>
        </row>
        <row r="2233">
          <cell r="A2233">
            <v>23181604</v>
          </cell>
          <cell r="B2233" t="str">
            <v>Máquina cortadora</v>
          </cell>
        </row>
        <row r="2234">
          <cell r="A2234">
            <v>23181605</v>
          </cell>
          <cell r="B2234" t="str">
            <v>Máquina ralladora</v>
          </cell>
        </row>
        <row r="2235">
          <cell r="A2235">
            <v>23181606</v>
          </cell>
          <cell r="B2235" t="str">
            <v>Máquina peladora</v>
          </cell>
        </row>
        <row r="2236">
          <cell r="A2236">
            <v>23181701</v>
          </cell>
          <cell r="B2236" t="str">
            <v>Máquina para ahumar</v>
          </cell>
        </row>
        <row r="2237">
          <cell r="A2237">
            <v>23181702</v>
          </cell>
          <cell r="B2237" t="str">
            <v>Maquinaria para asar</v>
          </cell>
        </row>
        <row r="2238">
          <cell r="A2238">
            <v>23181703</v>
          </cell>
          <cell r="B2238" t="str">
            <v>Maquinaria para cocinar</v>
          </cell>
        </row>
        <row r="2239">
          <cell r="A2239">
            <v>23181704</v>
          </cell>
          <cell r="B2239" t="str">
            <v>Máquina para cocinar al vapor</v>
          </cell>
        </row>
        <row r="2240">
          <cell r="A2240">
            <v>23181801</v>
          </cell>
          <cell r="B2240" t="str">
            <v>Equipo y suministros para elaboración de café</v>
          </cell>
        </row>
        <row r="2241">
          <cell r="A2241">
            <v>23181802</v>
          </cell>
          <cell r="B2241" t="str">
            <v>Maquinaria para elaboración de zumos</v>
          </cell>
        </row>
        <row r="2242">
          <cell r="A2242">
            <v>23181803</v>
          </cell>
          <cell r="B2242" t="str">
            <v>Máquinas para hacer hielo</v>
          </cell>
        </row>
        <row r="2243">
          <cell r="A2243">
            <v>23181804</v>
          </cell>
          <cell r="B2243" t="str">
            <v>Máquinas para hacer helados</v>
          </cell>
        </row>
        <row r="2244">
          <cell r="A2244">
            <v>23191001</v>
          </cell>
          <cell r="B2244" t="str">
            <v>Mezcladora cambiadora</v>
          </cell>
        </row>
        <row r="2245">
          <cell r="A2245">
            <v>23191002</v>
          </cell>
          <cell r="B2245" t="str">
            <v>Mezcladora de cuchilla helicoidal</v>
          </cell>
        </row>
        <row r="2246">
          <cell r="A2246">
            <v>23191003</v>
          </cell>
          <cell r="B2246" t="str">
            <v>Mezcladora con doble brazo amasador</v>
          </cell>
        </row>
        <row r="2247">
          <cell r="A2247">
            <v>23191004</v>
          </cell>
          <cell r="B2247" t="str">
            <v>Mezcladoras intensivas</v>
          </cell>
        </row>
        <row r="2248">
          <cell r="A2248">
            <v>23191005</v>
          </cell>
          <cell r="B2248" t="str">
            <v>Mezcladoras de rodillo</v>
          </cell>
        </row>
        <row r="2249">
          <cell r="A2249">
            <v>23191101</v>
          </cell>
          <cell r="B2249" t="str">
            <v>Mezcladora de tornillo sencillo</v>
          </cell>
        </row>
        <row r="2250">
          <cell r="A2250">
            <v>23191102</v>
          </cell>
          <cell r="B2250" t="str">
            <v>Mezcladora de tornillo doble</v>
          </cell>
        </row>
        <row r="2251">
          <cell r="A2251">
            <v>23191201</v>
          </cell>
          <cell r="B2251" t="str">
            <v>Rastrillos de mezcladora</v>
          </cell>
        </row>
        <row r="2252">
          <cell r="A2252">
            <v>23191202</v>
          </cell>
          <cell r="B2252" t="str">
            <v>Cuchillas de mezcladora</v>
          </cell>
        </row>
        <row r="2253">
          <cell r="A2253">
            <v>23201001</v>
          </cell>
          <cell r="B2253" t="str">
            <v>Columnas de placa</v>
          </cell>
        </row>
        <row r="2254">
          <cell r="A2254">
            <v>23201002</v>
          </cell>
          <cell r="B2254" t="str">
            <v>Columnas cargadas</v>
          </cell>
        </row>
        <row r="2255">
          <cell r="A2255">
            <v>23201003</v>
          </cell>
          <cell r="B2255" t="str">
            <v>Contacto de líquido disperso</v>
          </cell>
        </row>
        <row r="2256">
          <cell r="A2256">
            <v>23201004</v>
          </cell>
          <cell r="B2256" t="str">
            <v>Columna de pared mojada</v>
          </cell>
        </row>
        <row r="2257">
          <cell r="A2257">
            <v>23201005</v>
          </cell>
          <cell r="B2257" t="str">
            <v>Columnas de burbuja</v>
          </cell>
        </row>
        <row r="2258">
          <cell r="A2258">
            <v>23201101</v>
          </cell>
          <cell r="B2258" t="str">
            <v>Recipiente absorbente</v>
          </cell>
        </row>
        <row r="2259">
          <cell r="A2259">
            <v>23201102</v>
          </cell>
          <cell r="B2259" t="str">
            <v>Recipiente absorbente a presión ambiental</v>
          </cell>
        </row>
        <row r="2260">
          <cell r="A2260">
            <v>23201201</v>
          </cell>
          <cell r="B2260" t="str">
            <v>Secadores atomizadores</v>
          </cell>
        </row>
        <row r="2261">
          <cell r="A2261">
            <v>23201202</v>
          </cell>
          <cell r="B2261" t="str">
            <v>Secadores de aire</v>
          </cell>
        </row>
        <row r="2262">
          <cell r="A2262">
            <v>23211001</v>
          </cell>
          <cell r="B2262" t="str">
            <v>Colocadores de chips</v>
          </cell>
        </row>
        <row r="2263">
          <cell r="A2263">
            <v>23211002</v>
          </cell>
          <cell r="B2263" t="str">
            <v>Maquinaria suministradora de pegamento</v>
          </cell>
        </row>
        <row r="2264">
          <cell r="A2264">
            <v>23211101</v>
          </cell>
          <cell r="B2264" t="str">
            <v>Sistemas de procesamiento de semiconductores</v>
          </cell>
        </row>
        <row r="2265">
          <cell r="A2265">
            <v>23221001</v>
          </cell>
          <cell r="B2265" t="str">
            <v>Sistema de descarga de jaulas</v>
          </cell>
        </row>
        <row r="2266">
          <cell r="A2266">
            <v>23221002</v>
          </cell>
          <cell r="B2266" t="str">
            <v>Lavador de jaulas</v>
          </cell>
        </row>
        <row r="2267">
          <cell r="A2267">
            <v>23221101</v>
          </cell>
          <cell r="B2267" t="str">
            <v>Aturdidor</v>
          </cell>
        </row>
        <row r="2268">
          <cell r="A2268">
            <v>23221201</v>
          </cell>
          <cell r="B2268" t="str">
            <v>Cortador de aves</v>
          </cell>
        </row>
        <row r="2269">
          <cell r="A2269">
            <v>23231001</v>
          </cell>
          <cell r="B2269" t="str">
            <v>Portaherramientas</v>
          </cell>
        </row>
        <row r="2270">
          <cell r="A2270">
            <v>23231002</v>
          </cell>
          <cell r="B2270" t="str">
            <v>Herramienta de carburo</v>
          </cell>
        </row>
        <row r="2271">
          <cell r="A2271">
            <v>23231101</v>
          </cell>
          <cell r="B2271" t="str">
            <v>Rueda de sierra de cinta</v>
          </cell>
        </row>
        <row r="2272">
          <cell r="A2272">
            <v>23231102</v>
          </cell>
          <cell r="B2272" t="str">
            <v>Guía de sierra</v>
          </cell>
        </row>
        <row r="2273">
          <cell r="A2273">
            <v>23231201</v>
          </cell>
          <cell r="B2273" t="str">
            <v>Espaciador de sierra</v>
          </cell>
        </row>
        <row r="2274">
          <cell r="A2274">
            <v>23231202</v>
          </cell>
          <cell r="B2274" t="str">
            <v>Eje de sierra</v>
          </cell>
        </row>
        <row r="2275">
          <cell r="A2275">
            <v>23231301</v>
          </cell>
          <cell r="B2275" t="str">
            <v>Rodillo alimentador</v>
          </cell>
        </row>
        <row r="2276">
          <cell r="A2276">
            <v>23231302</v>
          </cell>
          <cell r="B2276" t="str">
            <v>Rodillo de sujeción</v>
          </cell>
        </row>
        <row r="2277">
          <cell r="A2277">
            <v>23231401</v>
          </cell>
          <cell r="B2277" t="str">
            <v>Guía de alineación de la madera</v>
          </cell>
        </row>
        <row r="2278">
          <cell r="A2278">
            <v>23231402</v>
          </cell>
          <cell r="B2278" t="str">
            <v>Sierra cero</v>
          </cell>
        </row>
        <row r="2279">
          <cell r="A2279">
            <v>23231501</v>
          </cell>
          <cell r="B2279" t="str">
            <v>Barras portasierra</v>
          </cell>
        </row>
        <row r="2280">
          <cell r="A2280">
            <v>23231502</v>
          </cell>
          <cell r="B2280" t="str">
            <v>Eslinga de contenedor</v>
          </cell>
        </row>
        <row r="2281">
          <cell r="A2281">
            <v>23231601</v>
          </cell>
          <cell r="B2281" t="str">
            <v>Soporte de reborde</v>
          </cell>
        </row>
        <row r="2282">
          <cell r="A2282">
            <v>23231602</v>
          </cell>
          <cell r="B2282" t="str">
            <v>Rodillo de terminación</v>
          </cell>
        </row>
        <row r="2283">
          <cell r="A2283">
            <v>23231701</v>
          </cell>
          <cell r="B2283" t="str">
            <v>Deflector</v>
          </cell>
        </row>
        <row r="2284">
          <cell r="A2284">
            <v>23231801</v>
          </cell>
          <cell r="B2284" t="str">
            <v>Fijador de cuchilla</v>
          </cell>
        </row>
        <row r="2285">
          <cell r="A2285">
            <v>23231901</v>
          </cell>
          <cell r="B2285" t="str">
            <v>Lecho base</v>
          </cell>
        </row>
        <row r="2286">
          <cell r="A2286">
            <v>23231902</v>
          </cell>
          <cell r="B2286" t="str">
            <v>Placa trasera</v>
          </cell>
        </row>
        <row r="2287">
          <cell r="A2287">
            <v>23231903</v>
          </cell>
          <cell r="B2287" t="str">
            <v>Guía refrigerada por agua</v>
          </cell>
        </row>
        <row r="2288">
          <cell r="A2288">
            <v>23232001</v>
          </cell>
          <cell r="B2288" t="str">
            <v>Porta cuchillas</v>
          </cell>
        </row>
        <row r="2289">
          <cell r="A2289">
            <v>23232101</v>
          </cell>
          <cell r="B2289" t="str">
            <v>Soporte guía ajustable</v>
          </cell>
        </row>
        <row r="2290">
          <cell r="A2290">
            <v>23232201</v>
          </cell>
          <cell r="B2290" t="str">
            <v>Boquilla de pegamento</v>
          </cell>
        </row>
        <row r="2291">
          <cell r="A2291">
            <v>24101501</v>
          </cell>
          <cell r="B2291" t="str">
            <v>Carretas</v>
          </cell>
        </row>
        <row r="2292">
          <cell r="A2292">
            <v>24101502</v>
          </cell>
          <cell r="B2292" t="str">
            <v>Vehículos de transporte a grane</v>
          </cell>
        </row>
        <row r="2293">
          <cell r="A2293">
            <v>24101503</v>
          </cell>
          <cell r="B2293" t="str">
            <v>Vehículo dolly</v>
          </cell>
        </row>
        <row r="2294">
          <cell r="A2294">
            <v>24101504</v>
          </cell>
          <cell r="B2294" t="str">
            <v>Carretones de mano o accesorios</v>
          </cell>
        </row>
        <row r="2295">
          <cell r="A2295">
            <v>24101505</v>
          </cell>
          <cell r="B2295" t="str">
            <v>Camiones de pallets</v>
          </cell>
        </row>
        <row r="2296">
          <cell r="A2296">
            <v>24101506</v>
          </cell>
          <cell r="B2296" t="str">
            <v>Carretas de empujar</v>
          </cell>
        </row>
        <row r="2297">
          <cell r="A2297">
            <v>24101507</v>
          </cell>
          <cell r="B2297" t="str">
            <v>Carretillas</v>
          </cell>
        </row>
        <row r="2298">
          <cell r="A2298">
            <v>24101508</v>
          </cell>
          <cell r="B2298" t="str">
            <v>Plataformas rodantes</v>
          </cell>
        </row>
        <row r="2299">
          <cell r="A2299">
            <v>24101509</v>
          </cell>
          <cell r="B2299" t="str">
            <v>Vagones</v>
          </cell>
        </row>
        <row r="2300">
          <cell r="A2300">
            <v>24101510</v>
          </cell>
          <cell r="B2300" t="str">
            <v>Contenedor de basura plástico</v>
          </cell>
        </row>
        <row r="2301">
          <cell r="A2301">
            <v>24101511</v>
          </cell>
          <cell r="B2301" t="str">
            <v>Trolleys de estante</v>
          </cell>
        </row>
        <row r="2302">
          <cell r="A2302">
            <v>24101512</v>
          </cell>
          <cell r="B2302" t="str">
            <v>Bugies eléctricos</v>
          </cell>
        </row>
        <row r="2303">
          <cell r="A2303">
            <v>24101601</v>
          </cell>
          <cell r="B2303" t="str">
            <v>Ascensores</v>
          </cell>
        </row>
        <row r="2304">
          <cell r="A2304">
            <v>24101602</v>
          </cell>
          <cell r="B2304" t="str">
            <v>Montacargas</v>
          </cell>
        </row>
        <row r="2305">
          <cell r="A2305">
            <v>24101603</v>
          </cell>
          <cell r="B2305" t="str">
            <v>Elevadores forklift</v>
          </cell>
        </row>
        <row r="2306">
          <cell r="A2306">
            <v>24101604</v>
          </cell>
          <cell r="B2306" t="str">
            <v>Elevadores</v>
          </cell>
        </row>
        <row r="2307">
          <cell r="A2307">
            <v>24101605</v>
          </cell>
          <cell r="B2307" t="str">
            <v>Equipo de carga</v>
          </cell>
        </row>
        <row r="2308">
          <cell r="A2308">
            <v>24101606</v>
          </cell>
          <cell r="B2308" t="str">
            <v>Apiladoras</v>
          </cell>
        </row>
        <row r="2309">
          <cell r="A2309">
            <v>24101608</v>
          </cell>
          <cell r="B2309" t="str">
            <v>Malacates o güinches</v>
          </cell>
        </row>
        <row r="2310">
          <cell r="A2310">
            <v>24101609</v>
          </cell>
          <cell r="B2310" t="str">
            <v>Inclinadores</v>
          </cell>
        </row>
        <row r="2311">
          <cell r="A2311">
            <v>24101610</v>
          </cell>
          <cell r="B2311" t="str">
            <v>Manipuladores</v>
          </cell>
        </row>
        <row r="2312">
          <cell r="A2312">
            <v>24101611</v>
          </cell>
          <cell r="B2312" t="str">
            <v>Eslingas</v>
          </cell>
        </row>
        <row r="2313">
          <cell r="A2313">
            <v>24101612</v>
          </cell>
          <cell r="B2313" t="str">
            <v>Gatos</v>
          </cell>
        </row>
        <row r="2314">
          <cell r="A2314">
            <v>24101613</v>
          </cell>
          <cell r="B2314" t="str">
            <v>Bloques o poleas</v>
          </cell>
        </row>
        <row r="2315">
          <cell r="A2315">
            <v>24101614</v>
          </cell>
          <cell r="B2315" t="str">
            <v>Sacos de aire para cargar</v>
          </cell>
        </row>
        <row r="2316">
          <cell r="A2316">
            <v>24101615</v>
          </cell>
          <cell r="B2316" t="str">
            <v>Rampas de carga</v>
          </cell>
        </row>
        <row r="2317">
          <cell r="A2317">
            <v>24101616</v>
          </cell>
          <cell r="B2317" t="str">
            <v>Dispositivo debajo de gancho</v>
          </cell>
        </row>
        <row r="2318">
          <cell r="A2318">
            <v>24101617</v>
          </cell>
          <cell r="B2318" t="str">
            <v>Elevador de tijera</v>
          </cell>
        </row>
        <row r="2319">
          <cell r="A2319">
            <v>24101618</v>
          </cell>
          <cell r="B2319" t="str">
            <v>Instalador de tuberías</v>
          </cell>
        </row>
        <row r="2320">
          <cell r="A2320">
            <v>24101619</v>
          </cell>
          <cell r="B2320" t="str">
            <v>Puentes grúas</v>
          </cell>
        </row>
        <row r="2321">
          <cell r="A2321">
            <v>24101620</v>
          </cell>
          <cell r="B2321" t="str">
            <v>Camión grúas</v>
          </cell>
        </row>
        <row r="2322">
          <cell r="A2322">
            <v>24101621</v>
          </cell>
          <cell r="B2322" t="str">
            <v>Grúas todo terreno</v>
          </cell>
        </row>
        <row r="2323">
          <cell r="A2323">
            <v>24101622</v>
          </cell>
          <cell r="B2323" t="str">
            <v>Grúas para terrenos difíciles</v>
          </cell>
        </row>
        <row r="2324">
          <cell r="A2324">
            <v>24101623</v>
          </cell>
          <cell r="B2324" t="str">
            <v>Torre grúas</v>
          </cell>
        </row>
        <row r="2325">
          <cell r="A2325">
            <v>24101624</v>
          </cell>
          <cell r="B2325" t="str">
            <v>Grúas hidráulicas sobre camión</v>
          </cell>
        </row>
        <row r="2326">
          <cell r="A2326">
            <v>24101625</v>
          </cell>
          <cell r="B2326" t="str">
            <v>Camión grúas convencionales</v>
          </cell>
        </row>
        <row r="2327">
          <cell r="A2327">
            <v>24101626</v>
          </cell>
          <cell r="B2327" t="str">
            <v>Escaleras mecánicas o cintas rodantes</v>
          </cell>
        </row>
        <row r="2328">
          <cell r="A2328">
            <v>24101627</v>
          </cell>
          <cell r="B2328" t="str">
            <v>Troleys de viga</v>
          </cell>
        </row>
        <row r="2329">
          <cell r="A2329">
            <v>24101628</v>
          </cell>
          <cell r="B2329" t="str">
            <v>Horquillas ajustables</v>
          </cell>
        </row>
        <row r="2330">
          <cell r="A2330">
            <v>24101629</v>
          </cell>
          <cell r="B2330" t="str">
            <v>Accesorios o suministros de elevador forklift o transportador vertical</v>
          </cell>
        </row>
        <row r="2331">
          <cell r="A2331">
            <v>24101630</v>
          </cell>
          <cell r="B2331" t="str">
            <v>Grúas de taller</v>
          </cell>
        </row>
        <row r="2332">
          <cell r="A2332">
            <v>24101631</v>
          </cell>
          <cell r="B2332" t="str">
            <v>Tazas de succión</v>
          </cell>
        </row>
        <row r="2333">
          <cell r="A2333">
            <v>24101632</v>
          </cell>
          <cell r="B2333" t="str">
            <v>Izajes laterales</v>
          </cell>
        </row>
        <row r="2334">
          <cell r="A2334">
            <v>24101633</v>
          </cell>
          <cell r="B2334" t="str">
            <v>Tambores de elevación</v>
          </cell>
        </row>
        <row r="2335">
          <cell r="A2335">
            <v>24101634</v>
          </cell>
          <cell r="B2335" t="str">
            <v>Sacos de cadena</v>
          </cell>
        </row>
        <row r="2336">
          <cell r="A2336">
            <v>24101701</v>
          </cell>
          <cell r="B2336" t="str">
            <v>Rodillo transportador</v>
          </cell>
        </row>
        <row r="2337">
          <cell r="A2337">
            <v>24101702</v>
          </cell>
          <cell r="B2337" t="str">
            <v>Transbordadores a bolas</v>
          </cell>
        </row>
        <row r="2338">
          <cell r="A2338">
            <v>24101703</v>
          </cell>
          <cell r="B2338" t="str">
            <v>Acumuladoras de rocas</v>
          </cell>
        </row>
        <row r="2339">
          <cell r="A2339">
            <v>24101704</v>
          </cell>
          <cell r="B2339" t="str">
            <v>Alimentadores para banda transportadora</v>
          </cell>
        </row>
        <row r="2340">
          <cell r="A2340">
            <v>24101705</v>
          </cell>
          <cell r="B2340" t="str">
            <v>Tornillo de banda transportadora</v>
          </cell>
        </row>
        <row r="2341">
          <cell r="A2341">
            <v>24101706</v>
          </cell>
          <cell r="B2341" t="str">
            <v>Troles o vagonetas y accesorios</v>
          </cell>
        </row>
        <row r="2342">
          <cell r="A2342">
            <v>24101707</v>
          </cell>
          <cell r="B2342" t="str">
            <v>Banda transportadora sobre rieles</v>
          </cell>
        </row>
        <row r="2343">
          <cell r="A2343">
            <v>24101708</v>
          </cell>
          <cell r="B2343" t="str">
            <v>Banda transportadora extensible</v>
          </cell>
        </row>
        <row r="2344">
          <cell r="A2344">
            <v>24101709</v>
          </cell>
          <cell r="B2344" t="str">
            <v>Transportador de rodillos</v>
          </cell>
        </row>
        <row r="2345">
          <cell r="A2345">
            <v>24101710</v>
          </cell>
          <cell r="B2345" t="str">
            <v>Paradas de paquetes</v>
          </cell>
        </row>
        <row r="2346">
          <cell r="A2346">
            <v>24101711</v>
          </cell>
          <cell r="B2346" t="str">
            <v>Tornamesas</v>
          </cell>
        </row>
        <row r="2347">
          <cell r="A2347">
            <v>24101712</v>
          </cell>
          <cell r="B2347" t="str">
            <v>Bandas transportadoras</v>
          </cell>
        </row>
        <row r="2348">
          <cell r="A2348">
            <v>24101713</v>
          </cell>
          <cell r="B2348" t="str">
            <v>Aparato de cangilones</v>
          </cell>
        </row>
        <row r="2349">
          <cell r="A2349">
            <v>24101714</v>
          </cell>
          <cell r="B2349" t="str">
            <v>Bandas transportadoras aéreas</v>
          </cell>
        </row>
        <row r="2350">
          <cell r="A2350">
            <v>24101715</v>
          </cell>
          <cell r="B2350" t="str">
            <v>Sistema de bandas transportadoras</v>
          </cell>
        </row>
        <row r="2351">
          <cell r="A2351">
            <v>24101716</v>
          </cell>
          <cell r="B2351" t="str">
            <v>Poleas de banda transportadora</v>
          </cell>
        </row>
        <row r="2352">
          <cell r="A2352">
            <v>24101717</v>
          </cell>
          <cell r="B2352" t="str">
            <v>Rodillos de banda transportadora</v>
          </cell>
        </row>
        <row r="2353">
          <cell r="A2353">
            <v>24101718</v>
          </cell>
          <cell r="B2353" t="str">
            <v>Sujeciones de la banda transportadora</v>
          </cell>
        </row>
        <row r="2354">
          <cell r="A2354">
            <v>24101719</v>
          </cell>
          <cell r="B2354" t="str">
            <v>Cepillos de la banda transportadora</v>
          </cell>
        </row>
        <row r="2355">
          <cell r="A2355">
            <v>24101721</v>
          </cell>
          <cell r="B2355" t="str">
            <v>Cubierta de trolley</v>
          </cell>
        </row>
        <row r="2356">
          <cell r="A2356">
            <v>24101722</v>
          </cell>
          <cell r="B2356" t="str">
            <v>Banda transportadora de cadena</v>
          </cell>
        </row>
        <row r="2357">
          <cell r="A2357">
            <v>24101723</v>
          </cell>
          <cell r="B2357" t="str">
            <v>Rodillos o tambores motorizados</v>
          </cell>
        </row>
        <row r="2358">
          <cell r="A2358">
            <v>24101724</v>
          </cell>
          <cell r="B2358" t="str">
            <v>Bastidores de banda transportadora</v>
          </cell>
        </row>
        <row r="2359">
          <cell r="A2359">
            <v>24101725</v>
          </cell>
          <cell r="B2359" t="str">
            <v>Articulaciones o eslabones de banda transportadora</v>
          </cell>
        </row>
        <row r="2360">
          <cell r="A2360">
            <v>24101726</v>
          </cell>
          <cell r="B2360" t="str">
            <v>Revestimiento de la banda transportadora</v>
          </cell>
        </row>
        <row r="2361">
          <cell r="A2361">
            <v>24101727</v>
          </cell>
          <cell r="B2361" t="str">
            <v>Banda transportadora vibratoria</v>
          </cell>
        </row>
        <row r="2362">
          <cell r="A2362">
            <v>24101728</v>
          </cell>
          <cell r="B2362" t="str">
            <v>Soportes de la banda transportadora</v>
          </cell>
        </row>
        <row r="2363">
          <cell r="A2363">
            <v>24101801</v>
          </cell>
          <cell r="B2363" t="str">
            <v>Niveladores para muelles</v>
          </cell>
        </row>
        <row r="2364">
          <cell r="A2364">
            <v>24101802</v>
          </cell>
          <cell r="B2364" t="str">
            <v>Retenedoras para muelles</v>
          </cell>
        </row>
        <row r="2365">
          <cell r="A2365">
            <v>24101803</v>
          </cell>
          <cell r="B2365" t="str">
            <v>Rampas para muelles</v>
          </cell>
        </row>
        <row r="2366">
          <cell r="A2366">
            <v>24101804</v>
          </cell>
          <cell r="B2366" t="str">
            <v>Puertas de cintas</v>
          </cell>
        </row>
        <row r="2367">
          <cell r="A2367">
            <v>24101805</v>
          </cell>
          <cell r="B2367" t="str">
            <v>Parachoques para muelles</v>
          </cell>
        </row>
        <row r="2368">
          <cell r="A2368">
            <v>24101806</v>
          </cell>
          <cell r="B2368" t="str">
            <v>Escaleras para muelles</v>
          </cell>
        </row>
        <row r="2369">
          <cell r="A2369">
            <v>24101807</v>
          </cell>
          <cell r="B2369" t="str">
            <v>Planchas para muelles</v>
          </cell>
        </row>
        <row r="2370">
          <cell r="A2370">
            <v>24101808</v>
          </cell>
          <cell r="B2370" t="str">
            <v>Cuñas para ruedas</v>
          </cell>
        </row>
        <row r="2371">
          <cell r="A2371">
            <v>24101809</v>
          </cell>
          <cell r="B2371" t="str">
            <v>Carriles de muelle o accesorios</v>
          </cell>
        </row>
        <row r="2372">
          <cell r="A2372">
            <v>24101901</v>
          </cell>
          <cell r="B2372" t="str">
            <v>Abridores de canecas</v>
          </cell>
        </row>
        <row r="2373">
          <cell r="A2373">
            <v>24101902</v>
          </cell>
          <cell r="B2373" t="str">
            <v>Agarradores para canecas</v>
          </cell>
        </row>
        <row r="2374">
          <cell r="A2374">
            <v>24101903</v>
          </cell>
          <cell r="B2374" t="str">
            <v>Elevadores de canecas</v>
          </cell>
        </row>
        <row r="2375">
          <cell r="A2375">
            <v>24101904</v>
          </cell>
          <cell r="B2375" t="str">
            <v>Soportes para canecas</v>
          </cell>
        </row>
        <row r="2376">
          <cell r="A2376">
            <v>24101905</v>
          </cell>
          <cell r="B2376" t="str">
            <v>Cubierta de derrames</v>
          </cell>
        </row>
        <row r="2377">
          <cell r="A2377">
            <v>24101906</v>
          </cell>
          <cell r="B2377" t="str">
            <v>Recuperadores de canecas</v>
          </cell>
        </row>
        <row r="2378">
          <cell r="A2378">
            <v>24101907</v>
          </cell>
          <cell r="B2378" t="str">
            <v>Soportes de contención de derrames</v>
          </cell>
        </row>
        <row r="2379">
          <cell r="A2379">
            <v>24102001</v>
          </cell>
          <cell r="B2379" t="str">
            <v>Sistemas de estanterías para equipo electrónico montado sobre estantes</v>
          </cell>
        </row>
        <row r="2380">
          <cell r="A2380">
            <v>24102002</v>
          </cell>
          <cell r="B2380" t="str">
            <v>Manipuladores para recipientes</v>
          </cell>
        </row>
        <row r="2381">
          <cell r="A2381">
            <v>24102004</v>
          </cell>
          <cell r="B2381" t="str">
            <v>Estanterías para almacenaje</v>
          </cell>
        </row>
        <row r="2382">
          <cell r="A2382">
            <v>24102005</v>
          </cell>
          <cell r="B2382" t="str">
            <v>Sistemas automatizados de almacenaje o recuperación</v>
          </cell>
        </row>
        <row r="2383">
          <cell r="A2383">
            <v>24102006</v>
          </cell>
          <cell r="B2383" t="str">
            <v>Bancos de trabajo</v>
          </cell>
        </row>
        <row r="2384">
          <cell r="A2384">
            <v>24102007</v>
          </cell>
          <cell r="B2384" t="str">
            <v>Carretes de almacenamiento de estantes</v>
          </cell>
        </row>
        <row r="2385">
          <cell r="A2385">
            <v>24102008</v>
          </cell>
          <cell r="B2385" t="str">
            <v>Soportes de carretes portátiles</v>
          </cell>
        </row>
        <row r="2386">
          <cell r="A2386">
            <v>24102101</v>
          </cell>
          <cell r="B2386" t="str">
            <v>Equipo para manejo de carga</v>
          </cell>
        </row>
        <row r="2387">
          <cell r="A2387">
            <v>24102102</v>
          </cell>
          <cell r="B2387" t="str">
            <v>Carrusel de bodegaje</v>
          </cell>
        </row>
        <row r="2388">
          <cell r="A2388">
            <v>24102103</v>
          </cell>
          <cell r="B2388" t="str">
            <v>Encajadoras de bodegaje</v>
          </cell>
        </row>
        <row r="2389">
          <cell r="A2389">
            <v>24102104</v>
          </cell>
          <cell r="B2389" t="str">
            <v>Despaletizadoras</v>
          </cell>
        </row>
        <row r="2390">
          <cell r="A2390">
            <v>24102105</v>
          </cell>
          <cell r="B2390" t="str">
            <v>Paletizadoras</v>
          </cell>
        </row>
        <row r="2391">
          <cell r="A2391">
            <v>24102106</v>
          </cell>
          <cell r="B2391" t="str">
            <v>Equipo de retractilado industrial</v>
          </cell>
        </row>
        <row r="2392">
          <cell r="A2392">
            <v>24102107</v>
          </cell>
          <cell r="B2392" t="str">
            <v>Maquinaria para encartonar</v>
          </cell>
        </row>
        <row r="2393">
          <cell r="A2393">
            <v>24102108</v>
          </cell>
          <cell r="B2393" t="str">
            <v>Compactadores de empaque</v>
          </cell>
        </row>
        <row r="2394">
          <cell r="A2394">
            <v>24102109</v>
          </cell>
          <cell r="B2394" t="str">
            <v>Ganchos para sacos</v>
          </cell>
        </row>
        <row r="2395">
          <cell r="A2395">
            <v>24102201</v>
          </cell>
          <cell r="B2395" t="str">
            <v>Dispensadores de película elástica</v>
          </cell>
        </row>
        <row r="2396">
          <cell r="A2396">
            <v>24102202</v>
          </cell>
          <cell r="B2396" t="str">
            <v>Dispensadores de cinta para sellar cajas</v>
          </cell>
        </row>
        <row r="2397">
          <cell r="A2397">
            <v>24102203</v>
          </cell>
          <cell r="B2397" t="str">
            <v>Herramientas o equipos para sellar bolsas</v>
          </cell>
        </row>
        <row r="2398">
          <cell r="A2398">
            <v>24102204</v>
          </cell>
          <cell r="B2398" t="str">
            <v>Dispensador de zunchos</v>
          </cell>
        </row>
        <row r="2399">
          <cell r="A2399">
            <v>24102208</v>
          </cell>
          <cell r="B2399" t="str">
            <v>Infladores de aire</v>
          </cell>
        </row>
        <row r="2400">
          <cell r="A2400">
            <v>24111501</v>
          </cell>
          <cell r="B2400" t="str">
            <v>Bolsas de lona</v>
          </cell>
        </row>
        <row r="2401">
          <cell r="A2401">
            <v>24111502</v>
          </cell>
          <cell r="B2401" t="str">
            <v>Bolsas de papel</v>
          </cell>
        </row>
        <row r="2402">
          <cell r="A2402">
            <v>24111503</v>
          </cell>
          <cell r="B2402" t="str">
            <v>Bolsas plásticas</v>
          </cell>
        </row>
        <row r="2403">
          <cell r="A2403">
            <v>24111505</v>
          </cell>
          <cell r="B2403" t="str">
            <v>Contendedores de granel intermedios flexibles</v>
          </cell>
        </row>
        <row r="2404">
          <cell r="A2404">
            <v>24111506</v>
          </cell>
          <cell r="B2404" t="str">
            <v>Redes o bolsas de lavandería</v>
          </cell>
        </row>
        <row r="2405">
          <cell r="A2405">
            <v>24111507</v>
          </cell>
          <cell r="B2405" t="str">
            <v>Bolsas de herramientas</v>
          </cell>
        </row>
        <row r="2406">
          <cell r="A2406">
            <v>24111508</v>
          </cell>
          <cell r="B2406" t="str">
            <v>Bolsas de carpa</v>
          </cell>
        </row>
        <row r="2407">
          <cell r="A2407">
            <v>24111509</v>
          </cell>
          <cell r="B2407" t="str">
            <v>Bolsas de agua</v>
          </cell>
        </row>
        <row r="2408">
          <cell r="A2408">
            <v>24111801</v>
          </cell>
          <cell r="B2408" t="str">
            <v>Reservorios</v>
          </cell>
        </row>
        <row r="2409">
          <cell r="A2409">
            <v>24111802</v>
          </cell>
          <cell r="B2409" t="str">
            <v>Tanques o cilindros de aire o gas</v>
          </cell>
        </row>
        <row r="2410">
          <cell r="A2410">
            <v>24111803</v>
          </cell>
          <cell r="B2410" t="str">
            <v>Tanques de almacenamiento</v>
          </cell>
        </row>
        <row r="2411">
          <cell r="A2411">
            <v>24111804</v>
          </cell>
          <cell r="B2411" t="str">
            <v>Tanques de calibración</v>
          </cell>
        </row>
        <row r="2412">
          <cell r="A2412">
            <v>24111805</v>
          </cell>
          <cell r="B2412" t="str">
            <v>Tanques de productos químicos</v>
          </cell>
        </row>
        <row r="2413">
          <cell r="A2413">
            <v>24111806</v>
          </cell>
          <cell r="B2413" t="str">
            <v>Tanques de inmersión</v>
          </cell>
        </row>
        <row r="2414">
          <cell r="A2414">
            <v>24111807</v>
          </cell>
          <cell r="B2414" t="str">
            <v>Tanques de expansión</v>
          </cell>
        </row>
        <row r="2415">
          <cell r="A2415">
            <v>24111808</v>
          </cell>
          <cell r="B2415" t="str">
            <v>Tanques de almacenaje de combustible</v>
          </cell>
        </row>
        <row r="2416">
          <cell r="A2416">
            <v>24111809</v>
          </cell>
          <cell r="B2416" t="str">
            <v>Tanques de procesamiento</v>
          </cell>
        </row>
        <row r="2417">
          <cell r="A2417">
            <v>24111810</v>
          </cell>
          <cell r="B2417" t="str">
            <v>Tanques de almacenamiento de agua</v>
          </cell>
        </row>
        <row r="2418">
          <cell r="A2418">
            <v>24111811</v>
          </cell>
          <cell r="B2418" t="str">
            <v>Bombonas</v>
          </cell>
        </row>
        <row r="2419">
          <cell r="A2419">
            <v>24111812</v>
          </cell>
          <cell r="B2419" t="str">
            <v>Pileta de contención</v>
          </cell>
        </row>
        <row r="2420">
          <cell r="A2420">
            <v>24111813</v>
          </cell>
          <cell r="B2420" t="str">
            <v>Tanques de lavado</v>
          </cell>
        </row>
        <row r="2421">
          <cell r="A2421">
            <v>24112003</v>
          </cell>
          <cell r="B2421" t="str">
            <v>Tolvas no metálicas</v>
          </cell>
        </row>
        <row r="2422">
          <cell r="A2422">
            <v>24112004</v>
          </cell>
          <cell r="B2422" t="str">
            <v>Tolvas metálicas</v>
          </cell>
        </row>
        <row r="2423">
          <cell r="A2423">
            <v>24112005</v>
          </cell>
          <cell r="B2423" t="str">
            <v>Canastas metálicas</v>
          </cell>
        </row>
        <row r="2424">
          <cell r="A2424">
            <v>24112006</v>
          </cell>
          <cell r="B2424" t="str">
            <v>Canastas no metálicas</v>
          </cell>
        </row>
        <row r="2425">
          <cell r="A2425">
            <v>24112101</v>
          </cell>
          <cell r="B2425" t="str">
            <v>Toneles</v>
          </cell>
        </row>
        <row r="2426">
          <cell r="A2426">
            <v>24112102</v>
          </cell>
          <cell r="B2426" t="str">
            <v>Barriles</v>
          </cell>
        </row>
        <row r="2427">
          <cell r="A2427">
            <v>24112108</v>
          </cell>
          <cell r="B2427" t="str">
            <v>Tambores metálicos</v>
          </cell>
        </row>
        <row r="2428">
          <cell r="A2428">
            <v>24112109</v>
          </cell>
          <cell r="B2428" t="str">
            <v>Tambores no metálicos</v>
          </cell>
        </row>
        <row r="2429">
          <cell r="A2429">
            <v>24112110</v>
          </cell>
          <cell r="B2429" t="str">
            <v>Contenedores intermedios a granel</v>
          </cell>
        </row>
        <row r="2430">
          <cell r="A2430">
            <v>24112111</v>
          </cell>
          <cell r="B2430" t="str">
            <v>Estabilizador</v>
          </cell>
        </row>
        <row r="2431">
          <cell r="A2431">
            <v>24112112</v>
          </cell>
          <cell r="B2431" t="str">
            <v>Tapa de tambor</v>
          </cell>
        </row>
        <row r="2432">
          <cell r="A2432">
            <v>24112204</v>
          </cell>
          <cell r="B2432" t="str">
            <v>Cubos metálicos</v>
          </cell>
        </row>
        <row r="2433">
          <cell r="A2433">
            <v>24112205</v>
          </cell>
          <cell r="B2433" t="str">
            <v>Cubos no metálicos</v>
          </cell>
        </row>
        <row r="2434">
          <cell r="A2434">
            <v>24112206</v>
          </cell>
          <cell r="B2434" t="str">
            <v>Bidones metálicos para líquido inflamable</v>
          </cell>
        </row>
        <row r="2435">
          <cell r="A2435">
            <v>24112207</v>
          </cell>
          <cell r="B2435" t="str">
            <v>Bidones no metálicos para líquido inflamable</v>
          </cell>
        </row>
        <row r="2436">
          <cell r="A2436">
            <v>24112208</v>
          </cell>
          <cell r="B2436" t="str">
            <v>Conjunto pulverizador</v>
          </cell>
        </row>
        <row r="2437">
          <cell r="A2437">
            <v>24112209</v>
          </cell>
          <cell r="B2437" t="str">
            <v>Contenedor de paredes rectas</v>
          </cell>
        </row>
        <row r="2438">
          <cell r="A2438">
            <v>24112401</v>
          </cell>
          <cell r="B2438" t="str">
            <v>Cofres, cajas o armarios para herramientas</v>
          </cell>
        </row>
        <row r="2439">
          <cell r="A2439">
            <v>24112402</v>
          </cell>
          <cell r="B2439" t="str">
            <v>Armarios para materiales peligrosos</v>
          </cell>
        </row>
        <row r="2440">
          <cell r="A2440">
            <v>24112403</v>
          </cell>
          <cell r="B2440" t="str">
            <v>Cinturón para herramientas</v>
          </cell>
        </row>
        <row r="2441">
          <cell r="A2441">
            <v>24112404</v>
          </cell>
          <cell r="B2441" t="str">
            <v>Caja</v>
          </cell>
        </row>
        <row r="2442">
          <cell r="A2442">
            <v>24112405</v>
          </cell>
          <cell r="B2442" t="str">
            <v>Armarios</v>
          </cell>
        </row>
        <row r="2443">
          <cell r="A2443">
            <v>24112406</v>
          </cell>
          <cell r="B2443" t="str">
            <v>Compartimentos de caja o estantería</v>
          </cell>
        </row>
        <row r="2444">
          <cell r="A2444">
            <v>24112407</v>
          </cell>
          <cell r="B2444" t="str">
            <v>Buzones</v>
          </cell>
        </row>
        <row r="2445">
          <cell r="A2445">
            <v>24112408</v>
          </cell>
          <cell r="B2445" t="str">
            <v>Cajas antiestática</v>
          </cell>
        </row>
        <row r="2446">
          <cell r="A2446">
            <v>24112409</v>
          </cell>
          <cell r="B2446" t="str">
            <v>Tapas para cajas</v>
          </cell>
        </row>
        <row r="2447">
          <cell r="A2447">
            <v>24112501</v>
          </cell>
          <cell r="B2447" t="str">
            <v>Cartones acanalados ranurados</v>
          </cell>
        </row>
        <row r="2448">
          <cell r="A2448">
            <v>24112502</v>
          </cell>
          <cell r="B2448" t="str">
            <v>Cajas de transporte cortadas con troquel de una sola pieza</v>
          </cell>
        </row>
        <row r="2449">
          <cell r="A2449">
            <v>24112503</v>
          </cell>
          <cell r="B2449" t="str">
            <v>Cartones acanalados de transporte cortados con troquel con tapas separadas</v>
          </cell>
        </row>
        <row r="2450">
          <cell r="A2450">
            <v>24112504</v>
          </cell>
          <cell r="B2450" t="str">
            <v>Cajas moldeadas</v>
          </cell>
        </row>
        <row r="2451">
          <cell r="A2451">
            <v>24112505</v>
          </cell>
          <cell r="B2451" t="str">
            <v>Formas de cartón corrugado</v>
          </cell>
        </row>
        <row r="2452">
          <cell r="A2452">
            <v>24112601</v>
          </cell>
          <cell r="B2452" t="str">
            <v>Jarras</v>
          </cell>
        </row>
        <row r="2453">
          <cell r="A2453">
            <v>24112602</v>
          </cell>
          <cell r="B2453" t="str">
            <v>Frascos</v>
          </cell>
        </row>
        <row r="2454">
          <cell r="A2454">
            <v>24121502</v>
          </cell>
          <cell r="B2454" t="str">
            <v>Sacos o bolsas para empacar</v>
          </cell>
        </row>
        <row r="2455">
          <cell r="A2455">
            <v>24121503</v>
          </cell>
          <cell r="B2455" t="str">
            <v>Cajas para empacar</v>
          </cell>
        </row>
        <row r="2456">
          <cell r="A2456">
            <v>24121504</v>
          </cell>
          <cell r="B2456" t="str">
            <v>Empaques cardados</v>
          </cell>
        </row>
        <row r="2457">
          <cell r="A2457">
            <v>24121506</v>
          </cell>
          <cell r="B2457" t="str">
            <v>Cajas conductivas</v>
          </cell>
        </row>
        <row r="2458">
          <cell r="A2458">
            <v>24121507</v>
          </cell>
          <cell r="B2458" t="str">
            <v>Cajas instaladas rígidas</v>
          </cell>
        </row>
        <row r="2459">
          <cell r="A2459">
            <v>24121508</v>
          </cell>
          <cell r="B2459" t="str">
            <v>Cartones de huevos</v>
          </cell>
        </row>
        <row r="2460">
          <cell r="A2460">
            <v>24121509</v>
          </cell>
          <cell r="B2460" t="str">
            <v>Bandejas para empacar</v>
          </cell>
        </row>
        <row r="2461">
          <cell r="A2461">
            <v>24121801</v>
          </cell>
          <cell r="B2461" t="str">
            <v>Latas de aerosol</v>
          </cell>
        </row>
        <row r="2462">
          <cell r="A2462">
            <v>24121802</v>
          </cell>
          <cell r="B2462" t="str">
            <v>Latas de pintura o barniz</v>
          </cell>
        </row>
        <row r="2463">
          <cell r="A2463">
            <v>24121803</v>
          </cell>
          <cell r="B2463" t="str">
            <v>Latas de bebida</v>
          </cell>
        </row>
        <row r="2464">
          <cell r="A2464">
            <v>24121804</v>
          </cell>
          <cell r="B2464" t="str">
            <v>Latas de comida</v>
          </cell>
        </row>
        <row r="2465">
          <cell r="A2465">
            <v>24121805</v>
          </cell>
          <cell r="B2465" t="str">
            <v>Latas de acero</v>
          </cell>
        </row>
        <row r="2466">
          <cell r="A2466">
            <v>24121806</v>
          </cell>
          <cell r="B2466" t="str">
            <v>Latas de aluminio</v>
          </cell>
        </row>
        <row r="2467">
          <cell r="A2467">
            <v>24121807</v>
          </cell>
          <cell r="B2467" t="str">
            <v>Recipientes de plástico</v>
          </cell>
        </row>
        <row r="2468">
          <cell r="A2468">
            <v>24122001</v>
          </cell>
          <cell r="B2468" t="str">
            <v>Botellas para apretar</v>
          </cell>
        </row>
        <row r="2469">
          <cell r="A2469">
            <v>24122002</v>
          </cell>
          <cell r="B2469" t="str">
            <v>Botellas de plástico</v>
          </cell>
        </row>
        <row r="2470">
          <cell r="A2470">
            <v>24122003</v>
          </cell>
          <cell r="B2470" t="str">
            <v>Botellas de cristal</v>
          </cell>
        </row>
        <row r="2471">
          <cell r="A2471">
            <v>24122004</v>
          </cell>
          <cell r="B2471" t="str">
            <v>Tapones o tapas</v>
          </cell>
        </row>
        <row r="2472">
          <cell r="A2472">
            <v>24122005</v>
          </cell>
          <cell r="B2472" t="str">
            <v>Botellas de aplicador</v>
          </cell>
        </row>
        <row r="2473">
          <cell r="A2473">
            <v>24122006</v>
          </cell>
          <cell r="B2473" t="str">
            <v>Aplicador</v>
          </cell>
        </row>
        <row r="2474">
          <cell r="A2474">
            <v>24131501</v>
          </cell>
          <cell r="B2474" t="str">
            <v>Refrigerador y congelador combinado</v>
          </cell>
        </row>
        <row r="2475">
          <cell r="A2475">
            <v>24131502</v>
          </cell>
          <cell r="B2475" t="str">
            <v>Refrigeradores de nitrógeno líquido</v>
          </cell>
        </row>
        <row r="2476">
          <cell r="A2476">
            <v>24131503</v>
          </cell>
          <cell r="B2476" t="str">
            <v>Cuartos fríos</v>
          </cell>
        </row>
        <row r="2477">
          <cell r="A2477">
            <v>24131504</v>
          </cell>
          <cell r="B2477" t="str">
            <v>Contenedores refrigerados</v>
          </cell>
        </row>
        <row r="2478">
          <cell r="A2478">
            <v>24131505</v>
          </cell>
          <cell r="B2478" t="str">
            <v>Buques refrigerados</v>
          </cell>
        </row>
        <row r="2479">
          <cell r="A2479">
            <v>24131506</v>
          </cell>
          <cell r="B2479" t="str">
            <v>Tanques refrigerados</v>
          </cell>
        </row>
        <row r="2480">
          <cell r="A2480">
            <v>24131601</v>
          </cell>
          <cell r="B2480" t="str">
            <v>Congeladores horizontales</v>
          </cell>
        </row>
        <row r="2481">
          <cell r="A2481">
            <v>24131602</v>
          </cell>
          <cell r="B2481" t="str">
            <v>Congeladores verticales</v>
          </cell>
        </row>
        <row r="2482">
          <cell r="A2482">
            <v>24131603</v>
          </cell>
          <cell r="B2482" t="str">
            <v>Congeladores a bajas temperaturas</v>
          </cell>
        </row>
        <row r="2483">
          <cell r="A2483">
            <v>24131604</v>
          </cell>
          <cell r="B2483" t="str">
            <v>Equipo de secado por congelación</v>
          </cell>
        </row>
        <row r="2484">
          <cell r="A2484">
            <v>24131605</v>
          </cell>
          <cell r="B2484" t="str">
            <v>Cuartos fríos</v>
          </cell>
        </row>
        <row r="2485">
          <cell r="A2485">
            <v>24131606</v>
          </cell>
          <cell r="B2485" t="str">
            <v>Congeladores de placa</v>
          </cell>
        </row>
        <row r="2486">
          <cell r="A2486">
            <v>24131607</v>
          </cell>
          <cell r="B2486" t="str">
            <v>Congeladores de golpe de frío</v>
          </cell>
        </row>
        <row r="2487">
          <cell r="A2487">
            <v>24131901</v>
          </cell>
          <cell r="B2487" t="str">
            <v>Máquinas para hacer cubos de hielo</v>
          </cell>
        </row>
        <row r="2488">
          <cell r="A2488">
            <v>24131902</v>
          </cell>
          <cell r="B2488" t="str">
            <v>Máquinas para hacer bloques de hielo</v>
          </cell>
        </row>
        <row r="2489">
          <cell r="A2489">
            <v>24141501</v>
          </cell>
          <cell r="B2489" t="str">
            <v>Película elástica para envoltura</v>
          </cell>
        </row>
        <row r="2490">
          <cell r="A2490">
            <v>24141502</v>
          </cell>
          <cell r="B2490" t="str">
            <v>Láminas elásticas de embalaje</v>
          </cell>
        </row>
        <row r="2491">
          <cell r="A2491">
            <v>24141504</v>
          </cell>
          <cell r="B2491" t="str">
            <v>Sellos de seguridad a prueba de manipulación</v>
          </cell>
        </row>
        <row r="2492">
          <cell r="A2492">
            <v>24141506</v>
          </cell>
          <cell r="B2492" t="str">
            <v>Encerados</v>
          </cell>
        </row>
        <row r="2493">
          <cell r="A2493">
            <v>24141507</v>
          </cell>
          <cell r="B2493" t="str">
            <v>Película anti-estática para empacar</v>
          </cell>
        </row>
        <row r="2494">
          <cell r="A2494">
            <v>24141508</v>
          </cell>
          <cell r="B2494" t="str">
            <v>Soporte angular de cartón</v>
          </cell>
        </row>
        <row r="2495">
          <cell r="A2495">
            <v>24141509</v>
          </cell>
          <cell r="B2495" t="str">
            <v>Cuerda de goma,</v>
          </cell>
        </row>
        <row r="2496">
          <cell r="A2496">
            <v>24141510</v>
          </cell>
          <cell r="B2496" t="str">
            <v>Protectores de cables</v>
          </cell>
        </row>
        <row r="2497">
          <cell r="A2497">
            <v>24141511</v>
          </cell>
          <cell r="B2497" t="str">
            <v>Amarres de carga</v>
          </cell>
        </row>
        <row r="2498">
          <cell r="A2498">
            <v>24141512</v>
          </cell>
          <cell r="B2498" t="str">
            <v>Absorbentes de empaquetado</v>
          </cell>
        </row>
        <row r="2499">
          <cell r="A2499">
            <v>24141513</v>
          </cell>
          <cell r="B2499" t="str">
            <v>Empaques blíster</v>
          </cell>
        </row>
        <row r="2500">
          <cell r="A2500">
            <v>24141514</v>
          </cell>
          <cell r="B2500" t="str">
            <v>Películas para empacar</v>
          </cell>
        </row>
        <row r="2501">
          <cell r="A2501">
            <v>24141515</v>
          </cell>
          <cell r="B2501" t="str">
            <v>Red de protección</v>
          </cell>
        </row>
        <row r="2502">
          <cell r="A2502">
            <v>24141601</v>
          </cell>
          <cell r="B2502" t="str">
            <v>Empaque de burbujas</v>
          </cell>
        </row>
        <row r="2503">
          <cell r="A2503">
            <v>24141602</v>
          </cell>
          <cell r="B2503" t="str">
            <v>Materiales de termoformado</v>
          </cell>
        </row>
        <row r="2504">
          <cell r="A2504">
            <v>24141603</v>
          </cell>
          <cell r="B2504" t="str">
            <v>Amortiguación</v>
          </cell>
        </row>
        <row r="2505">
          <cell r="A2505">
            <v>24141604</v>
          </cell>
          <cell r="B2505" t="str">
            <v>Relleno</v>
          </cell>
        </row>
        <row r="2506">
          <cell r="A2506">
            <v>24141605</v>
          </cell>
          <cell r="B2506" t="str">
            <v>Materiales de empaque rellenos de aire</v>
          </cell>
        </row>
        <row r="2507">
          <cell r="A2507">
            <v>24141606</v>
          </cell>
          <cell r="B2507" t="str">
            <v>Bolitas de poliestireno</v>
          </cell>
        </row>
        <row r="2508">
          <cell r="A2508">
            <v>24141607</v>
          </cell>
          <cell r="B2508" t="str">
            <v>Separadores de cartón</v>
          </cell>
        </row>
        <row r="2509">
          <cell r="A2509">
            <v>24141608</v>
          </cell>
          <cell r="B2509" t="str">
            <v>Protecciones externas</v>
          </cell>
        </row>
        <row r="2510">
          <cell r="A2510">
            <v>24141701</v>
          </cell>
          <cell r="B2510" t="str">
            <v>Tubos o núcleos de papel</v>
          </cell>
        </row>
        <row r="2511">
          <cell r="A2511">
            <v>24141702</v>
          </cell>
          <cell r="B2511" t="str">
            <v>Tapones de extremidad tubo o núcleo</v>
          </cell>
        </row>
        <row r="2512">
          <cell r="A2512">
            <v>24141703</v>
          </cell>
          <cell r="B2512" t="str">
            <v>Piezas de papel</v>
          </cell>
        </row>
        <row r="2513">
          <cell r="A2513">
            <v>24141704</v>
          </cell>
          <cell r="B2513" t="str">
            <v>Instrucciones o insertos impresos</v>
          </cell>
        </row>
        <row r="2514">
          <cell r="A2514">
            <v>24141705</v>
          </cell>
          <cell r="B2514" t="str">
            <v>Tubos plegables</v>
          </cell>
        </row>
        <row r="2515">
          <cell r="A2515">
            <v>24141706</v>
          </cell>
          <cell r="B2515" t="str">
            <v>Carrete</v>
          </cell>
        </row>
        <row r="2516">
          <cell r="A2516">
            <v>24141707</v>
          </cell>
          <cell r="B2516" t="str">
            <v>Carretel</v>
          </cell>
        </row>
        <row r="2517">
          <cell r="A2517">
            <v>24141708</v>
          </cell>
          <cell r="B2517" t="str">
            <v>Asas de paquetes</v>
          </cell>
        </row>
        <row r="2518">
          <cell r="A2518">
            <v>24141709</v>
          </cell>
          <cell r="B2518" t="str">
            <v>Tubos o tapones de cápsulas</v>
          </cell>
        </row>
        <row r="2519">
          <cell r="A2519">
            <v>25101501</v>
          </cell>
          <cell r="B2519" t="str">
            <v>Minibuses</v>
          </cell>
        </row>
        <row r="2520">
          <cell r="A2520">
            <v>25101502</v>
          </cell>
          <cell r="B2520" t="str">
            <v>Autobuses</v>
          </cell>
        </row>
        <row r="2521">
          <cell r="A2521">
            <v>25101503</v>
          </cell>
          <cell r="B2521" t="str">
            <v>Carros</v>
          </cell>
        </row>
        <row r="2522">
          <cell r="A2522">
            <v>25101504</v>
          </cell>
          <cell r="B2522" t="str">
            <v>Station wagons</v>
          </cell>
        </row>
        <row r="2523">
          <cell r="A2523">
            <v>25101505</v>
          </cell>
          <cell r="B2523" t="str">
            <v>Minivans o vans</v>
          </cell>
        </row>
        <row r="2524">
          <cell r="A2524">
            <v>25101506</v>
          </cell>
          <cell r="B2524" t="str">
            <v>Limosinas</v>
          </cell>
        </row>
        <row r="2525">
          <cell r="A2525">
            <v>25101507</v>
          </cell>
          <cell r="B2525" t="str">
            <v>Camiones ligeros o vehículos utilitarios deportivos</v>
          </cell>
        </row>
        <row r="2526">
          <cell r="A2526">
            <v>25101508</v>
          </cell>
          <cell r="B2526" t="str">
            <v>Carro deportivo</v>
          </cell>
        </row>
        <row r="2527">
          <cell r="A2527">
            <v>25101601</v>
          </cell>
          <cell r="B2527" t="str">
            <v>Volquetas</v>
          </cell>
        </row>
        <row r="2528">
          <cell r="A2528">
            <v>25101602</v>
          </cell>
          <cell r="B2528" t="str">
            <v>Remolques</v>
          </cell>
        </row>
        <row r="2529">
          <cell r="A2529">
            <v>25101604</v>
          </cell>
          <cell r="B2529" t="str">
            <v>Camiones de reparto</v>
          </cell>
        </row>
        <row r="2530">
          <cell r="A2530">
            <v>25101609</v>
          </cell>
          <cell r="B2530" t="str">
            <v>Camiones de manipulación de sedimento y aguas residuales</v>
          </cell>
        </row>
        <row r="2531">
          <cell r="A2531">
            <v>25101610</v>
          </cell>
          <cell r="B2531" t="str">
            <v>Carrotanques</v>
          </cell>
        </row>
        <row r="2532">
          <cell r="A2532">
            <v>25101611</v>
          </cell>
          <cell r="B2532" t="str">
            <v>Camiones de carga</v>
          </cell>
        </row>
        <row r="2533">
          <cell r="A2533">
            <v>25101701</v>
          </cell>
          <cell r="B2533" t="str">
            <v>Camiones de bomberos y de rescate</v>
          </cell>
        </row>
        <row r="2534">
          <cell r="A2534">
            <v>25101702</v>
          </cell>
          <cell r="B2534" t="str">
            <v>Carros policiales</v>
          </cell>
        </row>
        <row r="2535">
          <cell r="A2535">
            <v>25101703</v>
          </cell>
          <cell r="B2535" t="str">
            <v>Ambulancias</v>
          </cell>
        </row>
        <row r="2536">
          <cell r="A2536">
            <v>25101801</v>
          </cell>
          <cell r="B2536" t="str">
            <v>Motocicletas</v>
          </cell>
        </row>
        <row r="2537">
          <cell r="A2537">
            <v>25101802</v>
          </cell>
          <cell r="B2537" t="str">
            <v>Scooters</v>
          </cell>
        </row>
        <row r="2538">
          <cell r="A2538">
            <v>25101803</v>
          </cell>
          <cell r="B2538" t="str">
            <v>Velomotores</v>
          </cell>
        </row>
        <row r="2539">
          <cell r="A2539">
            <v>25101901</v>
          </cell>
          <cell r="B2539" t="str">
            <v>Tractores agrícolas</v>
          </cell>
        </row>
        <row r="2540">
          <cell r="A2540">
            <v>25101902</v>
          </cell>
          <cell r="B2540" t="str">
            <v>Casas rodantes</v>
          </cell>
        </row>
        <row r="2541">
          <cell r="A2541">
            <v>25101903</v>
          </cell>
          <cell r="B2541" t="str">
            <v>Trineos motorizados o motos de nieve</v>
          </cell>
        </row>
        <row r="2542">
          <cell r="A2542">
            <v>25101904</v>
          </cell>
          <cell r="B2542" t="str">
            <v>Carritos de golf</v>
          </cell>
        </row>
        <row r="2543">
          <cell r="A2543">
            <v>25101905</v>
          </cell>
          <cell r="B2543" t="str">
            <v>Vehículos todoterreno de ruedas o de tracción</v>
          </cell>
        </row>
        <row r="2544">
          <cell r="A2544">
            <v>25101906</v>
          </cell>
          <cell r="B2544" t="str">
            <v>Karts</v>
          </cell>
        </row>
        <row r="2545">
          <cell r="A2545">
            <v>25101907</v>
          </cell>
          <cell r="B2545" t="str">
            <v>Remolques de camping o caravanas</v>
          </cell>
        </row>
        <row r="2546">
          <cell r="A2546">
            <v>25101908</v>
          </cell>
          <cell r="B2546" t="str">
            <v>Cuatrimoto</v>
          </cell>
        </row>
        <row r="2547">
          <cell r="A2547">
            <v>25102001</v>
          </cell>
          <cell r="B2547" t="str">
            <v>Tanques</v>
          </cell>
        </row>
        <row r="2548">
          <cell r="A2548">
            <v>25102002</v>
          </cell>
          <cell r="B2548" t="str">
            <v>Carros de combate acorazados</v>
          </cell>
        </row>
        <row r="2549">
          <cell r="A2549">
            <v>25102003</v>
          </cell>
          <cell r="B2549" t="str">
            <v>Artillería motorizada</v>
          </cell>
        </row>
        <row r="2550">
          <cell r="A2550">
            <v>25102101</v>
          </cell>
          <cell r="B2550" t="str">
            <v>Tractores delanteros de cabina baja</v>
          </cell>
        </row>
        <row r="2551">
          <cell r="A2551">
            <v>25102102</v>
          </cell>
          <cell r="B2551" t="str">
            <v>Tractomulas de nariz alargada con cama</v>
          </cell>
        </row>
        <row r="2552">
          <cell r="A2552">
            <v>25102103</v>
          </cell>
          <cell r="B2552" t="str">
            <v>Tractomulas de nariz alargada sin cama</v>
          </cell>
        </row>
        <row r="2553">
          <cell r="A2553">
            <v>25102104</v>
          </cell>
          <cell r="B2553" t="str">
            <v>Tractomulas con cabina encima del motor con cama</v>
          </cell>
        </row>
        <row r="2554">
          <cell r="A2554">
            <v>25102105</v>
          </cell>
          <cell r="B2554" t="str">
            <v>Tractomulas con cabina encima del motor sin cama</v>
          </cell>
        </row>
        <row r="2555">
          <cell r="A2555">
            <v>25102106</v>
          </cell>
          <cell r="B2555" t="str">
            <v>Cabezote</v>
          </cell>
        </row>
        <row r="2556">
          <cell r="A2556">
            <v>25111501</v>
          </cell>
          <cell r="B2556" t="str">
            <v>Barcos pesqueros</v>
          </cell>
        </row>
        <row r="2557">
          <cell r="A2557">
            <v>25111502</v>
          </cell>
          <cell r="B2557" t="str">
            <v>Botes de pesca</v>
          </cell>
        </row>
        <row r="2558">
          <cell r="A2558">
            <v>25111503</v>
          </cell>
          <cell r="B2558" t="str">
            <v>Buques de carga o de contenedores</v>
          </cell>
        </row>
        <row r="2559">
          <cell r="A2559">
            <v>25111504</v>
          </cell>
          <cell r="B2559" t="str">
            <v>Embarcación para dragados</v>
          </cell>
        </row>
        <row r="2560">
          <cell r="A2560">
            <v>25111505</v>
          </cell>
          <cell r="B2560" t="str">
            <v>Buques cisterna</v>
          </cell>
        </row>
        <row r="2561">
          <cell r="A2561">
            <v>25111506</v>
          </cell>
          <cell r="B2561" t="str">
            <v>Remolcadores</v>
          </cell>
        </row>
        <row r="2562">
          <cell r="A2562">
            <v>25111507</v>
          </cell>
          <cell r="B2562" t="str">
            <v>Barcazas</v>
          </cell>
        </row>
        <row r="2563">
          <cell r="A2563">
            <v>25111508</v>
          </cell>
          <cell r="B2563" t="str">
            <v>Transbordadores de pasajeros o vehículos</v>
          </cell>
        </row>
        <row r="2564">
          <cell r="A2564">
            <v>25111509</v>
          </cell>
          <cell r="B2564" t="str">
            <v>Buques de cruceros</v>
          </cell>
        </row>
        <row r="2565">
          <cell r="A2565">
            <v>25111510</v>
          </cell>
          <cell r="B2565" t="str">
            <v>Naves de salvamento</v>
          </cell>
        </row>
        <row r="2566">
          <cell r="A2566">
            <v>25111511</v>
          </cell>
          <cell r="B2566" t="str">
            <v>Barco de tripulación de gas o petróleo</v>
          </cell>
        </row>
        <row r="2567">
          <cell r="A2567">
            <v>25111512</v>
          </cell>
          <cell r="B2567" t="str">
            <v>Barco de trabajo de gas o petróleo</v>
          </cell>
        </row>
        <row r="2568">
          <cell r="A2568">
            <v>25111513</v>
          </cell>
          <cell r="B2568" t="str">
            <v>Barco para sísmica</v>
          </cell>
        </row>
        <row r="2569">
          <cell r="A2569">
            <v>25111601</v>
          </cell>
          <cell r="B2569" t="str">
            <v>Lanchas o balsas salvavidas</v>
          </cell>
        </row>
        <row r="2570">
          <cell r="A2570">
            <v>25111602</v>
          </cell>
          <cell r="B2570" t="str">
            <v>Nave para apagar incendios</v>
          </cell>
        </row>
        <row r="2571">
          <cell r="A2571">
            <v>25111603</v>
          </cell>
          <cell r="B2571" t="str">
            <v>Buques o botes de rescate</v>
          </cell>
        </row>
        <row r="2572">
          <cell r="A2572">
            <v>25111701</v>
          </cell>
          <cell r="B2572" t="str">
            <v>Submarinos</v>
          </cell>
        </row>
        <row r="2573">
          <cell r="A2573">
            <v>25111702</v>
          </cell>
          <cell r="B2573" t="str">
            <v>Portaviones</v>
          </cell>
        </row>
        <row r="2574">
          <cell r="A2574">
            <v>25111703</v>
          </cell>
          <cell r="B2574" t="str">
            <v>Barcos de munición</v>
          </cell>
        </row>
        <row r="2575">
          <cell r="A2575">
            <v>25111704</v>
          </cell>
          <cell r="B2575" t="str">
            <v>Barcos de asalto anfibio</v>
          </cell>
        </row>
        <row r="2576">
          <cell r="A2576">
            <v>25111705</v>
          </cell>
          <cell r="B2576" t="str">
            <v>Muelles anfibios de transporte</v>
          </cell>
        </row>
        <row r="2577">
          <cell r="A2577">
            <v>25111706</v>
          </cell>
          <cell r="B2577" t="str">
            <v>Buques anfibios de comando</v>
          </cell>
        </row>
        <row r="2578">
          <cell r="A2578">
            <v>25111707</v>
          </cell>
          <cell r="B2578" t="str">
            <v>Buques de comando</v>
          </cell>
        </row>
        <row r="2579">
          <cell r="A2579">
            <v>25111708</v>
          </cell>
          <cell r="B2579" t="str">
            <v>Buques de guerra</v>
          </cell>
        </row>
        <row r="2580">
          <cell r="A2580">
            <v>25111709</v>
          </cell>
          <cell r="B2580" t="str">
            <v>Destructores</v>
          </cell>
        </row>
        <row r="2581">
          <cell r="A2581">
            <v>25111710</v>
          </cell>
          <cell r="B2581" t="str">
            <v>Buques de desembarco</v>
          </cell>
        </row>
        <row r="2582">
          <cell r="A2582">
            <v>25111711</v>
          </cell>
          <cell r="B2582" t="str">
            <v>Buques de apoyo de combate rápido</v>
          </cell>
        </row>
        <row r="2583">
          <cell r="A2583">
            <v>25111712</v>
          </cell>
          <cell r="B2583" t="str">
            <v>Fragatas</v>
          </cell>
        </row>
        <row r="2584">
          <cell r="A2584">
            <v>25111713</v>
          </cell>
          <cell r="B2584" t="str">
            <v>Buques petroleros de escuadra</v>
          </cell>
        </row>
        <row r="2585">
          <cell r="A2585">
            <v>25111714</v>
          </cell>
          <cell r="B2585" t="str">
            <v>Embarcación de desembarque de uso general</v>
          </cell>
        </row>
        <row r="2586">
          <cell r="A2586">
            <v>25111715</v>
          </cell>
          <cell r="B2586" t="str">
            <v>Embarcación mecanizada o de uso general</v>
          </cell>
        </row>
        <row r="2587">
          <cell r="A2587">
            <v>25111716</v>
          </cell>
          <cell r="B2587" t="str">
            <v>Buques buscaminas</v>
          </cell>
        </row>
        <row r="2588">
          <cell r="A2588">
            <v>25111717</v>
          </cell>
          <cell r="B2588" t="str">
            <v>Buques dragaminas</v>
          </cell>
        </row>
        <row r="2589">
          <cell r="A2589">
            <v>25111718</v>
          </cell>
          <cell r="B2589" t="str">
            <v>Embarcaciones de patrulla costera</v>
          </cell>
        </row>
        <row r="2590">
          <cell r="A2590">
            <v>25111719</v>
          </cell>
          <cell r="B2590" t="str">
            <v>Buques nodriza para submarinos</v>
          </cell>
        </row>
        <row r="2591">
          <cell r="A2591">
            <v>25111720</v>
          </cell>
          <cell r="B2591" t="str">
            <v>Botes para desembarco de tanques</v>
          </cell>
        </row>
        <row r="2592">
          <cell r="A2592">
            <v>25111721</v>
          </cell>
          <cell r="B2592" t="str">
            <v>Embarcaciones de desembarque aerodeslizadas</v>
          </cell>
        </row>
        <row r="2593">
          <cell r="A2593">
            <v>25111801</v>
          </cell>
          <cell r="B2593" t="str">
            <v>Embarcaciones a vela de recreo</v>
          </cell>
        </row>
        <row r="2594">
          <cell r="A2594">
            <v>25111802</v>
          </cell>
          <cell r="B2594" t="str">
            <v>Lanchas de recreo a motor</v>
          </cell>
        </row>
        <row r="2595">
          <cell r="A2595">
            <v>25111803</v>
          </cell>
          <cell r="B2595" t="str">
            <v>Lanchas de recreo a remo</v>
          </cell>
        </row>
        <row r="2596">
          <cell r="A2596">
            <v>25111804</v>
          </cell>
          <cell r="B2596" t="str">
            <v>Canoas o kayaks</v>
          </cell>
        </row>
        <row r="2597">
          <cell r="A2597">
            <v>25111805</v>
          </cell>
          <cell r="B2597" t="str">
            <v>Artefactos a motor de uso personal</v>
          </cell>
        </row>
        <row r="2598">
          <cell r="A2598">
            <v>25111806</v>
          </cell>
          <cell r="B2598" t="str">
            <v>Balsas</v>
          </cell>
        </row>
        <row r="2599">
          <cell r="A2599">
            <v>25111807</v>
          </cell>
          <cell r="B2599" t="str">
            <v>Lanchas pequeñas</v>
          </cell>
        </row>
        <row r="2600">
          <cell r="A2600">
            <v>25111808</v>
          </cell>
          <cell r="B2600" t="str">
            <v>Yates</v>
          </cell>
        </row>
        <row r="2601">
          <cell r="A2601">
            <v>25111901</v>
          </cell>
          <cell r="B2601" t="str">
            <v>Sistemas de comunicaciones de embarcaciones marítimas</v>
          </cell>
        </row>
        <row r="2602">
          <cell r="A2602">
            <v>25111902</v>
          </cell>
          <cell r="B2602" t="str">
            <v>Hélices marítimas</v>
          </cell>
        </row>
        <row r="2603">
          <cell r="A2603">
            <v>25111903</v>
          </cell>
          <cell r="B2603" t="str">
            <v>Velas</v>
          </cell>
        </row>
        <row r="2604">
          <cell r="A2604">
            <v>25111904</v>
          </cell>
          <cell r="B2604" t="str">
            <v>Remos</v>
          </cell>
        </row>
        <row r="2605">
          <cell r="A2605">
            <v>25111905</v>
          </cell>
          <cell r="B2605" t="str">
            <v>Sistemas balísticos de la marina</v>
          </cell>
        </row>
        <row r="2606">
          <cell r="A2606">
            <v>25111906</v>
          </cell>
          <cell r="B2606" t="str">
            <v>Cuñas de ancla</v>
          </cell>
        </row>
        <row r="2607">
          <cell r="A2607">
            <v>25111907</v>
          </cell>
          <cell r="B2607" t="str">
            <v>Cables de ancla</v>
          </cell>
        </row>
        <row r="2608">
          <cell r="A2608">
            <v>25111908</v>
          </cell>
          <cell r="B2608" t="str">
            <v>Recuperadores de ancla</v>
          </cell>
        </row>
        <row r="2609">
          <cell r="A2609">
            <v>25111909</v>
          </cell>
          <cell r="B2609" t="str">
            <v>Rodillos de ancla</v>
          </cell>
        </row>
        <row r="2610">
          <cell r="A2610">
            <v>25111910</v>
          </cell>
          <cell r="B2610" t="str">
            <v>Rampas de embarcaciones</v>
          </cell>
        </row>
        <row r="2611">
          <cell r="A2611">
            <v>25111911</v>
          </cell>
          <cell r="B2611" t="str">
            <v>Bicheros</v>
          </cell>
        </row>
        <row r="2612">
          <cell r="A2612">
            <v>25111912</v>
          </cell>
          <cell r="B2612" t="str">
            <v>Recogedores de botavaras</v>
          </cell>
        </row>
        <row r="2613">
          <cell r="A2613">
            <v>25111913</v>
          </cell>
          <cell r="B2613" t="str">
            <v>Escotillas de cubierta</v>
          </cell>
        </row>
        <row r="2614">
          <cell r="A2614">
            <v>25111914</v>
          </cell>
          <cell r="B2614" t="str">
            <v>Argollas de amarre</v>
          </cell>
        </row>
        <row r="2615">
          <cell r="A2615">
            <v>25111915</v>
          </cell>
          <cell r="B2615" t="str">
            <v>Escaleras de muelle</v>
          </cell>
        </row>
        <row r="2616">
          <cell r="A2616">
            <v>25111916</v>
          </cell>
          <cell r="B2616" t="str">
            <v>Señales de teñido de emergencia</v>
          </cell>
        </row>
        <row r="2617">
          <cell r="A2617">
            <v>25111917</v>
          </cell>
          <cell r="B2617" t="str">
            <v>Alabantes</v>
          </cell>
        </row>
        <row r="2618">
          <cell r="A2618">
            <v>25111918</v>
          </cell>
          <cell r="B2618" t="str">
            <v>Sistemas de recogido de velas</v>
          </cell>
        </row>
        <row r="2619">
          <cell r="A2619">
            <v>25111919</v>
          </cell>
          <cell r="B2619" t="str">
            <v>Protectores de la quilla</v>
          </cell>
        </row>
        <row r="2620">
          <cell r="A2620">
            <v>25111920</v>
          </cell>
          <cell r="B2620" t="str">
            <v>Defensas</v>
          </cell>
        </row>
        <row r="2621">
          <cell r="A2621">
            <v>25111921</v>
          </cell>
          <cell r="B2621" t="str">
            <v>Cuellos de ganso marinos</v>
          </cell>
        </row>
        <row r="2622">
          <cell r="A2622">
            <v>25111922</v>
          </cell>
          <cell r="B2622" t="str">
            <v>Cabos de amarre</v>
          </cell>
        </row>
        <row r="2623">
          <cell r="A2623">
            <v>25111923</v>
          </cell>
          <cell r="B2623" t="str">
            <v>Bloqueos de remos</v>
          </cell>
        </row>
        <row r="2624">
          <cell r="A2624">
            <v>25111924</v>
          </cell>
          <cell r="B2624" t="str">
            <v>Reflectores de radar</v>
          </cell>
        </row>
        <row r="2625">
          <cell r="A2625">
            <v>25111925</v>
          </cell>
          <cell r="B2625" t="str">
            <v>Timones</v>
          </cell>
        </row>
        <row r="2626">
          <cell r="A2626">
            <v>25111926</v>
          </cell>
          <cell r="B2626" t="str">
            <v>Refuerzos de velas</v>
          </cell>
        </row>
        <row r="2627">
          <cell r="A2627">
            <v>25111927</v>
          </cell>
          <cell r="B2627" t="str">
            <v>Botavaras</v>
          </cell>
        </row>
        <row r="2628">
          <cell r="A2628">
            <v>25111928</v>
          </cell>
          <cell r="B2628" t="str">
            <v>Fundas de velas</v>
          </cell>
        </row>
        <row r="2629">
          <cell r="A2629">
            <v>25111929</v>
          </cell>
          <cell r="B2629" t="str">
            <v>Sacas</v>
          </cell>
        </row>
        <row r="2630">
          <cell r="A2630">
            <v>25111930</v>
          </cell>
          <cell r="B2630" t="str">
            <v>Palos de espinaquer</v>
          </cell>
        </row>
        <row r="2631">
          <cell r="A2631">
            <v>25111931</v>
          </cell>
          <cell r="B2631" t="str">
            <v>Plataformas de popa</v>
          </cell>
        </row>
        <row r="2632">
          <cell r="A2632">
            <v>25111932</v>
          </cell>
          <cell r="B2632" t="str">
            <v>Cortavientos</v>
          </cell>
        </row>
        <row r="2633">
          <cell r="A2633">
            <v>25111933</v>
          </cell>
          <cell r="B2633" t="str">
            <v>Relojes de mareas</v>
          </cell>
        </row>
        <row r="2634">
          <cell r="A2634">
            <v>25111934</v>
          </cell>
          <cell r="B2634" t="str">
            <v>Cañas de timones</v>
          </cell>
        </row>
        <row r="2635">
          <cell r="A2635">
            <v>25111935</v>
          </cell>
          <cell r="B2635" t="str">
            <v>Berlingas</v>
          </cell>
        </row>
        <row r="2636">
          <cell r="A2636">
            <v>25121501</v>
          </cell>
          <cell r="B2636" t="str">
            <v>Locomotoras diesel de carga</v>
          </cell>
        </row>
        <row r="2637">
          <cell r="A2637">
            <v>25121502</v>
          </cell>
          <cell r="B2637" t="str">
            <v>Locomotoras eléctricas de carga</v>
          </cell>
        </row>
        <row r="2638">
          <cell r="A2638">
            <v>25121503</v>
          </cell>
          <cell r="B2638" t="str">
            <v>Locomotoras diesel de pasajeros</v>
          </cell>
        </row>
        <row r="2639">
          <cell r="A2639">
            <v>25121504</v>
          </cell>
          <cell r="B2639" t="str">
            <v>Locomotoras eléctricas de pasajeros</v>
          </cell>
        </row>
        <row r="2640">
          <cell r="A2640">
            <v>25121601</v>
          </cell>
          <cell r="B2640" t="str">
            <v>Vagones de carga</v>
          </cell>
        </row>
        <row r="2641">
          <cell r="A2641">
            <v>25121602</v>
          </cell>
          <cell r="B2641" t="str">
            <v>Vagones cisterna</v>
          </cell>
        </row>
        <row r="2642">
          <cell r="A2642">
            <v>25121603</v>
          </cell>
          <cell r="B2642" t="str">
            <v>Vagones de pasajeros</v>
          </cell>
        </row>
        <row r="2643">
          <cell r="A2643">
            <v>25121604</v>
          </cell>
          <cell r="B2643" t="str">
            <v>Vagones tolva o góndolas</v>
          </cell>
        </row>
        <row r="2644">
          <cell r="A2644">
            <v>25121605</v>
          </cell>
          <cell r="B2644" t="str">
            <v>Tranvías</v>
          </cell>
        </row>
        <row r="2645">
          <cell r="A2645">
            <v>25121701</v>
          </cell>
          <cell r="B2645" t="str">
            <v>Sistemas de cambiavías</v>
          </cell>
        </row>
        <row r="2646">
          <cell r="A2646">
            <v>25121702</v>
          </cell>
          <cell r="B2646" t="str">
            <v>Traviesas</v>
          </cell>
        </row>
        <row r="2647">
          <cell r="A2647">
            <v>25121703</v>
          </cell>
          <cell r="B2647" t="str">
            <v>Vías férreas</v>
          </cell>
        </row>
        <row r="2648">
          <cell r="A2648">
            <v>25121704</v>
          </cell>
          <cell r="B2648" t="str">
            <v>Eclisas</v>
          </cell>
        </row>
        <row r="2649">
          <cell r="A2649">
            <v>25121705</v>
          </cell>
          <cell r="B2649" t="str">
            <v>Enganches de rieles</v>
          </cell>
        </row>
        <row r="2650">
          <cell r="A2650">
            <v>25121706</v>
          </cell>
          <cell r="B2650" t="str">
            <v>Aparatos de tracción</v>
          </cell>
        </row>
        <row r="2651">
          <cell r="A2651">
            <v>25121707</v>
          </cell>
          <cell r="B2651" t="str">
            <v>Conjuntos de bogie</v>
          </cell>
        </row>
        <row r="2652">
          <cell r="A2652">
            <v>25131501</v>
          </cell>
          <cell r="B2652" t="str">
            <v>Aeronave agrícola de ala fija</v>
          </cell>
        </row>
        <row r="2653">
          <cell r="A2653">
            <v>25131502</v>
          </cell>
          <cell r="B2653" t="str">
            <v>Avión de carga de hélice</v>
          </cell>
        </row>
        <row r="2654">
          <cell r="A2654">
            <v>25131503</v>
          </cell>
          <cell r="B2654" t="str">
            <v>Hidroaviones</v>
          </cell>
        </row>
        <row r="2655">
          <cell r="A2655">
            <v>25131504</v>
          </cell>
          <cell r="B2655" t="str">
            <v>Avión de hélice comercial de pasajeros</v>
          </cell>
        </row>
        <row r="2656">
          <cell r="A2656">
            <v>25131505</v>
          </cell>
          <cell r="B2656" t="str">
            <v>Avión jet de carga</v>
          </cell>
        </row>
        <row r="2657">
          <cell r="A2657">
            <v>25131506</v>
          </cell>
          <cell r="B2657" t="str">
            <v>Avión jet de pasajeros</v>
          </cell>
        </row>
        <row r="2658">
          <cell r="A2658">
            <v>25131507</v>
          </cell>
          <cell r="B2658" t="str">
            <v>Avión de hélice privado o de negocios</v>
          </cell>
        </row>
        <row r="2659">
          <cell r="A2659">
            <v>25131508</v>
          </cell>
          <cell r="B2659" t="str">
            <v>Jet privado o de negocios</v>
          </cell>
        </row>
        <row r="2660">
          <cell r="A2660">
            <v>25131601</v>
          </cell>
          <cell r="B2660" t="str">
            <v>Helicópteros de pasajeros</v>
          </cell>
        </row>
        <row r="2661">
          <cell r="A2661">
            <v>25131602</v>
          </cell>
          <cell r="B2661" t="str">
            <v>Helicópteros de carga</v>
          </cell>
        </row>
        <row r="2662">
          <cell r="A2662">
            <v>25131603</v>
          </cell>
          <cell r="B2662" t="str">
            <v>Helicópteros agrícolas</v>
          </cell>
        </row>
        <row r="2663">
          <cell r="A2663">
            <v>25131604</v>
          </cell>
          <cell r="B2663" t="str">
            <v>Helicópteros médicos o de rescate</v>
          </cell>
        </row>
        <row r="2664">
          <cell r="A2664">
            <v>25131701</v>
          </cell>
          <cell r="B2664" t="str">
            <v>Avión bombardero</v>
          </cell>
        </row>
        <row r="2665">
          <cell r="A2665">
            <v>25131702</v>
          </cell>
          <cell r="B2665" t="str">
            <v>Avión cazabombardero</v>
          </cell>
        </row>
        <row r="2666">
          <cell r="A2666">
            <v>25131703</v>
          </cell>
          <cell r="B2666" t="str">
            <v>Avión de caza</v>
          </cell>
        </row>
        <row r="2667">
          <cell r="A2667">
            <v>25131704</v>
          </cell>
          <cell r="B2667" t="str">
            <v>Avión de ataque</v>
          </cell>
        </row>
        <row r="2668">
          <cell r="A2668">
            <v>25131705</v>
          </cell>
          <cell r="B2668" t="str">
            <v>Aviones no tripulados objetivo o de reconocimiento</v>
          </cell>
        </row>
        <row r="2669">
          <cell r="A2669">
            <v>25131706</v>
          </cell>
          <cell r="B2669" t="str">
            <v>Hidroaviones militares</v>
          </cell>
        </row>
        <row r="2670">
          <cell r="A2670">
            <v>25131707</v>
          </cell>
          <cell r="B2670" t="str">
            <v>Aeronave de reconocimiento o vigilancia</v>
          </cell>
        </row>
        <row r="2671">
          <cell r="A2671">
            <v>25131708</v>
          </cell>
          <cell r="B2671" t="str">
            <v>Avión antisubmarino</v>
          </cell>
        </row>
        <row r="2672">
          <cell r="A2672">
            <v>25131709</v>
          </cell>
          <cell r="B2672" t="str">
            <v>Avión de transporte militar</v>
          </cell>
        </row>
        <row r="2673">
          <cell r="A2673">
            <v>25131801</v>
          </cell>
          <cell r="B2673" t="str">
            <v>Dirigibles</v>
          </cell>
        </row>
        <row r="2674">
          <cell r="A2674">
            <v>25131902</v>
          </cell>
          <cell r="B2674" t="str">
            <v>Helicópteros de transporte militar</v>
          </cell>
        </row>
        <row r="2675">
          <cell r="A2675">
            <v>25131903</v>
          </cell>
          <cell r="B2675" t="str">
            <v>Helicópteros de ataque</v>
          </cell>
        </row>
        <row r="2676">
          <cell r="A2676">
            <v>25131904</v>
          </cell>
          <cell r="B2676" t="str">
            <v>Helicópteros de reconocimiento</v>
          </cell>
        </row>
        <row r="2677">
          <cell r="A2677">
            <v>25131905</v>
          </cell>
          <cell r="B2677" t="str">
            <v>Helicópteros antisubmarinos</v>
          </cell>
        </row>
        <row r="2678">
          <cell r="A2678">
            <v>25131906</v>
          </cell>
          <cell r="B2678" t="str">
            <v>Aeronave de alas giratorias basculantes</v>
          </cell>
        </row>
        <row r="2679">
          <cell r="A2679">
            <v>25132001</v>
          </cell>
          <cell r="B2679" t="str">
            <v>Aerodeslizadores</v>
          </cell>
        </row>
        <row r="2680">
          <cell r="A2680">
            <v>25132002</v>
          </cell>
          <cell r="B2680" t="str">
            <v>Globos aerostáticos</v>
          </cell>
        </row>
        <row r="2681">
          <cell r="A2681">
            <v>25132003</v>
          </cell>
          <cell r="B2681" t="str">
            <v>Planeadores</v>
          </cell>
        </row>
        <row r="2682">
          <cell r="A2682">
            <v>25132004</v>
          </cell>
          <cell r="B2682" t="str">
            <v>Parapente</v>
          </cell>
        </row>
        <row r="2683">
          <cell r="A2683">
            <v>25132005</v>
          </cell>
          <cell r="B2683" t="str">
            <v>Aviones ultralivianos</v>
          </cell>
        </row>
        <row r="2684">
          <cell r="A2684">
            <v>25151501</v>
          </cell>
          <cell r="B2684" t="str">
            <v>Nave espacial tripulada</v>
          </cell>
        </row>
        <row r="2685">
          <cell r="A2685">
            <v>25151502</v>
          </cell>
          <cell r="B2685" t="str">
            <v>Estructuras de naves espaciales</v>
          </cell>
        </row>
        <row r="2686">
          <cell r="A2686">
            <v>25151701</v>
          </cell>
          <cell r="B2686" t="str">
            <v>Satélites de comunicación</v>
          </cell>
        </row>
        <row r="2687">
          <cell r="A2687">
            <v>25151702</v>
          </cell>
          <cell r="B2687" t="str">
            <v>Satélites meteorológicos</v>
          </cell>
        </row>
        <row r="2688">
          <cell r="A2688">
            <v>25151703</v>
          </cell>
          <cell r="B2688" t="str">
            <v>Satélites militares</v>
          </cell>
        </row>
        <row r="2689">
          <cell r="A2689">
            <v>25151704</v>
          </cell>
          <cell r="B2689" t="str">
            <v>Satélites científicos o de investigación</v>
          </cell>
        </row>
        <row r="2690">
          <cell r="A2690">
            <v>25151705</v>
          </cell>
          <cell r="B2690" t="str">
            <v>Satélites de navegación</v>
          </cell>
        </row>
        <row r="2691">
          <cell r="A2691">
            <v>25151706</v>
          </cell>
          <cell r="B2691" t="str">
            <v>Satélites geoestacionarios</v>
          </cell>
        </row>
        <row r="2692">
          <cell r="A2692">
            <v>25151707</v>
          </cell>
          <cell r="B2692" t="str">
            <v>Satélites de órbita cercana a la tierra</v>
          </cell>
        </row>
        <row r="2693">
          <cell r="A2693">
            <v>25151708</v>
          </cell>
          <cell r="B2693" t="str">
            <v>Satélites de órbita sincronizada con el sol</v>
          </cell>
        </row>
        <row r="2694">
          <cell r="A2694">
            <v>25151709</v>
          </cell>
          <cell r="B2694" t="str">
            <v>Satélites geo – sincronizados</v>
          </cell>
        </row>
        <row r="2695">
          <cell r="A2695">
            <v>25161501</v>
          </cell>
          <cell r="B2695" t="str">
            <v>Bicicletas de turismo</v>
          </cell>
        </row>
        <row r="2696">
          <cell r="A2696">
            <v>25161502</v>
          </cell>
          <cell r="B2696" t="str">
            <v>Monociclos</v>
          </cell>
        </row>
        <row r="2697">
          <cell r="A2697">
            <v>25161503</v>
          </cell>
          <cell r="B2697" t="str">
            <v>Triciclos</v>
          </cell>
        </row>
        <row r="2698">
          <cell r="A2698">
            <v>25161504</v>
          </cell>
          <cell r="B2698" t="str">
            <v>Bicicletas tándem</v>
          </cell>
        </row>
        <row r="2699">
          <cell r="A2699">
            <v>25161505</v>
          </cell>
          <cell r="B2699" t="str">
            <v>Bicicletas de montaña</v>
          </cell>
        </row>
        <row r="2700">
          <cell r="A2700">
            <v>25161506</v>
          </cell>
          <cell r="B2700" t="str">
            <v>Bicicletas de carreras</v>
          </cell>
        </row>
        <row r="2701">
          <cell r="A2701">
            <v>25161507</v>
          </cell>
          <cell r="B2701" t="str">
            <v>Bicicletas</v>
          </cell>
        </row>
        <row r="2702">
          <cell r="A2702">
            <v>25161508</v>
          </cell>
          <cell r="B2702" t="str">
            <v>Bicicletas reclinadas</v>
          </cell>
        </row>
        <row r="2703">
          <cell r="A2703">
            <v>25161509</v>
          </cell>
          <cell r="B2703" t="str">
            <v>Bicicletas para niños</v>
          </cell>
        </row>
        <row r="2704">
          <cell r="A2704">
            <v>25171502</v>
          </cell>
          <cell r="B2704" t="str">
            <v>limpiaparabrisas para automóviles</v>
          </cell>
        </row>
        <row r="2705">
          <cell r="A2705">
            <v>25171503</v>
          </cell>
          <cell r="B2705" t="str">
            <v>Limpiaparabrisas para locomotoras</v>
          </cell>
        </row>
        <row r="2706">
          <cell r="A2706">
            <v>25171504</v>
          </cell>
          <cell r="B2706" t="str">
            <v>Limpiaparabrisas marítimos</v>
          </cell>
        </row>
        <row r="2707">
          <cell r="A2707">
            <v>25171505</v>
          </cell>
          <cell r="B2707" t="str">
            <v>Limpiaparabrisas de camión</v>
          </cell>
        </row>
        <row r="2708">
          <cell r="A2708">
            <v>25171506</v>
          </cell>
          <cell r="B2708" t="str">
            <v>Bomba de lava parabrisas</v>
          </cell>
        </row>
        <row r="2709">
          <cell r="A2709">
            <v>25171507</v>
          </cell>
          <cell r="B2709" t="str">
            <v>Cuchillas limpiadoras</v>
          </cell>
        </row>
        <row r="2710">
          <cell r="A2710">
            <v>25171602</v>
          </cell>
          <cell r="B2710" t="str">
            <v>Sistemas de desescarchado y antiniebla para automóviles</v>
          </cell>
        </row>
        <row r="2711">
          <cell r="A2711">
            <v>25171603</v>
          </cell>
          <cell r="B2711" t="str">
            <v>Sistemas de desescarchado y antiniebla para trenes</v>
          </cell>
        </row>
        <row r="2712">
          <cell r="A2712">
            <v>25171702</v>
          </cell>
          <cell r="B2712" t="str">
            <v>Sistemas de frenado para automóviles</v>
          </cell>
        </row>
        <row r="2713">
          <cell r="A2713">
            <v>25171703</v>
          </cell>
          <cell r="B2713" t="str">
            <v>Sistemas de frenado para trenes</v>
          </cell>
        </row>
        <row r="2714">
          <cell r="A2714">
            <v>25171704</v>
          </cell>
          <cell r="B2714" t="str">
            <v>Chutes de arrastre</v>
          </cell>
        </row>
        <row r="2715">
          <cell r="A2715">
            <v>25171705</v>
          </cell>
          <cell r="B2715" t="str">
            <v>Rotores</v>
          </cell>
        </row>
        <row r="2716">
          <cell r="A2716">
            <v>25171706</v>
          </cell>
          <cell r="B2716" t="str">
            <v>Calibrador de frenaje</v>
          </cell>
        </row>
        <row r="2717">
          <cell r="A2717">
            <v>25171707</v>
          </cell>
          <cell r="B2717" t="str">
            <v>Freno de tambor</v>
          </cell>
        </row>
        <row r="2718">
          <cell r="A2718">
            <v>25171708</v>
          </cell>
          <cell r="B2718" t="str">
            <v>Freno de disco</v>
          </cell>
        </row>
        <row r="2719">
          <cell r="A2719">
            <v>25171709</v>
          </cell>
          <cell r="B2719" t="str">
            <v>Freno enfriado con líquido</v>
          </cell>
        </row>
        <row r="2720">
          <cell r="A2720">
            <v>25171710</v>
          </cell>
          <cell r="B2720" t="str">
            <v>Cilindros principales</v>
          </cell>
        </row>
        <row r="2721">
          <cell r="A2721">
            <v>25171711</v>
          </cell>
          <cell r="B2721" t="str">
            <v>Cilindros esclavos</v>
          </cell>
        </row>
        <row r="2722">
          <cell r="A2722">
            <v>25171712</v>
          </cell>
          <cell r="B2722" t="str">
            <v>Zapatas de freno de tambor</v>
          </cell>
        </row>
        <row r="2723">
          <cell r="A2723">
            <v>25171713</v>
          </cell>
          <cell r="B2723" t="str">
            <v>Almohadillas de discos de freno</v>
          </cell>
        </row>
        <row r="2724">
          <cell r="A2724">
            <v>25171714</v>
          </cell>
          <cell r="B2724" t="str">
            <v>Tambor de freno</v>
          </cell>
        </row>
        <row r="2725">
          <cell r="A2725">
            <v>25171715</v>
          </cell>
          <cell r="B2725" t="str">
            <v>Rotores de frenos de disco</v>
          </cell>
        </row>
        <row r="2726">
          <cell r="A2726">
            <v>25171716</v>
          </cell>
          <cell r="B2726" t="str">
            <v>Líneas de freno</v>
          </cell>
        </row>
        <row r="2727">
          <cell r="A2727">
            <v>25171717</v>
          </cell>
          <cell r="B2727" t="str">
            <v>Pistones de freno</v>
          </cell>
        </row>
        <row r="2728">
          <cell r="A2728">
            <v>25171718</v>
          </cell>
          <cell r="B2728" t="str">
            <v>Kits de reparación de frenos</v>
          </cell>
        </row>
        <row r="2729">
          <cell r="A2729">
            <v>25171719</v>
          </cell>
          <cell r="B2729" t="str">
            <v>Refuerzos de frenado</v>
          </cell>
        </row>
        <row r="2730">
          <cell r="A2730">
            <v>25171901</v>
          </cell>
          <cell r="B2730" t="str">
            <v>Rines o ruedas para automóviles</v>
          </cell>
        </row>
        <row r="2731">
          <cell r="A2731">
            <v>25171902</v>
          </cell>
          <cell r="B2731" t="str">
            <v>Ruedas para trenes</v>
          </cell>
        </row>
        <row r="2732">
          <cell r="A2732">
            <v>25171903</v>
          </cell>
          <cell r="B2732" t="str">
            <v>Rines o ruedas para camiones</v>
          </cell>
        </row>
        <row r="2733">
          <cell r="A2733">
            <v>25171905</v>
          </cell>
          <cell r="B2733" t="str">
            <v>Válvulas de neumáticos</v>
          </cell>
        </row>
        <row r="2734">
          <cell r="A2734">
            <v>25172001</v>
          </cell>
          <cell r="B2734" t="str">
            <v>Sistemas de suspensión para automóviles</v>
          </cell>
        </row>
        <row r="2735">
          <cell r="A2735">
            <v>25172002</v>
          </cell>
          <cell r="B2735" t="str">
            <v>Sistemas de suspensión para camiones</v>
          </cell>
        </row>
        <row r="2736">
          <cell r="A2736">
            <v>25172003</v>
          </cell>
          <cell r="B2736" t="str">
            <v>Amortiguadores para camiones</v>
          </cell>
        </row>
        <row r="2737">
          <cell r="A2737">
            <v>25172004</v>
          </cell>
          <cell r="B2737" t="str">
            <v>Amortiguadores para automóviles</v>
          </cell>
        </row>
        <row r="2738">
          <cell r="A2738">
            <v>25172005</v>
          </cell>
          <cell r="B2738" t="str">
            <v>Sistemas de suspensión para trenes</v>
          </cell>
        </row>
        <row r="2739">
          <cell r="A2739">
            <v>25172007</v>
          </cell>
          <cell r="B2739" t="str">
            <v>Puntales</v>
          </cell>
        </row>
        <row r="2740">
          <cell r="A2740">
            <v>25172009</v>
          </cell>
          <cell r="B2740" t="str">
            <v>Buje de automóvil</v>
          </cell>
        </row>
        <row r="2741">
          <cell r="A2741">
            <v>25172010</v>
          </cell>
          <cell r="B2741" t="str">
            <v>Barra anti -  ladeo</v>
          </cell>
        </row>
        <row r="2742">
          <cell r="A2742">
            <v>25172011</v>
          </cell>
          <cell r="B2742" t="str">
            <v>Amortiguadores de choque</v>
          </cell>
        </row>
        <row r="2743">
          <cell r="A2743">
            <v>25172101</v>
          </cell>
          <cell r="B2743" t="str">
            <v>Airbags</v>
          </cell>
        </row>
        <row r="2744">
          <cell r="A2744">
            <v>25172104</v>
          </cell>
          <cell r="B2744" t="str">
            <v>Cinturones de seguridad</v>
          </cell>
        </row>
        <row r="2745">
          <cell r="A2745">
            <v>25172105</v>
          </cell>
          <cell r="B2745" t="str">
            <v>Sistemas para evitar choques</v>
          </cell>
        </row>
        <row r="2746">
          <cell r="A2746">
            <v>25172106</v>
          </cell>
          <cell r="B2746" t="str">
            <v>Sistemas sensores de impacto</v>
          </cell>
        </row>
        <row r="2747">
          <cell r="A2747">
            <v>25172108</v>
          </cell>
          <cell r="B2747" t="str">
            <v>Apoyacabezas</v>
          </cell>
        </row>
        <row r="2748">
          <cell r="A2748">
            <v>25172109</v>
          </cell>
          <cell r="B2748" t="str">
            <v>Latas de propulsor de airbags</v>
          </cell>
        </row>
        <row r="2749">
          <cell r="A2749">
            <v>25172110</v>
          </cell>
          <cell r="B2749" t="str">
            <v>Pito de vehículo</v>
          </cell>
        </row>
        <row r="2750">
          <cell r="A2750">
            <v>25172111</v>
          </cell>
          <cell r="B2750" t="str">
            <v>Sistema remoto de bloqueo</v>
          </cell>
        </row>
        <row r="2751">
          <cell r="A2751">
            <v>25172112</v>
          </cell>
          <cell r="B2751" t="str">
            <v>Sistemas de control de la estabilidad del vehículo</v>
          </cell>
        </row>
        <row r="2752">
          <cell r="A2752">
            <v>25172113</v>
          </cell>
          <cell r="B2752" t="str">
            <v>Sistemas de control de la tracción del vehículo</v>
          </cell>
        </row>
        <row r="2753">
          <cell r="A2753">
            <v>25172114</v>
          </cell>
          <cell r="B2753" t="str">
            <v>Bloqueadores de ruedas</v>
          </cell>
        </row>
        <row r="2754">
          <cell r="A2754">
            <v>25172201</v>
          </cell>
          <cell r="B2754" t="str">
            <v>Puertas de automotores desmontables</v>
          </cell>
        </row>
        <row r="2755">
          <cell r="A2755">
            <v>25172203</v>
          </cell>
          <cell r="B2755" t="str">
            <v>Puertas de automotores</v>
          </cell>
        </row>
        <row r="2756">
          <cell r="A2756">
            <v>25172204</v>
          </cell>
          <cell r="B2756" t="str">
            <v>Puertas de persiana para camiones</v>
          </cell>
        </row>
        <row r="2757">
          <cell r="A2757">
            <v>25172205</v>
          </cell>
          <cell r="B2757" t="str">
            <v>Compuertas inferiores o puertas elevadoras</v>
          </cell>
        </row>
        <row r="2758">
          <cell r="A2758">
            <v>25172301</v>
          </cell>
          <cell r="B2758" t="str">
            <v>Parabrisas para automotores</v>
          </cell>
        </row>
        <row r="2759">
          <cell r="A2759">
            <v>25172303</v>
          </cell>
          <cell r="B2759" t="str">
            <v>Ventanas para automotores</v>
          </cell>
        </row>
        <row r="2760">
          <cell r="A2760">
            <v>25172404</v>
          </cell>
          <cell r="B2760" t="str">
            <v>Sistemas de almacenaje de combustible híbrido</v>
          </cell>
        </row>
        <row r="2761">
          <cell r="A2761">
            <v>25172405</v>
          </cell>
          <cell r="B2761" t="str">
            <v>Sistemas de inyección de combustible</v>
          </cell>
        </row>
        <row r="2762">
          <cell r="A2762">
            <v>25172406</v>
          </cell>
          <cell r="B2762" t="str">
            <v>Tanques de combustible</v>
          </cell>
        </row>
        <row r="2763">
          <cell r="A2763">
            <v>25172407</v>
          </cell>
          <cell r="B2763" t="str">
            <v>Elementos respiraderos</v>
          </cell>
        </row>
        <row r="2764">
          <cell r="A2764">
            <v>25172408</v>
          </cell>
          <cell r="B2764" t="str">
            <v>Tapas de aceite o combustible</v>
          </cell>
        </row>
        <row r="2765">
          <cell r="A2765">
            <v>25172502</v>
          </cell>
          <cell r="B2765" t="str">
            <v>Neumático para llantas de automóviles</v>
          </cell>
        </row>
        <row r="2766">
          <cell r="A2766">
            <v>25172503</v>
          </cell>
          <cell r="B2766" t="str">
            <v>Llantas para camiones pesados</v>
          </cell>
        </row>
        <row r="2767">
          <cell r="A2767">
            <v>25172504</v>
          </cell>
          <cell r="B2767" t="str">
            <v>Llantas para automóviles o camionetas</v>
          </cell>
        </row>
        <row r="2768">
          <cell r="A2768">
            <v>25172505</v>
          </cell>
          <cell r="B2768" t="str">
            <v>Llantas de bicicleta</v>
          </cell>
        </row>
        <row r="2769">
          <cell r="A2769">
            <v>25172506</v>
          </cell>
          <cell r="B2769" t="str">
            <v>Neumáticos de bicicleta</v>
          </cell>
        </row>
        <row r="2770">
          <cell r="A2770">
            <v>25172507</v>
          </cell>
          <cell r="B2770" t="str">
            <v>Cordón de llanta</v>
          </cell>
        </row>
        <row r="2771">
          <cell r="A2771">
            <v>25172508</v>
          </cell>
          <cell r="B2771" t="str">
            <v>Labrado de llanta</v>
          </cell>
        </row>
        <row r="2772">
          <cell r="A2772">
            <v>25172601</v>
          </cell>
          <cell r="B2772" t="str">
            <v>Acabados para automotores</v>
          </cell>
        </row>
        <row r="2773">
          <cell r="A2773">
            <v>25172602</v>
          </cell>
          <cell r="B2773" t="str">
            <v>Guardabarros</v>
          </cell>
        </row>
        <row r="2774">
          <cell r="A2774">
            <v>25172603</v>
          </cell>
          <cell r="B2774" t="str">
            <v>Parachoques para automotores</v>
          </cell>
        </row>
        <row r="2775">
          <cell r="A2775">
            <v>25172604</v>
          </cell>
          <cell r="B2775" t="str">
            <v>Espejos retrovisores</v>
          </cell>
        </row>
        <row r="2776">
          <cell r="A2776">
            <v>25172605</v>
          </cell>
          <cell r="B2776" t="str">
            <v>Parrillas de vehículos</v>
          </cell>
        </row>
        <row r="2777">
          <cell r="A2777">
            <v>25172606</v>
          </cell>
          <cell r="B2777" t="str">
            <v>Capós de vehículos</v>
          </cell>
        </row>
        <row r="2778">
          <cell r="A2778">
            <v>25172607</v>
          </cell>
          <cell r="B2778" t="str">
            <v>Paneles laterales de vehículos</v>
          </cell>
        </row>
        <row r="2779">
          <cell r="A2779">
            <v>25172608</v>
          </cell>
          <cell r="B2779" t="str">
            <v>Tableros</v>
          </cell>
        </row>
        <row r="2780">
          <cell r="A2780">
            <v>25172702</v>
          </cell>
          <cell r="B2780" t="str">
            <v>Sistemas de control medioambiental espacial</v>
          </cell>
        </row>
        <row r="2781">
          <cell r="A2781">
            <v>25172703</v>
          </cell>
          <cell r="B2781" t="str">
            <v>Sistemas de control medioambiental marítimo</v>
          </cell>
        </row>
        <row r="2782">
          <cell r="A2782">
            <v>25172704</v>
          </cell>
          <cell r="B2782" t="str">
            <v>Sistema control temperatura vehículo</v>
          </cell>
        </row>
        <row r="2783">
          <cell r="A2783">
            <v>25172802</v>
          </cell>
          <cell r="B2783" t="str">
            <v>Sistemas hidráulicos para automotores</v>
          </cell>
        </row>
        <row r="2784">
          <cell r="A2784">
            <v>25172803</v>
          </cell>
          <cell r="B2784" t="str">
            <v>Sistemas hidráulicos marítimos</v>
          </cell>
        </row>
        <row r="2785">
          <cell r="A2785">
            <v>25172901</v>
          </cell>
          <cell r="B2785" t="str">
            <v>Iluminación exterior para automóviles</v>
          </cell>
        </row>
        <row r="2786">
          <cell r="A2786">
            <v>25172903</v>
          </cell>
          <cell r="B2786" t="str">
            <v>Iluminación exterior para vagones de tren</v>
          </cell>
        </row>
        <row r="2787">
          <cell r="A2787">
            <v>25172904</v>
          </cell>
          <cell r="B2787" t="str">
            <v>Iluminación exterior para buques o barcos</v>
          </cell>
        </row>
        <row r="2788">
          <cell r="A2788">
            <v>25172905</v>
          </cell>
          <cell r="B2788" t="str">
            <v>Sistema para lavar o limpiar la farola delantera</v>
          </cell>
        </row>
        <row r="2789">
          <cell r="A2789">
            <v>25172906</v>
          </cell>
          <cell r="B2789" t="str">
            <v>Reflectores</v>
          </cell>
        </row>
        <row r="2790">
          <cell r="A2790">
            <v>25172907</v>
          </cell>
          <cell r="B2790" t="str">
            <v>Luz frontal del vehículo</v>
          </cell>
        </row>
        <row r="2791">
          <cell r="A2791">
            <v>25173001</v>
          </cell>
          <cell r="B2791" t="str">
            <v>Iluminación interior para automóviles</v>
          </cell>
        </row>
        <row r="2792">
          <cell r="A2792">
            <v>25173003</v>
          </cell>
          <cell r="B2792" t="str">
            <v>Iluminación interior para vagones de tren</v>
          </cell>
        </row>
        <row r="2793">
          <cell r="A2793">
            <v>25173004</v>
          </cell>
          <cell r="B2793" t="str">
            <v>Iluminación interior para buques o barcos</v>
          </cell>
        </row>
        <row r="2794">
          <cell r="A2794">
            <v>25173005</v>
          </cell>
          <cell r="B2794" t="str">
            <v>Ensamblajes de iluminación de las placas</v>
          </cell>
        </row>
        <row r="2795">
          <cell r="A2795">
            <v>25173107</v>
          </cell>
          <cell r="B2795" t="str">
            <v>Sistemas de posicionamiento global de vehículos</v>
          </cell>
        </row>
        <row r="2796">
          <cell r="A2796">
            <v>25173108</v>
          </cell>
          <cell r="B2796" t="str">
            <v>Sistemas de navegación vehicular</v>
          </cell>
        </row>
        <row r="2797">
          <cell r="A2797">
            <v>25173303</v>
          </cell>
          <cell r="B2797" t="str">
            <v>Sistemas de computador</v>
          </cell>
        </row>
        <row r="2798">
          <cell r="A2798">
            <v>25173304</v>
          </cell>
          <cell r="B2798" t="str">
            <v>Sistemas electrónicos de ignición</v>
          </cell>
        </row>
        <row r="2799">
          <cell r="A2799">
            <v>25173701</v>
          </cell>
          <cell r="B2799" t="str">
            <v>Convertidores catalíticos</v>
          </cell>
        </row>
        <row r="2800">
          <cell r="A2800">
            <v>25173702</v>
          </cell>
          <cell r="B2800" t="str">
            <v>Silenciadores de exhosto o resonadores</v>
          </cell>
        </row>
        <row r="2801">
          <cell r="A2801">
            <v>25173703</v>
          </cell>
          <cell r="B2801" t="str">
            <v>Colector de escape</v>
          </cell>
        </row>
        <row r="2802">
          <cell r="A2802">
            <v>25173704</v>
          </cell>
          <cell r="B2802" t="str">
            <v>Adaptadores de silenciadores</v>
          </cell>
        </row>
        <row r="2803">
          <cell r="A2803">
            <v>25173705</v>
          </cell>
          <cell r="B2803" t="str">
            <v>Amortiguadores de chispas</v>
          </cell>
        </row>
        <row r="2804">
          <cell r="A2804">
            <v>25173801</v>
          </cell>
          <cell r="B2804" t="str">
            <v>Ejes de manejo</v>
          </cell>
        </row>
        <row r="2805">
          <cell r="A2805">
            <v>25173802</v>
          </cell>
          <cell r="B2805" t="str">
            <v>Ejes no de manejo</v>
          </cell>
        </row>
        <row r="2806">
          <cell r="A2806">
            <v>25173803</v>
          </cell>
          <cell r="B2806" t="str">
            <v>Carcasas de eje</v>
          </cell>
        </row>
        <row r="2807">
          <cell r="A2807">
            <v>25173804</v>
          </cell>
          <cell r="B2807" t="str">
            <v>Husillos de giro de eje</v>
          </cell>
        </row>
        <row r="2808">
          <cell r="A2808">
            <v>25173805</v>
          </cell>
          <cell r="B2808" t="str">
            <v>Diferenciales</v>
          </cell>
        </row>
        <row r="2809">
          <cell r="A2809">
            <v>25173806</v>
          </cell>
          <cell r="B2809" t="str">
            <v>Juntas de velocidad constante</v>
          </cell>
        </row>
        <row r="2810">
          <cell r="A2810">
            <v>25173807</v>
          </cell>
          <cell r="B2810" t="str">
            <v>Ejes de cardán</v>
          </cell>
        </row>
        <row r="2811">
          <cell r="A2811">
            <v>25173808</v>
          </cell>
          <cell r="B2811" t="str">
            <v>Equipo de reparar ejes</v>
          </cell>
        </row>
        <row r="2812">
          <cell r="A2812">
            <v>25173809</v>
          </cell>
          <cell r="B2812" t="str">
            <v>Buje de eje</v>
          </cell>
        </row>
        <row r="2813">
          <cell r="A2813">
            <v>25173810</v>
          </cell>
          <cell r="B2813" t="str">
            <v>Juntas de cardán</v>
          </cell>
        </row>
        <row r="2814">
          <cell r="A2814">
            <v>25173811</v>
          </cell>
          <cell r="B2814" t="str">
            <v>Ejes de tracción</v>
          </cell>
        </row>
        <row r="2815">
          <cell r="A2815">
            <v>25173812</v>
          </cell>
          <cell r="B2815" t="str">
            <v>Transmisiones manuales</v>
          </cell>
        </row>
        <row r="2816">
          <cell r="A2816">
            <v>25173813</v>
          </cell>
          <cell r="B2816" t="str">
            <v>Transmisiones automáticas</v>
          </cell>
        </row>
        <row r="2817">
          <cell r="A2817">
            <v>25173815</v>
          </cell>
          <cell r="B2817" t="str">
            <v>Cables de embrague</v>
          </cell>
        </row>
        <row r="2818">
          <cell r="A2818">
            <v>25173816</v>
          </cell>
          <cell r="B2818" t="str">
            <v>Componentes hidráulicos de embrague</v>
          </cell>
        </row>
        <row r="2819">
          <cell r="A2819">
            <v>25173817</v>
          </cell>
          <cell r="B2819" t="str">
            <v>Cadenas de los engranajes conductores</v>
          </cell>
        </row>
        <row r="2820">
          <cell r="A2820">
            <v>25173901</v>
          </cell>
          <cell r="B2820" t="str">
            <v>Ignición</v>
          </cell>
        </row>
        <row r="2821">
          <cell r="A2821">
            <v>25174001</v>
          </cell>
          <cell r="B2821" t="str">
            <v>Ventilador</v>
          </cell>
        </row>
        <row r="2822">
          <cell r="A2822">
            <v>25174002</v>
          </cell>
          <cell r="B2822" t="str">
            <v>Radiadores de motor</v>
          </cell>
        </row>
        <row r="2823">
          <cell r="A2823">
            <v>25174003</v>
          </cell>
          <cell r="B2823" t="str">
            <v>Tapas de radiador</v>
          </cell>
        </row>
        <row r="2824">
          <cell r="A2824">
            <v>25174004</v>
          </cell>
          <cell r="B2824" t="str">
            <v>Refrigerante de motor</v>
          </cell>
        </row>
        <row r="2825">
          <cell r="A2825">
            <v>25174101</v>
          </cell>
          <cell r="B2825" t="str">
            <v>Salida de emergencia de vehículos</v>
          </cell>
        </row>
        <row r="2826">
          <cell r="A2826">
            <v>25174102</v>
          </cell>
          <cell r="B2826" t="str">
            <v>Techos permanentes convertibles</v>
          </cell>
        </row>
        <row r="2827">
          <cell r="A2827">
            <v>25174103</v>
          </cell>
          <cell r="B2827" t="str">
            <v>Techos duros desmontables</v>
          </cell>
        </row>
        <row r="2828">
          <cell r="A2828">
            <v>25174104</v>
          </cell>
          <cell r="B2828" t="str">
            <v>Techos blandos desmontables</v>
          </cell>
        </row>
        <row r="2829">
          <cell r="A2829">
            <v>25174105</v>
          </cell>
          <cell r="B2829" t="str">
            <v>Sistemas de rejillas de techo</v>
          </cell>
        </row>
        <row r="2830">
          <cell r="A2830">
            <v>25174106</v>
          </cell>
          <cell r="B2830" t="str">
            <v>Sunroofs o techos corredizos</v>
          </cell>
        </row>
        <row r="2831">
          <cell r="A2831">
            <v>25174107</v>
          </cell>
          <cell r="B2831" t="str">
            <v>Deflectores de viento</v>
          </cell>
        </row>
        <row r="2832">
          <cell r="A2832">
            <v>25174201</v>
          </cell>
          <cell r="B2832" t="str">
            <v>Sacos de dirección</v>
          </cell>
        </row>
        <row r="2833">
          <cell r="A2833">
            <v>25174202</v>
          </cell>
          <cell r="B2833" t="str">
            <v>Suspensión de dirección</v>
          </cell>
        </row>
        <row r="2834">
          <cell r="A2834">
            <v>25174203</v>
          </cell>
          <cell r="B2834" t="str">
            <v>Junta de bola</v>
          </cell>
        </row>
        <row r="2835">
          <cell r="A2835">
            <v>25174204</v>
          </cell>
          <cell r="B2835" t="str">
            <v>Sistema de dirección hidráulica</v>
          </cell>
        </row>
        <row r="2836">
          <cell r="A2836">
            <v>25174205</v>
          </cell>
          <cell r="B2836" t="str">
            <v>Bielas</v>
          </cell>
        </row>
        <row r="2837">
          <cell r="A2837">
            <v>25174206</v>
          </cell>
          <cell r="B2837" t="str">
            <v>Contramanivela</v>
          </cell>
        </row>
        <row r="2838">
          <cell r="A2838">
            <v>25174207</v>
          </cell>
          <cell r="B2838" t="str">
            <v>Varillas de dirección</v>
          </cell>
        </row>
        <row r="2839">
          <cell r="A2839">
            <v>25174208</v>
          </cell>
          <cell r="B2839" t="str">
            <v>Eje de bloqueo</v>
          </cell>
        </row>
        <row r="2840">
          <cell r="A2840">
            <v>25174209</v>
          </cell>
          <cell r="B2840" t="str">
            <v>Piñones</v>
          </cell>
        </row>
        <row r="2841">
          <cell r="A2841">
            <v>25174210</v>
          </cell>
          <cell r="B2841" t="str">
            <v>Cable de afinamiento de dirección hidráulica</v>
          </cell>
        </row>
        <row r="2842">
          <cell r="A2842">
            <v>25174211</v>
          </cell>
          <cell r="B2842" t="str">
            <v>Timones o volantes</v>
          </cell>
        </row>
        <row r="2843">
          <cell r="A2843">
            <v>25174212</v>
          </cell>
          <cell r="B2843" t="str">
            <v>Ensambles de columna de dirección</v>
          </cell>
        </row>
        <row r="2844">
          <cell r="A2844">
            <v>25174213</v>
          </cell>
          <cell r="B2844" t="str">
            <v>Ensambles de cilindro de dirección</v>
          </cell>
        </row>
        <row r="2845">
          <cell r="A2845">
            <v>25174401</v>
          </cell>
          <cell r="B2845" t="str">
            <v>Biseles</v>
          </cell>
        </row>
        <row r="2846">
          <cell r="A2846">
            <v>25174402</v>
          </cell>
          <cell r="B2846" t="str">
            <v>Consolas</v>
          </cell>
        </row>
        <row r="2847">
          <cell r="A2847">
            <v>25174403</v>
          </cell>
          <cell r="B2847" t="str">
            <v>Paneles de puerta</v>
          </cell>
        </row>
        <row r="2848">
          <cell r="A2848">
            <v>25174404</v>
          </cell>
          <cell r="B2848" t="str">
            <v>Tapizado del techo</v>
          </cell>
        </row>
        <row r="2849">
          <cell r="A2849">
            <v>25174405</v>
          </cell>
          <cell r="B2849" t="str">
            <v>Grupos de instrumentos</v>
          </cell>
        </row>
        <row r="2850">
          <cell r="A2850">
            <v>25174406</v>
          </cell>
          <cell r="B2850" t="str">
            <v>Paneles de instrumentos</v>
          </cell>
        </row>
        <row r="2851">
          <cell r="A2851">
            <v>25174407</v>
          </cell>
          <cell r="B2851" t="str">
            <v>Pedales</v>
          </cell>
        </row>
        <row r="2852">
          <cell r="A2852">
            <v>25174408</v>
          </cell>
          <cell r="B2852" t="str">
            <v>Puntos para energía o para encendedores</v>
          </cell>
        </row>
        <row r="2853">
          <cell r="A2853">
            <v>25174409</v>
          </cell>
          <cell r="B2853" t="str">
            <v>Visores de sol</v>
          </cell>
        </row>
        <row r="2854">
          <cell r="A2854">
            <v>25174410</v>
          </cell>
          <cell r="B2854" t="str">
            <v>Componentes y sistemas de sonido del vehículo</v>
          </cell>
        </row>
        <row r="2855">
          <cell r="A2855">
            <v>25174601</v>
          </cell>
          <cell r="B2855" t="str">
            <v>Fundas de asientos</v>
          </cell>
        </row>
        <row r="2856">
          <cell r="A2856">
            <v>25174602</v>
          </cell>
          <cell r="B2856" t="str">
            <v>Cojinería de asientos</v>
          </cell>
        </row>
        <row r="2857">
          <cell r="A2857">
            <v>25174603</v>
          </cell>
          <cell r="B2857" t="str">
            <v>Marcos de asientos</v>
          </cell>
        </row>
        <row r="2858">
          <cell r="A2858">
            <v>25174701</v>
          </cell>
          <cell r="B2858" t="str">
            <v>Pedales de bicicleta</v>
          </cell>
        </row>
        <row r="2859">
          <cell r="A2859">
            <v>25181601</v>
          </cell>
          <cell r="B2859" t="str">
            <v>Chasis para automóviles</v>
          </cell>
        </row>
        <row r="2860">
          <cell r="A2860">
            <v>25181602</v>
          </cell>
          <cell r="B2860" t="str">
            <v>Chasis para camiones</v>
          </cell>
        </row>
        <row r="2861">
          <cell r="A2861">
            <v>25181603</v>
          </cell>
          <cell r="B2861" t="str">
            <v>Bastidores de motos</v>
          </cell>
        </row>
        <row r="2862">
          <cell r="A2862">
            <v>25181701</v>
          </cell>
          <cell r="B2862" t="str">
            <v>Tráiler para contenedores</v>
          </cell>
        </row>
        <row r="2863">
          <cell r="A2863">
            <v>25181702</v>
          </cell>
          <cell r="B2863" t="str">
            <v>Tráiler cama alta</v>
          </cell>
        </row>
        <row r="2864">
          <cell r="A2864">
            <v>25181703</v>
          </cell>
          <cell r="B2864" t="str">
            <v>Remolques para ganado</v>
          </cell>
        </row>
        <row r="2865">
          <cell r="A2865">
            <v>25181704</v>
          </cell>
          <cell r="B2865" t="str">
            <v>Remolques carrotanque sin temperatura controlada</v>
          </cell>
        </row>
        <row r="2866">
          <cell r="A2866">
            <v>25181705</v>
          </cell>
          <cell r="B2866" t="str">
            <v>Remolques carrotanque con temperatura controlada</v>
          </cell>
        </row>
        <row r="2867">
          <cell r="A2867">
            <v>25181706</v>
          </cell>
          <cell r="B2867" t="str">
            <v>Remolques contenedor con temperatura controlada</v>
          </cell>
        </row>
        <row r="2868">
          <cell r="A2868">
            <v>25181707</v>
          </cell>
          <cell r="B2868" t="str">
            <v>Remolques para transporte de automóviles (niñeras)</v>
          </cell>
        </row>
        <row r="2869">
          <cell r="A2869">
            <v>25181708</v>
          </cell>
          <cell r="B2869" t="str">
            <v>Enganches de remolque</v>
          </cell>
        </row>
        <row r="2870">
          <cell r="A2870">
            <v>25181709</v>
          </cell>
          <cell r="B2870" t="str">
            <v>Pala cargadora</v>
          </cell>
        </row>
        <row r="2871">
          <cell r="A2871">
            <v>25181710</v>
          </cell>
          <cell r="B2871" t="str">
            <v>Placas de matrícula de tráiler</v>
          </cell>
        </row>
        <row r="2872">
          <cell r="A2872">
            <v>25181711</v>
          </cell>
          <cell r="B2872" t="str">
            <v>Remolque de motonieve</v>
          </cell>
        </row>
        <row r="2873">
          <cell r="A2873">
            <v>25181712</v>
          </cell>
          <cell r="B2873" t="str">
            <v>Remolque de motocicleta</v>
          </cell>
        </row>
        <row r="2874">
          <cell r="A2874">
            <v>25181713</v>
          </cell>
          <cell r="B2874" t="str">
            <v>Remolque de botes</v>
          </cell>
        </row>
        <row r="2875">
          <cell r="A2875">
            <v>25191501</v>
          </cell>
          <cell r="B2875" t="str">
            <v>Sistemas de entrenamiento de apoyo terrestre</v>
          </cell>
        </row>
        <row r="2876">
          <cell r="A2876">
            <v>25191502</v>
          </cell>
          <cell r="B2876" t="str">
            <v>Sistemas de ensayo o mantenimiento de apoyo terrestre</v>
          </cell>
        </row>
        <row r="2877">
          <cell r="A2877">
            <v>25191503</v>
          </cell>
          <cell r="B2877" t="str">
            <v>Sistemas integrados de información de mantenimiento</v>
          </cell>
        </row>
        <row r="2878">
          <cell r="A2878">
            <v>25191504</v>
          </cell>
          <cell r="B2878" t="str">
            <v>Simuladores de vuelo para aviones</v>
          </cell>
        </row>
        <row r="2879">
          <cell r="A2879">
            <v>25191505</v>
          </cell>
          <cell r="B2879" t="str">
            <v>Medios de carga y descarga para aviones</v>
          </cell>
        </row>
        <row r="2880">
          <cell r="A2880">
            <v>25191506</v>
          </cell>
          <cell r="B2880" t="str">
            <v>Equipo para recargar combustible de aviones</v>
          </cell>
        </row>
        <row r="2881">
          <cell r="A2881">
            <v>25191507</v>
          </cell>
          <cell r="B2881" t="str">
            <v>Equipo para deshielo de aviones</v>
          </cell>
        </row>
        <row r="2882">
          <cell r="A2882">
            <v>25191508</v>
          </cell>
          <cell r="B2882" t="str">
            <v>Pasarela telescópica para aviones</v>
          </cell>
        </row>
        <row r="2883">
          <cell r="A2883">
            <v>25191509</v>
          </cell>
          <cell r="B2883" t="str">
            <v>Tractores remolcadores para aviones</v>
          </cell>
        </row>
        <row r="2884">
          <cell r="A2884">
            <v>25191510</v>
          </cell>
          <cell r="B2884" t="str">
            <v>Unidades de potencia para pista aérea</v>
          </cell>
        </row>
        <row r="2885">
          <cell r="A2885">
            <v>25191511</v>
          </cell>
          <cell r="B2885" t="str">
            <v>Equipo de lavabos para aeronaves</v>
          </cell>
        </row>
        <row r="2886">
          <cell r="A2886">
            <v>25191512</v>
          </cell>
          <cell r="B2886" t="str">
            <v>Escalerillas transportables o rodantes</v>
          </cell>
        </row>
        <row r="2887">
          <cell r="A2887">
            <v>25191513</v>
          </cell>
          <cell r="B2887" t="str">
            <v>Kit de mantenimiento de vehículo de soporte en tierra</v>
          </cell>
        </row>
        <row r="2888">
          <cell r="A2888">
            <v>25191514</v>
          </cell>
          <cell r="B2888" t="str">
            <v>Barra de remolque de avión</v>
          </cell>
        </row>
        <row r="2889">
          <cell r="A2889">
            <v>25191601</v>
          </cell>
          <cell r="B2889" t="str">
            <v>Simuladores de vuelo de naves espaciales</v>
          </cell>
        </row>
        <row r="2890">
          <cell r="A2890">
            <v>25191602</v>
          </cell>
          <cell r="B2890" t="str">
            <v>Sistemas de suministro de carga para naves espaciales</v>
          </cell>
        </row>
        <row r="2891">
          <cell r="A2891">
            <v>25191603</v>
          </cell>
          <cell r="B2891" t="str">
            <v>Vehículos de lanzamiento líquido</v>
          </cell>
        </row>
        <row r="2892">
          <cell r="A2892">
            <v>25191604</v>
          </cell>
          <cell r="B2892" t="str">
            <v>Vehículos de lanzamiento sólido</v>
          </cell>
        </row>
        <row r="2893">
          <cell r="A2893">
            <v>25191605</v>
          </cell>
          <cell r="B2893" t="str">
            <v>Módulos de servicio para naves espaciales</v>
          </cell>
        </row>
        <row r="2894">
          <cell r="A2894">
            <v>25191701</v>
          </cell>
          <cell r="B2894" t="str">
            <v>Equipos de balanceo de llantas</v>
          </cell>
        </row>
        <row r="2895">
          <cell r="A2895">
            <v>25191702</v>
          </cell>
          <cell r="B2895" t="str">
            <v>Equipos de alineación de llantas</v>
          </cell>
        </row>
        <row r="2896">
          <cell r="A2896">
            <v>25191703</v>
          </cell>
          <cell r="B2896" t="str">
            <v>Máquinas para cambiar llantas</v>
          </cell>
        </row>
        <row r="2897">
          <cell r="A2897">
            <v>25191704</v>
          </cell>
          <cell r="B2897" t="str">
            <v>Pedestales de vehículo o motor</v>
          </cell>
        </row>
        <row r="2898">
          <cell r="A2898">
            <v>25201501</v>
          </cell>
          <cell r="B2898" t="str">
            <v>Spoilers de avión</v>
          </cell>
        </row>
        <row r="2899">
          <cell r="A2899">
            <v>25201502</v>
          </cell>
          <cell r="B2899" t="str">
            <v>Aletas de avión</v>
          </cell>
        </row>
        <row r="2900">
          <cell r="A2900">
            <v>25201503</v>
          </cell>
          <cell r="B2900" t="str">
            <v>Estabilizadores horizontales de avión</v>
          </cell>
        </row>
        <row r="2901">
          <cell r="A2901">
            <v>25201504</v>
          </cell>
          <cell r="B2901" t="str">
            <v>Aletas canard de avión</v>
          </cell>
        </row>
        <row r="2902">
          <cell r="A2902">
            <v>25201505</v>
          </cell>
          <cell r="B2902" t="str">
            <v>Listones de avión</v>
          </cell>
        </row>
        <row r="2903">
          <cell r="A2903">
            <v>25201506</v>
          </cell>
          <cell r="B2903" t="str">
            <v>Flaps o transmisión de flaps de avión</v>
          </cell>
        </row>
        <row r="2904">
          <cell r="A2904">
            <v>25201507</v>
          </cell>
          <cell r="B2904" t="str">
            <v>Timones de avión</v>
          </cell>
        </row>
        <row r="2905">
          <cell r="A2905">
            <v>25201508</v>
          </cell>
          <cell r="B2905" t="str">
            <v>Elevadores de avión</v>
          </cell>
        </row>
        <row r="2906">
          <cell r="A2906">
            <v>25201509</v>
          </cell>
          <cell r="B2906" t="str">
            <v>Alerones de avión</v>
          </cell>
        </row>
        <row r="2907">
          <cell r="A2907">
            <v>25201510</v>
          </cell>
          <cell r="B2907" t="str">
            <v>Propulsores de avión</v>
          </cell>
        </row>
        <row r="2908">
          <cell r="A2908">
            <v>25201511</v>
          </cell>
          <cell r="B2908" t="str">
            <v>Alas de avión</v>
          </cell>
        </row>
        <row r="2909">
          <cell r="A2909">
            <v>25201512</v>
          </cell>
          <cell r="B2909" t="str">
            <v>Fuselajes de avión</v>
          </cell>
        </row>
        <row r="2910">
          <cell r="A2910">
            <v>25201513</v>
          </cell>
          <cell r="B2910" t="str">
            <v>Cúpulas protectoras de la antena de avión</v>
          </cell>
        </row>
        <row r="2911">
          <cell r="A2911">
            <v>25201514</v>
          </cell>
          <cell r="B2911" t="str">
            <v>Rotores de avión</v>
          </cell>
        </row>
        <row r="2912">
          <cell r="A2912">
            <v>25201515</v>
          </cell>
          <cell r="B2912" t="str">
            <v>Ventilador de elevación de avión</v>
          </cell>
        </row>
        <row r="2913">
          <cell r="A2913">
            <v>25201516</v>
          </cell>
          <cell r="B2913" t="str">
            <v>Escudetes de avión</v>
          </cell>
        </row>
        <row r="2914">
          <cell r="A2914">
            <v>25201517</v>
          </cell>
          <cell r="B2914" t="str">
            <v>Muebles de avión</v>
          </cell>
        </row>
        <row r="2915">
          <cell r="A2915">
            <v>25201518</v>
          </cell>
          <cell r="B2915" t="str">
            <v>Dobladores de avión</v>
          </cell>
        </row>
        <row r="2916">
          <cell r="A2916">
            <v>25201519</v>
          </cell>
          <cell r="B2916" t="str">
            <v>Nervaduras de avión</v>
          </cell>
        </row>
        <row r="2917">
          <cell r="A2917">
            <v>25201520</v>
          </cell>
          <cell r="B2917" t="str">
            <v>Largueros de avión</v>
          </cell>
        </row>
        <row r="2918">
          <cell r="A2918">
            <v>25201601</v>
          </cell>
          <cell r="B2918" t="str">
            <v>Sistemas de control digital del altitud del avión</v>
          </cell>
        </row>
        <row r="2919">
          <cell r="A2919">
            <v>25201602</v>
          </cell>
          <cell r="B2919" t="str">
            <v>Faros de navegación de avión</v>
          </cell>
        </row>
        <row r="2920">
          <cell r="A2920">
            <v>25201603</v>
          </cell>
          <cell r="B2920" t="str">
            <v>Sistemas de seguimiento de aire a tierra</v>
          </cell>
        </row>
        <row r="2921">
          <cell r="A2921">
            <v>25201604</v>
          </cell>
          <cell r="B2921" t="str">
            <v>Sistemas de guía aeronáutica</v>
          </cell>
        </row>
        <row r="2922">
          <cell r="A2922">
            <v>25201605</v>
          </cell>
          <cell r="B2922" t="str">
            <v>Controles de volante de avión</v>
          </cell>
        </row>
        <row r="2923">
          <cell r="A2923">
            <v>25201606</v>
          </cell>
          <cell r="B2923" t="str">
            <v>Sistemas de control de la altitud del nave espacial</v>
          </cell>
        </row>
        <row r="2924">
          <cell r="A2924">
            <v>25201701</v>
          </cell>
          <cell r="B2924" t="str">
            <v>Sistemas de comunicación del avión</v>
          </cell>
        </row>
        <row r="2925">
          <cell r="A2925">
            <v>25201702</v>
          </cell>
          <cell r="B2925" t="str">
            <v>Registradores de datos de vuelo</v>
          </cell>
        </row>
        <row r="2926">
          <cell r="A2926">
            <v>25201703</v>
          </cell>
          <cell r="B2926" t="str">
            <v>Contramedidas de avión</v>
          </cell>
        </row>
        <row r="2927">
          <cell r="A2927">
            <v>25201704</v>
          </cell>
          <cell r="B2927" t="str">
            <v>Sistemas de codificación o de decodificación</v>
          </cell>
        </row>
        <row r="2928">
          <cell r="A2928">
            <v>25201705</v>
          </cell>
          <cell r="B2928" t="str">
            <v>Sistemas de telemetría de aeronaves</v>
          </cell>
        </row>
        <row r="2929">
          <cell r="A2929">
            <v>25201706</v>
          </cell>
          <cell r="B2929" t="str">
            <v>Electrónica de interfaz del avión</v>
          </cell>
        </row>
        <row r="2930">
          <cell r="A2930">
            <v>25201707</v>
          </cell>
          <cell r="B2930" t="str">
            <v>Giroscopio del avión</v>
          </cell>
        </row>
        <row r="2931">
          <cell r="A2931">
            <v>25201708</v>
          </cell>
          <cell r="B2931" t="str">
            <v>Cámaras de avión</v>
          </cell>
        </row>
        <row r="2932">
          <cell r="A2932">
            <v>25201709</v>
          </cell>
          <cell r="B2932" t="str">
            <v>Sondas o sensores de avión</v>
          </cell>
        </row>
        <row r="2933">
          <cell r="A2933">
            <v>25201710</v>
          </cell>
          <cell r="B2933" t="str">
            <v>Guías de onda del avión</v>
          </cell>
        </row>
        <row r="2934">
          <cell r="A2934">
            <v>25201801</v>
          </cell>
          <cell r="B2934" t="str">
            <v>Sistemas de computadores de vuelo</v>
          </cell>
        </row>
        <row r="2935">
          <cell r="A2935">
            <v>25201802</v>
          </cell>
          <cell r="B2935" t="str">
            <v>Módulos de comando de naves especiales</v>
          </cell>
        </row>
        <row r="2936">
          <cell r="A2936">
            <v>25201901</v>
          </cell>
          <cell r="B2936" t="str">
            <v>Sistemas de control o extinción de incendios en aeronaves</v>
          </cell>
        </row>
        <row r="2937">
          <cell r="A2937">
            <v>25201902</v>
          </cell>
          <cell r="B2937" t="str">
            <v>Sistemas de escape o eyección de aeronaves</v>
          </cell>
        </row>
        <row r="2938">
          <cell r="A2938">
            <v>25201903</v>
          </cell>
          <cell r="B2938" t="str">
            <v>Sistemas de advertencia del avión</v>
          </cell>
        </row>
        <row r="2939">
          <cell r="A2939">
            <v>25201904</v>
          </cell>
          <cell r="B2939" t="str">
            <v>Paracaídas</v>
          </cell>
        </row>
        <row r="2940">
          <cell r="A2940">
            <v>25202001</v>
          </cell>
          <cell r="B2940" t="str">
            <v>Células solares de la nave espacial</v>
          </cell>
        </row>
        <row r="2941">
          <cell r="A2941">
            <v>25202002</v>
          </cell>
          <cell r="B2941" t="str">
            <v>Formaciones solares de la nave espacial</v>
          </cell>
        </row>
        <row r="2942">
          <cell r="A2942">
            <v>25202003</v>
          </cell>
          <cell r="B2942" t="str">
            <v>Unidades de la fuente de alimentación de avión</v>
          </cell>
        </row>
        <row r="2943">
          <cell r="A2943">
            <v>25202004</v>
          </cell>
          <cell r="B2943" t="str">
            <v>Sistemas de grupo electrógeno de pista (apu)</v>
          </cell>
        </row>
        <row r="2944">
          <cell r="A2944">
            <v>25202101</v>
          </cell>
          <cell r="B2944" t="str">
            <v>Indicadores de la cabina aeroespacial</v>
          </cell>
        </row>
        <row r="2945">
          <cell r="A2945">
            <v>25202102</v>
          </cell>
          <cell r="B2945" t="str">
            <v>Medidores de la cabina aeroespacial</v>
          </cell>
        </row>
        <row r="2946">
          <cell r="A2946">
            <v>25202103</v>
          </cell>
          <cell r="B2946" t="str">
            <v>Paneles de despliegue aeroespacial de la cabina</v>
          </cell>
        </row>
        <row r="2947">
          <cell r="A2947">
            <v>25202104</v>
          </cell>
          <cell r="B2947" t="str">
            <v>Paneles de interruptores aeroespaciales de la cabina</v>
          </cell>
        </row>
        <row r="2948">
          <cell r="A2948">
            <v>25202105</v>
          </cell>
          <cell r="B2948" t="str">
            <v>Presentación visual de cabeza levantada (hud)</v>
          </cell>
        </row>
        <row r="2949">
          <cell r="A2949">
            <v>25202201</v>
          </cell>
          <cell r="B2949" t="str">
            <v>Sistemas de frenar del avión</v>
          </cell>
        </row>
        <row r="2950">
          <cell r="A2950">
            <v>25202202</v>
          </cell>
          <cell r="B2950" t="str">
            <v>Rampas de arrastre de avión</v>
          </cell>
        </row>
        <row r="2951">
          <cell r="A2951">
            <v>25202203</v>
          </cell>
          <cell r="B2951" t="str">
            <v>Ruedas de avión</v>
          </cell>
        </row>
        <row r="2952">
          <cell r="A2952">
            <v>25202204</v>
          </cell>
          <cell r="B2952" t="str">
            <v>Montajes del tren de aterrizaje</v>
          </cell>
        </row>
        <row r="2953">
          <cell r="A2953">
            <v>25202205</v>
          </cell>
          <cell r="B2953" t="str">
            <v>Llantas de avión</v>
          </cell>
        </row>
        <row r="2954">
          <cell r="A2954">
            <v>25202206</v>
          </cell>
          <cell r="B2954" t="str">
            <v>Controles anti – deslizamiento de avión</v>
          </cell>
        </row>
        <row r="2955">
          <cell r="A2955">
            <v>25202301</v>
          </cell>
          <cell r="B2955" t="str">
            <v>Cinturones de seguridad del avión</v>
          </cell>
        </row>
        <row r="2956">
          <cell r="A2956">
            <v>25202302</v>
          </cell>
          <cell r="B2956" t="str">
            <v>Arneses de seguridad del avión</v>
          </cell>
        </row>
        <row r="2957">
          <cell r="A2957">
            <v>25202401</v>
          </cell>
          <cell r="B2957" t="str">
            <v>Tanques interiores de combustible del avión</v>
          </cell>
        </row>
        <row r="2958">
          <cell r="A2958">
            <v>25202402</v>
          </cell>
          <cell r="B2958" t="str">
            <v>Depósitos desechables de combustible del avión</v>
          </cell>
        </row>
        <row r="2959">
          <cell r="A2959">
            <v>25202403</v>
          </cell>
          <cell r="B2959" t="str">
            <v>Tanques de propelente del avión</v>
          </cell>
        </row>
        <row r="2960">
          <cell r="A2960">
            <v>25202404</v>
          </cell>
          <cell r="B2960" t="str">
            <v>Sistemas híbridos de almacenaje de combustible de avión</v>
          </cell>
        </row>
        <row r="2961">
          <cell r="A2961">
            <v>25202405</v>
          </cell>
          <cell r="B2961" t="str">
            <v>Sistemas de manejo de combustible del avión</v>
          </cell>
        </row>
        <row r="2962">
          <cell r="A2962">
            <v>25202406</v>
          </cell>
          <cell r="B2962" t="str">
            <v>Post – impulsores</v>
          </cell>
        </row>
        <row r="2963">
          <cell r="A2963">
            <v>25202501</v>
          </cell>
          <cell r="B2963" t="str">
            <v>Sistemas hidráulicos de avión</v>
          </cell>
        </row>
        <row r="2964">
          <cell r="A2964">
            <v>25202502</v>
          </cell>
          <cell r="B2964" t="str">
            <v>Iluminación exterior de avión</v>
          </cell>
        </row>
        <row r="2965">
          <cell r="A2965">
            <v>25202503</v>
          </cell>
          <cell r="B2965" t="str">
            <v>Iluminación interior de avión</v>
          </cell>
        </row>
        <row r="2966">
          <cell r="A2966">
            <v>25202504</v>
          </cell>
          <cell r="B2966" t="str">
            <v>Limpiaparabrisas de avión</v>
          </cell>
        </row>
        <row r="2967">
          <cell r="A2967">
            <v>25202505</v>
          </cell>
          <cell r="B2967" t="str">
            <v>Sistemas de descongelación o sistemas de desempañar a bordo de avión</v>
          </cell>
        </row>
        <row r="2968">
          <cell r="A2968">
            <v>25202506</v>
          </cell>
          <cell r="B2968" t="str">
            <v>Puertas de avión</v>
          </cell>
        </row>
        <row r="2969">
          <cell r="A2969">
            <v>25202507</v>
          </cell>
          <cell r="B2969" t="str">
            <v>Ventanas de avión</v>
          </cell>
        </row>
        <row r="2970">
          <cell r="A2970">
            <v>25202508</v>
          </cell>
          <cell r="B2970" t="str">
            <v>Parabrisas de avión</v>
          </cell>
        </row>
        <row r="2971">
          <cell r="A2971">
            <v>25202509</v>
          </cell>
          <cell r="B2971" t="str">
            <v>Montajes de choque del avión</v>
          </cell>
        </row>
        <row r="2972">
          <cell r="A2972">
            <v>25202510</v>
          </cell>
          <cell r="B2972" t="str">
            <v>Conjuntos de anillo colector del avión</v>
          </cell>
        </row>
        <row r="2973">
          <cell r="A2973">
            <v>25202601</v>
          </cell>
          <cell r="B2973" t="str">
            <v>Controladores ambientales del avión</v>
          </cell>
        </row>
        <row r="2974">
          <cell r="A2974">
            <v>25202602</v>
          </cell>
          <cell r="B2974" t="str">
            <v>Reguladores ambientales del avión</v>
          </cell>
        </row>
        <row r="2975">
          <cell r="A2975">
            <v>25202603</v>
          </cell>
          <cell r="B2975" t="str">
            <v>Turbinas para enfriar el avión</v>
          </cell>
        </row>
        <row r="2976">
          <cell r="A2976">
            <v>25202604</v>
          </cell>
          <cell r="B2976" t="str">
            <v>Ventiladores para enfriar el avión</v>
          </cell>
        </row>
        <row r="2977">
          <cell r="A2977">
            <v>25202605</v>
          </cell>
          <cell r="B2977" t="str">
            <v>Intercambiadores de calor del avión</v>
          </cell>
        </row>
        <row r="2978">
          <cell r="A2978">
            <v>25202606</v>
          </cell>
          <cell r="B2978" t="str">
            <v>Separadores del agua del avión</v>
          </cell>
        </row>
        <row r="2979">
          <cell r="A2979">
            <v>25202607</v>
          </cell>
          <cell r="B2979" t="str">
            <v>Equipo del oxígeno del avión</v>
          </cell>
        </row>
        <row r="2980">
          <cell r="A2980">
            <v>25202701</v>
          </cell>
          <cell r="B2980" t="str">
            <v>Acumuladores hidráulicos del avión</v>
          </cell>
        </row>
        <row r="2981">
          <cell r="A2981">
            <v>25202702</v>
          </cell>
          <cell r="B2981" t="str">
            <v>Acumuladores neumáticos del avión</v>
          </cell>
        </row>
        <row r="2982">
          <cell r="A2982">
            <v>26101501</v>
          </cell>
          <cell r="B2982" t="str">
            <v>Motores hidráulicos</v>
          </cell>
        </row>
        <row r="2983">
          <cell r="A2983">
            <v>26101502</v>
          </cell>
          <cell r="B2983" t="str">
            <v>Motores neumáticos</v>
          </cell>
        </row>
        <row r="2984">
          <cell r="A2984">
            <v>26101503</v>
          </cell>
          <cell r="B2984" t="str">
            <v>Motores a gas</v>
          </cell>
        </row>
        <row r="2985">
          <cell r="A2985">
            <v>26101504</v>
          </cell>
          <cell r="B2985" t="str">
            <v>Motores diesel</v>
          </cell>
        </row>
        <row r="2986">
          <cell r="A2986">
            <v>26101505</v>
          </cell>
          <cell r="B2986" t="str">
            <v>Motores de vapor</v>
          </cell>
        </row>
        <row r="2987">
          <cell r="A2987">
            <v>26101506</v>
          </cell>
          <cell r="B2987" t="str">
            <v>Motores de turbina</v>
          </cell>
        </row>
        <row r="2988">
          <cell r="A2988">
            <v>26101507</v>
          </cell>
          <cell r="B2988" t="str">
            <v>Motores de turbina con hélice</v>
          </cell>
        </row>
        <row r="2989">
          <cell r="A2989">
            <v>26101508</v>
          </cell>
          <cell r="B2989" t="str">
            <v>Motores térmicos</v>
          </cell>
        </row>
        <row r="2990">
          <cell r="A2990">
            <v>26101509</v>
          </cell>
          <cell r="B2990" t="str">
            <v>Motores hidroeléctricos</v>
          </cell>
        </row>
        <row r="2991">
          <cell r="A2991">
            <v>26101510</v>
          </cell>
          <cell r="B2991" t="str">
            <v>Máquinas rotativas</v>
          </cell>
        </row>
        <row r="2992">
          <cell r="A2992">
            <v>26101511</v>
          </cell>
          <cell r="B2992" t="str">
            <v>Motores de turbina hidráulica</v>
          </cell>
        </row>
        <row r="2993">
          <cell r="A2993">
            <v>26101512</v>
          </cell>
          <cell r="B2993" t="str">
            <v>Motores turbohélice</v>
          </cell>
        </row>
        <row r="2994">
          <cell r="A2994">
            <v>26101513</v>
          </cell>
          <cell r="B2994" t="str">
            <v>Kit de reparación de motores</v>
          </cell>
        </row>
        <row r="2995">
          <cell r="A2995">
            <v>26101601</v>
          </cell>
          <cell r="B2995" t="str">
            <v>Motores de inducción</v>
          </cell>
        </row>
        <row r="2996">
          <cell r="A2996">
            <v>26101602</v>
          </cell>
          <cell r="B2996" t="str">
            <v>Motores de corriente alterna (CA)</v>
          </cell>
        </row>
        <row r="2997">
          <cell r="A2997">
            <v>26101603</v>
          </cell>
          <cell r="B2997" t="str">
            <v>Motores de corriente continua (CC)</v>
          </cell>
        </row>
        <row r="2998">
          <cell r="A2998">
            <v>26101604</v>
          </cell>
          <cell r="B2998" t="str">
            <v>Motores de corriente alterna (CA) o corriente continua (CC)</v>
          </cell>
        </row>
        <row r="2999">
          <cell r="A2999">
            <v>26101605</v>
          </cell>
          <cell r="B2999" t="str">
            <v>Dinamotores</v>
          </cell>
        </row>
        <row r="3000">
          <cell r="A3000">
            <v>26101606</v>
          </cell>
          <cell r="B3000" t="str">
            <v>Servomotores</v>
          </cell>
        </row>
        <row r="3001">
          <cell r="A3001">
            <v>26101607</v>
          </cell>
          <cell r="B3001" t="str">
            <v>Motores de par de torsión</v>
          </cell>
        </row>
        <row r="3002">
          <cell r="A3002">
            <v>26101608</v>
          </cell>
          <cell r="B3002" t="str">
            <v>Motores de cohetes de propulsante líquido</v>
          </cell>
        </row>
        <row r="3003">
          <cell r="A3003">
            <v>26101609</v>
          </cell>
          <cell r="B3003" t="str">
            <v>Motores sincrónicos</v>
          </cell>
        </row>
        <row r="3004">
          <cell r="A3004">
            <v>26101610</v>
          </cell>
          <cell r="B3004" t="str">
            <v>Motores de cohete con propulsión sólida</v>
          </cell>
        </row>
        <row r="3005">
          <cell r="A3005">
            <v>26101611</v>
          </cell>
          <cell r="B3005" t="str">
            <v>Motores monofásicos</v>
          </cell>
        </row>
        <row r="3006">
          <cell r="A3006">
            <v>26101612</v>
          </cell>
          <cell r="B3006" t="str">
            <v>Motores multifásicos</v>
          </cell>
        </row>
        <row r="3007">
          <cell r="A3007">
            <v>26101613</v>
          </cell>
          <cell r="B3007" t="str">
            <v>Motores hidráulicos</v>
          </cell>
        </row>
        <row r="3008">
          <cell r="A3008">
            <v>26101614</v>
          </cell>
          <cell r="B3008" t="str">
            <v>Motores escalonados</v>
          </cell>
        </row>
        <row r="3009">
          <cell r="A3009">
            <v>26101615</v>
          </cell>
          <cell r="B3009" t="str">
            <v>Alternadores</v>
          </cell>
        </row>
        <row r="3010">
          <cell r="A3010">
            <v>26101616</v>
          </cell>
          <cell r="B3010" t="str">
            <v>Motor neumático</v>
          </cell>
        </row>
        <row r="3011">
          <cell r="A3011">
            <v>26101701</v>
          </cell>
          <cell r="B3011" t="str">
            <v>Quemadores para aeronaves</v>
          </cell>
        </row>
        <row r="3012">
          <cell r="A3012">
            <v>26101702</v>
          </cell>
          <cell r="B3012" t="str">
            <v>Compresores de motor de avión</v>
          </cell>
        </row>
        <row r="3013">
          <cell r="A3013">
            <v>26101703</v>
          </cell>
          <cell r="B3013" t="str">
            <v>Difusores de motor de avión</v>
          </cell>
        </row>
        <row r="3014">
          <cell r="A3014">
            <v>26101704</v>
          </cell>
          <cell r="B3014" t="str">
            <v>Monturas de motor</v>
          </cell>
        </row>
        <row r="3015">
          <cell r="A3015">
            <v>26101705</v>
          </cell>
          <cell r="B3015" t="str">
            <v>Gatos de tornillo de los ejes motores del avión</v>
          </cell>
        </row>
        <row r="3016">
          <cell r="A3016">
            <v>26101706</v>
          </cell>
          <cell r="B3016" t="str">
            <v>Unidades de transmisión del avión</v>
          </cell>
        </row>
        <row r="3017">
          <cell r="A3017">
            <v>26101707</v>
          </cell>
          <cell r="B3017" t="str">
            <v>Ejes compensadores</v>
          </cell>
        </row>
        <row r="3018">
          <cell r="A3018">
            <v>26101708</v>
          </cell>
          <cell r="B3018" t="str">
            <v>Seguidores de la leva</v>
          </cell>
        </row>
        <row r="3019">
          <cell r="A3019">
            <v>26101709</v>
          </cell>
          <cell r="B3019" t="str">
            <v>Elevadores de árbol de levas</v>
          </cell>
        </row>
        <row r="3020">
          <cell r="A3020">
            <v>26101710</v>
          </cell>
          <cell r="B3020" t="str">
            <v>Carburadores</v>
          </cell>
        </row>
        <row r="3021">
          <cell r="A3021">
            <v>26101711</v>
          </cell>
          <cell r="B3021" t="str">
            <v>Bielas</v>
          </cell>
        </row>
        <row r="3022">
          <cell r="A3022">
            <v>26101712</v>
          </cell>
          <cell r="B3022" t="str">
            <v>Válvulas de ventilación del cárter</v>
          </cell>
        </row>
        <row r="3023">
          <cell r="A3023">
            <v>26101713</v>
          </cell>
          <cell r="B3023" t="str">
            <v>Culata de cilindro</v>
          </cell>
        </row>
        <row r="3024">
          <cell r="A3024">
            <v>26101715</v>
          </cell>
          <cell r="B3024" t="str">
            <v>Tapas de motor</v>
          </cell>
        </row>
        <row r="3025">
          <cell r="A3025">
            <v>26101716</v>
          </cell>
          <cell r="B3025" t="str">
            <v>Forjas del motor</v>
          </cell>
        </row>
        <row r="3026">
          <cell r="A3026">
            <v>26101717</v>
          </cell>
          <cell r="B3026" t="str">
            <v>Calentadores de motor</v>
          </cell>
        </row>
        <row r="3027">
          <cell r="A3027">
            <v>26101718</v>
          </cell>
          <cell r="B3027" t="str">
            <v>Sistemas de ignición de motor</v>
          </cell>
        </row>
        <row r="3028">
          <cell r="A3028">
            <v>26101719</v>
          </cell>
          <cell r="B3028" t="str">
            <v>Súper cargadores</v>
          </cell>
        </row>
        <row r="3029">
          <cell r="A3029">
            <v>26101720</v>
          </cell>
          <cell r="B3029" t="str">
            <v>Turbocargador</v>
          </cell>
        </row>
        <row r="3030">
          <cell r="A3030">
            <v>26101721</v>
          </cell>
          <cell r="B3030" t="str">
            <v>Poleas del motor</v>
          </cell>
        </row>
        <row r="3031">
          <cell r="A3031">
            <v>26101723</v>
          </cell>
          <cell r="B3031" t="str">
            <v>Lata de vapor de combustible</v>
          </cell>
        </row>
        <row r="3032">
          <cell r="A3032">
            <v>26101724</v>
          </cell>
          <cell r="B3032" t="str">
            <v>Tapón brillante</v>
          </cell>
        </row>
        <row r="3033">
          <cell r="A3033">
            <v>26101725</v>
          </cell>
          <cell r="B3033" t="str">
            <v>Medidores de varilla de aceite</v>
          </cell>
        </row>
        <row r="3034">
          <cell r="A3034">
            <v>26101726</v>
          </cell>
          <cell r="B3034" t="str">
            <v>Coladores de aceite</v>
          </cell>
        </row>
        <row r="3035">
          <cell r="A3035">
            <v>26101727</v>
          </cell>
          <cell r="B3035" t="str">
            <v>Anillo de pistón</v>
          </cell>
        </row>
        <row r="3036">
          <cell r="A3036">
            <v>26101728</v>
          </cell>
          <cell r="B3036" t="str">
            <v>Tubos de varilla de empuje</v>
          </cell>
        </row>
        <row r="3037">
          <cell r="A3037">
            <v>26101729</v>
          </cell>
          <cell r="B3037" t="str">
            <v>Bolas de brazo oscilante</v>
          </cell>
        </row>
        <row r="3038">
          <cell r="A3038">
            <v>26101730</v>
          </cell>
          <cell r="B3038" t="str">
            <v>Ejes de brazo oscilante</v>
          </cell>
        </row>
        <row r="3039">
          <cell r="A3039">
            <v>26101731</v>
          </cell>
          <cell r="B3039" t="str">
            <v>Brazos oscilantes</v>
          </cell>
        </row>
        <row r="3040">
          <cell r="A3040">
            <v>26101732</v>
          </cell>
          <cell r="B3040" t="str">
            <v>Bujía de encendido</v>
          </cell>
        </row>
        <row r="3041">
          <cell r="A3041">
            <v>26101733</v>
          </cell>
          <cell r="B3041" t="str">
            <v>Chorro de carburador</v>
          </cell>
        </row>
        <row r="3042">
          <cell r="A3042">
            <v>26101734</v>
          </cell>
          <cell r="B3042" t="str">
            <v>Diafragmas de carburador</v>
          </cell>
        </row>
        <row r="3043">
          <cell r="A3043">
            <v>26101735</v>
          </cell>
          <cell r="B3043" t="str">
            <v>Batea de aceite</v>
          </cell>
        </row>
        <row r="3044">
          <cell r="A3044">
            <v>26101736</v>
          </cell>
          <cell r="B3044" t="str">
            <v>Pistones</v>
          </cell>
        </row>
        <row r="3045">
          <cell r="A3045">
            <v>26101737</v>
          </cell>
          <cell r="B3045" t="str">
            <v>Cadena de distribución</v>
          </cell>
        </row>
        <row r="3046">
          <cell r="A3046">
            <v>26101738</v>
          </cell>
          <cell r="B3046" t="str">
            <v>Múltiples de entrada</v>
          </cell>
        </row>
        <row r="3047">
          <cell r="A3047">
            <v>26101740</v>
          </cell>
          <cell r="B3047" t="str">
            <v>Inyectores de combustible</v>
          </cell>
        </row>
        <row r="3048">
          <cell r="A3048">
            <v>26101741</v>
          </cell>
          <cell r="B3048" t="str">
            <v>Manguitos de motor</v>
          </cell>
        </row>
        <row r="3049">
          <cell r="A3049">
            <v>26101742</v>
          </cell>
          <cell r="B3049" t="str">
            <v>Distribuidores de inyección de combustible</v>
          </cell>
        </row>
        <row r="3050">
          <cell r="A3050">
            <v>26101743</v>
          </cell>
          <cell r="B3050" t="str">
            <v>Válvulas de motor</v>
          </cell>
        </row>
        <row r="3051">
          <cell r="A3051">
            <v>26101747</v>
          </cell>
          <cell r="B3051" t="str">
            <v>Varas de empuje</v>
          </cell>
        </row>
        <row r="3052">
          <cell r="A3052">
            <v>26101748</v>
          </cell>
          <cell r="B3052" t="str">
            <v>Volante de inercia del motor</v>
          </cell>
        </row>
        <row r="3053">
          <cell r="A3053">
            <v>26101749</v>
          </cell>
          <cell r="B3053" t="str">
            <v>Cigüeñal</v>
          </cell>
        </row>
        <row r="3054">
          <cell r="A3054">
            <v>26101750</v>
          </cell>
          <cell r="B3054" t="str">
            <v>Válvula de estrangulación</v>
          </cell>
        </row>
        <row r="3055">
          <cell r="A3055">
            <v>26101751</v>
          </cell>
          <cell r="B3055" t="str">
            <v>Controles electrónicos de motor</v>
          </cell>
        </row>
        <row r="3056">
          <cell r="A3056">
            <v>26101754</v>
          </cell>
          <cell r="B3056" t="str">
            <v>Asiento de válvula del motor</v>
          </cell>
        </row>
        <row r="3057">
          <cell r="A3057">
            <v>26101755</v>
          </cell>
          <cell r="B3057" t="str">
            <v>Guía de válvula</v>
          </cell>
        </row>
        <row r="3058">
          <cell r="A3058">
            <v>26101756</v>
          </cell>
          <cell r="B3058" t="str">
            <v>Adaptadores del carburador</v>
          </cell>
        </row>
        <row r="3059">
          <cell r="A3059">
            <v>26101757</v>
          </cell>
          <cell r="B3059" t="str">
            <v>Accesorios de las bujías</v>
          </cell>
        </row>
        <row r="3060">
          <cell r="A3060">
            <v>26101758</v>
          </cell>
          <cell r="B3060" t="str">
            <v>Ajustadores del balancín</v>
          </cell>
        </row>
        <row r="3061">
          <cell r="A3061">
            <v>26101759</v>
          </cell>
          <cell r="B3061" t="str">
            <v>Adaptadores del motor de arranque</v>
          </cell>
        </row>
        <row r="3062">
          <cell r="A3062">
            <v>26101760</v>
          </cell>
          <cell r="B3062" t="str">
            <v>Vástagos del estárter</v>
          </cell>
        </row>
        <row r="3063">
          <cell r="A3063">
            <v>26101761</v>
          </cell>
          <cell r="B3063" t="str">
            <v>Tapones del árbol de levas</v>
          </cell>
        </row>
        <row r="3064">
          <cell r="A3064">
            <v>26101762</v>
          </cell>
          <cell r="B3064" t="str">
            <v>Varillaje de los componentes del motor</v>
          </cell>
        </row>
        <row r="3065">
          <cell r="A3065">
            <v>26101763</v>
          </cell>
          <cell r="B3065" t="str">
            <v>Tapones del anticongelante</v>
          </cell>
        </row>
        <row r="3066">
          <cell r="A3066">
            <v>26101764</v>
          </cell>
          <cell r="B3066" t="str">
            <v>Revestimiento de los cilindros</v>
          </cell>
        </row>
        <row r="3067">
          <cell r="A3067">
            <v>26101765</v>
          </cell>
          <cell r="B3067" t="str">
            <v>Amortiguadores de vibración</v>
          </cell>
        </row>
        <row r="3068">
          <cell r="A3068">
            <v>26101766</v>
          </cell>
          <cell r="B3068" t="str">
            <v>Reguladores</v>
          </cell>
        </row>
        <row r="3069">
          <cell r="A3069">
            <v>26101801</v>
          </cell>
          <cell r="B3069" t="str">
            <v>Escobillas del motor</v>
          </cell>
        </row>
        <row r="3070">
          <cell r="A3070">
            <v>26101802</v>
          </cell>
          <cell r="B3070" t="str">
            <v>Armaduras</v>
          </cell>
        </row>
        <row r="3071">
          <cell r="A3071">
            <v>26101803</v>
          </cell>
          <cell r="B3071" t="str">
            <v>Rotores o estatores</v>
          </cell>
        </row>
        <row r="3072">
          <cell r="A3072">
            <v>26101805</v>
          </cell>
          <cell r="B3072" t="str">
            <v>Kits de reparación del motor</v>
          </cell>
        </row>
        <row r="3073">
          <cell r="A3073">
            <v>26101806</v>
          </cell>
          <cell r="B3073" t="str">
            <v>Adaptadores de soporte de motor</v>
          </cell>
        </row>
        <row r="3074">
          <cell r="A3074">
            <v>26101807</v>
          </cell>
          <cell r="B3074" t="str">
            <v>Bobinas de motor</v>
          </cell>
        </row>
        <row r="3075">
          <cell r="A3075">
            <v>26101808</v>
          </cell>
          <cell r="B3075" t="str">
            <v>Monturas o soportes de motor</v>
          </cell>
        </row>
        <row r="3076">
          <cell r="A3076">
            <v>26101809</v>
          </cell>
          <cell r="B3076" t="str">
            <v>Freno de motor</v>
          </cell>
        </row>
        <row r="3077">
          <cell r="A3077">
            <v>26101903</v>
          </cell>
          <cell r="B3077" t="str">
            <v>Árbol de distribución</v>
          </cell>
        </row>
        <row r="3078">
          <cell r="A3078">
            <v>26101904</v>
          </cell>
          <cell r="B3078" t="str">
            <v>Boquilla de inyección de combustible</v>
          </cell>
        </row>
        <row r="3079">
          <cell r="A3079">
            <v>26101905</v>
          </cell>
          <cell r="B3079" t="str">
            <v>Bloque de cilindros</v>
          </cell>
        </row>
        <row r="3080">
          <cell r="A3080">
            <v>26111501</v>
          </cell>
          <cell r="B3080" t="str">
            <v>Conmutadores</v>
          </cell>
        </row>
        <row r="3081">
          <cell r="A3081">
            <v>26111503</v>
          </cell>
          <cell r="B3081" t="str">
            <v>Dispositivos de velocidad regulables</v>
          </cell>
        </row>
        <row r="3082">
          <cell r="A3082">
            <v>26111504</v>
          </cell>
          <cell r="B3082" t="str">
            <v>Correas de la transmisión</v>
          </cell>
        </row>
        <row r="3083">
          <cell r="A3083">
            <v>26111505</v>
          </cell>
          <cell r="B3083" t="str">
            <v>Cadenas de la transmisión</v>
          </cell>
        </row>
        <row r="3084">
          <cell r="A3084">
            <v>26111506</v>
          </cell>
          <cell r="B3084" t="str">
            <v>Aparatos de movimiento rectilíneo</v>
          </cell>
        </row>
        <row r="3085">
          <cell r="A3085">
            <v>26111508</v>
          </cell>
          <cell r="B3085" t="str">
            <v>Despegues de energía</v>
          </cell>
        </row>
        <row r="3086">
          <cell r="A3086">
            <v>26111509</v>
          </cell>
          <cell r="B3086" t="str">
            <v>Culatas de transmisión</v>
          </cell>
        </row>
        <row r="3087">
          <cell r="A3087">
            <v>26111510</v>
          </cell>
          <cell r="B3087" t="str">
            <v>Árboles de transmisión</v>
          </cell>
        </row>
        <row r="3088">
          <cell r="A3088">
            <v>26111512</v>
          </cell>
          <cell r="B3088" t="str">
            <v>Ejes</v>
          </cell>
        </row>
        <row r="3089">
          <cell r="A3089">
            <v>26111513</v>
          </cell>
          <cell r="B3089" t="str">
            <v>Cadenas transmisoras de potencia</v>
          </cell>
        </row>
        <row r="3090">
          <cell r="A3090">
            <v>26111514</v>
          </cell>
          <cell r="B3090" t="str">
            <v>Uniones de charnela</v>
          </cell>
        </row>
        <row r="3091">
          <cell r="A3091">
            <v>26111515</v>
          </cell>
          <cell r="B3091" t="str">
            <v>Servo controlador</v>
          </cell>
        </row>
        <row r="3092">
          <cell r="A3092">
            <v>26111516</v>
          </cell>
          <cell r="B3092" t="str">
            <v>Transmisión escalonada o transmisión stepper o graduador escalonado</v>
          </cell>
        </row>
        <row r="3093">
          <cell r="A3093">
            <v>26111517</v>
          </cell>
          <cell r="B3093" t="str">
            <v>Portaengranajes</v>
          </cell>
        </row>
        <row r="3094">
          <cell r="A3094">
            <v>26111518</v>
          </cell>
          <cell r="B3094" t="str">
            <v>Puntal tensor</v>
          </cell>
        </row>
        <row r="3095">
          <cell r="A3095">
            <v>26111519</v>
          </cell>
          <cell r="B3095" t="str">
            <v>Convertidores de torque</v>
          </cell>
        </row>
        <row r="3096">
          <cell r="A3096">
            <v>26111520</v>
          </cell>
          <cell r="B3096" t="str">
            <v>Muñones</v>
          </cell>
        </row>
        <row r="3097">
          <cell r="A3097">
            <v>26111521</v>
          </cell>
          <cell r="B3097" t="str">
            <v>Cabeza del impulsor</v>
          </cell>
        </row>
        <row r="3098">
          <cell r="A3098">
            <v>26111522</v>
          </cell>
          <cell r="B3098" t="str">
            <v>Conjunto del impulsor</v>
          </cell>
        </row>
        <row r="3099">
          <cell r="A3099">
            <v>26111523</v>
          </cell>
          <cell r="B3099" t="str">
            <v>Topes de retención</v>
          </cell>
        </row>
        <row r="3100">
          <cell r="A3100">
            <v>26111524</v>
          </cell>
          <cell r="B3100" t="str">
            <v>Unidades de engranajes</v>
          </cell>
        </row>
        <row r="3101">
          <cell r="A3101">
            <v>26111525</v>
          </cell>
          <cell r="B3101" t="str">
            <v>Transmisiones de tambor</v>
          </cell>
        </row>
        <row r="3102">
          <cell r="A3102">
            <v>26111526</v>
          </cell>
          <cell r="B3102" t="str">
            <v>Motores de engranajes</v>
          </cell>
        </row>
        <row r="3103">
          <cell r="A3103">
            <v>26111527</v>
          </cell>
          <cell r="B3103" t="str">
            <v>Sistemas de control de movimiento integrados</v>
          </cell>
        </row>
        <row r="3104">
          <cell r="A3104">
            <v>26111528</v>
          </cell>
          <cell r="B3104" t="str">
            <v>Transmisiones hidrostáticas</v>
          </cell>
        </row>
        <row r="3105">
          <cell r="A3105">
            <v>26111529</v>
          </cell>
          <cell r="B3105" t="str">
            <v>Transmisiones hidrocinéticas</v>
          </cell>
        </row>
        <row r="3106">
          <cell r="A3106">
            <v>26111530</v>
          </cell>
          <cell r="B3106" t="str">
            <v>Leva de transmisión</v>
          </cell>
        </row>
        <row r="3107">
          <cell r="A3107">
            <v>26111531</v>
          </cell>
          <cell r="B3107" t="str">
            <v>Manguitos de la transmisión</v>
          </cell>
        </row>
        <row r="3108">
          <cell r="A3108">
            <v>26111532</v>
          </cell>
          <cell r="B3108" t="str">
            <v>Soportes o conjuntos del eje</v>
          </cell>
        </row>
        <row r="3109">
          <cell r="A3109">
            <v>26111533</v>
          </cell>
          <cell r="B3109" t="str">
            <v>Tensores de cadena</v>
          </cell>
        </row>
        <row r="3110">
          <cell r="A3110">
            <v>26111534</v>
          </cell>
          <cell r="B3110" t="str">
            <v>Cubos de la transmisión</v>
          </cell>
        </row>
        <row r="3111">
          <cell r="A3111">
            <v>26111535</v>
          </cell>
          <cell r="B3111" t="str">
            <v>Tornillos esféricos o conjuntos de tornillos esféricos</v>
          </cell>
        </row>
        <row r="3112">
          <cell r="A3112">
            <v>26111601</v>
          </cell>
          <cell r="B3112" t="str">
            <v>Generadores diesel</v>
          </cell>
        </row>
        <row r="3113">
          <cell r="A3113">
            <v>26111602</v>
          </cell>
          <cell r="B3113" t="str">
            <v>Generadores hidroeléctricos</v>
          </cell>
        </row>
        <row r="3114">
          <cell r="A3114">
            <v>26111603</v>
          </cell>
          <cell r="B3114" t="str">
            <v>Generadores eólicos</v>
          </cell>
        </row>
        <row r="3115">
          <cell r="A3115">
            <v>26111604</v>
          </cell>
          <cell r="B3115" t="str">
            <v>Generadores a gas</v>
          </cell>
        </row>
        <row r="3116">
          <cell r="A3116">
            <v>26111605</v>
          </cell>
          <cell r="B3116" t="str">
            <v>Generadores térmicos</v>
          </cell>
        </row>
        <row r="3117">
          <cell r="A3117">
            <v>26111606</v>
          </cell>
          <cell r="B3117" t="str">
            <v>Generadores hidráulicos</v>
          </cell>
        </row>
        <row r="3118">
          <cell r="A3118">
            <v>26111607</v>
          </cell>
          <cell r="B3118" t="str">
            <v>Generadores solares</v>
          </cell>
        </row>
        <row r="3119">
          <cell r="A3119">
            <v>26111608</v>
          </cell>
          <cell r="B3119" t="str">
            <v>Generadores de vapor</v>
          </cell>
        </row>
        <row r="3120">
          <cell r="A3120">
            <v>26111701</v>
          </cell>
          <cell r="B3120" t="str">
            <v>Baterías recargables</v>
          </cell>
        </row>
        <row r="3121">
          <cell r="A3121">
            <v>26111702</v>
          </cell>
          <cell r="B3121" t="str">
            <v>Pilas alcalinas</v>
          </cell>
        </row>
        <row r="3122">
          <cell r="A3122">
            <v>26111703</v>
          </cell>
          <cell r="B3122" t="str">
            <v>Baterías para vehículos</v>
          </cell>
        </row>
        <row r="3123">
          <cell r="A3123">
            <v>26111704</v>
          </cell>
          <cell r="B3123" t="str">
            <v>Cargadores de baterías</v>
          </cell>
        </row>
        <row r="3124">
          <cell r="A3124">
            <v>26111705</v>
          </cell>
          <cell r="B3124" t="str">
            <v>Pilas secas</v>
          </cell>
        </row>
        <row r="3125">
          <cell r="A3125">
            <v>26111706</v>
          </cell>
          <cell r="B3125" t="str">
            <v>Pilas electrónicas</v>
          </cell>
        </row>
        <row r="3126">
          <cell r="A3126">
            <v>26111707</v>
          </cell>
          <cell r="B3126" t="str">
            <v>Baterías de plomo-ácido</v>
          </cell>
        </row>
        <row r="3127">
          <cell r="A3127">
            <v>26111708</v>
          </cell>
          <cell r="B3127" t="str">
            <v>Baterías de ferroníquel</v>
          </cell>
        </row>
        <row r="3128">
          <cell r="A3128">
            <v>26111709</v>
          </cell>
          <cell r="B3128" t="str">
            <v>Baterías de níquel-cadmio</v>
          </cell>
        </row>
        <row r="3129">
          <cell r="A3129">
            <v>26111710</v>
          </cell>
          <cell r="B3129" t="str">
            <v>Bloques de pilas específicas para productos</v>
          </cell>
        </row>
        <row r="3130">
          <cell r="A3130">
            <v>26111711</v>
          </cell>
          <cell r="B3130" t="str">
            <v>Baterías de litio</v>
          </cell>
        </row>
        <row r="3131">
          <cell r="A3131">
            <v>26111712</v>
          </cell>
          <cell r="B3131" t="str">
            <v>Baterías de níquel- hidrógeno</v>
          </cell>
        </row>
        <row r="3132">
          <cell r="A3132">
            <v>26111713</v>
          </cell>
          <cell r="B3132" t="str">
            <v>Baterías térmicas</v>
          </cell>
        </row>
        <row r="3133">
          <cell r="A3133">
            <v>26111714</v>
          </cell>
          <cell r="B3133" t="str">
            <v>Zinc aire</v>
          </cell>
        </row>
        <row r="3134">
          <cell r="A3134">
            <v>26111715</v>
          </cell>
          <cell r="B3134" t="str">
            <v>Batería de carbono zinc</v>
          </cell>
        </row>
        <row r="3135">
          <cell r="A3135">
            <v>26111716</v>
          </cell>
          <cell r="B3135" t="str">
            <v>Batería de oxido de mercurio</v>
          </cell>
        </row>
        <row r="3136">
          <cell r="A3136">
            <v>26111717</v>
          </cell>
          <cell r="B3136" t="str">
            <v>Baterías del manganeso</v>
          </cell>
        </row>
        <row r="3137">
          <cell r="A3137">
            <v>26111718</v>
          </cell>
          <cell r="B3137" t="str">
            <v>Baterías de óxido de plata</v>
          </cell>
        </row>
        <row r="3138">
          <cell r="A3138">
            <v>26111719</v>
          </cell>
          <cell r="B3138" t="str">
            <v>Probadores de baterías</v>
          </cell>
        </row>
        <row r="3139">
          <cell r="A3139">
            <v>26111720</v>
          </cell>
          <cell r="B3139" t="str">
            <v>Soportes de batería</v>
          </cell>
        </row>
        <row r="3140">
          <cell r="A3140">
            <v>26111721</v>
          </cell>
          <cell r="B3140" t="str">
            <v>Baterías de níquel-hidruro metálico</v>
          </cell>
        </row>
        <row r="3141">
          <cell r="A3141">
            <v>26111722</v>
          </cell>
          <cell r="B3141" t="str">
            <v>Adaptador de batería o accesorios</v>
          </cell>
        </row>
        <row r="3142">
          <cell r="A3142">
            <v>26111723</v>
          </cell>
          <cell r="B3142" t="str">
            <v>Puertas, tapas o estantes de baterías</v>
          </cell>
        </row>
        <row r="3143">
          <cell r="A3143">
            <v>26111724</v>
          </cell>
          <cell r="B3143" t="str">
            <v>Kits de herramientas para baterías</v>
          </cell>
        </row>
        <row r="3144">
          <cell r="A3144">
            <v>26111725</v>
          </cell>
          <cell r="B3144" t="str">
            <v>Baterías de níquel-cloruro de sodio</v>
          </cell>
        </row>
        <row r="3145">
          <cell r="A3145">
            <v>26111801</v>
          </cell>
          <cell r="B3145" t="str">
            <v>Correas en v</v>
          </cell>
        </row>
        <row r="3146">
          <cell r="A3146">
            <v>26111802</v>
          </cell>
          <cell r="B3146" t="str">
            <v>Correas de distribución de engranaje</v>
          </cell>
        </row>
        <row r="3147">
          <cell r="A3147">
            <v>26111803</v>
          </cell>
          <cell r="B3147" t="str">
            <v>Correas redondas</v>
          </cell>
        </row>
        <row r="3148">
          <cell r="A3148">
            <v>26111804</v>
          </cell>
          <cell r="B3148" t="str">
            <v>Correas planas</v>
          </cell>
        </row>
        <row r="3149">
          <cell r="A3149">
            <v>26111805</v>
          </cell>
          <cell r="B3149" t="str">
            <v>Tensores de correa</v>
          </cell>
        </row>
        <row r="3150">
          <cell r="A3150">
            <v>26111806</v>
          </cell>
          <cell r="B3150" t="str">
            <v>Poleas de transmisión</v>
          </cell>
        </row>
        <row r="3151">
          <cell r="A3151">
            <v>26111807</v>
          </cell>
          <cell r="B3151" t="str">
            <v>Polea de distribución</v>
          </cell>
        </row>
        <row r="3152">
          <cell r="A3152">
            <v>26111808</v>
          </cell>
          <cell r="B3152" t="str">
            <v>Trantorque</v>
          </cell>
        </row>
        <row r="3153">
          <cell r="A3153">
            <v>26111809</v>
          </cell>
          <cell r="B3153" t="str">
            <v>Defensas de correa</v>
          </cell>
        </row>
        <row r="3154">
          <cell r="A3154">
            <v>26111810</v>
          </cell>
          <cell r="B3154" t="str">
            <v>Bridas de la polea de distribución</v>
          </cell>
        </row>
        <row r="3155">
          <cell r="A3155">
            <v>26111901</v>
          </cell>
          <cell r="B3155" t="str">
            <v>Embragues de placa</v>
          </cell>
        </row>
        <row r="3156">
          <cell r="A3156">
            <v>26111902</v>
          </cell>
          <cell r="B3156" t="str">
            <v>Embragues de diafragma</v>
          </cell>
        </row>
        <row r="3157">
          <cell r="A3157">
            <v>26111903</v>
          </cell>
          <cell r="B3157" t="str">
            <v>Embrague centrífugo</v>
          </cell>
        </row>
        <row r="3158">
          <cell r="A3158">
            <v>26111904</v>
          </cell>
          <cell r="B3158" t="str">
            <v>Embrague semi centrífugo</v>
          </cell>
        </row>
        <row r="3159">
          <cell r="A3159">
            <v>26111905</v>
          </cell>
          <cell r="B3159" t="str">
            <v>Embrague de rueda libre</v>
          </cell>
        </row>
        <row r="3160">
          <cell r="A3160">
            <v>26111907</v>
          </cell>
          <cell r="B3160" t="str">
            <v>Acoplamiento de fluido</v>
          </cell>
        </row>
        <row r="3161">
          <cell r="A3161">
            <v>26111908</v>
          </cell>
          <cell r="B3161" t="str">
            <v>Embragues de leva</v>
          </cell>
        </row>
        <row r="3162">
          <cell r="A3162">
            <v>26111909</v>
          </cell>
          <cell r="B3162" t="str">
            <v>Embragues eléctricos</v>
          </cell>
        </row>
        <row r="3163">
          <cell r="A3163">
            <v>26111910</v>
          </cell>
          <cell r="B3163" t="str">
            <v>Embragues hidráulicos</v>
          </cell>
        </row>
        <row r="3164">
          <cell r="A3164">
            <v>26112001</v>
          </cell>
          <cell r="B3164" t="str">
            <v>Placa de presión</v>
          </cell>
        </row>
        <row r="3165">
          <cell r="A3165">
            <v>26112002</v>
          </cell>
          <cell r="B3165" t="str">
            <v>Placa impulsada</v>
          </cell>
        </row>
        <row r="3166">
          <cell r="A3166">
            <v>26112003</v>
          </cell>
          <cell r="B3166" t="str">
            <v>Placas de embrague</v>
          </cell>
        </row>
        <row r="3167">
          <cell r="A3167">
            <v>26112004</v>
          </cell>
          <cell r="B3167" t="str">
            <v>Kits de reparación del embrague</v>
          </cell>
        </row>
        <row r="3168">
          <cell r="A3168">
            <v>26112101</v>
          </cell>
          <cell r="B3168" t="str">
            <v>Sistemas de frenos neumáticos o de aire</v>
          </cell>
        </row>
        <row r="3169">
          <cell r="A3169">
            <v>26112102</v>
          </cell>
          <cell r="B3169" t="str">
            <v>Sistemas de frenos hidráulicos</v>
          </cell>
        </row>
        <row r="3170">
          <cell r="A3170">
            <v>26112103</v>
          </cell>
          <cell r="B3170" t="str">
            <v>Sistemas de frenos mecánicos</v>
          </cell>
        </row>
        <row r="3171">
          <cell r="A3171">
            <v>26112104</v>
          </cell>
          <cell r="B3171" t="str">
            <v>Conjuntos de embrague de frenado</v>
          </cell>
        </row>
        <row r="3172">
          <cell r="A3172">
            <v>26112105</v>
          </cell>
          <cell r="B3172" t="str">
            <v>Sistemas de frenado eléctrico</v>
          </cell>
        </row>
        <row r="3173">
          <cell r="A3173">
            <v>26121501</v>
          </cell>
          <cell r="B3173" t="str">
            <v>Alambre calentador</v>
          </cell>
        </row>
        <row r="3174">
          <cell r="A3174">
            <v>26121505</v>
          </cell>
          <cell r="B3174" t="str">
            <v>Alambre para artefactos</v>
          </cell>
        </row>
        <row r="3175">
          <cell r="A3175">
            <v>26121507</v>
          </cell>
          <cell r="B3175" t="str">
            <v>Alambre para radio o televisión</v>
          </cell>
        </row>
        <row r="3176">
          <cell r="A3176">
            <v>26121508</v>
          </cell>
          <cell r="B3176" t="str">
            <v>Alambre para automoción o aviación</v>
          </cell>
        </row>
        <row r="3177">
          <cell r="A3177">
            <v>26121509</v>
          </cell>
          <cell r="B3177" t="str">
            <v>Alambre para imanes</v>
          </cell>
        </row>
        <row r="3178">
          <cell r="A3178">
            <v>26121510</v>
          </cell>
          <cell r="B3178" t="str">
            <v>Alambre de trole</v>
          </cell>
        </row>
        <row r="3179">
          <cell r="A3179">
            <v>26121514</v>
          </cell>
          <cell r="B3179" t="str">
            <v>Alambre subterráneo</v>
          </cell>
        </row>
        <row r="3180">
          <cell r="A3180">
            <v>26121515</v>
          </cell>
          <cell r="B3180" t="str">
            <v>Alambre de silicio-amianto (sa)</v>
          </cell>
        </row>
        <row r="3181">
          <cell r="A3181">
            <v>26121517</v>
          </cell>
          <cell r="B3181" t="str">
            <v>Hilo de cobre</v>
          </cell>
        </row>
        <row r="3182">
          <cell r="A3182">
            <v>26121519</v>
          </cell>
          <cell r="B3182" t="str">
            <v>Alambre de aluminio revestido de cobre</v>
          </cell>
        </row>
        <row r="3183">
          <cell r="A3183">
            <v>26121520</v>
          </cell>
          <cell r="B3183" t="str">
            <v>Alambre de cobre-acero</v>
          </cell>
        </row>
        <row r="3184">
          <cell r="A3184">
            <v>26121521</v>
          </cell>
          <cell r="B3184" t="str">
            <v>Alambre de bronce</v>
          </cell>
        </row>
        <row r="3185">
          <cell r="A3185">
            <v>26121522</v>
          </cell>
          <cell r="B3185" t="str">
            <v>Alambre pelado</v>
          </cell>
        </row>
        <row r="3186">
          <cell r="A3186">
            <v>26121523</v>
          </cell>
          <cell r="B3186" t="str">
            <v>Alambre forrado pero no aislado</v>
          </cell>
        </row>
        <row r="3187">
          <cell r="A3187">
            <v>26121524</v>
          </cell>
          <cell r="B3187" t="str">
            <v>Alambre aislado o forrado</v>
          </cell>
        </row>
        <row r="3188">
          <cell r="A3188">
            <v>26121532</v>
          </cell>
          <cell r="B3188" t="str">
            <v>Alambre para interconexiones</v>
          </cell>
        </row>
        <row r="3189">
          <cell r="A3189">
            <v>26121533</v>
          </cell>
          <cell r="B3189" t="str">
            <v>Alambre de kaptan</v>
          </cell>
        </row>
        <row r="3190">
          <cell r="A3190">
            <v>26121534</v>
          </cell>
          <cell r="B3190" t="str">
            <v>Alambre de poliamida</v>
          </cell>
        </row>
        <row r="3191">
          <cell r="A3191">
            <v>26121536</v>
          </cell>
          <cell r="B3191" t="str">
            <v>Cordón de extensión</v>
          </cell>
        </row>
        <row r="3192">
          <cell r="A3192">
            <v>26121538</v>
          </cell>
          <cell r="B3192" t="str">
            <v>Conjunto de cable</v>
          </cell>
        </row>
        <row r="3193">
          <cell r="A3193">
            <v>26121539</v>
          </cell>
          <cell r="B3193" t="str">
            <v>Cables para cableado</v>
          </cell>
        </row>
        <row r="3194">
          <cell r="A3194">
            <v>26121540</v>
          </cell>
          <cell r="B3194" t="str">
            <v>Cable galvanizado</v>
          </cell>
        </row>
        <row r="3195">
          <cell r="A3195">
            <v>26121541</v>
          </cell>
          <cell r="B3195" t="str">
            <v>Conductores de bus</v>
          </cell>
        </row>
        <row r="3196">
          <cell r="A3196">
            <v>26121601</v>
          </cell>
          <cell r="B3196" t="str">
            <v>Cable de calentamiento</v>
          </cell>
        </row>
        <row r="3197">
          <cell r="A3197">
            <v>26121602</v>
          </cell>
          <cell r="B3197" t="str">
            <v>Cable submarino</v>
          </cell>
        </row>
        <row r="3198">
          <cell r="A3198">
            <v>26121603</v>
          </cell>
          <cell r="B3198" t="str">
            <v>Cable de mando</v>
          </cell>
        </row>
        <row r="3199">
          <cell r="A3199">
            <v>26121604</v>
          </cell>
          <cell r="B3199" t="str">
            <v>Cable para señales</v>
          </cell>
        </row>
        <row r="3200">
          <cell r="A3200">
            <v>26121605</v>
          </cell>
          <cell r="B3200" t="str">
            <v>Cable para automoción o aviación</v>
          </cell>
        </row>
        <row r="3201">
          <cell r="A3201">
            <v>26121606</v>
          </cell>
          <cell r="B3201" t="str">
            <v>Cable coaxial</v>
          </cell>
        </row>
        <row r="3202">
          <cell r="A3202">
            <v>26121607</v>
          </cell>
          <cell r="B3202" t="str">
            <v>Cable de fibra óptica</v>
          </cell>
        </row>
        <row r="3203">
          <cell r="A3203">
            <v>26121608</v>
          </cell>
          <cell r="B3203" t="str">
            <v>Cable aéreo</v>
          </cell>
        </row>
        <row r="3204">
          <cell r="A3204">
            <v>26121609</v>
          </cell>
          <cell r="B3204" t="str">
            <v>Cable de redes</v>
          </cell>
        </row>
        <row r="3205">
          <cell r="A3205">
            <v>26121610</v>
          </cell>
          <cell r="B3205" t="str">
            <v>Cable de bronce</v>
          </cell>
        </row>
        <row r="3206">
          <cell r="A3206">
            <v>26121611</v>
          </cell>
          <cell r="B3206" t="str">
            <v>Cable desnudo</v>
          </cell>
        </row>
        <row r="3207">
          <cell r="A3207">
            <v>26121612</v>
          </cell>
          <cell r="B3207" t="str">
            <v>Cable forrado pero no aislado</v>
          </cell>
        </row>
        <row r="3208">
          <cell r="A3208">
            <v>26121613</v>
          </cell>
          <cell r="B3208" t="str">
            <v>Cable aislado o forrado</v>
          </cell>
        </row>
        <row r="3209">
          <cell r="A3209">
            <v>26121614</v>
          </cell>
          <cell r="B3209" t="str">
            <v>Cable de construcción</v>
          </cell>
        </row>
        <row r="3210">
          <cell r="A3210">
            <v>26121615</v>
          </cell>
          <cell r="B3210" t="str">
            <v>Cable para ser enterrado de forma directa</v>
          </cell>
        </row>
        <row r="3211">
          <cell r="A3211">
            <v>26121616</v>
          </cell>
          <cell r="B3211" t="str">
            <v>Cable de telecomunicaciones</v>
          </cell>
        </row>
        <row r="3212">
          <cell r="A3212">
            <v>26121617</v>
          </cell>
          <cell r="B3212" t="str">
            <v>Cable triaxial</v>
          </cell>
        </row>
        <row r="3213">
          <cell r="A3213">
            <v>26121618</v>
          </cell>
          <cell r="B3213" t="str">
            <v>Cable de poliqueno reticulado</v>
          </cell>
        </row>
        <row r="3214">
          <cell r="A3214">
            <v>26121619</v>
          </cell>
          <cell r="B3214" t="str">
            <v>Cable de floropolímero</v>
          </cell>
        </row>
        <row r="3215">
          <cell r="A3215">
            <v>26121620</v>
          </cell>
          <cell r="B3215" t="str">
            <v>Cable para interconexiones</v>
          </cell>
        </row>
        <row r="3216">
          <cell r="A3216">
            <v>26121621</v>
          </cell>
          <cell r="B3216" t="str">
            <v>Cable de kaptan</v>
          </cell>
        </row>
        <row r="3217">
          <cell r="A3217">
            <v>26121622</v>
          </cell>
          <cell r="B3217" t="str">
            <v>Cable de poliamida</v>
          </cell>
        </row>
        <row r="3218">
          <cell r="A3218">
            <v>26121623</v>
          </cell>
          <cell r="B3218" t="str">
            <v>Cable de radiofrecuencia (rf)</v>
          </cell>
        </row>
        <row r="3219">
          <cell r="A3219">
            <v>26121624</v>
          </cell>
          <cell r="B3219" t="str">
            <v>Cable plano o de cinta</v>
          </cell>
        </row>
        <row r="3220">
          <cell r="A3220">
            <v>26121628</v>
          </cell>
          <cell r="B3220" t="str">
            <v>Cables blindados</v>
          </cell>
        </row>
        <row r="3221">
          <cell r="A3221">
            <v>26121629</v>
          </cell>
          <cell r="B3221" t="str">
            <v>Cable de alimentación</v>
          </cell>
        </row>
        <row r="3222">
          <cell r="A3222">
            <v>26121630</v>
          </cell>
          <cell r="B3222" t="str">
            <v>Accesorios de cable</v>
          </cell>
        </row>
        <row r="3223">
          <cell r="A3223">
            <v>26121631</v>
          </cell>
          <cell r="B3223" t="str">
            <v>Cable coaxial exterior de planta</v>
          </cell>
        </row>
        <row r="3224">
          <cell r="A3224">
            <v>26121632</v>
          </cell>
          <cell r="B3224" t="str">
            <v>Cable de comunicaciones exterior de planta</v>
          </cell>
        </row>
        <row r="3225">
          <cell r="A3225">
            <v>26121633</v>
          </cell>
          <cell r="B3225" t="str">
            <v>Cable de telecomunicaciones exterior de planta</v>
          </cell>
        </row>
        <row r="3226">
          <cell r="A3226">
            <v>26121634</v>
          </cell>
          <cell r="B3226" t="str">
            <v>Cable de cobre</v>
          </cell>
        </row>
        <row r="3227">
          <cell r="A3227">
            <v>26121635</v>
          </cell>
          <cell r="B3227" t="str">
            <v>Rollos de cable</v>
          </cell>
        </row>
        <row r="3228">
          <cell r="A3228">
            <v>26121636</v>
          </cell>
          <cell r="B3228" t="str">
            <v>Cables de alimentación</v>
          </cell>
        </row>
        <row r="3229">
          <cell r="A3229">
            <v>26121637</v>
          </cell>
          <cell r="B3229" t="str">
            <v>Cable de fibra óptica de exterior</v>
          </cell>
        </row>
        <row r="3230">
          <cell r="A3230">
            <v>26121701</v>
          </cell>
          <cell r="B3230" t="str">
            <v>Cableado preformado de panel</v>
          </cell>
        </row>
        <row r="3231">
          <cell r="A3231">
            <v>26121702</v>
          </cell>
          <cell r="B3231" t="str">
            <v>Cableado preformado troncal</v>
          </cell>
        </row>
        <row r="3232">
          <cell r="A3232">
            <v>26121703</v>
          </cell>
          <cell r="B3232" t="str">
            <v>Cableado preformado de comunicación</v>
          </cell>
        </row>
        <row r="3233">
          <cell r="A3233">
            <v>26121704</v>
          </cell>
          <cell r="B3233" t="str">
            <v>Arnés de alambrado especial</v>
          </cell>
        </row>
        <row r="3234">
          <cell r="A3234">
            <v>26121705</v>
          </cell>
          <cell r="B3234" t="str">
            <v>Conjunto de cable de fibra óptica</v>
          </cell>
        </row>
        <row r="3235">
          <cell r="A3235">
            <v>26131501</v>
          </cell>
          <cell r="B3235" t="str">
            <v>Centrales eléctricas de diesel</v>
          </cell>
        </row>
        <row r="3236">
          <cell r="A3236">
            <v>26131502</v>
          </cell>
          <cell r="B3236" t="str">
            <v>Centrales eléctricas geotérmicas</v>
          </cell>
        </row>
        <row r="3237">
          <cell r="A3237">
            <v>26131503</v>
          </cell>
          <cell r="B3237" t="str">
            <v>Centrales hidroeléctricas</v>
          </cell>
        </row>
        <row r="3238">
          <cell r="A3238">
            <v>26131504</v>
          </cell>
          <cell r="B3238" t="str">
            <v>Centrales de gas</v>
          </cell>
        </row>
        <row r="3239">
          <cell r="A3239">
            <v>26131505</v>
          </cell>
          <cell r="B3239" t="str">
            <v>Centrales de energía  marina</v>
          </cell>
        </row>
        <row r="3240">
          <cell r="A3240">
            <v>26131506</v>
          </cell>
          <cell r="B3240" t="str">
            <v>Centrales de energía a petróleo</v>
          </cell>
        </row>
        <row r="3241">
          <cell r="A3241">
            <v>26131507</v>
          </cell>
          <cell r="B3241" t="str">
            <v>Centrales de energía solar</v>
          </cell>
        </row>
        <row r="3242">
          <cell r="A3242">
            <v>26131508</v>
          </cell>
          <cell r="B3242" t="str">
            <v>Centrales termoeléctricas</v>
          </cell>
        </row>
        <row r="3243">
          <cell r="A3243">
            <v>26131509</v>
          </cell>
          <cell r="B3243" t="str">
            <v>Central de energía eólica</v>
          </cell>
        </row>
        <row r="3244">
          <cell r="A3244">
            <v>26131510</v>
          </cell>
          <cell r="B3244" t="str">
            <v>Central térmica</v>
          </cell>
        </row>
        <row r="3245">
          <cell r="A3245">
            <v>26131601</v>
          </cell>
          <cell r="B3245" t="str">
            <v>Pantallas de agua móviles</v>
          </cell>
        </row>
        <row r="3246">
          <cell r="A3246">
            <v>26131602</v>
          </cell>
          <cell r="B3246" t="str">
            <v>Travesaños corredizos</v>
          </cell>
        </row>
        <row r="3247">
          <cell r="A3247">
            <v>26131603</v>
          </cell>
          <cell r="B3247" t="str">
            <v>Rejillas de agua</v>
          </cell>
        </row>
        <row r="3248">
          <cell r="A3248">
            <v>26131604</v>
          </cell>
          <cell r="B3248" t="str">
            <v>Filtros fijos</v>
          </cell>
        </row>
        <row r="3249">
          <cell r="A3249">
            <v>26131605</v>
          </cell>
          <cell r="B3249" t="str">
            <v>Estructuras de toma</v>
          </cell>
        </row>
        <row r="3250">
          <cell r="A3250">
            <v>26131606</v>
          </cell>
          <cell r="B3250" t="str">
            <v>Chimenea de acero</v>
          </cell>
        </row>
        <row r="3251">
          <cell r="A3251">
            <v>26131607</v>
          </cell>
          <cell r="B3251" t="str">
            <v>Chimenea de concreto</v>
          </cell>
        </row>
        <row r="3252">
          <cell r="A3252">
            <v>26131608</v>
          </cell>
          <cell r="B3252" t="str">
            <v>Chimeneas de ventilación o antorchas</v>
          </cell>
        </row>
        <row r="3253">
          <cell r="A3253">
            <v>26131609</v>
          </cell>
          <cell r="B3253" t="str">
            <v>Chimeneas de admisión</v>
          </cell>
        </row>
        <row r="3254">
          <cell r="A3254">
            <v>26131610</v>
          </cell>
          <cell r="B3254" t="str">
            <v>Chimeneas de derivación</v>
          </cell>
        </row>
        <row r="3255">
          <cell r="A3255">
            <v>26131611</v>
          </cell>
          <cell r="B3255" t="str">
            <v>Secciones de silenciador</v>
          </cell>
        </row>
        <row r="3256">
          <cell r="A3256">
            <v>26131612</v>
          </cell>
          <cell r="B3256" t="str">
            <v>Conductos de salida de escape</v>
          </cell>
        </row>
        <row r="3257">
          <cell r="A3257">
            <v>26131613</v>
          </cell>
          <cell r="B3257" t="str">
            <v>Juntas de dilatación de conductos de escape</v>
          </cell>
        </row>
        <row r="3258">
          <cell r="A3258">
            <v>26131614</v>
          </cell>
          <cell r="B3258" t="str">
            <v>Amortiguadores de cierre de la chimenea</v>
          </cell>
        </row>
        <row r="3259">
          <cell r="A3259">
            <v>26131615</v>
          </cell>
          <cell r="B3259" t="str">
            <v>Amortiguadores de desviación de escape</v>
          </cell>
        </row>
        <row r="3260">
          <cell r="A3260">
            <v>26131616</v>
          </cell>
          <cell r="B3260" t="str">
            <v>Amortiguadores de aislamiento de escape</v>
          </cell>
        </row>
        <row r="3261">
          <cell r="A3261">
            <v>26131701</v>
          </cell>
          <cell r="B3261" t="str">
            <v>Detectores de gases inflamables o peligrosos para generadores</v>
          </cell>
        </row>
        <row r="3262">
          <cell r="A3262">
            <v>26131702</v>
          </cell>
          <cell r="B3262" t="str">
            <v>Detectores de llama de sistemas de combustión de turbina de gas</v>
          </cell>
        </row>
        <row r="3263">
          <cell r="A3263">
            <v>26131801</v>
          </cell>
          <cell r="B3263" t="str">
            <v>Paneles de control eléctrico para generadores</v>
          </cell>
        </row>
        <row r="3264">
          <cell r="A3264">
            <v>26131802</v>
          </cell>
          <cell r="B3264" t="str">
            <v>Paneles de control de compresores</v>
          </cell>
        </row>
        <row r="3265">
          <cell r="A3265">
            <v>26131803</v>
          </cell>
          <cell r="B3265" t="str">
            <v>Paneles de protección o control de generadores</v>
          </cell>
        </row>
        <row r="3266">
          <cell r="A3266">
            <v>26131804</v>
          </cell>
          <cell r="B3266" t="str">
            <v>Paneles de control de turbina de gas</v>
          </cell>
        </row>
        <row r="3267">
          <cell r="A3267">
            <v>26131805</v>
          </cell>
          <cell r="B3267" t="str">
            <v>Centros de control de motor de baja tensión</v>
          </cell>
        </row>
        <row r="3268">
          <cell r="A3268">
            <v>26131806</v>
          </cell>
          <cell r="B3268" t="str">
            <v>Paneles de corriente alterna (CA) y corriente continua (CC) de baja tensión</v>
          </cell>
        </row>
        <row r="3269">
          <cell r="A3269">
            <v>26131807</v>
          </cell>
          <cell r="B3269" t="str">
            <v>Paneles de control de turbinas de vapor</v>
          </cell>
        </row>
        <row r="3270">
          <cell r="A3270">
            <v>26131808</v>
          </cell>
          <cell r="B3270" t="str">
            <v>Conmutadores de control de carga de subestación</v>
          </cell>
        </row>
        <row r="3271">
          <cell r="A3271">
            <v>26131809</v>
          </cell>
          <cell r="B3271" t="str">
            <v>Conmutadores de tensión pequeña</v>
          </cell>
        </row>
        <row r="3272">
          <cell r="A3272">
            <v>26131810</v>
          </cell>
          <cell r="B3272" t="str">
            <v>Conmutadores de tensión media</v>
          </cell>
        </row>
        <row r="3273">
          <cell r="A3273">
            <v>26131811</v>
          </cell>
          <cell r="B3273" t="str">
            <v>Reactores de limitación de intensidad</v>
          </cell>
        </row>
        <row r="3274">
          <cell r="A3274">
            <v>26131812</v>
          </cell>
          <cell r="B3274" t="str">
            <v>Conmutadores con aislamiento de gas</v>
          </cell>
        </row>
        <row r="3275">
          <cell r="A3275">
            <v>26131813</v>
          </cell>
          <cell r="B3275" t="str">
            <v>Conmutadores de desconexión de estaciones de maniobra</v>
          </cell>
        </row>
        <row r="3276">
          <cell r="A3276">
            <v>26131814</v>
          </cell>
          <cell r="B3276" t="str">
            <v>Disipador de sobretensiones de estaciones de maniobra</v>
          </cell>
        </row>
        <row r="3277">
          <cell r="A3277">
            <v>26141601</v>
          </cell>
          <cell r="B3277" t="str">
            <v>Combustible para conjunto subcrítico</v>
          </cell>
        </row>
        <row r="3278">
          <cell r="A3278">
            <v>26141602</v>
          </cell>
          <cell r="B3278" t="str">
            <v>Componentes para conjunto subcrítico</v>
          </cell>
        </row>
        <row r="3279">
          <cell r="A3279">
            <v>26141603</v>
          </cell>
          <cell r="B3279" t="str">
            <v>Moderador para conjunto subcrítico</v>
          </cell>
        </row>
        <row r="3280">
          <cell r="A3280">
            <v>26141701</v>
          </cell>
          <cell r="B3280" t="str">
            <v>Dosímetros de cámara de ionización</v>
          </cell>
        </row>
        <row r="3281">
          <cell r="A3281">
            <v>26141702</v>
          </cell>
          <cell r="B3281" t="str">
            <v>Dosímetros</v>
          </cell>
        </row>
        <row r="3282">
          <cell r="A3282">
            <v>26141703</v>
          </cell>
          <cell r="B3282" t="str">
            <v>Sistemas de dosimetría de patrón secundario</v>
          </cell>
        </row>
        <row r="3283">
          <cell r="A3283">
            <v>26141704</v>
          </cell>
          <cell r="B3283" t="str">
            <v>Dosímetros fantasma</v>
          </cell>
        </row>
        <row r="3284">
          <cell r="A3284">
            <v>26141801</v>
          </cell>
          <cell r="B3284" t="str">
            <v>Equipo teledirigido para recintos radiactivos</v>
          </cell>
        </row>
        <row r="3285">
          <cell r="A3285">
            <v>26141802</v>
          </cell>
          <cell r="B3285" t="str">
            <v>Aparato de visión teledirigido para recintos radiactivos</v>
          </cell>
        </row>
        <row r="3286">
          <cell r="A3286">
            <v>26141803</v>
          </cell>
          <cell r="B3286" t="str">
            <v>Puertas de blindaje para recintos radiactivos</v>
          </cell>
        </row>
        <row r="3287">
          <cell r="A3287">
            <v>26141804</v>
          </cell>
          <cell r="B3287" t="str">
            <v>Toma muestras para recintos radiactivos</v>
          </cell>
        </row>
        <row r="3288">
          <cell r="A3288">
            <v>26141805</v>
          </cell>
          <cell r="B3288" t="str">
            <v>Material de elaboración de muestras para recintos radiactivos</v>
          </cell>
        </row>
        <row r="3289">
          <cell r="A3289">
            <v>26141806</v>
          </cell>
          <cell r="B3289" t="str">
            <v>Herramientas especiales para recintos radiactivos</v>
          </cell>
        </row>
        <row r="3290">
          <cell r="A3290">
            <v>26141807</v>
          </cell>
          <cell r="B3290" t="str">
            <v>Ventanas de vidrio de plomo para recintos radiactivos</v>
          </cell>
        </row>
        <row r="3291">
          <cell r="A3291">
            <v>26141808</v>
          </cell>
          <cell r="B3291" t="str">
            <v>Sistemas de descontaminación para recintos radiactivos</v>
          </cell>
        </row>
        <row r="3292">
          <cell r="A3292">
            <v>26141809</v>
          </cell>
          <cell r="B3292" t="str">
            <v>Aparatos de penetración para recintos radiactivos</v>
          </cell>
        </row>
        <row r="3293">
          <cell r="A3293">
            <v>26141901</v>
          </cell>
          <cell r="B3293" t="str">
            <v>Sistemas nucleónicos industriales de medida de polvo en el aire</v>
          </cell>
        </row>
        <row r="3294">
          <cell r="A3294">
            <v>26141902</v>
          </cell>
          <cell r="B3294" t="str">
            <v>Sistemas nucleónicos industriales de medida de la densidad</v>
          </cell>
        </row>
        <row r="3295">
          <cell r="A3295">
            <v>26141904</v>
          </cell>
          <cell r="B3295" t="str">
            <v>Indicadores de nivel de líquido nucleónico industrial</v>
          </cell>
        </row>
        <row r="3296">
          <cell r="A3296">
            <v>26141905</v>
          </cell>
          <cell r="B3296" t="str">
            <v>Sistemas de medida de masa nucleónica industrial por unidad de mineral</v>
          </cell>
        </row>
        <row r="3297">
          <cell r="A3297">
            <v>26141906</v>
          </cell>
          <cell r="B3297" t="str">
            <v>Sistemas de medida de la humedad industrial nucleónica</v>
          </cell>
        </row>
        <row r="3298">
          <cell r="A3298">
            <v>26141907</v>
          </cell>
          <cell r="B3298" t="str">
            <v>Sistemas de medida el espesor industrial nucleónico</v>
          </cell>
        </row>
        <row r="3299">
          <cell r="A3299">
            <v>26141908</v>
          </cell>
          <cell r="B3299" t="str">
            <v>Sistemas de medida del flujo industrial nucleónico</v>
          </cell>
        </row>
        <row r="3300">
          <cell r="A3300">
            <v>26141909</v>
          </cell>
          <cell r="B3300" t="str">
            <v>Separadores de isótopos</v>
          </cell>
        </row>
        <row r="3301">
          <cell r="A3301">
            <v>26141910</v>
          </cell>
          <cell r="B3301" t="str">
            <v>Instalaciones de producción de isótopos</v>
          </cell>
        </row>
        <row r="3302">
          <cell r="A3302">
            <v>26141911</v>
          </cell>
          <cell r="B3302" t="str">
            <v>Medidores de actividad del calibrador de isótopos</v>
          </cell>
        </row>
        <row r="3303">
          <cell r="A3303">
            <v>26142001</v>
          </cell>
          <cell r="B3303" t="str">
            <v>Fuentes de irradiación gamma</v>
          </cell>
        </row>
        <row r="3304">
          <cell r="A3304">
            <v>26142002</v>
          </cell>
          <cell r="B3304" t="str">
            <v>Sistemas de imanes</v>
          </cell>
        </row>
        <row r="3305">
          <cell r="A3305">
            <v>26142003</v>
          </cell>
          <cell r="B3305" t="str">
            <v>Unidades electrónicas nucleares nim</v>
          </cell>
        </row>
        <row r="3306">
          <cell r="A3306">
            <v>26142004</v>
          </cell>
          <cell r="B3306" t="str">
            <v>Irradiadores de neutrones</v>
          </cell>
        </row>
        <row r="3307">
          <cell r="A3307">
            <v>26142005</v>
          </cell>
          <cell r="B3307" t="str">
            <v>Cápsulas para ensayos de irradiación</v>
          </cell>
        </row>
        <row r="3308">
          <cell r="A3308">
            <v>26142006</v>
          </cell>
          <cell r="B3308" t="str">
            <v>Sistema de transferencia de muestras de irradiación</v>
          </cell>
        </row>
        <row r="3309">
          <cell r="A3309">
            <v>26142007</v>
          </cell>
          <cell r="B3309" t="str">
            <v>Generadores de neutrones</v>
          </cell>
        </row>
        <row r="3310">
          <cell r="A3310">
            <v>26142101</v>
          </cell>
          <cell r="B3310" t="str">
            <v>Recipientes de irradiación de especímenes para reactores nucleares</v>
          </cell>
        </row>
        <row r="3311">
          <cell r="A3311">
            <v>26142106</v>
          </cell>
          <cell r="B3311" t="str">
            <v>Sistemas de varilla de mando para reactores nucleares</v>
          </cell>
        </row>
        <row r="3312">
          <cell r="A3312">
            <v>26142108</v>
          </cell>
          <cell r="B3312" t="str">
            <v>Instrumentación de flujo de neutrones incorporada al núcleo para reactores nucleares</v>
          </cell>
        </row>
        <row r="3313">
          <cell r="A3313">
            <v>26142117</v>
          </cell>
          <cell r="B3313" t="str">
            <v>Instrumentación de terremotos para reactores nucleares</v>
          </cell>
        </row>
        <row r="3314">
          <cell r="A3314">
            <v>26142201</v>
          </cell>
          <cell r="B3314" t="str">
            <v>Tubos con revestimiento para combustible nuclear</v>
          </cell>
        </row>
        <row r="3315">
          <cell r="A3315">
            <v>26142202</v>
          </cell>
          <cell r="B3315" t="str">
            <v>Sistemas de detección de fallo de elementos para reactores nucleares</v>
          </cell>
        </row>
        <row r="3316">
          <cell r="A3316">
            <v>26142302</v>
          </cell>
          <cell r="B3316" t="str">
            <v>Blindajes de plomo</v>
          </cell>
        </row>
        <row r="3317">
          <cell r="A3317">
            <v>26142303</v>
          </cell>
          <cell r="B3317" t="str">
            <v>Distintivo de película</v>
          </cell>
        </row>
        <row r="3318">
          <cell r="A3318">
            <v>26142304</v>
          </cell>
          <cell r="B3318" t="str">
            <v>Equipo radiográfico</v>
          </cell>
        </row>
        <row r="3319">
          <cell r="A3319">
            <v>26142306</v>
          </cell>
          <cell r="B3319" t="str">
            <v>Recipientes blindados contra la radiación</v>
          </cell>
        </row>
        <row r="3320">
          <cell r="A3320">
            <v>26142307</v>
          </cell>
          <cell r="B3320" t="str">
            <v>Cámaras de plomo para protección contra la radiación</v>
          </cell>
        </row>
        <row r="3321">
          <cell r="A3321">
            <v>26142308</v>
          </cell>
          <cell r="B3321" t="str">
            <v>Ladrillos de plomo para protección contra la radiación</v>
          </cell>
        </row>
        <row r="3322">
          <cell r="A3322">
            <v>26142310</v>
          </cell>
          <cell r="B3322" t="str">
            <v>Cajas selladas con guantes para protección contra la radiación</v>
          </cell>
        </row>
        <row r="3323">
          <cell r="A3323">
            <v>26142311</v>
          </cell>
          <cell r="B3323" t="str">
            <v>Ventanas para blindaje contra la radiación</v>
          </cell>
        </row>
        <row r="3324">
          <cell r="A3324">
            <v>26142312</v>
          </cell>
          <cell r="B3324" t="str">
            <v>Plomo para blindaje contra la radiación</v>
          </cell>
        </row>
        <row r="3325">
          <cell r="A3325">
            <v>26142401</v>
          </cell>
          <cell r="B3325" t="str">
            <v>Compactadores o incineradores para el tratamiento de residuos radiactivos</v>
          </cell>
        </row>
        <row r="3326">
          <cell r="A3326">
            <v>26142402</v>
          </cell>
          <cell r="B3326" t="str">
            <v>Absorbentes de radiaciones nucleares</v>
          </cell>
        </row>
        <row r="3327">
          <cell r="A3327">
            <v>26142403</v>
          </cell>
          <cell r="B3327" t="str">
            <v>Evaporadores, concentradores o secadores de energía atómica</v>
          </cell>
        </row>
        <row r="3328">
          <cell r="A3328">
            <v>26142404</v>
          </cell>
          <cell r="B3328" t="str">
            <v>Sistemas de inter - bloqueo de las puertas</v>
          </cell>
        </row>
        <row r="3329">
          <cell r="A3329">
            <v>26142405</v>
          </cell>
          <cell r="B3329" t="str">
            <v>Sistemas de dosificación de residuos radiactivos</v>
          </cell>
        </row>
        <row r="3330">
          <cell r="A3330">
            <v>26142406</v>
          </cell>
          <cell r="B3330" t="str">
            <v>Sistemas de solidificación de residuos radiactivos</v>
          </cell>
        </row>
        <row r="3331">
          <cell r="A3331">
            <v>26142407</v>
          </cell>
          <cell r="B3331" t="str">
            <v>Sistemas de eliminación de residuos radiactivos</v>
          </cell>
        </row>
        <row r="3332">
          <cell r="A3332">
            <v>26142408</v>
          </cell>
          <cell r="B3332" t="str">
            <v>Instalaciones para el tratamiento de residuos radiactivos</v>
          </cell>
        </row>
        <row r="3333">
          <cell r="A3333">
            <v>27111501</v>
          </cell>
          <cell r="B3333" t="str">
            <v>Hojas de cuchillo</v>
          </cell>
        </row>
        <row r="3334">
          <cell r="A3334">
            <v>27111502</v>
          </cell>
          <cell r="B3334" t="str">
            <v>Navajas de afeitar</v>
          </cell>
        </row>
        <row r="3335">
          <cell r="A3335">
            <v>27111503</v>
          </cell>
          <cell r="B3335" t="str">
            <v>Cuchillos de diversas aplicaciones</v>
          </cell>
        </row>
        <row r="3336">
          <cell r="A3336">
            <v>27111504</v>
          </cell>
          <cell r="B3336" t="str">
            <v>Navajas de bolsillo</v>
          </cell>
        </row>
        <row r="3337">
          <cell r="A3337">
            <v>27111505</v>
          </cell>
          <cell r="B3337" t="str">
            <v>Sets para manicure</v>
          </cell>
        </row>
        <row r="3338">
          <cell r="A3338">
            <v>27111506</v>
          </cell>
          <cell r="B3338" t="str">
            <v>Cizallas</v>
          </cell>
        </row>
        <row r="3339">
          <cell r="A3339">
            <v>27111507</v>
          </cell>
          <cell r="B3339" t="str">
            <v>Cortadores de metal</v>
          </cell>
        </row>
        <row r="3340">
          <cell r="A3340">
            <v>27111508</v>
          </cell>
          <cell r="B3340" t="str">
            <v>Sierras</v>
          </cell>
        </row>
        <row r="3341">
          <cell r="A3341">
            <v>27111509</v>
          </cell>
          <cell r="B3341" t="str">
            <v>Barrenas</v>
          </cell>
        </row>
        <row r="3342">
          <cell r="A3342">
            <v>27111510</v>
          </cell>
          <cell r="B3342" t="str">
            <v>Herramientas para desforrar</v>
          </cell>
        </row>
        <row r="3343">
          <cell r="A3343">
            <v>27111511</v>
          </cell>
          <cell r="B3343" t="str">
            <v>Cortadores de alambres</v>
          </cell>
        </row>
        <row r="3344">
          <cell r="A3344">
            <v>27111512</v>
          </cell>
          <cell r="B3344" t="str">
            <v>Cortadores de pernos</v>
          </cell>
        </row>
        <row r="3345">
          <cell r="A3345">
            <v>27111513</v>
          </cell>
          <cell r="B3345" t="str">
            <v>Cortadores de manguera</v>
          </cell>
        </row>
        <row r="3346">
          <cell r="A3346">
            <v>27111514</v>
          </cell>
          <cell r="B3346" t="str">
            <v>Cortadores de vidrio</v>
          </cell>
        </row>
        <row r="3347">
          <cell r="A3347">
            <v>27111515</v>
          </cell>
          <cell r="B3347" t="str">
            <v>Taladro de mano</v>
          </cell>
        </row>
        <row r="3348">
          <cell r="A3348">
            <v>27111516</v>
          </cell>
          <cell r="B3348" t="str">
            <v>Alicates de perforación</v>
          </cell>
        </row>
        <row r="3349">
          <cell r="A3349">
            <v>27111517</v>
          </cell>
          <cell r="B3349" t="str">
            <v>Dispensadores o juegos de hojas de cuchilla</v>
          </cell>
        </row>
        <row r="3350">
          <cell r="A3350">
            <v>27111518</v>
          </cell>
          <cell r="B3350" t="str">
            <v>Herramienta para engastar y doblar alambre</v>
          </cell>
        </row>
        <row r="3351">
          <cell r="A3351">
            <v>27111519</v>
          </cell>
          <cell r="B3351" t="str">
            <v>Tijeras para estaño</v>
          </cell>
        </row>
        <row r="3352">
          <cell r="A3352">
            <v>27111520</v>
          </cell>
          <cell r="B3352" t="str">
            <v>Rompetuercas</v>
          </cell>
        </row>
        <row r="3353">
          <cell r="A3353">
            <v>27111521</v>
          </cell>
          <cell r="B3353" t="str">
            <v>Recortadoras de chapa de uña vibratoria</v>
          </cell>
        </row>
        <row r="3354">
          <cell r="A3354">
            <v>27111601</v>
          </cell>
          <cell r="B3354" t="str">
            <v>Mazas de hierro</v>
          </cell>
        </row>
        <row r="3355">
          <cell r="A3355">
            <v>27111602</v>
          </cell>
          <cell r="B3355" t="str">
            <v>Martillos</v>
          </cell>
        </row>
        <row r="3356">
          <cell r="A3356">
            <v>27111603</v>
          </cell>
          <cell r="B3356" t="str">
            <v>Yunques</v>
          </cell>
        </row>
        <row r="3357">
          <cell r="A3357">
            <v>27111604</v>
          </cell>
          <cell r="B3357" t="str">
            <v>Hachas de mano</v>
          </cell>
        </row>
        <row r="3358">
          <cell r="A3358">
            <v>27111605</v>
          </cell>
          <cell r="B3358" t="str">
            <v>Picas</v>
          </cell>
        </row>
        <row r="3359">
          <cell r="A3359">
            <v>27111607</v>
          </cell>
          <cell r="B3359" t="str">
            <v>Herramientas de recalcar</v>
          </cell>
        </row>
        <row r="3360">
          <cell r="A3360">
            <v>27111608</v>
          </cell>
          <cell r="B3360" t="str">
            <v>Enderezadores manuales de cables</v>
          </cell>
        </row>
        <row r="3361">
          <cell r="A3361">
            <v>27111609</v>
          </cell>
          <cell r="B3361" t="str">
            <v>Enderezadores eléctricos de cables</v>
          </cell>
        </row>
        <row r="3362">
          <cell r="A3362">
            <v>27111701</v>
          </cell>
          <cell r="B3362" t="str">
            <v>Destornilladores</v>
          </cell>
        </row>
        <row r="3363">
          <cell r="A3363">
            <v>27111702</v>
          </cell>
          <cell r="B3363" t="str">
            <v>Llaves para tuercas</v>
          </cell>
        </row>
        <row r="3364">
          <cell r="A3364">
            <v>27111703</v>
          </cell>
          <cell r="B3364" t="str">
            <v>Juegos de enchufes</v>
          </cell>
        </row>
        <row r="3365">
          <cell r="A3365">
            <v>27111704</v>
          </cell>
          <cell r="B3365" t="str">
            <v>Enchufes</v>
          </cell>
        </row>
        <row r="3366">
          <cell r="A3366">
            <v>27111705</v>
          </cell>
          <cell r="B3366" t="str">
            <v>Llaves de tuercas de boca cerrada</v>
          </cell>
        </row>
        <row r="3367">
          <cell r="A3367">
            <v>27111706</v>
          </cell>
          <cell r="B3367" t="str">
            <v>Llave de tuercas de boca abierta</v>
          </cell>
        </row>
        <row r="3368">
          <cell r="A3368">
            <v>27111707</v>
          </cell>
          <cell r="B3368" t="str">
            <v>Llaves ajustables</v>
          </cell>
        </row>
        <row r="3369">
          <cell r="A3369">
            <v>27111708</v>
          </cell>
          <cell r="B3369" t="str">
            <v>Llaves para tubos</v>
          </cell>
        </row>
        <row r="3370">
          <cell r="A3370">
            <v>27111709</v>
          </cell>
          <cell r="B3370" t="str">
            <v>Extractor de tornillos</v>
          </cell>
        </row>
        <row r="3371">
          <cell r="A3371">
            <v>27111710</v>
          </cell>
          <cell r="B3371" t="str">
            <v>Llaves allen</v>
          </cell>
        </row>
        <row r="3372">
          <cell r="A3372">
            <v>27111711</v>
          </cell>
          <cell r="B3372" t="str">
            <v>Trinquetes</v>
          </cell>
        </row>
        <row r="3373">
          <cell r="A3373">
            <v>27111712</v>
          </cell>
          <cell r="B3373" t="str">
            <v>Extractores</v>
          </cell>
        </row>
        <row r="3374">
          <cell r="A3374">
            <v>27111713</v>
          </cell>
          <cell r="B3374" t="str">
            <v>Llaves de combinación</v>
          </cell>
        </row>
        <row r="3375">
          <cell r="A3375">
            <v>27111714</v>
          </cell>
          <cell r="B3375" t="str">
            <v>Llaves de especialidad</v>
          </cell>
        </row>
        <row r="3376">
          <cell r="A3376">
            <v>27111715</v>
          </cell>
          <cell r="B3376" t="str">
            <v>Llaves de torsión</v>
          </cell>
        </row>
        <row r="3377">
          <cell r="A3377">
            <v>27111716</v>
          </cell>
          <cell r="B3377" t="str">
            <v>Llave torx</v>
          </cell>
        </row>
        <row r="3378">
          <cell r="A3378">
            <v>27111717</v>
          </cell>
          <cell r="B3378" t="str">
            <v>Extractores de tubería</v>
          </cell>
        </row>
        <row r="3379">
          <cell r="A3379">
            <v>27111718</v>
          </cell>
          <cell r="B3379" t="str">
            <v>Extractores de grifo</v>
          </cell>
        </row>
        <row r="3380">
          <cell r="A3380">
            <v>27111720</v>
          </cell>
          <cell r="B3380" t="str">
            <v>Llave manual en t para grifos</v>
          </cell>
        </row>
        <row r="3381">
          <cell r="A3381">
            <v>27111721</v>
          </cell>
          <cell r="B3381" t="str">
            <v>Manivelas</v>
          </cell>
        </row>
        <row r="3382">
          <cell r="A3382">
            <v>27111722</v>
          </cell>
          <cell r="B3382" t="str">
            <v>Troqueleras</v>
          </cell>
        </row>
        <row r="3383">
          <cell r="A3383">
            <v>27111723</v>
          </cell>
          <cell r="B3383" t="str">
            <v>Llaves de tubo</v>
          </cell>
        </row>
        <row r="3384">
          <cell r="A3384">
            <v>27111724</v>
          </cell>
          <cell r="B3384" t="str">
            <v>Llaves de gancho</v>
          </cell>
        </row>
        <row r="3385">
          <cell r="A3385">
            <v>27111725</v>
          </cell>
          <cell r="B3385" t="str">
            <v>Llaves tubulares de desplazamiento</v>
          </cell>
        </row>
        <row r="3386">
          <cell r="A3386">
            <v>27111726</v>
          </cell>
          <cell r="B3386" t="str">
            <v>Llaves de tuercas</v>
          </cell>
        </row>
        <row r="3387">
          <cell r="A3387">
            <v>27111727</v>
          </cell>
          <cell r="B3387" t="str">
            <v>Llaves macho con mango en t</v>
          </cell>
        </row>
        <row r="3388">
          <cell r="A3388">
            <v>27111801</v>
          </cell>
          <cell r="B3388" t="str">
            <v>Cintas métricas</v>
          </cell>
        </row>
        <row r="3389">
          <cell r="A3389">
            <v>27111802</v>
          </cell>
          <cell r="B3389" t="str">
            <v>Escalas</v>
          </cell>
        </row>
        <row r="3390">
          <cell r="A3390">
            <v>27111803</v>
          </cell>
          <cell r="B3390" t="str">
            <v>Escuadras</v>
          </cell>
        </row>
        <row r="3391">
          <cell r="A3391">
            <v>27111804</v>
          </cell>
          <cell r="B3391" t="str">
            <v>Plomadas</v>
          </cell>
        </row>
        <row r="3392">
          <cell r="A3392">
            <v>27111806</v>
          </cell>
          <cell r="B3392" t="str">
            <v>Calibrador de clavos</v>
          </cell>
        </row>
        <row r="3393">
          <cell r="A3393">
            <v>27111807</v>
          </cell>
          <cell r="B3393" t="str">
            <v>Bordes rectos</v>
          </cell>
        </row>
        <row r="3394">
          <cell r="A3394">
            <v>27111809</v>
          </cell>
          <cell r="B3394" t="str">
            <v>Biseles</v>
          </cell>
        </row>
        <row r="3395">
          <cell r="A3395">
            <v>27111810</v>
          </cell>
          <cell r="B3395" t="str">
            <v>Buscadores de pernos</v>
          </cell>
        </row>
        <row r="3396">
          <cell r="A3396">
            <v>27111901</v>
          </cell>
          <cell r="B3396" t="str">
            <v>Cortafríos</v>
          </cell>
        </row>
        <row r="3397">
          <cell r="A3397">
            <v>27111902</v>
          </cell>
          <cell r="B3397" t="str">
            <v>Limas</v>
          </cell>
        </row>
        <row r="3398">
          <cell r="A3398">
            <v>27111903</v>
          </cell>
          <cell r="B3398" t="str">
            <v>Cepillos de carpintero</v>
          </cell>
        </row>
        <row r="3399">
          <cell r="A3399">
            <v>27111904</v>
          </cell>
          <cell r="B3399" t="str">
            <v>Raspa</v>
          </cell>
        </row>
        <row r="3400">
          <cell r="A3400">
            <v>27111905</v>
          </cell>
          <cell r="B3400" t="str">
            <v>Esmeriladoras</v>
          </cell>
        </row>
        <row r="3401">
          <cell r="A3401">
            <v>27111906</v>
          </cell>
          <cell r="B3401" t="str">
            <v>Cinceles de madera</v>
          </cell>
        </row>
        <row r="3402">
          <cell r="A3402">
            <v>27111907</v>
          </cell>
          <cell r="B3402" t="str">
            <v>Cepillos de alambre</v>
          </cell>
        </row>
        <row r="3403">
          <cell r="A3403">
            <v>27111908</v>
          </cell>
          <cell r="B3403" t="str">
            <v>Piedras o herramientas o equipos de afilar</v>
          </cell>
        </row>
        <row r="3404">
          <cell r="A3404">
            <v>27111909</v>
          </cell>
          <cell r="B3404" t="str">
            <v>Espátulas</v>
          </cell>
        </row>
        <row r="3405">
          <cell r="A3405">
            <v>27111910</v>
          </cell>
          <cell r="B3405" t="str">
            <v>Buriles</v>
          </cell>
        </row>
        <row r="3406">
          <cell r="A3406">
            <v>27111911</v>
          </cell>
          <cell r="B3406" t="str">
            <v>Formones</v>
          </cell>
        </row>
        <row r="3407">
          <cell r="A3407">
            <v>27112001</v>
          </cell>
          <cell r="B3407" t="str">
            <v>Machetes</v>
          </cell>
        </row>
        <row r="3408">
          <cell r="A3408">
            <v>27112002</v>
          </cell>
          <cell r="B3408" t="str">
            <v>Azadones</v>
          </cell>
        </row>
        <row r="3409">
          <cell r="A3409">
            <v>27112003</v>
          </cell>
          <cell r="B3409" t="str">
            <v>Rastrillos</v>
          </cell>
        </row>
        <row r="3410">
          <cell r="A3410">
            <v>27112004</v>
          </cell>
          <cell r="B3410" t="str">
            <v>Palas</v>
          </cell>
        </row>
        <row r="3411">
          <cell r="A3411">
            <v>27112005</v>
          </cell>
          <cell r="B3411" t="str">
            <v>Hachas</v>
          </cell>
        </row>
        <row r="3412">
          <cell r="A3412">
            <v>27112006</v>
          </cell>
          <cell r="B3412" t="str">
            <v>Guadañas</v>
          </cell>
        </row>
        <row r="3413">
          <cell r="A3413">
            <v>27112007</v>
          </cell>
          <cell r="B3413" t="str">
            <v>Tijeras de podar</v>
          </cell>
        </row>
        <row r="3414">
          <cell r="A3414">
            <v>27112008</v>
          </cell>
          <cell r="B3414" t="str">
            <v>Azadas</v>
          </cell>
        </row>
        <row r="3415">
          <cell r="A3415">
            <v>27112009</v>
          </cell>
          <cell r="B3415" t="str">
            <v>Raspadores</v>
          </cell>
        </row>
        <row r="3416">
          <cell r="A3416">
            <v>27112010</v>
          </cell>
          <cell r="B3416" t="str">
            <v>Horquilla de jardín</v>
          </cell>
        </row>
        <row r="3417">
          <cell r="A3417">
            <v>27112011</v>
          </cell>
          <cell r="B3417" t="str">
            <v>Mangos de herramientas</v>
          </cell>
        </row>
        <row r="3418">
          <cell r="A3418">
            <v>27112012</v>
          </cell>
          <cell r="B3418" t="str">
            <v>Criba jardinera</v>
          </cell>
        </row>
        <row r="3419">
          <cell r="A3419">
            <v>27112013</v>
          </cell>
          <cell r="B3419" t="str">
            <v>Excavadora de hoyos para postes</v>
          </cell>
        </row>
        <row r="3420">
          <cell r="A3420">
            <v>27112014</v>
          </cell>
          <cell r="B3420" t="str">
            <v>Cortadora de pasto</v>
          </cell>
        </row>
        <row r="3421">
          <cell r="A3421">
            <v>27112015</v>
          </cell>
          <cell r="B3421" t="str">
            <v>Escarificador de prados</v>
          </cell>
        </row>
        <row r="3422">
          <cell r="A3422">
            <v>27112016</v>
          </cell>
          <cell r="B3422" t="str">
            <v>Tijeras para setos</v>
          </cell>
        </row>
        <row r="3423">
          <cell r="A3423">
            <v>27112017</v>
          </cell>
          <cell r="B3423" t="str">
            <v>Barras de cavar o barretones</v>
          </cell>
        </row>
        <row r="3424">
          <cell r="A3424">
            <v>27112101</v>
          </cell>
          <cell r="B3424" t="str">
            <v>Dobladores de tubos</v>
          </cell>
        </row>
        <row r="3425">
          <cell r="A3425">
            <v>27112102</v>
          </cell>
          <cell r="B3425" t="str">
            <v>Tornillos de banco</v>
          </cell>
        </row>
        <row r="3426">
          <cell r="A3426">
            <v>27112103</v>
          </cell>
          <cell r="B3426" t="str">
            <v>Pinza de mano</v>
          </cell>
        </row>
        <row r="3427">
          <cell r="A3427">
            <v>27112104</v>
          </cell>
          <cell r="B3427" t="str">
            <v>Tenazas</v>
          </cell>
        </row>
        <row r="3428">
          <cell r="A3428">
            <v>27112105</v>
          </cell>
          <cell r="B3428" t="str">
            <v>Pinzas</v>
          </cell>
        </row>
        <row r="3429">
          <cell r="A3429">
            <v>27112106</v>
          </cell>
          <cell r="B3429" t="str">
            <v>Alicates de guardalínea</v>
          </cell>
        </row>
        <row r="3430">
          <cell r="A3430">
            <v>27112107</v>
          </cell>
          <cell r="B3430" t="str">
            <v>Alicates boquianchos ajustables</v>
          </cell>
        </row>
        <row r="3431">
          <cell r="A3431">
            <v>27112108</v>
          </cell>
          <cell r="B3431" t="str">
            <v>Alicates de punta de aguja</v>
          </cell>
        </row>
        <row r="3432">
          <cell r="A3432">
            <v>27112109</v>
          </cell>
          <cell r="B3432" t="str">
            <v>Herramientas magnéticas</v>
          </cell>
        </row>
        <row r="3433">
          <cell r="A3433">
            <v>27112110</v>
          </cell>
          <cell r="B3433" t="str">
            <v>Pinzas de anillo de retención</v>
          </cell>
        </row>
        <row r="3434">
          <cell r="A3434">
            <v>27112111</v>
          </cell>
          <cell r="B3434" t="str">
            <v>Alicates de lagarto</v>
          </cell>
        </row>
        <row r="3435">
          <cell r="A3435">
            <v>27112112</v>
          </cell>
          <cell r="B3435" t="str">
            <v>Tenazas de ranura y lengüeta</v>
          </cell>
        </row>
        <row r="3436">
          <cell r="A3436">
            <v>27112113</v>
          </cell>
          <cell r="B3436" t="str">
            <v>Alicates de articulación movible o de ranura</v>
          </cell>
        </row>
        <row r="3437">
          <cell r="A3437">
            <v>27112114</v>
          </cell>
          <cell r="B3437" t="str">
            <v>Pinzas de corte diagonal</v>
          </cell>
        </row>
        <row r="3438">
          <cell r="A3438">
            <v>27112115</v>
          </cell>
          <cell r="B3438" t="str">
            <v>Pinzas de cerrado</v>
          </cell>
        </row>
        <row r="3439">
          <cell r="A3439">
            <v>27112116</v>
          </cell>
          <cell r="B3439" t="str">
            <v>Pinzas de cerca</v>
          </cell>
        </row>
        <row r="3440">
          <cell r="A3440">
            <v>27112117</v>
          </cell>
          <cell r="B3440" t="str">
            <v>Tenazas de corte final</v>
          </cell>
        </row>
        <row r="3441">
          <cell r="A3441">
            <v>27112119</v>
          </cell>
          <cell r="B3441" t="str">
            <v>Cambiador de bombilla de luz</v>
          </cell>
        </row>
        <row r="3442">
          <cell r="A3442">
            <v>27112120</v>
          </cell>
          <cell r="B3442" t="str">
            <v>Grapas c</v>
          </cell>
        </row>
        <row r="3443">
          <cell r="A3443">
            <v>27112121</v>
          </cell>
          <cell r="B3443" t="str">
            <v>Grapa de ángulo</v>
          </cell>
        </row>
        <row r="3444">
          <cell r="A3444">
            <v>27112122</v>
          </cell>
          <cell r="B3444" t="str">
            <v>Alicates de hoja metálica</v>
          </cell>
        </row>
        <row r="3445">
          <cell r="A3445">
            <v>27112123</v>
          </cell>
          <cell r="B3445" t="str">
            <v>Prensa de mesa</v>
          </cell>
        </row>
        <row r="3446">
          <cell r="A3446">
            <v>27112124</v>
          </cell>
          <cell r="B3446" t="str">
            <v>Tensionadores</v>
          </cell>
        </row>
        <row r="3447">
          <cell r="A3447">
            <v>27112125</v>
          </cell>
          <cell r="B3447" t="str">
            <v>Alicates de punta redonda</v>
          </cell>
        </row>
        <row r="3448">
          <cell r="A3448">
            <v>27112126</v>
          </cell>
          <cell r="B3448" t="str">
            <v>Alicates planos</v>
          </cell>
        </row>
        <row r="3449">
          <cell r="A3449">
            <v>27112127</v>
          </cell>
          <cell r="B3449" t="str">
            <v>Llaves de cinta</v>
          </cell>
        </row>
        <row r="3450">
          <cell r="A3450">
            <v>27112128</v>
          </cell>
          <cell r="B3450" t="str">
            <v>Alicates de punta curvada</v>
          </cell>
        </row>
        <row r="3451">
          <cell r="A3451">
            <v>27112129</v>
          </cell>
          <cell r="B3451" t="str">
            <v>Abrazaderas de mango redondo</v>
          </cell>
        </row>
        <row r="3452">
          <cell r="A3452">
            <v>27112130</v>
          </cell>
          <cell r="B3452" t="str">
            <v>Abrazaderas de tres garras</v>
          </cell>
        </row>
        <row r="3453">
          <cell r="A3453">
            <v>27112131</v>
          </cell>
          <cell r="B3453" t="str">
            <v>Abrazadera para la apertura de mandíbula</v>
          </cell>
        </row>
        <row r="3454">
          <cell r="A3454">
            <v>27112132</v>
          </cell>
          <cell r="B3454" t="str">
            <v>Abrazaderas de fijación</v>
          </cell>
        </row>
        <row r="3455">
          <cell r="A3455">
            <v>27112133</v>
          </cell>
          <cell r="B3455" t="str">
            <v>Abrazaderas con mango en t</v>
          </cell>
        </row>
        <row r="3456">
          <cell r="A3456">
            <v>27112134</v>
          </cell>
          <cell r="B3456" t="str">
            <v>Alicates de punta larga</v>
          </cell>
        </row>
        <row r="3457">
          <cell r="A3457">
            <v>27112201</v>
          </cell>
          <cell r="B3457" t="str">
            <v>Palustres</v>
          </cell>
        </row>
        <row r="3458">
          <cell r="A3458">
            <v>27112202</v>
          </cell>
          <cell r="B3458" t="str">
            <v>Palustres o llanas de madera</v>
          </cell>
        </row>
        <row r="3459">
          <cell r="A3459">
            <v>27112203</v>
          </cell>
          <cell r="B3459" t="str">
            <v>Bordeadoras</v>
          </cell>
        </row>
        <row r="3460">
          <cell r="A3460">
            <v>27112205</v>
          </cell>
          <cell r="B3460" t="str">
            <v>Vibradores de concreto</v>
          </cell>
        </row>
        <row r="3461">
          <cell r="A3461">
            <v>27112301</v>
          </cell>
          <cell r="B3461" t="str">
            <v>Hierro de marcar</v>
          </cell>
        </row>
        <row r="3462">
          <cell r="A3462">
            <v>27112302</v>
          </cell>
          <cell r="B3462" t="str">
            <v>Punzones o alwznas</v>
          </cell>
        </row>
        <row r="3463">
          <cell r="A3463">
            <v>27112303</v>
          </cell>
          <cell r="B3463" t="str">
            <v>Punzón de trazar</v>
          </cell>
        </row>
        <row r="3464">
          <cell r="A3464">
            <v>27112304</v>
          </cell>
          <cell r="B3464" t="str">
            <v>Líneas de marcar con tiza</v>
          </cell>
        </row>
        <row r="3465">
          <cell r="A3465">
            <v>27112305</v>
          </cell>
          <cell r="B3465" t="str">
            <v>Marcadores o soportes de metal</v>
          </cell>
        </row>
        <row r="3466">
          <cell r="A3466">
            <v>27112306</v>
          </cell>
          <cell r="B3466" t="str">
            <v>Sellos de metal</v>
          </cell>
        </row>
        <row r="3467">
          <cell r="A3467">
            <v>27112401</v>
          </cell>
          <cell r="B3467" t="str">
            <v>Pistolas de grapas</v>
          </cell>
        </row>
        <row r="3468">
          <cell r="A3468">
            <v>27112402</v>
          </cell>
          <cell r="B3468" t="str">
            <v>Ribeteadoras</v>
          </cell>
        </row>
        <row r="3469">
          <cell r="A3469">
            <v>27112403</v>
          </cell>
          <cell r="B3469" t="str">
            <v>Colocadores de abrazaderas</v>
          </cell>
        </row>
        <row r="3470">
          <cell r="A3470">
            <v>27112404</v>
          </cell>
          <cell r="B3470" t="str">
            <v>Herramientas para poner anclajes</v>
          </cell>
        </row>
        <row r="3471">
          <cell r="A3471">
            <v>27112405</v>
          </cell>
          <cell r="B3471" t="str">
            <v>Calentadores de pernos</v>
          </cell>
        </row>
        <row r="3472">
          <cell r="A3472">
            <v>27112406</v>
          </cell>
          <cell r="B3472" t="str">
            <v>Pistolas de etiquetado</v>
          </cell>
        </row>
        <row r="3473">
          <cell r="A3473">
            <v>27112407</v>
          </cell>
          <cell r="B3473" t="str">
            <v>Desprendedor de etiqueta de seguridad</v>
          </cell>
        </row>
        <row r="3474">
          <cell r="A3474">
            <v>27112501</v>
          </cell>
          <cell r="B3474" t="str">
            <v>Herramientas curvatubos</v>
          </cell>
        </row>
        <row r="3475">
          <cell r="A3475">
            <v>27112502</v>
          </cell>
          <cell r="B3475" t="str">
            <v>Palancas</v>
          </cell>
        </row>
        <row r="3476">
          <cell r="A3476">
            <v>27112503</v>
          </cell>
          <cell r="B3476" t="str">
            <v>Dobladoras de tubos</v>
          </cell>
        </row>
        <row r="3477">
          <cell r="A3477">
            <v>27112504</v>
          </cell>
          <cell r="B3477" t="str">
            <v>Cuñas</v>
          </cell>
        </row>
        <row r="3478">
          <cell r="A3478">
            <v>27112505</v>
          </cell>
          <cell r="B3478" t="str">
            <v>Ganchos para empaquetaduras</v>
          </cell>
        </row>
        <row r="3479">
          <cell r="A3479">
            <v>27112506</v>
          </cell>
          <cell r="B3479" t="str">
            <v>Manchas de impresión</v>
          </cell>
        </row>
        <row r="3480">
          <cell r="A3480">
            <v>27112601</v>
          </cell>
          <cell r="B3480" t="str">
            <v>Espátulas para enmasillar</v>
          </cell>
        </row>
        <row r="3481">
          <cell r="A3481">
            <v>27112602</v>
          </cell>
          <cell r="B3481" t="str">
            <v>Herramientas de calafateado</v>
          </cell>
        </row>
        <row r="3482">
          <cell r="A3482">
            <v>27112701</v>
          </cell>
          <cell r="B3482" t="str">
            <v>Fuelles eléctricos</v>
          </cell>
        </row>
        <row r="3483">
          <cell r="A3483">
            <v>27112702</v>
          </cell>
          <cell r="B3483" t="str">
            <v>Pulidoras eléctricas</v>
          </cell>
        </row>
        <row r="3484">
          <cell r="A3484">
            <v>27112703</v>
          </cell>
          <cell r="B3484" t="str">
            <v>Taladradoras eléctricas</v>
          </cell>
        </row>
        <row r="3485">
          <cell r="A3485">
            <v>27112704</v>
          </cell>
          <cell r="B3485" t="str">
            <v>Amoladora eléctricas</v>
          </cell>
        </row>
        <row r="3486">
          <cell r="A3486">
            <v>27112705</v>
          </cell>
          <cell r="B3486" t="str">
            <v>Martillos de demolición</v>
          </cell>
        </row>
        <row r="3487">
          <cell r="A3487">
            <v>27112706</v>
          </cell>
          <cell r="B3487" t="str">
            <v>Cepillos eléctricos</v>
          </cell>
        </row>
        <row r="3488">
          <cell r="A3488">
            <v>27112707</v>
          </cell>
          <cell r="B3488" t="str">
            <v>Cuchillas eléctricas</v>
          </cell>
        </row>
        <row r="3489">
          <cell r="A3489">
            <v>27112708</v>
          </cell>
          <cell r="B3489" t="str">
            <v>Lijadoras eléctricas</v>
          </cell>
        </row>
        <row r="3490">
          <cell r="A3490">
            <v>27112709</v>
          </cell>
          <cell r="B3490" t="str">
            <v>Sierras eléctricas</v>
          </cell>
        </row>
        <row r="3491">
          <cell r="A3491">
            <v>27112710</v>
          </cell>
          <cell r="B3491" t="str">
            <v>Pistolas de tornillos eléctricas</v>
          </cell>
        </row>
        <row r="3492">
          <cell r="A3492">
            <v>27112711</v>
          </cell>
          <cell r="B3492" t="str">
            <v>Pistolas de grapas eléctricas</v>
          </cell>
        </row>
        <row r="3493">
          <cell r="A3493">
            <v>27112712</v>
          </cell>
          <cell r="B3493" t="str">
            <v>Ribeteadoras eléctricas</v>
          </cell>
        </row>
        <row r="3494">
          <cell r="A3494">
            <v>27112713</v>
          </cell>
          <cell r="B3494" t="str">
            <v>Aprietatuercas neumático de percusión</v>
          </cell>
        </row>
        <row r="3495">
          <cell r="A3495">
            <v>27112714</v>
          </cell>
          <cell r="B3495" t="str">
            <v>Pistolas de calafateo eléctricas</v>
          </cell>
        </row>
        <row r="3496">
          <cell r="A3496">
            <v>27112715</v>
          </cell>
          <cell r="B3496" t="str">
            <v>Martillos cinceladores eléctricos</v>
          </cell>
        </row>
        <row r="3497">
          <cell r="A3497">
            <v>27112716</v>
          </cell>
          <cell r="B3497" t="str">
            <v>Pistolas de clavos eléctricas</v>
          </cell>
        </row>
        <row r="3498">
          <cell r="A3498">
            <v>27112717</v>
          </cell>
          <cell r="B3498" t="str">
            <v>Pistolas de calor</v>
          </cell>
        </row>
        <row r="3499">
          <cell r="A3499">
            <v>27112718</v>
          </cell>
          <cell r="B3499" t="str">
            <v>Grabadores</v>
          </cell>
        </row>
        <row r="3500">
          <cell r="A3500">
            <v>27112719</v>
          </cell>
          <cell r="B3500" t="str">
            <v>Pistolas para engomar</v>
          </cell>
        </row>
        <row r="3501">
          <cell r="A3501">
            <v>27112720</v>
          </cell>
          <cell r="B3501" t="str">
            <v>Herramientas de par de torsión</v>
          </cell>
        </row>
        <row r="3502">
          <cell r="A3502">
            <v>27112721</v>
          </cell>
          <cell r="B3502" t="str">
            <v>Juntador de capas de material</v>
          </cell>
        </row>
        <row r="3503">
          <cell r="A3503">
            <v>27112801</v>
          </cell>
          <cell r="B3503" t="str">
            <v>Brocas</v>
          </cell>
        </row>
        <row r="3504">
          <cell r="A3504">
            <v>27112802</v>
          </cell>
          <cell r="B3504" t="str">
            <v>Hojas de sierra</v>
          </cell>
        </row>
        <row r="3505">
          <cell r="A3505">
            <v>27112803</v>
          </cell>
          <cell r="B3505" t="str">
            <v>Fresadoras con mango</v>
          </cell>
        </row>
        <row r="3506">
          <cell r="A3506">
            <v>27112804</v>
          </cell>
          <cell r="B3506" t="str">
            <v>Troqueles o punzones de estampar</v>
          </cell>
        </row>
        <row r="3507">
          <cell r="A3507">
            <v>27112805</v>
          </cell>
          <cell r="B3507" t="str">
            <v>Troqueles de roscado</v>
          </cell>
        </row>
        <row r="3508">
          <cell r="A3508">
            <v>27112806</v>
          </cell>
          <cell r="B3508" t="str">
            <v>Machos de roscado</v>
          </cell>
        </row>
        <row r="3509">
          <cell r="A3509">
            <v>27112807</v>
          </cell>
          <cell r="B3509" t="str">
            <v>Cuñas</v>
          </cell>
        </row>
        <row r="3510">
          <cell r="A3510">
            <v>27112808</v>
          </cell>
          <cell r="B3510" t="str">
            <v>Anillos metálicos</v>
          </cell>
        </row>
        <row r="3511">
          <cell r="A3511">
            <v>27112809</v>
          </cell>
          <cell r="B3511" t="str">
            <v>Portaherramientas</v>
          </cell>
        </row>
        <row r="3512">
          <cell r="A3512">
            <v>27112810</v>
          </cell>
          <cell r="B3512" t="str">
            <v>Equipos para reparar roscas</v>
          </cell>
        </row>
        <row r="3513">
          <cell r="A3513">
            <v>27112811</v>
          </cell>
          <cell r="B3513" t="str">
            <v>Árboles</v>
          </cell>
        </row>
        <row r="3514">
          <cell r="A3514">
            <v>27112812</v>
          </cell>
          <cell r="B3514" t="str">
            <v>Avellanadores</v>
          </cell>
        </row>
        <row r="3515">
          <cell r="A3515">
            <v>27112813</v>
          </cell>
          <cell r="B3515" t="str">
            <v>Vara de extensión</v>
          </cell>
        </row>
        <row r="3516">
          <cell r="A3516">
            <v>27112814</v>
          </cell>
          <cell r="B3516" t="str">
            <v>Brocas de destornillador</v>
          </cell>
        </row>
        <row r="3517">
          <cell r="A3517">
            <v>27112815</v>
          </cell>
          <cell r="B3517" t="str">
            <v>Brocas para poner tuercas</v>
          </cell>
        </row>
        <row r="3518">
          <cell r="A3518">
            <v>27112818</v>
          </cell>
          <cell r="B3518" t="str">
            <v>Sombreretes o revestimientos de prensas de tornillo</v>
          </cell>
        </row>
        <row r="3519">
          <cell r="A3519">
            <v>27112819</v>
          </cell>
          <cell r="B3519" t="str">
            <v>Cuchillas de corte para encuadernación</v>
          </cell>
        </row>
        <row r="3520">
          <cell r="A3520">
            <v>27112820</v>
          </cell>
          <cell r="B3520" t="str">
            <v>Troqueles de herramienta engarzadora de lengüetas</v>
          </cell>
        </row>
        <row r="3521">
          <cell r="A3521">
            <v>27112821</v>
          </cell>
          <cell r="B3521" t="str">
            <v>Brocas de buriladora</v>
          </cell>
        </row>
        <row r="3522">
          <cell r="A3522">
            <v>27112822</v>
          </cell>
          <cell r="B3522" t="str">
            <v>Adaptadores de cubo</v>
          </cell>
        </row>
        <row r="3523">
          <cell r="A3523">
            <v>27112823</v>
          </cell>
          <cell r="B3523" t="str">
            <v>Cadenas de corte</v>
          </cell>
        </row>
        <row r="3524">
          <cell r="A3524">
            <v>27112824</v>
          </cell>
          <cell r="B3524" t="str">
            <v>Portabrocas</v>
          </cell>
        </row>
        <row r="3525">
          <cell r="A3525">
            <v>27112825</v>
          </cell>
          <cell r="B3525" t="str">
            <v>Juegos de plantillas de herramienta</v>
          </cell>
        </row>
        <row r="3526">
          <cell r="A3526">
            <v>27112826</v>
          </cell>
          <cell r="B3526" t="str">
            <v>Caladora</v>
          </cell>
        </row>
        <row r="3527">
          <cell r="A3527">
            <v>27112901</v>
          </cell>
          <cell r="B3527" t="str">
            <v>Pistolas de grasa</v>
          </cell>
        </row>
        <row r="3528">
          <cell r="A3528">
            <v>27112902</v>
          </cell>
          <cell r="B3528" t="str">
            <v>Chimeneas industriales</v>
          </cell>
        </row>
        <row r="3529">
          <cell r="A3529">
            <v>27112903</v>
          </cell>
          <cell r="B3529" t="str">
            <v>Rociador manual</v>
          </cell>
        </row>
        <row r="3530">
          <cell r="A3530">
            <v>27112904</v>
          </cell>
          <cell r="B3530" t="str">
            <v>Pistola de resina</v>
          </cell>
        </row>
        <row r="3531">
          <cell r="A3531">
            <v>27112905</v>
          </cell>
          <cell r="B3531" t="str">
            <v>Lata de aceite</v>
          </cell>
        </row>
        <row r="3532">
          <cell r="A3532">
            <v>27112906</v>
          </cell>
          <cell r="B3532" t="str">
            <v>Pistolas de calafateado</v>
          </cell>
        </row>
        <row r="3533">
          <cell r="A3533">
            <v>27112907</v>
          </cell>
          <cell r="B3533" t="str">
            <v>Separadores de difusión</v>
          </cell>
        </row>
        <row r="3534">
          <cell r="A3534">
            <v>27112908</v>
          </cell>
          <cell r="B3534" t="str">
            <v>Pistola de aceite</v>
          </cell>
        </row>
        <row r="3535">
          <cell r="A3535">
            <v>27113001</v>
          </cell>
          <cell r="B3535" t="str">
            <v>Cepillos de aruñar</v>
          </cell>
        </row>
        <row r="3536">
          <cell r="A3536">
            <v>27113002</v>
          </cell>
          <cell r="B3536" t="str">
            <v>Cepillos de tubo</v>
          </cell>
        </row>
        <row r="3537">
          <cell r="A3537">
            <v>27113003</v>
          </cell>
          <cell r="B3537" t="str">
            <v>Cepillos de aplicar</v>
          </cell>
        </row>
        <row r="3538">
          <cell r="A3538">
            <v>27113004</v>
          </cell>
          <cell r="B3538" t="str">
            <v>Cepillos de extensor</v>
          </cell>
        </row>
        <row r="3539">
          <cell r="A3539">
            <v>27113101</v>
          </cell>
          <cell r="B3539" t="str">
            <v>Cinta guía</v>
          </cell>
        </row>
        <row r="3540">
          <cell r="A3540">
            <v>27113102</v>
          </cell>
          <cell r="B3540" t="str">
            <v>Tirador de fusible</v>
          </cell>
        </row>
        <row r="3541">
          <cell r="A3541">
            <v>27113103</v>
          </cell>
          <cell r="B3541" t="str">
            <v>Buril</v>
          </cell>
        </row>
        <row r="3542">
          <cell r="A3542">
            <v>27113201</v>
          </cell>
          <cell r="B3542" t="str">
            <v>Conjuntos generales de herramientas</v>
          </cell>
        </row>
        <row r="3543">
          <cell r="A3543">
            <v>27113202</v>
          </cell>
          <cell r="B3543" t="str">
            <v>Kit de herramientas para ajustar rodamiento</v>
          </cell>
        </row>
        <row r="3544">
          <cell r="A3544">
            <v>27113203</v>
          </cell>
          <cell r="B3544" t="str">
            <v>Kit de herramienta para computadores</v>
          </cell>
        </row>
        <row r="3545">
          <cell r="A3545">
            <v>27113204</v>
          </cell>
          <cell r="B3545" t="str">
            <v>Kits de electricista</v>
          </cell>
        </row>
        <row r="3546">
          <cell r="A3546">
            <v>27121501</v>
          </cell>
          <cell r="B3546" t="str">
            <v>Suspensiones a presión retornables</v>
          </cell>
        </row>
        <row r="3547">
          <cell r="A3547">
            <v>27121502</v>
          </cell>
          <cell r="B3547" t="str">
            <v>Bastidores de prensa hidráulica</v>
          </cell>
        </row>
        <row r="3548">
          <cell r="A3548">
            <v>27121503</v>
          </cell>
          <cell r="B3548" t="str">
            <v>Columnas de prensa hidráulica</v>
          </cell>
        </row>
        <row r="3549">
          <cell r="A3549">
            <v>27121601</v>
          </cell>
          <cell r="B3549" t="str">
            <v>Pistones de cilindro</v>
          </cell>
        </row>
        <row r="3550">
          <cell r="A3550">
            <v>27121602</v>
          </cell>
          <cell r="B3550" t="str">
            <v>Cilindros hidráulicos</v>
          </cell>
        </row>
        <row r="3551">
          <cell r="A3551">
            <v>27121603</v>
          </cell>
          <cell r="B3551" t="str">
            <v>Vástagos de pistón de cilindro hidráulico</v>
          </cell>
        </row>
        <row r="3552">
          <cell r="A3552">
            <v>27121604</v>
          </cell>
          <cell r="B3552" t="str">
            <v>Kits de reparación de cilindro hidráulico o sus componentes</v>
          </cell>
        </row>
        <row r="3553">
          <cell r="A3553">
            <v>27121605</v>
          </cell>
          <cell r="B3553" t="str">
            <v>Cuerpos de cilindro hidráulico</v>
          </cell>
        </row>
        <row r="3554">
          <cell r="A3554">
            <v>27121606</v>
          </cell>
          <cell r="B3554" t="str">
            <v>Soportes de montaje para cilindros hidráulicos</v>
          </cell>
        </row>
        <row r="3555">
          <cell r="A3555">
            <v>27121701</v>
          </cell>
          <cell r="B3555" t="str">
            <v>Conectores hidráulicos rápidos</v>
          </cell>
        </row>
        <row r="3556">
          <cell r="A3556">
            <v>27121702</v>
          </cell>
          <cell r="B3556" t="str">
            <v>Injertos o injertos dobles hidráulicos</v>
          </cell>
        </row>
        <row r="3557">
          <cell r="A3557">
            <v>27121703</v>
          </cell>
          <cell r="B3557" t="str">
            <v>Férulas</v>
          </cell>
        </row>
        <row r="3558">
          <cell r="A3558">
            <v>27121704</v>
          </cell>
          <cell r="B3558" t="str">
            <v>Uniones hidráulicas</v>
          </cell>
        </row>
        <row r="3559">
          <cell r="A3559">
            <v>27121705</v>
          </cell>
          <cell r="B3559" t="str">
            <v>Codos hidráulicos o de compresión</v>
          </cell>
        </row>
        <row r="3560">
          <cell r="A3560">
            <v>27121706</v>
          </cell>
          <cell r="B3560" t="str">
            <v>Tuercas de férula</v>
          </cell>
        </row>
        <row r="3561">
          <cell r="A3561">
            <v>27121707</v>
          </cell>
          <cell r="B3561" t="str">
            <v>Conectores de pliegue</v>
          </cell>
        </row>
        <row r="3562">
          <cell r="A3562">
            <v>27126101</v>
          </cell>
          <cell r="B3562" t="str">
            <v>Elevadores de tapas de registro</v>
          </cell>
        </row>
        <row r="3563">
          <cell r="A3563">
            <v>27126102</v>
          </cell>
          <cell r="B3563" t="str">
            <v>Acumuladores hidráulicos</v>
          </cell>
        </row>
        <row r="3564">
          <cell r="A3564">
            <v>27131501</v>
          </cell>
          <cell r="B3564" t="str">
            <v>Llaves de impacto neumático</v>
          </cell>
        </row>
        <row r="3565">
          <cell r="A3565">
            <v>27131502</v>
          </cell>
          <cell r="B3565" t="str">
            <v>Pistola de aire comprimido</v>
          </cell>
        </row>
        <row r="3566">
          <cell r="A3566">
            <v>27131504</v>
          </cell>
          <cell r="B3566" t="str">
            <v>Martillo neumático</v>
          </cell>
        </row>
        <row r="3567">
          <cell r="A3567">
            <v>27131505</v>
          </cell>
          <cell r="B3567" t="str">
            <v>Taladro neumático</v>
          </cell>
        </row>
        <row r="3568">
          <cell r="A3568">
            <v>27131506</v>
          </cell>
          <cell r="B3568" t="str">
            <v>Clavadora de clavos neumática</v>
          </cell>
        </row>
        <row r="3569">
          <cell r="A3569">
            <v>27131507</v>
          </cell>
          <cell r="B3569" t="str">
            <v>Máquinas de lijado neumáticas</v>
          </cell>
        </row>
        <row r="3570">
          <cell r="A3570">
            <v>27131508</v>
          </cell>
          <cell r="B3570" t="str">
            <v>Motores neumáticos</v>
          </cell>
        </row>
        <row r="3571">
          <cell r="A3571">
            <v>27131509</v>
          </cell>
          <cell r="B3571" t="str">
            <v>Acumuladores neumáticos</v>
          </cell>
        </row>
        <row r="3572">
          <cell r="A3572">
            <v>27131510</v>
          </cell>
          <cell r="B3572" t="str">
            <v>Depósitos de acumulador</v>
          </cell>
        </row>
        <row r="3573">
          <cell r="A3573">
            <v>27131511</v>
          </cell>
          <cell r="B3573" t="str">
            <v>Rectificadoras neumáticas</v>
          </cell>
        </row>
        <row r="3574">
          <cell r="A3574">
            <v>27131512</v>
          </cell>
          <cell r="B3574" t="str">
            <v>Destornillador neumático</v>
          </cell>
        </row>
        <row r="3575">
          <cell r="A3575">
            <v>27131601</v>
          </cell>
          <cell r="B3575" t="str">
            <v>Múltiples de aire</v>
          </cell>
        </row>
        <row r="3576">
          <cell r="A3576">
            <v>27131603</v>
          </cell>
          <cell r="B3576" t="str">
            <v>Reguladores de aire</v>
          </cell>
        </row>
        <row r="3577">
          <cell r="A3577">
            <v>27131604</v>
          </cell>
          <cell r="B3577" t="str">
            <v>Lubricadores neumáticos</v>
          </cell>
        </row>
        <row r="3578">
          <cell r="A3578">
            <v>27131605</v>
          </cell>
          <cell r="B3578" t="str">
            <v>Cortina de aire</v>
          </cell>
        </row>
        <row r="3579">
          <cell r="A3579">
            <v>27131608</v>
          </cell>
          <cell r="B3579" t="str">
            <v>Conos o almohadillas de vacío</v>
          </cell>
        </row>
        <row r="3580">
          <cell r="A3580">
            <v>27131609</v>
          </cell>
          <cell r="B3580" t="str">
            <v>Silenciadores neumáticos</v>
          </cell>
        </row>
        <row r="3581">
          <cell r="A3581">
            <v>27131610</v>
          </cell>
          <cell r="B3581" t="str">
            <v>Kits de reparación del engrasador o el regulador</v>
          </cell>
        </row>
        <row r="3582">
          <cell r="A3582">
            <v>27131613</v>
          </cell>
          <cell r="B3582" t="str">
            <v>Acoplamiento neumático</v>
          </cell>
        </row>
        <row r="3583">
          <cell r="A3583">
            <v>27131614</v>
          </cell>
          <cell r="B3583" t="str">
            <v>Adaptadores neumáticos</v>
          </cell>
        </row>
        <row r="3584">
          <cell r="A3584">
            <v>27131701</v>
          </cell>
          <cell r="B3584" t="str">
            <v>Cilindros neumáticos</v>
          </cell>
        </row>
        <row r="3585">
          <cell r="A3585">
            <v>27131702</v>
          </cell>
          <cell r="B3585" t="str">
            <v>Accesorios de vástago de cilindro neumático</v>
          </cell>
        </row>
        <row r="3586">
          <cell r="A3586">
            <v>27131703</v>
          </cell>
          <cell r="B3586" t="str">
            <v>Pistones de cilindro neumático</v>
          </cell>
        </row>
        <row r="3587">
          <cell r="A3587">
            <v>27131704</v>
          </cell>
          <cell r="B3587" t="str">
            <v>Vástagos de pistón de cilindro neumático</v>
          </cell>
        </row>
        <row r="3588">
          <cell r="A3588">
            <v>27131705</v>
          </cell>
          <cell r="B3588" t="str">
            <v>Cuerpo de cilindro neumático</v>
          </cell>
        </row>
        <row r="3589">
          <cell r="A3589">
            <v>27131706</v>
          </cell>
          <cell r="B3589" t="str">
            <v>Capacetes de cilindro neumático</v>
          </cell>
        </row>
        <row r="3590">
          <cell r="A3590">
            <v>27131707</v>
          </cell>
          <cell r="B3590" t="str">
            <v>Kits de reparación de cilindro neumático o sus componentes</v>
          </cell>
        </row>
        <row r="3591">
          <cell r="A3591">
            <v>27131708</v>
          </cell>
          <cell r="B3591" t="str">
            <v>Soportes de montaje para cilindros neumáticos</v>
          </cell>
        </row>
        <row r="3592">
          <cell r="A3592">
            <v>27131709</v>
          </cell>
          <cell r="B3592" t="str">
            <v>Anillos amortiguadores de cilindro neumático</v>
          </cell>
        </row>
        <row r="3593">
          <cell r="A3593">
            <v>27141001</v>
          </cell>
          <cell r="B3593" t="str">
            <v>Herramientas de recorte o moldeo</v>
          </cell>
        </row>
        <row r="3594">
          <cell r="A3594">
            <v>27141101</v>
          </cell>
          <cell r="B3594" t="str">
            <v>Extractor del volante</v>
          </cell>
        </row>
        <row r="3595">
          <cell r="A3595">
            <v>30101501</v>
          </cell>
          <cell r="B3595" t="str">
            <v>Ángulos de aleación ferrosa</v>
          </cell>
        </row>
        <row r="3596">
          <cell r="A3596">
            <v>30101502</v>
          </cell>
          <cell r="B3596" t="str">
            <v>Ángulos de aleación no ferrosa</v>
          </cell>
        </row>
        <row r="3597">
          <cell r="A3597">
            <v>30101503</v>
          </cell>
          <cell r="B3597" t="str">
            <v>Ángulos de hierro</v>
          </cell>
        </row>
        <row r="3598">
          <cell r="A3598">
            <v>30101504</v>
          </cell>
          <cell r="B3598" t="str">
            <v>Ángulos de acero</v>
          </cell>
        </row>
        <row r="3599">
          <cell r="A3599">
            <v>30101505</v>
          </cell>
          <cell r="B3599" t="str">
            <v>Ángulos de acero inoxidable</v>
          </cell>
        </row>
        <row r="3600">
          <cell r="A3600">
            <v>30101506</v>
          </cell>
          <cell r="B3600" t="str">
            <v>Ángulos de aluminio</v>
          </cell>
        </row>
        <row r="3601">
          <cell r="A3601">
            <v>30101507</v>
          </cell>
          <cell r="B3601" t="str">
            <v>Ángulos de magnesio</v>
          </cell>
        </row>
        <row r="3602">
          <cell r="A3602">
            <v>30101508</v>
          </cell>
          <cell r="B3602" t="str">
            <v>Ángulos de titanio</v>
          </cell>
        </row>
        <row r="3603">
          <cell r="A3603">
            <v>30101509</v>
          </cell>
          <cell r="B3603" t="str">
            <v>Ángulos de cobre</v>
          </cell>
        </row>
        <row r="3604">
          <cell r="A3604">
            <v>30101510</v>
          </cell>
          <cell r="B3604" t="str">
            <v>Ángulos de latón</v>
          </cell>
        </row>
        <row r="3605">
          <cell r="A3605">
            <v>30101511</v>
          </cell>
          <cell r="B3605" t="str">
            <v>Ángulos de bronce</v>
          </cell>
        </row>
        <row r="3606">
          <cell r="A3606">
            <v>30101512</v>
          </cell>
          <cell r="B3606" t="str">
            <v>Ángulos de zinc</v>
          </cell>
        </row>
        <row r="3607">
          <cell r="A3607">
            <v>30101513</v>
          </cell>
          <cell r="B3607" t="str">
            <v>Ángulos de estaño</v>
          </cell>
        </row>
        <row r="3608">
          <cell r="A3608">
            <v>30101514</v>
          </cell>
          <cell r="B3608" t="str">
            <v>Ángulos de plomo</v>
          </cell>
        </row>
        <row r="3609">
          <cell r="A3609">
            <v>30101515</v>
          </cell>
          <cell r="B3609" t="str">
            <v>Ángulos de plástico</v>
          </cell>
        </row>
        <row r="3610">
          <cell r="A3610">
            <v>30101516</v>
          </cell>
          <cell r="B3610" t="str">
            <v>Ángulos de caucho</v>
          </cell>
        </row>
        <row r="3611">
          <cell r="A3611">
            <v>30101517</v>
          </cell>
          <cell r="B3611" t="str">
            <v>Ángulos de metales preciosos</v>
          </cell>
        </row>
        <row r="3612">
          <cell r="A3612">
            <v>30101601</v>
          </cell>
          <cell r="B3612" t="str">
            <v>Barras de aleación ferrosa</v>
          </cell>
        </row>
        <row r="3613">
          <cell r="A3613">
            <v>30101602</v>
          </cell>
          <cell r="B3613" t="str">
            <v>Barras de aleación no ferrosa</v>
          </cell>
        </row>
        <row r="3614">
          <cell r="A3614">
            <v>30101603</v>
          </cell>
          <cell r="B3614" t="str">
            <v>Barras de hierro</v>
          </cell>
        </row>
        <row r="3615">
          <cell r="A3615">
            <v>30101604</v>
          </cell>
          <cell r="B3615" t="str">
            <v>Barras de acero</v>
          </cell>
        </row>
        <row r="3616">
          <cell r="A3616">
            <v>30101605</v>
          </cell>
          <cell r="B3616" t="str">
            <v>Barras de acero inoxidable</v>
          </cell>
        </row>
        <row r="3617">
          <cell r="A3617">
            <v>30101606</v>
          </cell>
          <cell r="B3617" t="str">
            <v>Barras de aluminio</v>
          </cell>
        </row>
        <row r="3618">
          <cell r="A3618">
            <v>30101607</v>
          </cell>
          <cell r="B3618" t="str">
            <v>Barras de magnesio</v>
          </cell>
        </row>
        <row r="3619">
          <cell r="A3619">
            <v>30101608</v>
          </cell>
          <cell r="B3619" t="str">
            <v>Barras de titanio</v>
          </cell>
        </row>
        <row r="3620">
          <cell r="A3620">
            <v>30101609</v>
          </cell>
          <cell r="B3620" t="str">
            <v>Barras de cobre</v>
          </cell>
        </row>
        <row r="3621">
          <cell r="A3621">
            <v>30101610</v>
          </cell>
          <cell r="B3621" t="str">
            <v>Barras de latón</v>
          </cell>
        </row>
        <row r="3622">
          <cell r="A3622">
            <v>30101611</v>
          </cell>
          <cell r="B3622" t="str">
            <v>Barras de bronce</v>
          </cell>
        </row>
        <row r="3623">
          <cell r="A3623">
            <v>30101612</v>
          </cell>
          <cell r="B3623" t="str">
            <v>Barras de cinc</v>
          </cell>
        </row>
        <row r="3624">
          <cell r="A3624">
            <v>30101613</v>
          </cell>
          <cell r="B3624" t="str">
            <v>Barras de estaño</v>
          </cell>
        </row>
        <row r="3625">
          <cell r="A3625">
            <v>30101614</v>
          </cell>
          <cell r="B3625" t="str">
            <v>Barras de plomo</v>
          </cell>
        </row>
        <row r="3626">
          <cell r="A3626">
            <v>30101615</v>
          </cell>
          <cell r="B3626" t="str">
            <v>Barras de plástico</v>
          </cell>
        </row>
        <row r="3627">
          <cell r="A3627">
            <v>30101616</v>
          </cell>
          <cell r="B3627" t="str">
            <v>Barras de metal precioso</v>
          </cell>
        </row>
        <row r="3628">
          <cell r="A3628">
            <v>30101617</v>
          </cell>
          <cell r="B3628" t="str">
            <v>Barras de madera</v>
          </cell>
        </row>
        <row r="3629">
          <cell r="A3629">
            <v>30101618</v>
          </cell>
          <cell r="B3629" t="str">
            <v>Barras de caucho</v>
          </cell>
        </row>
        <row r="3630">
          <cell r="A3630">
            <v>30101701</v>
          </cell>
          <cell r="B3630" t="str">
            <v>Vigas de aleación ferrosa</v>
          </cell>
        </row>
        <row r="3631">
          <cell r="A3631">
            <v>30101702</v>
          </cell>
          <cell r="B3631" t="str">
            <v>Vigas de aleación no ferrosa</v>
          </cell>
        </row>
        <row r="3632">
          <cell r="A3632">
            <v>30101703</v>
          </cell>
          <cell r="B3632" t="str">
            <v>Vigas de hierro</v>
          </cell>
        </row>
        <row r="3633">
          <cell r="A3633">
            <v>30101704</v>
          </cell>
          <cell r="B3633" t="str">
            <v>Vigas de acero</v>
          </cell>
        </row>
        <row r="3634">
          <cell r="A3634">
            <v>30101705</v>
          </cell>
          <cell r="B3634" t="str">
            <v>Vigas de acero inoxidable</v>
          </cell>
        </row>
        <row r="3635">
          <cell r="A3635">
            <v>30101706</v>
          </cell>
          <cell r="B3635" t="str">
            <v>Vigas de aluminio</v>
          </cell>
        </row>
        <row r="3636">
          <cell r="A3636">
            <v>30101707</v>
          </cell>
          <cell r="B3636" t="str">
            <v>Vigas de magnesio</v>
          </cell>
        </row>
        <row r="3637">
          <cell r="A3637">
            <v>30101708</v>
          </cell>
          <cell r="B3637" t="str">
            <v>Vigas de titanio</v>
          </cell>
        </row>
        <row r="3638">
          <cell r="A3638">
            <v>30101709</v>
          </cell>
          <cell r="B3638" t="str">
            <v>Vigas de cobre</v>
          </cell>
        </row>
        <row r="3639">
          <cell r="A3639">
            <v>30101710</v>
          </cell>
          <cell r="B3639" t="str">
            <v>Vigas de latón</v>
          </cell>
        </row>
        <row r="3640">
          <cell r="A3640">
            <v>30101711</v>
          </cell>
          <cell r="B3640" t="str">
            <v>Vigas de bronce</v>
          </cell>
        </row>
        <row r="3641">
          <cell r="A3641">
            <v>30101712</v>
          </cell>
          <cell r="B3641" t="str">
            <v>Vigas de zinc</v>
          </cell>
        </row>
        <row r="3642">
          <cell r="A3642">
            <v>30101713</v>
          </cell>
          <cell r="B3642" t="str">
            <v>Vigas de estaño</v>
          </cell>
        </row>
        <row r="3643">
          <cell r="A3643">
            <v>30101714</v>
          </cell>
          <cell r="B3643" t="str">
            <v>Vigas de plomo</v>
          </cell>
        </row>
        <row r="3644">
          <cell r="A3644">
            <v>30101715</v>
          </cell>
          <cell r="B3644" t="str">
            <v>Vigas de plástico</v>
          </cell>
        </row>
        <row r="3645">
          <cell r="A3645">
            <v>30101716</v>
          </cell>
          <cell r="B3645" t="str">
            <v>Vigas de caucho</v>
          </cell>
        </row>
        <row r="3646">
          <cell r="A3646">
            <v>30101717</v>
          </cell>
          <cell r="B3646" t="str">
            <v>Vigas de concreto</v>
          </cell>
        </row>
        <row r="3647">
          <cell r="A3647">
            <v>30101718</v>
          </cell>
          <cell r="B3647" t="str">
            <v>Vigas de metales preciosos</v>
          </cell>
        </row>
        <row r="3648">
          <cell r="A3648">
            <v>30101801</v>
          </cell>
          <cell r="B3648" t="str">
            <v>Conductos de aleación ferrosa</v>
          </cell>
        </row>
        <row r="3649">
          <cell r="A3649">
            <v>30101802</v>
          </cell>
          <cell r="B3649" t="str">
            <v>Conductos de aleación no ferrosa</v>
          </cell>
        </row>
        <row r="3650">
          <cell r="A3650">
            <v>30101803</v>
          </cell>
          <cell r="B3650" t="str">
            <v>Conductos de hierro</v>
          </cell>
        </row>
        <row r="3651">
          <cell r="A3651">
            <v>30101804</v>
          </cell>
          <cell r="B3651" t="str">
            <v>Conductos de acero</v>
          </cell>
        </row>
        <row r="3652">
          <cell r="A3652">
            <v>30101805</v>
          </cell>
          <cell r="B3652" t="str">
            <v>Conductos de acero inoxidable</v>
          </cell>
        </row>
        <row r="3653">
          <cell r="A3653">
            <v>30101806</v>
          </cell>
          <cell r="B3653" t="str">
            <v>Conductos de aluminio</v>
          </cell>
        </row>
        <row r="3654">
          <cell r="A3654">
            <v>30101807</v>
          </cell>
          <cell r="B3654" t="str">
            <v>Conductos de magnesio</v>
          </cell>
        </row>
        <row r="3655">
          <cell r="A3655">
            <v>30101808</v>
          </cell>
          <cell r="B3655" t="str">
            <v>Conductos de titanio</v>
          </cell>
        </row>
        <row r="3656">
          <cell r="A3656">
            <v>30101809</v>
          </cell>
          <cell r="B3656" t="str">
            <v>Conductos de cobre</v>
          </cell>
        </row>
        <row r="3657">
          <cell r="A3657">
            <v>30101810</v>
          </cell>
          <cell r="B3657" t="str">
            <v>Conductos de latón</v>
          </cell>
        </row>
        <row r="3658">
          <cell r="A3658">
            <v>30101811</v>
          </cell>
          <cell r="B3658" t="str">
            <v>Conductos de bronce</v>
          </cell>
        </row>
        <row r="3659">
          <cell r="A3659">
            <v>30101812</v>
          </cell>
          <cell r="B3659" t="str">
            <v>Conductos de zinc</v>
          </cell>
        </row>
        <row r="3660">
          <cell r="A3660">
            <v>30101813</v>
          </cell>
          <cell r="B3660" t="str">
            <v>Conductos de estaño</v>
          </cell>
        </row>
        <row r="3661">
          <cell r="A3661">
            <v>30101814</v>
          </cell>
          <cell r="B3661" t="str">
            <v>Conductos de plomo</v>
          </cell>
        </row>
        <row r="3662">
          <cell r="A3662">
            <v>30101815</v>
          </cell>
          <cell r="B3662" t="str">
            <v>Conductos de plástico</v>
          </cell>
        </row>
        <row r="3663">
          <cell r="A3663">
            <v>30101816</v>
          </cell>
          <cell r="B3663" t="str">
            <v>Conductos de caucho</v>
          </cell>
        </row>
        <row r="3664">
          <cell r="A3664">
            <v>30101817</v>
          </cell>
          <cell r="B3664" t="str">
            <v>Conductos de metales preciosos</v>
          </cell>
        </row>
        <row r="3665">
          <cell r="A3665">
            <v>30101901</v>
          </cell>
          <cell r="B3665" t="str">
            <v>Bobina de aleación ferrosa</v>
          </cell>
        </row>
        <row r="3666">
          <cell r="A3666">
            <v>30101902</v>
          </cell>
          <cell r="B3666" t="str">
            <v>Bobina de aleación no ferrosa</v>
          </cell>
        </row>
        <row r="3667">
          <cell r="A3667">
            <v>30101903</v>
          </cell>
          <cell r="B3667" t="str">
            <v>Bobina de hierro</v>
          </cell>
        </row>
        <row r="3668">
          <cell r="A3668">
            <v>30101904</v>
          </cell>
          <cell r="B3668" t="str">
            <v>Bobina de acero</v>
          </cell>
        </row>
        <row r="3669">
          <cell r="A3669">
            <v>30101905</v>
          </cell>
          <cell r="B3669" t="str">
            <v>Bobina de acero inoxidable</v>
          </cell>
        </row>
        <row r="3670">
          <cell r="A3670">
            <v>30101906</v>
          </cell>
          <cell r="B3670" t="str">
            <v>Bobina de aluminio</v>
          </cell>
        </row>
        <row r="3671">
          <cell r="A3671">
            <v>30101907</v>
          </cell>
          <cell r="B3671" t="str">
            <v>Bobina de magnesio</v>
          </cell>
        </row>
        <row r="3672">
          <cell r="A3672">
            <v>30101908</v>
          </cell>
          <cell r="B3672" t="str">
            <v>Bobina de titanio</v>
          </cell>
        </row>
        <row r="3673">
          <cell r="A3673">
            <v>30101909</v>
          </cell>
          <cell r="B3673" t="str">
            <v>Bobina de cobre</v>
          </cell>
        </row>
        <row r="3674">
          <cell r="A3674">
            <v>30101910</v>
          </cell>
          <cell r="B3674" t="str">
            <v>Bobina de latón</v>
          </cell>
        </row>
        <row r="3675">
          <cell r="A3675">
            <v>30101911</v>
          </cell>
          <cell r="B3675" t="str">
            <v>Bobina de bronce</v>
          </cell>
        </row>
        <row r="3676">
          <cell r="A3676">
            <v>30101912</v>
          </cell>
          <cell r="B3676" t="str">
            <v>Bobina de cinc</v>
          </cell>
        </row>
        <row r="3677">
          <cell r="A3677">
            <v>30101913</v>
          </cell>
          <cell r="B3677" t="str">
            <v>Bobina de estaño</v>
          </cell>
        </row>
        <row r="3678">
          <cell r="A3678">
            <v>30101914</v>
          </cell>
          <cell r="B3678" t="str">
            <v>Bobina de plomo</v>
          </cell>
        </row>
        <row r="3679">
          <cell r="A3679">
            <v>30101915</v>
          </cell>
          <cell r="B3679" t="str">
            <v>Bobina de plástico</v>
          </cell>
        </row>
        <row r="3680">
          <cell r="A3680">
            <v>30101916</v>
          </cell>
          <cell r="B3680" t="str">
            <v>Bobina de metales preciosos</v>
          </cell>
        </row>
        <row r="3681">
          <cell r="A3681">
            <v>30101918</v>
          </cell>
          <cell r="B3681" t="str">
            <v>Acero perforado</v>
          </cell>
        </row>
        <row r="3682">
          <cell r="A3682">
            <v>30101919</v>
          </cell>
          <cell r="B3682" t="str">
            <v>Acero estampado en relieve</v>
          </cell>
        </row>
        <row r="3683">
          <cell r="A3683">
            <v>30101920</v>
          </cell>
          <cell r="B3683" t="str">
            <v>Aduja de fibra comprimida</v>
          </cell>
        </row>
        <row r="3684">
          <cell r="A3684">
            <v>30101921</v>
          </cell>
          <cell r="B3684" t="str">
            <v>Aduja de fibra y goma</v>
          </cell>
        </row>
        <row r="3685">
          <cell r="A3685">
            <v>30101922</v>
          </cell>
          <cell r="B3685" t="str">
            <v>Aduja de grafito</v>
          </cell>
        </row>
        <row r="3686">
          <cell r="A3686">
            <v>30101923</v>
          </cell>
          <cell r="B3686" t="str">
            <v>Bobina de chapa de aluminio</v>
          </cell>
        </row>
        <row r="3687">
          <cell r="A3687">
            <v>30102001</v>
          </cell>
          <cell r="B3687" t="str">
            <v>Lámina de aleación ferrosa</v>
          </cell>
        </row>
        <row r="3688">
          <cell r="A3688">
            <v>30102002</v>
          </cell>
          <cell r="B3688" t="str">
            <v>Lámina de aleación no ferrosa</v>
          </cell>
        </row>
        <row r="3689">
          <cell r="A3689">
            <v>30102003</v>
          </cell>
          <cell r="B3689" t="str">
            <v>Lámina de hierro</v>
          </cell>
        </row>
        <row r="3690">
          <cell r="A3690">
            <v>30102004</v>
          </cell>
          <cell r="B3690" t="str">
            <v>Lámina de acero</v>
          </cell>
        </row>
        <row r="3691">
          <cell r="A3691">
            <v>30102005</v>
          </cell>
          <cell r="B3691" t="str">
            <v>Lámina de acero inoxidable</v>
          </cell>
        </row>
        <row r="3692">
          <cell r="A3692">
            <v>30102006</v>
          </cell>
          <cell r="B3692" t="str">
            <v>Lámina de aluminio</v>
          </cell>
        </row>
        <row r="3693">
          <cell r="A3693">
            <v>30102007</v>
          </cell>
          <cell r="B3693" t="str">
            <v>Lámina de magnesio</v>
          </cell>
        </row>
        <row r="3694">
          <cell r="A3694">
            <v>30102008</v>
          </cell>
          <cell r="B3694" t="str">
            <v>Lámina de titanio</v>
          </cell>
        </row>
        <row r="3695">
          <cell r="A3695">
            <v>30102009</v>
          </cell>
          <cell r="B3695" t="str">
            <v>Lámina de cobre</v>
          </cell>
        </row>
        <row r="3696">
          <cell r="A3696">
            <v>30102010</v>
          </cell>
          <cell r="B3696" t="str">
            <v>Lámina de latón</v>
          </cell>
        </row>
        <row r="3697">
          <cell r="A3697">
            <v>30102011</v>
          </cell>
          <cell r="B3697" t="str">
            <v>Lámina de bronce</v>
          </cell>
        </row>
        <row r="3698">
          <cell r="A3698">
            <v>30102012</v>
          </cell>
          <cell r="B3698" t="str">
            <v>Lámina de zinc</v>
          </cell>
        </row>
        <row r="3699">
          <cell r="A3699">
            <v>30102013</v>
          </cell>
          <cell r="B3699" t="str">
            <v>Lámina de estaño</v>
          </cell>
        </row>
        <row r="3700">
          <cell r="A3700">
            <v>30102014</v>
          </cell>
          <cell r="B3700" t="str">
            <v>Lámina de plomo</v>
          </cell>
        </row>
        <row r="3701">
          <cell r="A3701">
            <v>30102015</v>
          </cell>
          <cell r="B3701" t="str">
            <v>Lámina de plástico</v>
          </cell>
        </row>
        <row r="3702">
          <cell r="A3702">
            <v>30102201</v>
          </cell>
          <cell r="B3702" t="str">
            <v>Placa de aleación ferrosa</v>
          </cell>
        </row>
        <row r="3703">
          <cell r="A3703">
            <v>30102202</v>
          </cell>
          <cell r="B3703" t="str">
            <v>Placa de aleación no ferrosa</v>
          </cell>
        </row>
        <row r="3704">
          <cell r="A3704">
            <v>30102203</v>
          </cell>
          <cell r="B3704" t="str">
            <v>Placa de hierro</v>
          </cell>
        </row>
        <row r="3705">
          <cell r="A3705">
            <v>30102204</v>
          </cell>
          <cell r="B3705" t="str">
            <v>Placa de acero</v>
          </cell>
        </row>
        <row r="3706">
          <cell r="A3706">
            <v>30102205</v>
          </cell>
          <cell r="B3706" t="str">
            <v>Placa de acero inoxidable</v>
          </cell>
        </row>
        <row r="3707">
          <cell r="A3707">
            <v>30102206</v>
          </cell>
          <cell r="B3707" t="str">
            <v>Placa de aluminio</v>
          </cell>
        </row>
        <row r="3708">
          <cell r="A3708">
            <v>30102207</v>
          </cell>
          <cell r="B3708" t="str">
            <v>Placa de magnesio</v>
          </cell>
        </row>
        <row r="3709">
          <cell r="A3709">
            <v>30102208</v>
          </cell>
          <cell r="B3709" t="str">
            <v>Placa de titanio</v>
          </cell>
        </row>
        <row r="3710">
          <cell r="A3710">
            <v>30102209</v>
          </cell>
          <cell r="B3710" t="str">
            <v>Placa de cobre</v>
          </cell>
        </row>
        <row r="3711">
          <cell r="A3711">
            <v>30102210</v>
          </cell>
          <cell r="B3711" t="str">
            <v>Placa de latón</v>
          </cell>
        </row>
        <row r="3712">
          <cell r="A3712">
            <v>30102211</v>
          </cell>
          <cell r="B3712" t="str">
            <v>Placa de bronce</v>
          </cell>
        </row>
        <row r="3713">
          <cell r="A3713">
            <v>30102212</v>
          </cell>
          <cell r="B3713" t="str">
            <v>Placa de zinc</v>
          </cell>
        </row>
        <row r="3714">
          <cell r="A3714">
            <v>30102213</v>
          </cell>
          <cell r="B3714" t="str">
            <v>Placa de estaño</v>
          </cell>
        </row>
        <row r="3715">
          <cell r="A3715">
            <v>30102214</v>
          </cell>
          <cell r="B3715" t="str">
            <v>Placa de plomo</v>
          </cell>
        </row>
        <row r="3716">
          <cell r="A3716">
            <v>30102215</v>
          </cell>
          <cell r="B3716" t="str">
            <v>Placa de plástico</v>
          </cell>
        </row>
        <row r="3717">
          <cell r="A3717">
            <v>30102216</v>
          </cell>
          <cell r="B3717" t="str">
            <v>Placa de caucho</v>
          </cell>
        </row>
        <row r="3718">
          <cell r="A3718">
            <v>30102217</v>
          </cell>
          <cell r="B3718" t="str">
            <v>Placa de concreto</v>
          </cell>
        </row>
        <row r="3719">
          <cell r="A3719">
            <v>30102218</v>
          </cell>
          <cell r="B3719" t="str">
            <v>Placa de metales preciosos</v>
          </cell>
        </row>
        <row r="3720">
          <cell r="A3720">
            <v>30102220</v>
          </cell>
          <cell r="B3720" t="str">
            <v>Placa de níquel</v>
          </cell>
        </row>
        <row r="3721">
          <cell r="A3721">
            <v>30102301</v>
          </cell>
          <cell r="B3721" t="str">
            <v>Perfiles de aleación ferrosa</v>
          </cell>
        </row>
        <row r="3722">
          <cell r="A3722">
            <v>30102302</v>
          </cell>
          <cell r="B3722" t="str">
            <v>Perfiles de aleación no ferrosa</v>
          </cell>
        </row>
        <row r="3723">
          <cell r="A3723">
            <v>30102303</v>
          </cell>
          <cell r="B3723" t="str">
            <v>Perfiles de hierro</v>
          </cell>
        </row>
        <row r="3724">
          <cell r="A3724">
            <v>30102304</v>
          </cell>
          <cell r="B3724" t="str">
            <v>Perfiles de acero</v>
          </cell>
        </row>
        <row r="3725">
          <cell r="A3725">
            <v>30102305</v>
          </cell>
          <cell r="B3725" t="str">
            <v>Perfiles de acero inoxidable</v>
          </cell>
        </row>
        <row r="3726">
          <cell r="A3726">
            <v>30102306</v>
          </cell>
          <cell r="B3726" t="str">
            <v>Perfiles de aluminio</v>
          </cell>
        </row>
        <row r="3727">
          <cell r="A3727">
            <v>30102307</v>
          </cell>
          <cell r="B3727" t="str">
            <v>Perfiles de magnesio</v>
          </cell>
        </row>
        <row r="3728">
          <cell r="A3728">
            <v>30102308</v>
          </cell>
          <cell r="B3728" t="str">
            <v>Perfiles de titanio</v>
          </cell>
        </row>
        <row r="3729">
          <cell r="A3729">
            <v>30102309</v>
          </cell>
          <cell r="B3729" t="str">
            <v>Perfiles de cobre</v>
          </cell>
        </row>
        <row r="3730">
          <cell r="A3730">
            <v>30102310</v>
          </cell>
          <cell r="B3730" t="str">
            <v>Perfiles de latón</v>
          </cell>
        </row>
        <row r="3731">
          <cell r="A3731">
            <v>30102311</v>
          </cell>
          <cell r="B3731" t="str">
            <v>Perfiles de bronce</v>
          </cell>
        </row>
        <row r="3732">
          <cell r="A3732">
            <v>30102312</v>
          </cell>
          <cell r="B3732" t="str">
            <v>Perfiles de zinc</v>
          </cell>
        </row>
        <row r="3733">
          <cell r="A3733">
            <v>30102313</v>
          </cell>
          <cell r="B3733" t="str">
            <v>Perfiles de estaño</v>
          </cell>
        </row>
        <row r="3734">
          <cell r="A3734">
            <v>30102314</v>
          </cell>
          <cell r="B3734" t="str">
            <v>Perfiles de plomo</v>
          </cell>
        </row>
        <row r="3735">
          <cell r="A3735">
            <v>30102315</v>
          </cell>
          <cell r="B3735" t="str">
            <v>Perfiles de plástico</v>
          </cell>
        </row>
        <row r="3736">
          <cell r="A3736">
            <v>30102316</v>
          </cell>
          <cell r="B3736" t="str">
            <v>Perfiles de caucho</v>
          </cell>
        </row>
        <row r="3737">
          <cell r="A3737">
            <v>30102401</v>
          </cell>
          <cell r="B3737" t="str">
            <v>Varillas de aleación ferrosa</v>
          </cell>
        </row>
        <row r="3738">
          <cell r="A3738">
            <v>30102402</v>
          </cell>
          <cell r="B3738" t="str">
            <v>Varillas de aleación no ferrosa</v>
          </cell>
        </row>
        <row r="3739">
          <cell r="A3739">
            <v>30102403</v>
          </cell>
          <cell r="B3739" t="str">
            <v>Varillas de hierro</v>
          </cell>
        </row>
        <row r="3740">
          <cell r="A3740">
            <v>30102404</v>
          </cell>
          <cell r="B3740" t="str">
            <v>Varillas de acero</v>
          </cell>
        </row>
        <row r="3741">
          <cell r="A3741">
            <v>30102405</v>
          </cell>
          <cell r="B3741" t="str">
            <v>Varillas de acero inoxidable</v>
          </cell>
        </row>
        <row r="3742">
          <cell r="A3742">
            <v>30102406</v>
          </cell>
          <cell r="B3742" t="str">
            <v>Varillas de aluminio</v>
          </cell>
        </row>
        <row r="3743">
          <cell r="A3743">
            <v>30102407</v>
          </cell>
          <cell r="B3743" t="str">
            <v>Varillas de magnesio</v>
          </cell>
        </row>
        <row r="3744">
          <cell r="A3744">
            <v>30102408</v>
          </cell>
          <cell r="B3744" t="str">
            <v>Varillas de titanio</v>
          </cell>
        </row>
        <row r="3745">
          <cell r="A3745">
            <v>30102409</v>
          </cell>
          <cell r="B3745" t="str">
            <v>Varillas de cobre</v>
          </cell>
        </row>
        <row r="3746">
          <cell r="A3746">
            <v>30102410</v>
          </cell>
          <cell r="B3746" t="str">
            <v>Varillas de latón</v>
          </cell>
        </row>
        <row r="3747">
          <cell r="A3747">
            <v>30102411</v>
          </cell>
          <cell r="B3747" t="str">
            <v>Varillas de bronce</v>
          </cell>
        </row>
        <row r="3748">
          <cell r="A3748">
            <v>30102412</v>
          </cell>
          <cell r="B3748" t="str">
            <v>Varillas de zinc</v>
          </cell>
        </row>
        <row r="3749">
          <cell r="A3749">
            <v>30102413</v>
          </cell>
          <cell r="B3749" t="str">
            <v>Varillas de estaño</v>
          </cell>
        </row>
        <row r="3750">
          <cell r="A3750">
            <v>30102414</v>
          </cell>
          <cell r="B3750" t="str">
            <v>Varillas de plomo</v>
          </cell>
        </row>
        <row r="3751">
          <cell r="A3751">
            <v>30102415</v>
          </cell>
          <cell r="B3751" t="str">
            <v>Varillas de plástico</v>
          </cell>
        </row>
        <row r="3752">
          <cell r="A3752">
            <v>30102416</v>
          </cell>
          <cell r="B3752" t="str">
            <v>Varillas de caucho</v>
          </cell>
        </row>
        <row r="3753">
          <cell r="A3753">
            <v>30102417</v>
          </cell>
          <cell r="B3753" t="str">
            <v>Varillas de níquel</v>
          </cell>
        </row>
        <row r="3754">
          <cell r="A3754">
            <v>30102501</v>
          </cell>
          <cell r="B3754" t="str">
            <v>Chapa de aleación ferrosa</v>
          </cell>
        </row>
        <row r="3755">
          <cell r="A3755">
            <v>30102502</v>
          </cell>
          <cell r="B3755" t="str">
            <v>Chapa de aleación no ferrosa</v>
          </cell>
        </row>
        <row r="3756">
          <cell r="A3756">
            <v>30102503</v>
          </cell>
          <cell r="B3756" t="str">
            <v>Chapa de hierro</v>
          </cell>
        </row>
        <row r="3757">
          <cell r="A3757">
            <v>30102504</v>
          </cell>
          <cell r="B3757" t="str">
            <v>Chapa de acero</v>
          </cell>
        </row>
        <row r="3758">
          <cell r="A3758">
            <v>30102505</v>
          </cell>
          <cell r="B3758" t="str">
            <v>Chapa de acero inoxidable</v>
          </cell>
        </row>
        <row r="3759">
          <cell r="A3759">
            <v>30102506</v>
          </cell>
          <cell r="B3759" t="str">
            <v>Chapa de aluminio</v>
          </cell>
        </row>
        <row r="3760">
          <cell r="A3760">
            <v>30102507</v>
          </cell>
          <cell r="B3760" t="str">
            <v>Chapa de magnesio</v>
          </cell>
        </row>
        <row r="3761">
          <cell r="A3761">
            <v>30102508</v>
          </cell>
          <cell r="B3761" t="str">
            <v>Chapa de titanio</v>
          </cell>
        </row>
        <row r="3762">
          <cell r="A3762">
            <v>30102509</v>
          </cell>
          <cell r="B3762" t="str">
            <v>Chapa de cobre</v>
          </cell>
        </row>
        <row r="3763">
          <cell r="A3763">
            <v>30102510</v>
          </cell>
          <cell r="B3763" t="str">
            <v>Chapa de latón</v>
          </cell>
        </row>
        <row r="3764">
          <cell r="A3764">
            <v>30102511</v>
          </cell>
          <cell r="B3764" t="str">
            <v>Chapa de bronce</v>
          </cell>
        </row>
        <row r="3765">
          <cell r="A3765">
            <v>30102512</v>
          </cell>
          <cell r="B3765" t="str">
            <v>Chapa de cinc</v>
          </cell>
        </row>
        <row r="3766">
          <cell r="A3766">
            <v>30102513</v>
          </cell>
          <cell r="B3766" t="str">
            <v>Chapa de estaño</v>
          </cell>
        </row>
        <row r="3767">
          <cell r="A3767">
            <v>30102514</v>
          </cell>
          <cell r="B3767" t="str">
            <v>Chapa de plomo</v>
          </cell>
        </row>
        <row r="3768">
          <cell r="A3768">
            <v>30102515</v>
          </cell>
          <cell r="B3768" t="str">
            <v>Chapa de plástico</v>
          </cell>
        </row>
        <row r="3769">
          <cell r="A3769">
            <v>30102516</v>
          </cell>
          <cell r="B3769" t="str">
            <v>Chapa de caucho</v>
          </cell>
        </row>
        <row r="3770">
          <cell r="A3770">
            <v>30102517</v>
          </cell>
          <cell r="B3770" t="str">
            <v>Chapa blindada</v>
          </cell>
        </row>
        <row r="3771">
          <cell r="A3771">
            <v>30102518</v>
          </cell>
          <cell r="B3771" t="str">
            <v>Chapa de aleación de berilio</v>
          </cell>
        </row>
        <row r="3772">
          <cell r="A3772">
            <v>30102519</v>
          </cell>
          <cell r="B3772" t="str">
            <v>Chapa de metal chapado</v>
          </cell>
        </row>
        <row r="3773">
          <cell r="A3773">
            <v>30102520</v>
          </cell>
          <cell r="B3773" t="str">
            <v>Chapa de níquel</v>
          </cell>
        </row>
        <row r="3774">
          <cell r="A3774">
            <v>30102521</v>
          </cell>
          <cell r="B3774" t="str">
            <v>Hoja de goma de espuma</v>
          </cell>
        </row>
        <row r="3775">
          <cell r="A3775">
            <v>30102522</v>
          </cell>
          <cell r="B3775" t="str">
            <v>Hoja de corcho y caucho</v>
          </cell>
        </row>
        <row r="3776">
          <cell r="A3776">
            <v>30102523</v>
          </cell>
          <cell r="B3776" t="str">
            <v>Hoja de fibra comprimida</v>
          </cell>
        </row>
        <row r="3777">
          <cell r="A3777">
            <v>30102524</v>
          </cell>
          <cell r="B3777" t="str">
            <v>Hoja de fibra comprimida con metal inserto</v>
          </cell>
        </row>
        <row r="3778">
          <cell r="A3778">
            <v>30102525</v>
          </cell>
          <cell r="B3778" t="str">
            <v>Hoja de fibra y goma</v>
          </cell>
        </row>
        <row r="3779">
          <cell r="A3779">
            <v>30102526</v>
          </cell>
          <cell r="B3779" t="str">
            <v>Láminas de asbesto</v>
          </cell>
        </row>
        <row r="3780">
          <cell r="A3780">
            <v>30102601</v>
          </cell>
          <cell r="B3780" t="str">
            <v>Banda de acero ferroso</v>
          </cell>
        </row>
        <row r="3781">
          <cell r="A3781">
            <v>30102602</v>
          </cell>
          <cell r="B3781" t="str">
            <v>Banda de acero no ferroso</v>
          </cell>
        </row>
        <row r="3782">
          <cell r="A3782">
            <v>30102603</v>
          </cell>
          <cell r="B3782" t="str">
            <v>Banda de hierro</v>
          </cell>
        </row>
        <row r="3783">
          <cell r="A3783">
            <v>30102604</v>
          </cell>
          <cell r="B3783" t="str">
            <v>Banda de acero</v>
          </cell>
        </row>
        <row r="3784">
          <cell r="A3784">
            <v>30102605</v>
          </cell>
          <cell r="B3784" t="str">
            <v>Banda de acero inoxidable</v>
          </cell>
        </row>
        <row r="3785">
          <cell r="A3785">
            <v>30102606</v>
          </cell>
          <cell r="B3785" t="str">
            <v>Banda de aluminio</v>
          </cell>
        </row>
        <row r="3786">
          <cell r="A3786">
            <v>30102607</v>
          </cell>
          <cell r="B3786" t="str">
            <v>Banda de magnesio</v>
          </cell>
        </row>
        <row r="3787">
          <cell r="A3787">
            <v>30102608</v>
          </cell>
          <cell r="B3787" t="str">
            <v>Banda de titanio</v>
          </cell>
        </row>
        <row r="3788">
          <cell r="A3788">
            <v>30102609</v>
          </cell>
          <cell r="B3788" t="str">
            <v>Banda de cobre</v>
          </cell>
        </row>
        <row r="3789">
          <cell r="A3789">
            <v>30102610</v>
          </cell>
          <cell r="B3789" t="str">
            <v>Banda de latón</v>
          </cell>
        </row>
        <row r="3790">
          <cell r="A3790">
            <v>30102611</v>
          </cell>
          <cell r="B3790" t="str">
            <v>Banda de bronce</v>
          </cell>
        </row>
        <row r="3791">
          <cell r="A3791">
            <v>30102612</v>
          </cell>
          <cell r="B3791" t="str">
            <v>Banda de cinc</v>
          </cell>
        </row>
        <row r="3792">
          <cell r="A3792">
            <v>30102613</v>
          </cell>
          <cell r="B3792" t="str">
            <v>Banda de estaño</v>
          </cell>
        </row>
        <row r="3793">
          <cell r="A3793">
            <v>30102614</v>
          </cell>
          <cell r="B3793" t="str">
            <v>Banda de plomo</v>
          </cell>
        </row>
        <row r="3794">
          <cell r="A3794">
            <v>30102615</v>
          </cell>
          <cell r="B3794" t="str">
            <v>Banda de plástico</v>
          </cell>
        </row>
        <row r="3795">
          <cell r="A3795">
            <v>30102616</v>
          </cell>
          <cell r="B3795" t="str">
            <v>Banda de caucho</v>
          </cell>
        </row>
        <row r="3796">
          <cell r="A3796">
            <v>30102801</v>
          </cell>
          <cell r="B3796" t="str">
            <v>Pilares de aluminio</v>
          </cell>
        </row>
        <row r="3797">
          <cell r="A3797">
            <v>30102802</v>
          </cell>
          <cell r="B3797" t="str">
            <v>Pilares de concreto</v>
          </cell>
        </row>
        <row r="3798">
          <cell r="A3798">
            <v>30102803</v>
          </cell>
          <cell r="B3798" t="str">
            <v>Pilares de acero</v>
          </cell>
        </row>
        <row r="3799">
          <cell r="A3799">
            <v>30102901</v>
          </cell>
          <cell r="B3799" t="str">
            <v>Postes de cemento o concreto</v>
          </cell>
        </row>
        <row r="3800">
          <cell r="A3800">
            <v>30102903</v>
          </cell>
          <cell r="B3800" t="str">
            <v>Postes de metal</v>
          </cell>
        </row>
        <row r="3801">
          <cell r="A3801">
            <v>30102904</v>
          </cell>
          <cell r="B3801" t="str">
            <v>Postes de madera</v>
          </cell>
        </row>
        <row r="3802">
          <cell r="A3802">
            <v>30102905</v>
          </cell>
          <cell r="B3802" t="str">
            <v>Postes de plástico</v>
          </cell>
        </row>
        <row r="3803">
          <cell r="A3803">
            <v>30102906</v>
          </cell>
          <cell r="B3803" t="str">
            <v>Postes de fibra de vidrio</v>
          </cell>
        </row>
        <row r="3804">
          <cell r="A3804">
            <v>30103001</v>
          </cell>
          <cell r="B3804" t="str">
            <v>Sistema de ejes de acero</v>
          </cell>
        </row>
        <row r="3805">
          <cell r="A3805">
            <v>30103002</v>
          </cell>
          <cell r="B3805" t="str">
            <v>Sistema de ejes de acero inoxidable</v>
          </cell>
        </row>
        <row r="3806">
          <cell r="A3806">
            <v>30103101</v>
          </cell>
          <cell r="B3806" t="str">
            <v>Rieles de acero</v>
          </cell>
        </row>
        <row r="3807">
          <cell r="A3807">
            <v>30103102</v>
          </cell>
          <cell r="B3807" t="str">
            <v>Rieles de aluminio</v>
          </cell>
        </row>
        <row r="3808">
          <cell r="A3808">
            <v>30103103</v>
          </cell>
          <cell r="B3808" t="str">
            <v>Rieles de metal</v>
          </cell>
        </row>
        <row r="3809">
          <cell r="A3809">
            <v>30103201</v>
          </cell>
          <cell r="B3809" t="str">
            <v>Rejilla de acero</v>
          </cell>
        </row>
        <row r="3810">
          <cell r="A3810">
            <v>30103202</v>
          </cell>
          <cell r="B3810" t="str">
            <v>Rejilla de acero inoxidable</v>
          </cell>
        </row>
        <row r="3811">
          <cell r="A3811">
            <v>30103203</v>
          </cell>
          <cell r="B3811" t="str">
            <v>Rejilla de aluminio</v>
          </cell>
        </row>
        <row r="3812">
          <cell r="A3812">
            <v>30103204</v>
          </cell>
          <cell r="B3812" t="str">
            <v>Rejilla de fibra de vidrio</v>
          </cell>
        </row>
        <row r="3813">
          <cell r="A3813">
            <v>30103205</v>
          </cell>
          <cell r="B3813" t="str">
            <v>Rejilla de hierro</v>
          </cell>
        </row>
        <row r="3814">
          <cell r="A3814">
            <v>30103206</v>
          </cell>
          <cell r="B3814" t="str">
            <v>Rejilla de plástico</v>
          </cell>
        </row>
        <row r="3815">
          <cell r="A3815">
            <v>30103301</v>
          </cell>
          <cell r="B3815" t="str">
            <v>Moldura de aluminio</v>
          </cell>
        </row>
        <row r="3816">
          <cell r="A3816">
            <v>30103302</v>
          </cell>
          <cell r="B3816" t="str">
            <v>Moldura de latón</v>
          </cell>
        </row>
        <row r="3817">
          <cell r="A3817">
            <v>30103303</v>
          </cell>
          <cell r="B3817" t="str">
            <v>Molduras de bronce</v>
          </cell>
        </row>
        <row r="3818">
          <cell r="A3818">
            <v>30103304</v>
          </cell>
          <cell r="B3818" t="str">
            <v>Molduras de cobre</v>
          </cell>
        </row>
        <row r="3819">
          <cell r="A3819">
            <v>30103305</v>
          </cell>
          <cell r="B3819" t="str">
            <v>Molduras de plomo</v>
          </cell>
        </row>
        <row r="3820">
          <cell r="A3820">
            <v>30103306</v>
          </cell>
          <cell r="B3820" t="str">
            <v>Molduras de cinc</v>
          </cell>
        </row>
        <row r="3821">
          <cell r="A3821">
            <v>30103307</v>
          </cell>
          <cell r="B3821" t="str">
            <v>Molduras de acero</v>
          </cell>
        </row>
        <row r="3822">
          <cell r="A3822">
            <v>30103308</v>
          </cell>
          <cell r="B3822" t="str">
            <v>Molduras de titanio</v>
          </cell>
        </row>
        <row r="3823">
          <cell r="A3823">
            <v>30103309</v>
          </cell>
          <cell r="B3823" t="str">
            <v>Molduras de magnesio</v>
          </cell>
        </row>
        <row r="3824">
          <cell r="A3824">
            <v>30103310</v>
          </cell>
          <cell r="B3824" t="str">
            <v>Molduras de metal precioso</v>
          </cell>
        </row>
        <row r="3825">
          <cell r="A3825">
            <v>30103311</v>
          </cell>
          <cell r="B3825" t="str">
            <v>Molduras de metales no ferrosos</v>
          </cell>
        </row>
        <row r="3826">
          <cell r="A3826">
            <v>30103312</v>
          </cell>
          <cell r="B3826" t="str">
            <v>Molduras de metales ferrosos</v>
          </cell>
        </row>
        <row r="3827">
          <cell r="A3827">
            <v>30103313</v>
          </cell>
          <cell r="B3827" t="str">
            <v>Molduras no metálicas</v>
          </cell>
        </row>
        <row r="3828">
          <cell r="A3828">
            <v>30103401</v>
          </cell>
          <cell r="B3828" t="str">
            <v>Lingotes de aluminio</v>
          </cell>
        </row>
        <row r="3829">
          <cell r="A3829">
            <v>30103402</v>
          </cell>
          <cell r="B3829" t="str">
            <v>Lingotes de latón</v>
          </cell>
        </row>
        <row r="3830">
          <cell r="A3830">
            <v>30103403</v>
          </cell>
          <cell r="B3830" t="str">
            <v>Lingotes de plomo</v>
          </cell>
        </row>
        <row r="3831">
          <cell r="A3831">
            <v>30103404</v>
          </cell>
          <cell r="B3831" t="str">
            <v>Lingotes de cinc</v>
          </cell>
        </row>
        <row r="3832">
          <cell r="A3832">
            <v>30103405</v>
          </cell>
          <cell r="B3832" t="str">
            <v>Lingotes de acero</v>
          </cell>
        </row>
        <row r="3833">
          <cell r="A3833">
            <v>30103406</v>
          </cell>
          <cell r="B3833" t="str">
            <v>Lingotes de magnesio</v>
          </cell>
        </row>
        <row r="3834">
          <cell r="A3834">
            <v>30103407</v>
          </cell>
          <cell r="B3834" t="str">
            <v>Lingotes de bronce</v>
          </cell>
        </row>
        <row r="3835">
          <cell r="A3835">
            <v>30103408</v>
          </cell>
          <cell r="B3835" t="str">
            <v>Lingotes de cobre</v>
          </cell>
        </row>
        <row r="3836">
          <cell r="A3836">
            <v>30103409</v>
          </cell>
          <cell r="B3836" t="str">
            <v>Lingotes de titanio</v>
          </cell>
        </row>
        <row r="3837">
          <cell r="A3837">
            <v>30103410</v>
          </cell>
          <cell r="B3837" t="str">
            <v>Lingotes de metal precioso</v>
          </cell>
        </row>
        <row r="3838">
          <cell r="A3838">
            <v>30103411</v>
          </cell>
          <cell r="B3838" t="str">
            <v>Lingotes de estiramiento por presión de aleación ferrosa</v>
          </cell>
        </row>
        <row r="3839">
          <cell r="A3839">
            <v>30103412</v>
          </cell>
          <cell r="B3839" t="str">
            <v>Lingotes de estiramiento por presión de aleación no ferrosa</v>
          </cell>
        </row>
        <row r="3840">
          <cell r="A3840">
            <v>30103413</v>
          </cell>
          <cell r="B3840" t="str">
            <v>Lingotes no metálicos</v>
          </cell>
        </row>
        <row r="3841">
          <cell r="A3841">
            <v>30103501</v>
          </cell>
          <cell r="B3841" t="str">
            <v>Núcleo de panal de aluminio</v>
          </cell>
        </row>
        <row r="3842">
          <cell r="A3842">
            <v>30103502</v>
          </cell>
          <cell r="B3842" t="str">
            <v>Núcleo de panal de magnesio</v>
          </cell>
        </row>
        <row r="3843">
          <cell r="A3843">
            <v>30103503</v>
          </cell>
          <cell r="B3843" t="str">
            <v>Núcleo de panal de espuma</v>
          </cell>
        </row>
        <row r="3844">
          <cell r="A3844">
            <v>30103504</v>
          </cell>
          <cell r="B3844" t="str">
            <v>Núcleo de panal de plástico</v>
          </cell>
        </row>
        <row r="3845">
          <cell r="A3845">
            <v>30103505</v>
          </cell>
          <cell r="B3845" t="str">
            <v>Núcleo de panal de madera</v>
          </cell>
        </row>
        <row r="3846">
          <cell r="A3846">
            <v>30103506</v>
          </cell>
          <cell r="B3846" t="str">
            <v>Núcleo de panal de metal ferroso</v>
          </cell>
        </row>
        <row r="3847">
          <cell r="A3847">
            <v>30103507</v>
          </cell>
          <cell r="B3847" t="str">
            <v>Núcleo de panal de bronce</v>
          </cell>
        </row>
        <row r="3848">
          <cell r="A3848">
            <v>30103508</v>
          </cell>
          <cell r="B3848" t="str">
            <v>Núcleo de panal de cobre</v>
          </cell>
        </row>
        <row r="3849">
          <cell r="A3849">
            <v>30103509</v>
          </cell>
          <cell r="B3849" t="str">
            <v>Núcleo de panal de acero</v>
          </cell>
        </row>
        <row r="3850">
          <cell r="A3850">
            <v>30103510</v>
          </cell>
          <cell r="B3850" t="str">
            <v>Núcleo de panal de plomo</v>
          </cell>
        </row>
        <row r="3851">
          <cell r="A3851">
            <v>30103511</v>
          </cell>
          <cell r="B3851" t="str">
            <v>Núcleo de panal de zinc</v>
          </cell>
        </row>
        <row r="3852">
          <cell r="A3852">
            <v>30103512</v>
          </cell>
          <cell r="B3852" t="str">
            <v>Núcleo de panal de titanio</v>
          </cell>
        </row>
        <row r="3853">
          <cell r="A3853">
            <v>30103513</v>
          </cell>
          <cell r="B3853" t="str">
            <v>Núcleo de panal de latón</v>
          </cell>
        </row>
        <row r="3854">
          <cell r="A3854">
            <v>30103514</v>
          </cell>
          <cell r="B3854" t="str">
            <v>Núcleo de panal de metal no ferroso</v>
          </cell>
        </row>
        <row r="3855">
          <cell r="A3855">
            <v>30103515</v>
          </cell>
          <cell r="B3855" t="str">
            <v>Núcleo de panal de metales preciosos</v>
          </cell>
        </row>
        <row r="3856">
          <cell r="A3856">
            <v>30103601</v>
          </cell>
          <cell r="B3856" t="str">
            <v>Vigas de madera</v>
          </cell>
        </row>
        <row r="3857">
          <cell r="A3857">
            <v>30103602</v>
          </cell>
          <cell r="B3857" t="str">
            <v>Vigas compuestas de madera</v>
          </cell>
        </row>
        <row r="3858">
          <cell r="A3858">
            <v>30103603</v>
          </cell>
          <cell r="B3858" t="str">
            <v>Madera para marcos</v>
          </cell>
        </row>
        <row r="3859">
          <cell r="A3859">
            <v>30103604</v>
          </cell>
          <cell r="B3859" t="str">
            <v>Revestimiento o láminas de madera</v>
          </cell>
        </row>
        <row r="3860">
          <cell r="A3860">
            <v>30103605</v>
          </cell>
          <cell r="B3860" t="str">
            <v>Tablones de madera</v>
          </cell>
        </row>
        <row r="3861">
          <cell r="A3861">
            <v>30103606</v>
          </cell>
          <cell r="B3861" t="str">
            <v>Armazones de madera</v>
          </cell>
        </row>
        <row r="3862">
          <cell r="A3862">
            <v>30103607</v>
          </cell>
          <cell r="B3862" t="str">
            <v>Viguetas de madera</v>
          </cell>
        </row>
        <row r="3863">
          <cell r="A3863">
            <v>30103608</v>
          </cell>
          <cell r="B3863" t="str">
            <v>Postes de madera o postes telefónicos</v>
          </cell>
        </row>
        <row r="3864">
          <cell r="A3864">
            <v>30103701</v>
          </cell>
          <cell r="B3864" t="str">
            <v>Trenza de acero inoxidable</v>
          </cell>
        </row>
        <row r="3865">
          <cell r="A3865">
            <v>30111501</v>
          </cell>
          <cell r="B3865" t="str">
            <v>Concreto aireado</v>
          </cell>
        </row>
        <row r="3866">
          <cell r="A3866">
            <v>30111502</v>
          </cell>
          <cell r="B3866" t="str">
            <v>Concreto conductor</v>
          </cell>
        </row>
        <row r="3867">
          <cell r="A3867">
            <v>30111503</v>
          </cell>
          <cell r="B3867" t="str">
            <v>Concreto aislante</v>
          </cell>
        </row>
        <row r="3868">
          <cell r="A3868">
            <v>30111504</v>
          </cell>
          <cell r="B3868" t="str">
            <v>Morteros</v>
          </cell>
        </row>
        <row r="3869">
          <cell r="A3869">
            <v>30111601</v>
          </cell>
          <cell r="B3869" t="str">
            <v>Cemento</v>
          </cell>
        </row>
        <row r="3870">
          <cell r="A3870">
            <v>30111602</v>
          </cell>
          <cell r="B3870" t="str">
            <v>Cal clorada</v>
          </cell>
        </row>
        <row r="3871">
          <cell r="A3871">
            <v>30111603</v>
          </cell>
          <cell r="B3871" t="str">
            <v>Cal hidráulica</v>
          </cell>
        </row>
        <row r="3872">
          <cell r="A3872">
            <v>30111604</v>
          </cell>
          <cell r="B3872" t="str">
            <v>Cal apagada</v>
          </cell>
        </row>
        <row r="3873">
          <cell r="A3873">
            <v>30111605</v>
          </cell>
          <cell r="B3873" t="str">
            <v>Cal magra</v>
          </cell>
        </row>
        <row r="3874">
          <cell r="A3874">
            <v>30111606</v>
          </cell>
          <cell r="B3874" t="str">
            <v>Lechada de cemento</v>
          </cell>
        </row>
        <row r="3875">
          <cell r="A3875">
            <v>30111607</v>
          </cell>
          <cell r="B3875" t="str">
            <v>Cal viva</v>
          </cell>
        </row>
        <row r="3876">
          <cell r="A3876">
            <v>30111701</v>
          </cell>
          <cell r="B3876" t="str">
            <v>Enlucido de yeso</v>
          </cell>
        </row>
        <row r="3877">
          <cell r="A3877">
            <v>30121501</v>
          </cell>
          <cell r="B3877" t="str">
            <v>Alquitrán de carbón hulla</v>
          </cell>
        </row>
        <row r="3878">
          <cell r="A3878">
            <v>30121503</v>
          </cell>
          <cell r="B3878" t="str">
            <v>Creosota</v>
          </cell>
        </row>
        <row r="3879">
          <cell r="A3879">
            <v>30121601</v>
          </cell>
          <cell r="B3879" t="str">
            <v>Asfalto</v>
          </cell>
        </row>
        <row r="3880">
          <cell r="A3880">
            <v>30121602</v>
          </cell>
          <cell r="B3880" t="str">
            <v>Brea</v>
          </cell>
        </row>
        <row r="3881">
          <cell r="A3881">
            <v>30121603</v>
          </cell>
          <cell r="B3881" t="str">
            <v>Gilsonita</v>
          </cell>
        </row>
        <row r="3882">
          <cell r="A3882">
            <v>30121604</v>
          </cell>
          <cell r="B3882" t="str">
            <v>Residuos de alquitrán o petróleo</v>
          </cell>
        </row>
        <row r="3883">
          <cell r="A3883">
            <v>30121605</v>
          </cell>
          <cell r="B3883" t="str">
            <v>Marcos de pozo con tapas del registro</v>
          </cell>
        </row>
        <row r="3884">
          <cell r="A3884">
            <v>30131501</v>
          </cell>
          <cell r="B3884" t="str">
            <v>Bloques de cemento</v>
          </cell>
        </row>
        <row r="3885">
          <cell r="A3885">
            <v>30131502</v>
          </cell>
          <cell r="B3885" t="str">
            <v>Bloques de concreto</v>
          </cell>
        </row>
        <row r="3886">
          <cell r="A3886">
            <v>30131503</v>
          </cell>
          <cell r="B3886" t="str">
            <v>Bloques de piedra</v>
          </cell>
        </row>
        <row r="3887">
          <cell r="A3887">
            <v>30131504</v>
          </cell>
          <cell r="B3887" t="str">
            <v>Bloques de cerámica</v>
          </cell>
        </row>
        <row r="3888">
          <cell r="A3888">
            <v>30131601</v>
          </cell>
          <cell r="B3888" t="str">
            <v>Ladrillos de cemento</v>
          </cell>
        </row>
        <row r="3889">
          <cell r="A3889">
            <v>30131602</v>
          </cell>
          <cell r="B3889" t="str">
            <v>Ladrillos de cerámica</v>
          </cell>
        </row>
        <row r="3890">
          <cell r="A3890">
            <v>30131603</v>
          </cell>
          <cell r="B3890" t="str">
            <v>Ladrillos de concreto</v>
          </cell>
        </row>
        <row r="3891">
          <cell r="A3891">
            <v>30131604</v>
          </cell>
          <cell r="B3891" t="str">
            <v>Ladrillos de piedra</v>
          </cell>
        </row>
        <row r="3892">
          <cell r="A3892">
            <v>30131701</v>
          </cell>
          <cell r="B3892" t="str">
            <v>Azulejos o baldosas de cemento</v>
          </cell>
        </row>
        <row r="3893">
          <cell r="A3893">
            <v>30131702</v>
          </cell>
          <cell r="B3893" t="str">
            <v>Losas o baldosas de piedra</v>
          </cell>
        </row>
        <row r="3894">
          <cell r="A3894">
            <v>30131703</v>
          </cell>
          <cell r="B3894" t="str">
            <v>Losas o baldosas de concreto</v>
          </cell>
        </row>
        <row r="3895">
          <cell r="A3895">
            <v>30131704</v>
          </cell>
          <cell r="B3895" t="str">
            <v>Losas o baldosas de cerámica</v>
          </cell>
        </row>
        <row r="3896">
          <cell r="A3896">
            <v>30131705</v>
          </cell>
          <cell r="B3896" t="str">
            <v>Lápidas</v>
          </cell>
        </row>
        <row r="3897">
          <cell r="A3897">
            <v>30141501</v>
          </cell>
          <cell r="B3897" t="str">
            <v>Burletes</v>
          </cell>
        </row>
        <row r="3898">
          <cell r="A3898">
            <v>30141503</v>
          </cell>
          <cell r="B3898" t="str">
            <v>Aislamiento de espuma</v>
          </cell>
        </row>
        <row r="3899">
          <cell r="A3899">
            <v>30141505</v>
          </cell>
          <cell r="B3899" t="str">
            <v>Revestimiento de aislamiento térmico</v>
          </cell>
        </row>
        <row r="3900">
          <cell r="A3900">
            <v>30141508</v>
          </cell>
          <cell r="B3900" t="str">
            <v>Aislamiento de fibra</v>
          </cell>
        </row>
        <row r="3901">
          <cell r="A3901">
            <v>30141510</v>
          </cell>
          <cell r="B3901" t="str">
            <v>Barrido de puerta</v>
          </cell>
        </row>
        <row r="3902">
          <cell r="A3902">
            <v>30141511</v>
          </cell>
          <cell r="B3902" t="str">
            <v>Película de ventana</v>
          </cell>
        </row>
        <row r="3903">
          <cell r="A3903">
            <v>30141512</v>
          </cell>
          <cell r="B3903" t="str">
            <v>Kits de aislamiento térmico</v>
          </cell>
        </row>
        <row r="3904">
          <cell r="A3904">
            <v>30141513</v>
          </cell>
          <cell r="B3904" t="str">
            <v>Ladrillos aislantes térmicos</v>
          </cell>
        </row>
        <row r="3905">
          <cell r="A3905">
            <v>30141601</v>
          </cell>
          <cell r="B3905" t="str">
            <v>Aislación acústica</v>
          </cell>
        </row>
        <row r="3906">
          <cell r="A3906">
            <v>30141602</v>
          </cell>
          <cell r="B3906" t="str">
            <v>Revestimiento de aislamiento no térmico</v>
          </cell>
        </row>
        <row r="3907">
          <cell r="A3907">
            <v>30141603</v>
          </cell>
          <cell r="B3907" t="str">
            <v>Escudos térmicas</v>
          </cell>
        </row>
        <row r="3908">
          <cell r="A3908">
            <v>30151501</v>
          </cell>
          <cell r="B3908" t="str">
            <v>Techado prearmado</v>
          </cell>
        </row>
        <row r="3909">
          <cell r="A3909">
            <v>30151502</v>
          </cell>
          <cell r="B3909" t="str">
            <v>Valles de techo</v>
          </cell>
        </row>
        <row r="3910">
          <cell r="A3910">
            <v>30151503</v>
          </cell>
          <cell r="B3910" t="str">
            <v>Textiles de techado</v>
          </cell>
        </row>
        <row r="3911">
          <cell r="A3911">
            <v>30151504</v>
          </cell>
          <cell r="B3911" t="str">
            <v>Cartones para techar</v>
          </cell>
        </row>
        <row r="3912">
          <cell r="A3912">
            <v>30151505</v>
          </cell>
          <cell r="B3912" t="str">
            <v>Membranas para techos</v>
          </cell>
        </row>
        <row r="3913">
          <cell r="A3913">
            <v>30151506</v>
          </cell>
          <cell r="B3913" t="str">
            <v>Tejas</v>
          </cell>
        </row>
        <row r="3914">
          <cell r="A3914">
            <v>30151507</v>
          </cell>
          <cell r="B3914" t="str">
            <v>Huelgos</v>
          </cell>
        </row>
        <row r="3915">
          <cell r="A3915">
            <v>30151508</v>
          </cell>
          <cell r="B3915" t="str">
            <v>Tejas de asfalto</v>
          </cell>
        </row>
        <row r="3916">
          <cell r="A3916">
            <v>30151509</v>
          </cell>
          <cell r="B3916" t="str">
            <v>Armazones</v>
          </cell>
        </row>
        <row r="3917">
          <cell r="A3917">
            <v>30151510</v>
          </cell>
          <cell r="B3917" t="str">
            <v>Tejados de pizarra</v>
          </cell>
        </row>
        <row r="3918">
          <cell r="A3918">
            <v>30151601</v>
          </cell>
          <cell r="B3918" t="str">
            <v>Plafones de tejado</v>
          </cell>
        </row>
        <row r="3919">
          <cell r="A3919">
            <v>30151602</v>
          </cell>
          <cell r="B3919" t="str">
            <v>Planchas de escurrimiento</v>
          </cell>
        </row>
        <row r="3920">
          <cell r="A3920">
            <v>30151603</v>
          </cell>
          <cell r="B3920" t="str">
            <v>Parada de grava</v>
          </cell>
        </row>
        <row r="3921">
          <cell r="A3921">
            <v>30151604</v>
          </cell>
          <cell r="B3921" t="str">
            <v>Brochas para techos</v>
          </cell>
        </row>
        <row r="3922">
          <cell r="A3922">
            <v>30151605</v>
          </cell>
          <cell r="B3922" t="str">
            <v>Drenajes de tejados</v>
          </cell>
        </row>
        <row r="3923">
          <cell r="A3923">
            <v>30151606</v>
          </cell>
          <cell r="B3923" t="str">
            <v>Ruedas de trapo para techos</v>
          </cell>
        </row>
        <row r="3924">
          <cell r="A3924">
            <v>30151607</v>
          </cell>
          <cell r="B3924" t="str">
            <v>Claraboyas de ventilación</v>
          </cell>
        </row>
        <row r="3925">
          <cell r="A3925">
            <v>30151608</v>
          </cell>
          <cell r="B3925" t="str">
            <v>Sofitos</v>
          </cell>
        </row>
        <row r="3926">
          <cell r="A3926">
            <v>30151609</v>
          </cell>
          <cell r="B3926" t="str">
            <v>Bordes de tejado</v>
          </cell>
        </row>
        <row r="3927">
          <cell r="A3927">
            <v>30151610</v>
          </cell>
          <cell r="B3927" t="str">
            <v>Escarificadores de tejado</v>
          </cell>
        </row>
        <row r="3928">
          <cell r="A3928">
            <v>30151701</v>
          </cell>
          <cell r="B3928" t="str">
            <v>Boquillas de bajantes</v>
          </cell>
        </row>
        <row r="3929">
          <cell r="A3929">
            <v>30151702</v>
          </cell>
          <cell r="B3929" t="str">
            <v>Dinteles para goteo</v>
          </cell>
        </row>
        <row r="3930">
          <cell r="A3930">
            <v>30151703</v>
          </cell>
          <cell r="B3930" t="str">
            <v>Canaletas</v>
          </cell>
        </row>
        <row r="3931">
          <cell r="A3931">
            <v>30151704</v>
          </cell>
          <cell r="B3931" t="str">
            <v>Bloques contra salpicaduras</v>
          </cell>
        </row>
        <row r="3932">
          <cell r="A3932">
            <v>30151801</v>
          </cell>
          <cell r="B3932" t="str">
            <v>Postigos</v>
          </cell>
        </row>
        <row r="3933">
          <cell r="A3933">
            <v>30151802</v>
          </cell>
          <cell r="B3933" t="str">
            <v>Recubrimiento</v>
          </cell>
        </row>
        <row r="3934">
          <cell r="A3934">
            <v>30151803</v>
          </cell>
          <cell r="B3934" t="str">
            <v>Empalmes de revestimiento de paredes</v>
          </cell>
        </row>
        <row r="3935">
          <cell r="A3935">
            <v>30151804</v>
          </cell>
          <cell r="B3935" t="str">
            <v>Chapas para esquinas</v>
          </cell>
        </row>
        <row r="3936">
          <cell r="A3936">
            <v>30151805</v>
          </cell>
          <cell r="B3936" t="str">
            <v>Estucado</v>
          </cell>
        </row>
        <row r="3937">
          <cell r="A3937">
            <v>30151806</v>
          </cell>
          <cell r="B3937" t="str">
            <v>Muros de bloque de vidrio</v>
          </cell>
        </row>
        <row r="3938">
          <cell r="A3938">
            <v>30151901</v>
          </cell>
          <cell r="B3938" t="str">
            <v>Toldos</v>
          </cell>
        </row>
        <row r="3939">
          <cell r="A3939">
            <v>30151902</v>
          </cell>
          <cell r="B3939" t="str">
            <v>Marquesinas</v>
          </cell>
        </row>
        <row r="3940">
          <cell r="A3940">
            <v>30152001</v>
          </cell>
          <cell r="B3940" t="str">
            <v>Cercado de metal</v>
          </cell>
        </row>
        <row r="3941">
          <cell r="A3941">
            <v>30152002</v>
          </cell>
          <cell r="B3941" t="str">
            <v>Cercado de madera</v>
          </cell>
        </row>
        <row r="3942">
          <cell r="A3942">
            <v>30152003</v>
          </cell>
          <cell r="B3942" t="str">
            <v>Vallado de fibrocemento</v>
          </cell>
        </row>
        <row r="3943">
          <cell r="A3943">
            <v>30152101</v>
          </cell>
          <cell r="B3943" t="str">
            <v>Acero de perdigones</v>
          </cell>
        </row>
        <row r="3944">
          <cell r="A3944">
            <v>30161501</v>
          </cell>
          <cell r="B3944" t="str">
            <v>Fibra prensada</v>
          </cell>
        </row>
        <row r="3945">
          <cell r="A3945">
            <v>30161502</v>
          </cell>
          <cell r="B3945" t="str">
            <v>Papel de colgadura</v>
          </cell>
        </row>
        <row r="3946">
          <cell r="A3946">
            <v>30161503</v>
          </cell>
          <cell r="B3946" t="str">
            <v>Drywall</v>
          </cell>
        </row>
        <row r="3947">
          <cell r="A3947">
            <v>30161504</v>
          </cell>
          <cell r="B3947" t="str">
            <v>Protectores de esquinas</v>
          </cell>
        </row>
        <row r="3948">
          <cell r="A3948">
            <v>30161505</v>
          </cell>
          <cell r="B3948" t="str">
            <v>Paneles o empanelado</v>
          </cell>
        </row>
        <row r="3949">
          <cell r="A3949">
            <v>30161507</v>
          </cell>
          <cell r="B3949" t="str">
            <v>Compuestos unión Albarrada</v>
          </cell>
        </row>
        <row r="3950">
          <cell r="A3950">
            <v>30161508</v>
          </cell>
          <cell r="B3950" t="str">
            <v>Rodillo de papel de colgadura</v>
          </cell>
        </row>
        <row r="3951">
          <cell r="A3951">
            <v>30161509</v>
          </cell>
          <cell r="B3951" t="str">
            <v>Tabla de yeso</v>
          </cell>
        </row>
        <row r="3952">
          <cell r="A3952">
            <v>30161601</v>
          </cell>
          <cell r="B3952" t="str">
            <v>Baldosines acústicos para techos</v>
          </cell>
        </row>
        <row r="3953">
          <cell r="A3953">
            <v>30161602</v>
          </cell>
          <cell r="B3953" t="str">
            <v>Paneles para techos</v>
          </cell>
        </row>
        <row r="3954">
          <cell r="A3954">
            <v>30161603</v>
          </cell>
          <cell r="B3954" t="str">
            <v>Encofrados</v>
          </cell>
        </row>
        <row r="3955">
          <cell r="A3955">
            <v>30161604</v>
          </cell>
          <cell r="B3955" t="str">
            <v>Sistemas de cielo raso</v>
          </cell>
        </row>
        <row r="3956">
          <cell r="A3956">
            <v>30161701</v>
          </cell>
          <cell r="B3956" t="str">
            <v>Alfombrado</v>
          </cell>
        </row>
        <row r="3957">
          <cell r="A3957">
            <v>30161702</v>
          </cell>
          <cell r="B3957" t="str">
            <v>Pisos de madera</v>
          </cell>
        </row>
        <row r="3958">
          <cell r="A3958">
            <v>30161703</v>
          </cell>
          <cell r="B3958" t="str">
            <v>Linóleo</v>
          </cell>
        </row>
        <row r="3959">
          <cell r="A3959">
            <v>30161705</v>
          </cell>
          <cell r="B3959" t="str">
            <v>Pisos de caucho</v>
          </cell>
        </row>
        <row r="3960">
          <cell r="A3960">
            <v>30161706</v>
          </cell>
          <cell r="B3960" t="str">
            <v>Pisos de baldosa o piedra</v>
          </cell>
        </row>
        <row r="3961">
          <cell r="A3961">
            <v>30161707</v>
          </cell>
          <cell r="B3961" t="str">
            <v>Pisos de vinilo</v>
          </cell>
        </row>
        <row r="3962">
          <cell r="A3962">
            <v>30161708</v>
          </cell>
          <cell r="B3962" t="str">
            <v>Alfombras de nudos</v>
          </cell>
        </row>
        <row r="3963">
          <cell r="A3963">
            <v>30161709</v>
          </cell>
          <cell r="B3963" t="str">
            <v>Alfombras de penachos</v>
          </cell>
        </row>
        <row r="3964">
          <cell r="A3964">
            <v>30161710</v>
          </cell>
          <cell r="B3964" t="str">
            <v>Pisos laminados</v>
          </cell>
        </row>
        <row r="3965">
          <cell r="A3965">
            <v>30161711</v>
          </cell>
          <cell r="B3965" t="str">
            <v>Alfombras para exteriores</v>
          </cell>
        </row>
        <row r="3966">
          <cell r="A3966">
            <v>30161712</v>
          </cell>
          <cell r="B3966" t="str">
            <v>Perfiles laminados para suelos</v>
          </cell>
        </row>
        <row r="3967">
          <cell r="A3967">
            <v>30161713</v>
          </cell>
          <cell r="B3967" t="str">
            <v>Almohadilla para alfombras</v>
          </cell>
        </row>
        <row r="3968">
          <cell r="A3968">
            <v>30161714</v>
          </cell>
          <cell r="B3968" t="str">
            <v>Suelo de corcho</v>
          </cell>
        </row>
        <row r="3969">
          <cell r="A3969">
            <v>30161715</v>
          </cell>
          <cell r="B3969" t="str">
            <v>Enrejados de madera</v>
          </cell>
        </row>
        <row r="3970">
          <cell r="A3970">
            <v>30161716</v>
          </cell>
          <cell r="B3970" t="str">
            <v>Separadores de azulejos</v>
          </cell>
        </row>
        <row r="3971">
          <cell r="A3971">
            <v>30161717</v>
          </cell>
          <cell r="B3971" t="str">
            <v>Pisos para accesos</v>
          </cell>
        </row>
        <row r="3972">
          <cell r="A3972">
            <v>30161718</v>
          </cell>
          <cell r="B3972" t="str">
            <v>Piso de acero antideslizante</v>
          </cell>
        </row>
        <row r="3973">
          <cell r="A3973">
            <v>30161719</v>
          </cell>
          <cell r="B3973" t="str">
            <v>Fieltro para alfombras</v>
          </cell>
        </row>
        <row r="3974">
          <cell r="A3974">
            <v>30161801</v>
          </cell>
          <cell r="B3974" t="str">
            <v>Armarios</v>
          </cell>
        </row>
        <row r="3975">
          <cell r="A3975">
            <v>30161802</v>
          </cell>
          <cell r="B3975" t="str">
            <v>Encimeras</v>
          </cell>
        </row>
        <row r="3976">
          <cell r="A3976">
            <v>30161901</v>
          </cell>
          <cell r="B3976" t="str">
            <v>Puertas de rejilla</v>
          </cell>
        </row>
        <row r="3977">
          <cell r="A3977">
            <v>30161902</v>
          </cell>
          <cell r="B3977" t="str">
            <v>Columnas</v>
          </cell>
        </row>
        <row r="3978">
          <cell r="A3978">
            <v>30161903</v>
          </cell>
          <cell r="B3978" t="str">
            <v>Paneles de madera</v>
          </cell>
        </row>
        <row r="3979">
          <cell r="A3979">
            <v>30161904</v>
          </cell>
          <cell r="B3979" t="str">
            <v>Cornisas</v>
          </cell>
        </row>
        <row r="3980">
          <cell r="A3980">
            <v>30161905</v>
          </cell>
          <cell r="B3980" t="str">
            <v>Cercos de puertas</v>
          </cell>
        </row>
        <row r="3981">
          <cell r="A3981">
            <v>30161906</v>
          </cell>
          <cell r="B3981" t="str">
            <v>Moldes</v>
          </cell>
        </row>
        <row r="3982">
          <cell r="A3982">
            <v>30161907</v>
          </cell>
          <cell r="B3982" t="str">
            <v>Escaleras</v>
          </cell>
        </row>
        <row r="3983">
          <cell r="A3983">
            <v>30161908</v>
          </cell>
          <cell r="B3983" t="str">
            <v>Piezas de escaleras</v>
          </cell>
        </row>
        <row r="3984">
          <cell r="A3984">
            <v>30171501</v>
          </cell>
          <cell r="B3984" t="str">
            <v>Puertas de cristal</v>
          </cell>
        </row>
        <row r="3985">
          <cell r="A3985">
            <v>30171502</v>
          </cell>
          <cell r="B3985" t="str">
            <v>Puertas de pantalla</v>
          </cell>
        </row>
        <row r="3986">
          <cell r="A3986">
            <v>30171503</v>
          </cell>
          <cell r="B3986" t="str">
            <v>Puertas rodantes</v>
          </cell>
        </row>
        <row r="3987">
          <cell r="A3987">
            <v>30171504</v>
          </cell>
          <cell r="B3987" t="str">
            <v>Puertas de madera</v>
          </cell>
        </row>
        <row r="3988">
          <cell r="A3988">
            <v>30171505</v>
          </cell>
          <cell r="B3988" t="str">
            <v>Puertas de metal</v>
          </cell>
        </row>
        <row r="3989">
          <cell r="A3989">
            <v>30171506</v>
          </cell>
          <cell r="B3989" t="str">
            <v>Contrapuertas</v>
          </cell>
        </row>
        <row r="3990">
          <cell r="A3990">
            <v>30171507</v>
          </cell>
          <cell r="B3990" t="str">
            <v>Marcos de puertas o quicios</v>
          </cell>
        </row>
        <row r="3991">
          <cell r="A3991">
            <v>30171508</v>
          </cell>
          <cell r="B3991" t="str">
            <v>Puertas corrediza empotrable</v>
          </cell>
        </row>
        <row r="3992">
          <cell r="A3992">
            <v>30171509</v>
          </cell>
          <cell r="B3992" t="str">
            <v>Puertas giratorias</v>
          </cell>
        </row>
        <row r="3993">
          <cell r="A3993">
            <v>30171510</v>
          </cell>
          <cell r="B3993" t="str">
            <v>Puertas automáticas</v>
          </cell>
        </row>
        <row r="3994">
          <cell r="A3994">
            <v>30171511</v>
          </cell>
          <cell r="B3994" t="str">
            <v>Puerta de vaivén</v>
          </cell>
        </row>
        <row r="3995">
          <cell r="A3995">
            <v>30171512</v>
          </cell>
          <cell r="B3995" t="str">
            <v>Abridores de puertas</v>
          </cell>
        </row>
        <row r="3996">
          <cell r="A3996">
            <v>30171513</v>
          </cell>
          <cell r="B3996" t="str">
            <v>Rodapiés</v>
          </cell>
        </row>
        <row r="3997">
          <cell r="A3997">
            <v>30171514</v>
          </cell>
          <cell r="B3997" t="str">
            <v>Cerradores de puertas</v>
          </cell>
        </row>
        <row r="3998">
          <cell r="A3998">
            <v>30171604</v>
          </cell>
          <cell r="B3998" t="str">
            <v>Ventanas de guillotina</v>
          </cell>
        </row>
        <row r="3999">
          <cell r="A3999">
            <v>30171605</v>
          </cell>
          <cell r="B3999" t="str">
            <v>Ventanas de apertura horizontal</v>
          </cell>
        </row>
        <row r="4000">
          <cell r="A4000">
            <v>30171606</v>
          </cell>
          <cell r="B4000" t="str">
            <v>Ventanas giratorias</v>
          </cell>
        </row>
        <row r="4001">
          <cell r="A4001">
            <v>30171607</v>
          </cell>
          <cell r="B4001" t="str">
            <v>Ventanas con hoja de desplazamiento horizontal</v>
          </cell>
        </row>
        <row r="4002">
          <cell r="A4002">
            <v>30171608</v>
          </cell>
          <cell r="B4002" t="str">
            <v>Ventanas basculantes o de montante</v>
          </cell>
        </row>
        <row r="4003">
          <cell r="A4003">
            <v>30171609</v>
          </cell>
          <cell r="B4003" t="str">
            <v>Ventanas fijas</v>
          </cell>
        </row>
        <row r="4004">
          <cell r="A4004">
            <v>30171610</v>
          </cell>
          <cell r="B4004" t="str">
            <v>Miradores</v>
          </cell>
        </row>
        <row r="4005">
          <cell r="A4005">
            <v>30171611</v>
          </cell>
          <cell r="B4005" t="str">
            <v>Ventana de miradores</v>
          </cell>
        </row>
        <row r="4006">
          <cell r="A4006">
            <v>30171612</v>
          </cell>
          <cell r="B4006" t="str">
            <v>Ventanas salientes</v>
          </cell>
        </row>
        <row r="4007">
          <cell r="A4007">
            <v>30171613</v>
          </cell>
          <cell r="B4007" t="str">
            <v>Paredes de vidrio</v>
          </cell>
        </row>
        <row r="4008">
          <cell r="A4008">
            <v>30171614</v>
          </cell>
          <cell r="B4008" t="str">
            <v>Pantallas de ventana</v>
          </cell>
        </row>
        <row r="4009">
          <cell r="A4009">
            <v>30171615</v>
          </cell>
          <cell r="B4009" t="str">
            <v>Ventanas francesas o puerta – ventanas</v>
          </cell>
        </row>
        <row r="4010">
          <cell r="A4010">
            <v>30171701</v>
          </cell>
          <cell r="B4010" t="str">
            <v>Adoquines</v>
          </cell>
        </row>
        <row r="4011">
          <cell r="A4011">
            <v>30171703</v>
          </cell>
          <cell r="B4011" t="str">
            <v>Vidrio biselado</v>
          </cell>
        </row>
        <row r="4012">
          <cell r="A4012">
            <v>30171704</v>
          </cell>
          <cell r="B4012" t="str">
            <v>Vidrio con plomo</v>
          </cell>
        </row>
        <row r="4013">
          <cell r="A4013">
            <v>30171705</v>
          </cell>
          <cell r="B4013" t="str">
            <v>Vidrio laminado</v>
          </cell>
        </row>
        <row r="4014">
          <cell r="A4014">
            <v>30171706</v>
          </cell>
          <cell r="B4014" t="str">
            <v>Vidrio templado</v>
          </cell>
        </row>
        <row r="4015">
          <cell r="A4015">
            <v>30171707</v>
          </cell>
          <cell r="B4015" t="str">
            <v>Vidrio de seguridad</v>
          </cell>
        </row>
        <row r="4016">
          <cell r="A4016">
            <v>30171708</v>
          </cell>
          <cell r="B4016" t="str">
            <v>Vidrio flotado</v>
          </cell>
        </row>
        <row r="4017">
          <cell r="A4017">
            <v>30171709</v>
          </cell>
          <cell r="B4017" t="str">
            <v>Vidrio con alambre incrustado</v>
          </cell>
        </row>
        <row r="4018">
          <cell r="A4018">
            <v>30171801</v>
          </cell>
          <cell r="B4018" t="str">
            <v>Claraboyas fijas</v>
          </cell>
        </row>
        <row r="4019">
          <cell r="A4019">
            <v>30171802</v>
          </cell>
          <cell r="B4019" t="str">
            <v>Claraboyas con ventilación</v>
          </cell>
        </row>
        <row r="4020">
          <cell r="A4020">
            <v>30171803</v>
          </cell>
          <cell r="B4020" t="str">
            <v>Claraboyas de tubo</v>
          </cell>
        </row>
        <row r="4021">
          <cell r="A4021">
            <v>30171901</v>
          </cell>
          <cell r="B4021" t="str">
            <v>Marcos para ventanas de guillotina</v>
          </cell>
        </row>
        <row r="4022">
          <cell r="A4022">
            <v>30171902</v>
          </cell>
          <cell r="B4022" t="str">
            <v>Marcos para ventanas de apertura horizontal</v>
          </cell>
        </row>
        <row r="4023">
          <cell r="A4023">
            <v>30171903</v>
          </cell>
          <cell r="B4023" t="str">
            <v>Marcos para ventanas giratorias</v>
          </cell>
        </row>
        <row r="4024">
          <cell r="A4024">
            <v>30171904</v>
          </cell>
          <cell r="B4024" t="str">
            <v>Marcos para ventanas con hojas de desplazamiento horizontal</v>
          </cell>
        </row>
        <row r="4025">
          <cell r="A4025">
            <v>30171905</v>
          </cell>
          <cell r="B4025" t="str">
            <v>Marcos para ventanas basculantes o de montante</v>
          </cell>
        </row>
        <row r="4026">
          <cell r="A4026">
            <v>30171906</v>
          </cell>
          <cell r="B4026" t="str">
            <v>Marcos para ventanas fijas</v>
          </cell>
        </row>
        <row r="4027">
          <cell r="A4027">
            <v>30172001</v>
          </cell>
          <cell r="B4027" t="str">
            <v>Puerta de barra sencilla</v>
          </cell>
        </row>
        <row r="4028">
          <cell r="A4028">
            <v>30172002</v>
          </cell>
          <cell r="B4028" t="str">
            <v>Puerta de doble barra</v>
          </cell>
        </row>
        <row r="4029">
          <cell r="A4029">
            <v>30181501</v>
          </cell>
          <cell r="B4029" t="str">
            <v>Tinas o bañeras</v>
          </cell>
        </row>
        <row r="4030">
          <cell r="A4030">
            <v>30181502</v>
          </cell>
          <cell r="B4030" t="str">
            <v>Bidés</v>
          </cell>
        </row>
        <row r="4031">
          <cell r="A4031">
            <v>30181503</v>
          </cell>
          <cell r="B4031" t="str">
            <v>Duchas</v>
          </cell>
        </row>
        <row r="4032">
          <cell r="A4032">
            <v>30181504</v>
          </cell>
          <cell r="B4032" t="str">
            <v>Lavamanos</v>
          </cell>
        </row>
        <row r="4033">
          <cell r="A4033">
            <v>30181505</v>
          </cell>
          <cell r="B4033" t="str">
            <v>Inodoros o excusados</v>
          </cell>
        </row>
        <row r="4034">
          <cell r="A4034">
            <v>30181506</v>
          </cell>
          <cell r="B4034" t="str">
            <v>Orinales</v>
          </cell>
        </row>
        <row r="4035">
          <cell r="A4035">
            <v>30181507</v>
          </cell>
          <cell r="B4035" t="str">
            <v>Cerramientos para bañeras o duchas</v>
          </cell>
        </row>
        <row r="4036">
          <cell r="A4036">
            <v>30181508</v>
          </cell>
          <cell r="B4036" t="str">
            <v>Divisiones de baños</v>
          </cell>
        </row>
        <row r="4037">
          <cell r="A4037">
            <v>30181509</v>
          </cell>
          <cell r="B4037" t="str">
            <v>Plato del jabón</v>
          </cell>
        </row>
        <row r="4038">
          <cell r="A4038">
            <v>30181510</v>
          </cell>
          <cell r="B4038" t="str">
            <v>servilletero</v>
          </cell>
        </row>
        <row r="4039">
          <cell r="A4039">
            <v>30181511</v>
          </cell>
          <cell r="B4039" t="str">
            <v>Inodoros o excusados</v>
          </cell>
        </row>
        <row r="4040">
          <cell r="A4040">
            <v>30181512</v>
          </cell>
          <cell r="B4040" t="str">
            <v>Asientos de inodoro</v>
          </cell>
        </row>
        <row r="4041">
          <cell r="A4041">
            <v>30181513</v>
          </cell>
          <cell r="B4041" t="str">
            <v>Tapas de inodoro</v>
          </cell>
        </row>
        <row r="4042">
          <cell r="A4042">
            <v>30181514</v>
          </cell>
          <cell r="B4042" t="str">
            <v>Tapa de tanque del inodoro</v>
          </cell>
        </row>
        <row r="4043">
          <cell r="A4043">
            <v>30181515</v>
          </cell>
          <cell r="B4043" t="str">
            <v>Tanque del inodoro</v>
          </cell>
        </row>
        <row r="4044">
          <cell r="A4044">
            <v>30191501</v>
          </cell>
          <cell r="B4044" t="str">
            <v>Escaleras</v>
          </cell>
        </row>
        <row r="4045">
          <cell r="A4045">
            <v>30191502</v>
          </cell>
          <cell r="B4045" t="str">
            <v>Andamios</v>
          </cell>
        </row>
        <row r="4046">
          <cell r="A4046">
            <v>30191505</v>
          </cell>
          <cell r="B4046" t="str">
            <v>Taburete escalonado</v>
          </cell>
        </row>
        <row r="4047">
          <cell r="A4047">
            <v>30191601</v>
          </cell>
          <cell r="B4047" t="str">
            <v>Barandas</v>
          </cell>
        </row>
        <row r="4048">
          <cell r="A4048">
            <v>30191602</v>
          </cell>
          <cell r="B4048" t="str">
            <v>Estabilizadores de andamiaje</v>
          </cell>
        </row>
        <row r="4049">
          <cell r="A4049">
            <v>30191603</v>
          </cell>
          <cell r="B4049" t="str">
            <v>Piso del andamiaje</v>
          </cell>
        </row>
        <row r="4050">
          <cell r="A4050">
            <v>30201501</v>
          </cell>
          <cell r="B4050" t="str">
            <v>Silos</v>
          </cell>
        </row>
        <row r="4051">
          <cell r="A4051">
            <v>30201502</v>
          </cell>
          <cell r="B4051" t="str">
            <v>Invernaderos</v>
          </cell>
        </row>
        <row r="4052">
          <cell r="A4052">
            <v>30201601</v>
          </cell>
          <cell r="B4052" t="str">
            <v>Casas</v>
          </cell>
        </row>
        <row r="4053">
          <cell r="A4053">
            <v>30201602</v>
          </cell>
          <cell r="B4053" t="str">
            <v>Casas móviles</v>
          </cell>
        </row>
        <row r="4054">
          <cell r="A4054">
            <v>30201603</v>
          </cell>
          <cell r="B4054" t="str">
            <v>Cabañas</v>
          </cell>
        </row>
        <row r="4055">
          <cell r="A4055">
            <v>30201604</v>
          </cell>
          <cell r="B4055" t="str">
            <v>garajes</v>
          </cell>
        </row>
        <row r="4056">
          <cell r="A4056">
            <v>30201605</v>
          </cell>
          <cell r="B4056" t="str">
            <v>Cenador</v>
          </cell>
        </row>
        <row r="4057">
          <cell r="A4057">
            <v>30201606</v>
          </cell>
          <cell r="B4057" t="str">
            <v>Cocinas domésticas</v>
          </cell>
        </row>
        <row r="4058">
          <cell r="A4058">
            <v>30201701</v>
          </cell>
          <cell r="B4058" t="str">
            <v>Oficinas en la fábrica</v>
          </cell>
        </row>
        <row r="4059">
          <cell r="A4059">
            <v>30201702</v>
          </cell>
          <cell r="B4059" t="str">
            <v>Cabinas de rociado</v>
          </cell>
        </row>
        <row r="4060">
          <cell r="A4060">
            <v>30201703</v>
          </cell>
          <cell r="B4060" t="str">
            <v>Cobertizos para almacenaje</v>
          </cell>
        </row>
        <row r="4061">
          <cell r="A4061">
            <v>30201704</v>
          </cell>
          <cell r="B4061" t="str">
            <v>Salas limpias</v>
          </cell>
        </row>
        <row r="4062">
          <cell r="A4062">
            <v>30201705</v>
          </cell>
          <cell r="B4062" t="str">
            <v>Garitas</v>
          </cell>
        </row>
        <row r="4063">
          <cell r="A4063">
            <v>30201706</v>
          </cell>
          <cell r="B4063" t="str">
            <v>Aseos portátiles</v>
          </cell>
        </row>
        <row r="4064">
          <cell r="A4064">
            <v>30201707</v>
          </cell>
          <cell r="B4064" t="str">
            <v>Almacenes</v>
          </cell>
        </row>
        <row r="4065">
          <cell r="A4065">
            <v>30201708</v>
          </cell>
          <cell r="B4065" t="str">
            <v>Auditorio</v>
          </cell>
        </row>
        <row r="4066">
          <cell r="A4066">
            <v>30201710</v>
          </cell>
          <cell r="B4066" t="str">
            <v>Cocinas de oficinas</v>
          </cell>
        </row>
        <row r="4067">
          <cell r="A4067">
            <v>30201711</v>
          </cell>
          <cell r="B4067" t="str">
            <v>Jardín de invierno</v>
          </cell>
        </row>
        <row r="4068">
          <cell r="A4068">
            <v>30201712</v>
          </cell>
          <cell r="B4068" t="str">
            <v>Cabina telefónica</v>
          </cell>
        </row>
        <row r="4069">
          <cell r="A4069">
            <v>30201801</v>
          </cell>
          <cell r="B4069" t="str">
            <v>Refugios</v>
          </cell>
        </row>
        <row r="4070">
          <cell r="A4070">
            <v>30201802</v>
          </cell>
          <cell r="B4070" t="str">
            <v>Tiendas de campaña para emergencias</v>
          </cell>
        </row>
        <row r="4071">
          <cell r="A4071">
            <v>30201803</v>
          </cell>
          <cell r="B4071" t="str">
            <v>Unidades para contenedores</v>
          </cell>
        </row>
        <row r="4072">
          <cell r="A4072">
            <v>30201901</v>
          </cell>
          <cell r="B4072" t="str">
            <v>Unidades médicas</v>
          </cell>
        </row>
        <row r="4073">
          <cell r="A4073">
            <v>30201902</v>
          </cell>
          <cell r="B4073" t="str">
            <v>Unidades de laboratorio</v>
          </cell>
        </row>
        <row r="4074">
          <cell r="A4074">
            <v>30201903</v>
          </cell>
          <cell r="B4074" t="str">
            <v>Unidades dentales</v>
          </cell>
        </row>
        <row r="4075">
          <cell r="A4075">
            <v>30201904</v>
          </cell>
          <cell r="B4075" t="str">
            <v>Unidades quirúrgicas</v>
          </cell>
        </row>
        <row r="4076">
          <cell r="A4076">
            <v>30221001</v>
          </cell>
          <cell r="B4076" t="str">
            <v>Paseos de Tiendas</v>
          </cell>
        </row>
        <row r="4077">
          <cell r="A4077">
            <v>30221002</v>
          </cell>
          <cell r="B4077" t="str">
            <v>Estructuras de aparcamiento</v>
          </cell>
        </row>
        <row r="4078">
          <cell r="A4078">
            <v>30221003</v>
          </cell>
          <cell r="B4078" t="str">
            <v>Cafetería</v>
          </cell>
        </row>
        <row r="4079">
          <cell r="A4079">
            <v>30221004</v>
          </cell>
          <cell r="B4079" t="str">
            <v>Edificios de tiendas</v>
          </cell>
        </row>
        <row r="4080">
          <cell r="A4080">
            <v>30221005</v>
          </cell>
          <cell r="B4080" t="str">
            <v>Centro comercial</v>
          </cell>
        </row>
        <row r="4081">
          <cell r="A4081">
            <v>30221006</v>
          </cell>
          <cell r="B4081" t="str">
            <v>Cantina</v>
          </cell>
        </row>
        <row r="4082">
          <cell r="A4082">
            <v>30221007</v>
          </cell>
          <cell r="B4082" t="str">
            <v>Teatro</v>
          </cell>
        </row>
        <row r="4083">
          <cell r="A4083">
            <v>30221009</v>
          </cell>
          <cell r="B4083" t="str">
            <v>Mercado</v>
          </cell>
        </row>
        <row r="4084">
          <cell r="A4084">
            <v>30221010</v>
          </cell>
          <cell r="B4084" t="str">
            <v>Zona de juegos infantiles</v>
          </cell>
        </row>
        <row r="4085">
          <cell r="A4085">
            <v>30221011</v>
          </cell>
          <cell r="B4085" t="str">
            <v>Zoo</v>
          </cell>
        </row>
        <row r="4086">
          <cell r="A4086">
            <v>30221012</v>
          </cell>
          <cell r="B4086" t="str">
            <v>Jardines</v>
          </cell>
        </row>
        <row r="4087">
          <cell r="A4087">
            <v>30221013</v>
          </cell>
          <cell r="B4087" t="str">
            <v>Parques</v>
          </cell>
        </row>
        <row r="4088">
          <cell r="A4088">
            <v>30221014</v>
          </cell>
          <cell r="B4088" t="str">
            <v>Servicios de recreo al lado del agua</v>
          </cell>
        </row>
        <row r="4089">
          <cell r="A4089">
            <v>30222001</v>
          </cell>
          <cell r="B4089" t="str">
            <v>Puentes de Acero</v>
          </cell>
        </row>
        <row r="4090">
          <cell r="A4090">
            <v>30222002</v>
          </cell>
          <cell r="B4090" t="str">
            <v>Dique Seco</v>
          </cell>
        </row>
        <row r="4091">
          <cell r="A4091">
            <v>30222003</v>
          </cell>
          <cell r="B4091" t="str">
            <v>Estación de autobuses</v>
          </cell>
        </row>
        <row r="4092">
          <cell r="A4092">
            <v>30222004</v>
          </cell>
          <cell r="B4092" t="str">
            <v>Garaje de autobuses</v>
          </cell>
        </row>
        <row r="4093">
          <cell r="A4093">
            <v>30222005</v>
          </cell>
          <cell r="B4093" t="str">
            <v>Edificio del área de servicios</v>
          </cell>
        </row>
        <row r="4094">
          <cell r="A4094">
            <v>30222006</v>
          </cell>
          <cell r="B4094" t="str">
            <v>Estación de tranvías</v>
          </cell>
        </row>
        <row r="4095">
          <cell r="A4095">
            <v>30222007</v>
          </cell>
          <cell r="B4095" t="str">
            <v>Depósito de trenes</v>
          </cell>
        </row>
        <row r="4096">
          <cell r="A4096">
            <v>30222008</v>
          </cell>
          <cell r="B4096" t="str">
            <v>Estación de metro</v>
          </cell>
        </row>
        <row r="4097">
          <cell r="A4097">
            <v>30222009</v>
          </cell>
          <cell r="B4097" t="str">
            <v>Edificio de la estación terminal</v>
          </cell>
        </row>
        <row r="4098">
          <cell r="A4098">
            <v>30222010</v>
          </cell>
          <cell r="B4098" t="str">
            <v>Depósito terminal</v>
          </cell>
        </row>
        <row r="4099">
          <cell r="A4099">
            <v>30222011</v>
          </cell>
          <cell r="B4099" t="str">
            <v>Coches de tranvías</v>
          </cell>
        </row>
        <row r="4100">
          <cell r="A4100">
            <v>30222012</v>
          </cell>
          <cell r="B4100" t="str">
            <v>Edificio del aeropuerto</v>
          </cell>
        </row>
        <row r="4101">
          <cell r="A4101">
            <v>30222013</v>
          </cell>
          <cell r="B4101" t="str">
            <v>Torre de control del aeropuerto</v>
          </cell>
        </row>
        <row r="4102">
          <cell r="A4102">
            <v>30222014</v>
          </cell>
          <cell r="B4102" t="str">
            <v>Campo de aterrizaje</v>
          </cell>
        </row>
        <row r="4103">
          <cell r="A4103">
            <v>30222015</v>
          </cell>
          <cell r="B4103" t="str">
            <v>Pista de rodadura</v>
          </cell>
        </row>
        <row r="4104">
          <cell r="A4104">
            <v>30222016</v>
          </cell>
          <cell r="B4104" t="str">
            <v>Aparcamiento</v>
          </cell>
        </row>
        <row r="4105">
          <cell r="A4105">
            <v>30222017</v>
          </cell>
          <cell r="B4105" t="str">
            <v>Muelle de embarque</v>
          </cell>
        </row>
        <row r="4106">
          <cell r="A4106">
            <v>30222018</v>
          </cell>
          <cell r="B4106" t="str">
            <v>Zona de acople con pasillos móviles</v>
          </cell>
        </row>
        <row r="4107">
          <cell r="A4107">
            <v>30222019</v>
          </cell>
          <cell r="B4107" t="str">
            <v>Embarcadero</v>
          </cell>
        </row>
        <row r="4108">
          <cell r="A4108">
            <v>30222020</v>
          </cell>
          <cell r="B4108" t="str">
            <v>Marina</v>
          </cell>
        </row>
        <row r="4109">
          <cell r="A4109">
            <v>30222021</v>
          </cell>
          <cell r="B4109" t="str">
            <v>Puerto deportivo</v>
          </cell>
        </row>
        <row r="4110">
          <cell r="A4110">
            <v>30222022</v>
          </cell>
          <cell r="B4110" t="str">
            <v>Rompeolas</v>
          </cell>
        </row>
        <row r="4111">
          <cell r="A4111">
            <v>30222023</v>
          </cell>
          <cell r="B4111" t="str">
            <v>Malecón</v>
          </cell>
        </row>
        <row r="4112">
          <cell r="A4112">
            <v>30222024</v>
          </cell>
          <cell r="B4112" t="str">
            <v>Edificio de la terminal del ferry</v>
          </cell>
        </row>
        <row r="4113">
          <cell r="A4113">
            <v>30222025</v>
          </cell>
          <cell r="B4113" t="str">
            <v>Terminal de carga rodante</v>
          </cell>
        </row>
        <row r="4114">
          <cell r="A4114">
            <v>30222026</v>
          </cell>
          <cell r="B4114" t="str">
            <v>Faro</v>
          </cell>
        </row>
        <row r="4115">
          <cell r="A4115">
            <v>30222027</v>
          </cell>
          <cell r="B4115" t="str">
            <v>Puente de carretera</v>
          </cell>
        </row>
        <row r="4116">
          <cell r="A4116">
            <v>30222028</v>
          </cell>
          <cell r="B4116" t="str">
            <v>Puente de ferrocarril</v>
          </cell>
        </row>
        <row r="4117">
          <cell r="A4117">
            <v>30222029</v>
          </cell>
          <cell r="B4117" t="str">
            <v>Puente para peatones</v>
          </cell>
        </row>
        <row r="4118">
          <cell r="A4118">
            <v>30222030</v>
          </cell>
          <cell r="B4118" t="str">
            <v>Viaducto para carretera</v>
          </cell>
        </row>
        <row r="4119">
          <cell r="A4119">
            <v>30222031</v>
          </cell>
          <cell r="B4119" t="str">
            <v>Viaducto para el tren</v>
          </cell>
        </row>
        <row r="4120">
          <cell r="A4120">
            <v>30222032</v>
          </cell>
          <cell r="B4120" t="str">
            <v>Paso subterráneo</v>
          </cell>
        </row>
        <row r="4121">
          <cell r="A4121">
            <v>30222033</v>
          </cell>
          <cell r="B4121" t="str">
            <v>Paso elevado</v>
          </cell>
        </row>
        <row r="4122">
          <cell r="A4122">
            <v>30222034</v>
          </cell>
          <cell r="B4122" t="str">
            <v>Túnel</v>
          </cell>
        </row>
        <row r="4123">
          <cell r="A4123">
            <v>30222035</v>
          </cell>
          <cell r="B4123" t="str">
            <v>Acueductos</v>
          </cell>
        </row>
        <row r="4124">
          <cell r="A4124">
            <v>30222036</v>
          </cell>
          <cell r="B4124" t="str">
            <v>Túnel para carretea</v>
          </cell>
        </row>
        <row r="4125">
          <cell r="A4125">
            <v>30222037</v>
          </cell>
          <cell r="B4125" t="str">
            <v>Túnel para ferrocarril</v>
          </cell>
        </row>
        <row r="4126">
          <cell r="A4126">
            <v>30222038</v>
          </cell>
          <cell r="B4126" t="str">
            <v>Túnel para peatones</v>
          </cell>
        </row>
        <row r="4127">
          <cell r="A4127">
            <v>30222039</v>
          </cell>
          <cell r="B4127" t="str">
            <v>Túnel para canal</v>
          </cell>
        </row>
        <row r="4128">
          <cell r="A4128">
            <v>30222040</v>
          </cell>
          <cell r="B4128" t="str">
            <v>Túnel para conducir un río</v>
          </cell>
        </row>
        <row r="4129">
          <cell r="A4129">
            <v>30222041</v>
          </cell>
          <cell r="B4129" t="str">
            <v>Túnel submarino</v>
          </cell>
        </row>
        <row r="4130">
          <cell r="A4130">
            <v>30222042</v>
          </cell>
          <cell r="B4130" t="str">
            <v>Autopista</v>
          </cell>
        </row>
        <row r="4131">
          <cell r="A4131">
            <v>30222043</v>
          </cell>
          <cell r="B4131" t="str">
            <v>Cruce de carreteras</v>
          </cell>
        </row>
        <row r="4132">
          <cell r="A4132">
            <v>30222044</v>
          </cell>
          <cell r="B4132" t="str">
            <v>Anillo de carretera</v>
          </cell>
        </row>
        <row r="4133">
          <cell r="A4133">
            <v>30222045</v>
          </cell>
          <cell r="B4133" t="str">
            <v>Carretera principal</v>
          </cell>
        </row>
        <row r="4134">
          <cell r="A4134">
            <v>30222046</v>
          </cell>
          <cell r="B4134" t="str">
            <v>Carretera secundaria</v>
          </cell>
        </row>
        <row r="4135">
          <cell r="A4135">
            <v>30222047</v>
          </cell>
          <cell r="B4135" t="str">
            <v>Carretera de acceso</v>
          </cell>
        </row>
        <row r="4136">
          <cell r="A4136">
            <v>30222048</v>
          </cell>
          <cell r="B4136" t="str">
            <v>Carretera bifurcada</v>
          </cell>
        </row>
        <row r="4137">
          <cell r="A4137">
            <v>30222049</v>
          </cell>
          <cell r="B4137" t="str">
            <v>Doble carril</v>
          </cell>
        </row>
        <row r="4138">
          <cell r="A4138">
            <v>30222050</v>
          </cell>
          <cell r="B4138" t="str">
            <v>Simple carril</v>
          </cell>
        </row>
        <row r="4139">
          <cell r="A4139">
            <v>30222051</v>
          </cell>
          <cell r="B4139" t="str">
            <v>Encuentro de carreteras</v>
          </cell>
        </row>
        <row r="4140">
          <cell r="A4140">
            <v>30222052</v>
          </cell>
          <cell r="B4140" t="str">
            <v>Paso de peatones</v>
          </cell>
        </row>
        <row r="4141">
          <cell r="A4141">
            <v>30222053</v>
          </cell>
          <cell r="B4141" t="str">
            <v>Paso elevado para peatones</v>
          </cell>
        </row>
        <row r="4142">
          <cell r="A4142">
            <v>30222054</v>
          </cell>
          <cell r="B4142" t="str">
            <v>Sendero de caminantes</v>
          </cell>
        </row>
        <row r="4143">
          <cell r="A4143">
            <v>30222055</v>
          </cell>
          <cell r="B4143" t="str">
            <v>Sendero de bicicletas</v>
          </cell>
        </row>
        <row r="4144">
          <cell r="A4144">
            <v>30222056</v>
          </cell>
          <cell r="B4144" t="str">
            <v>Puente para pasar un oleoducto</v>
          </cell>
        </row>
        <row r="4145">
          <cell r="A4145">
            <v>30222057</v>
          </cell>
          <cell r="B4145" t="str">
            <v>Oleoducto</v>
          </cell>
        </row>
        <row r="4146">
          <cell r="A4146">
            <v>30222058</v>
          </cell>
          <cell r="B4146" t="str">
            <v>Estación de bombeo</v>
          </cell>
        </row>
        <row r="4147">
          <cell r="A4147">
            <v>30222059</v>
          </cell>
          <cell r="B4147" t="str">
            <v>Estaciones de bombeo alcantarillado</v>
          </cell>
        </row>
        <row r="4148">
          <cell r="A4148">
            <v>30222060</v>
          </cell>
          <cell r="B4148" t="str">
            <v>Sumidero de alcantarilla</v>
          </cell>
        </row>
        <row r="4149">
          <cell r="A4149">
            <v>30222061</v>
          </cell>
          <cell r="B4149" t="str">
            <v>Terreno de aparcamiento</v>
          </cell>
        </row>
        <row r="4150">
          <cell r="A4150">
            <v>30222063</v>
          </cell>
          <cell r="B4150" t="str">
            <v>Area de servicios de carretera</v>
          </cell>
        </row>
        <row r="4151">
          <cell r="A4151">
            <v>30222101</v>
          </cell>
          <cell r="B4151" t="str">
            <v>Oficina de correos</v>
          </cell>
        </row>
        <row r="4152">
          <cell r="A4152">
            <v>30222102</v>
          </cell>
          <cell r="B4152" t="str">
            <v>Banco</v>
          </cell>
        </row>
        <row r="4153">
          <cell r="A4153">
            <v>30222103</v>
          </cell>
          <cell r="B4153" t="str">
            <v>Comisaría de policía</v>
          </cell>
        </row>
        <row r="4154">
          <cell r="A4154">
            <v>30222104</v>
          </cell>
          <cell r="B4154" t="str">
            <v>Palacio de justicia</v>
          </cell>
        </row>
        <row r="4155">
          <cell r="A4155">
            <v>30222105</v>
          </cell>
          <cell r="B4155" t="str">
            <v>Edificio de la cárcel</v>
          </cell>
        </row>
        <row r="4156">
          <cell r="A4156">
            <v>30222106</v>
          </cell>
          <cell r="B4156" t="str">
            <v>Estación de bomberos</v>
          </cell>
        </row>
        <row r="4157">
          <cell r="A4157">
            <v>30222107</v>
          </cell>
          <cell r="B4157" t="str">
            <v>Estación de ambulancias</v>
          </cell>
        </row>
        <row r="4158">
          <cell r="A4158">
            <v>30222108</v>
          </cell>
          <cell r="B4158" t="str">
            <v>Edificio para albergue de montaña</v>
          </cell>
        </row>
        <row r="4159">
          <cell r="A4159">
            <v>30222109</v>
          </cell>
          <cell r="B4159" t="str">
            <v>Estación de barcos de socorro</v>
          </cell>
        </row>
        <row r="4160">
          <cell r="A4160">
            <v>30222110</v>
          </cell>
          <cell r="B4160" t="str">
            <v>Edificio de los guardacostas</v>
          </cell>
        </row>
        <row r="4161">
          <cell r="A4161">
            <v>30222111</v>
          </cell>
          <cell r="B4161" t="str">
            <v>Estación de servicios de rescate</v>
          </cell>
        </row>
        <row r="4162">
          <cell r="A4162">
            <v>30222112</v>
          </cell>
          <cell r="B4162" t="str">
            <v>Centro cívico</v>
          </cell>
        </row>
        <row r="4163">
          <cell r="A4163">
            <v>30222113</v>
          </cell>
          <cell r="B4163" t="str">
            <v>Crematorio</v>
          </cell>
        </row>
        <row r="4164">
          <cell r="A4164">
            <v>30222114</v>
          </cell>
          <cell r="B4164" t="str">
            <v>Galería de arte</v>
          </cell>
        </row>
        <row r="4165">
          <cell r="A4165">
            <v>30222115</v>
          </cell>
          <cell r="B4165" t="str">
            <v>Monumentos prehistóricos</v>
          </cell>
        </row>
        <row r="4166">
          <cell r="A4166">
            <v>30222116</v>
          </cell>
          <cell r="B4166" t="str">
            <v>Oficina de admisión</v>
          </cell>
        </row>
        <row r="4167">
          <cell r="A4167">
            <v>30222201</v>
          </cell>
          <cell r="B4167" t="str">
            <v>Estación de radar</v>
          </cell>
        </row>
        <row r="4168">
          <cell r="A4168">
            <v>30222202</v>
          </cell>
          <cell r="B4168" t="str">
            <v>Subestación</v>
          </cell>
        </row>
        <row r="4169">
          <cell r="A4169">
            <v>30222203</v>
          </cell>
          <cell r="B4169" t="str">
            <v>Estación de energía nuclear</v>
          </cell>
        </row>
        <row r="4170">
          <cell r="A4170">
            <v>30222204</v>
          </cell>
          <cell r="B4170" t="str">
            <v>Depósito elevado de agua</v>
          </cell>
        </row>
        <row r="4171">
          <cell r="A4171">
            <v>30222205</v>
          </cell>
          <cell r="B4171" t="str">
            <v>Aljibes</v>
          </cell>
        </row>
        <row r="4172">
          <cell r="A4172">
            <v>30222206</v>
          </cell>
          <cell r="B4172" t="str">
            <v>Estación móvil de telefonía</v>
          </cell>
        </row>
        <row r="4173">
          <cell r="A4173">
            <v>30222207</v>
          </cell>
          <cell r="B4173" t="str">
            <v>Presa</v>
          </cell>
        </row>
        <row r="4174">
          <cell r="A4174">
            <v>30222208</v>
          </cell>
          <cell r="B4174" t="str">
            <v>Plataformas petroleras o de gas</v>
          </cell>
        </row>
        <row r="4175">
          <cell r="A4175">
            <v>30222301</v>
          </cell>
          <cell r="B4175" t="str">
            <v>Escuelas</v>
          </cell>
        </row>
        <row r="4176">
          <cell r="A4176">
            <v>30222302</v>
          </cell>
          <cell r="B4176" t="str">
            <v>Politécnico</v>
          </cell>
        </row>
        <row r="4177">
          <cell r="A4177">
            <v>30222303</v>
          </cell>
          <cell r="B4177" t="str">
            <v>Centro de formación profesional</v>
          </cell>
        </row>
        <row r="4178">
          <cell r="A4178">
            <v>30222304</v>
          </cell>
          <cell r="B4178" t="str">
            <v>Sala de conferencias</v>
          </cell>
        </row>
        <row r="4179">
          <cell r="A4179">
            <v>30222305</v>
          </cell>
          <cell r="B4179" t="str">
            <v>Biblioteca</v>
          </cell>
        </row>
        <row r="4180">
          <cell r="A4180">
            <v>30222306</v>
          </cell>
          <cell r="B4180" t="str">
            <v>Laboratorio de lenguas</v>
          </cell>
        </row>
        <row r="4181">
          <cell r="A4181">
            <v>30222307</v>
          </cell>
          <cell r="B4181" t="str">
            <v>Edificio para laboratorios</v>
          </cell>
        </row>
        <row r="4182">
          <cell r="A4182">
            <v>30222308</v>
          </cell>
          <cell r="B4182" t="str">
            <v>Estaciones meteorológicas</v>
          </cell>
        </row>
        <row r="4183">
          <cell r="A4183">
            <v>30222309</v>
          </cell>
          <cell r="B4183" t="str">
            <v>Servicios de investigación o medición</v>
          </cell>
        </row>
        <row r="4184">
          <cell r="A4184">
            <v>30222401</v>
          </cell>
          <cell r="B4184" t="str">
            <v>Clínica</v>
          </cell>
        </row>
        <row r="4185">
          <cell r="A4185">
            <v>30222402</v>
          </cell>
          <cell r="B4185" t="str">
            <v>Guardería infantil</v>
          </cell>
        </row>
        <row r="4186">
          <cell r="A4186">
            <v>30222403</v>
          </cell>
          <cell r="B4186" t="str">
            <v>Teatro operativo</v>
          </cell>
        </row>
        <row r="4187">
          <cell r="A4187">
            <v>30222404</v>
          </cell>
          <cell r="B4187" t="str">
            <v>Unidad de cuidados intensivos</v>
          </cell>
        </row>
        <row r="4188">
          <cell r="A4188">
            <v>30222405</v>
          </cell>
          <cell r="B4188" t="str">
            <v>Sala de diagnóstico radiológico</v>
          </cell>
        </row>
        <row r="4189">
          <cell r="A4189">
            <v>30222406</v>
          </cell>
          <cell r="B4189" t="str">
            <v>Sala de radiología</v>
          </cell>
        </row>
        <row r="4190">
          <cell r="A4190">
            <v>30222407</v>
          </cell>
          <cell r="B4190" t="str">
            <v>Sala de fluoroscopia</v>
          </cell>
        </row>
        <row r="4191">
          <cell r="A4191">
            <v>30222408</v>
          </cell>
          <cell r="B4191" t="str">
            <v>Sala de patología</v>
          </cell>
        </row>
        <row r="4192">
          <cell r="A4192">
            <v>30222409</v>
          </cell>
          <cell r="B4192" t="str">
            <v>Sala de cateterismo</v>
          </cell>
        </row>
        <row r="4193">
          <cell r="A4193">
            <v>30222501</v>
          </cell>
          <cell r="B4193" t="str">
            <v>Casas residenciales</v>
          </cell>
        </row>
        <row r="4194">
          <cell r="A4194">
            <v>30222502</v>
          </cell>
          <cell r="B4194" t="str">
            <v>Pisos</v>
          </cell>
        </row>
        <row r="4195">
          <cell r="A4195">
            <v>30222503</v>
          </cell>
          <cell r="B4195" t="str">
            <v>Orfanato</v>
          </cell>
        </row>
        <row r="4196">
          <cell r="A4196">
            <v>30222504</v>
          </cell>
          <cell r="B4196" t="str">
            <v>Centro de asistencia de día</v>
          </cell>
        </row>
        <row r="4197">
          <cell r="A4197">
            <v>30222505</v>
          </cell>
          <cell r="B4197" t="str">
            <v>Residencia de jubilados</v>
          </cell>
        </row>
        <row r="4198">
          <cell r="A4198">
            <v>30222506</v>
          </cell>
          <cell r="B4198" t="str">
            <v>Residencia de ancianos</v>
          </cell>
        </row>
        <row r="4199">
          <cell r="A4199">
            <v>30222507</v>
          </cell>
          <cell r="B4199" t="str">
            <v>Hotel</v>
          </cell>
        </row>
        <row r="4200">
          <cell r="A4200">
            <v>30222601</v>
          </cell>
          <cell r="B4200" t="str">
            <v>Estadio</v>
          </cell>
        </row>
        <row r="4201">
          <cell r="A4201">
            <v>30222602</v>
          </cell>
          <cell r="B4201" t="str">
            <v>Campo de deportes</v>
          </cell>
        </row>
        <row r="4202">
          <cell r="A4202">
            <v>30222603</v>
          </cell>
          <cell r="B4202" t="str">
            <v>Pista de carreras</v>
          </cell>
        </row>
        <row r="4203">
          <cell r="A4203">
            <v>30222604</v>
          </cell>
          <cell r="B4203" t="str">
            <v>Pabellón deportivo</v>
          </cell>
        </row>
        <row r="4204">
          <cell r="A4204">
            <v>30222605</v>
          </cell>
          <cell r="B4204" t="str">
            <v>Balneario</v>
          </cell>
        </row>
        <row r="4205">
          <cell r="A4205">
            <v>30222606</v>
          </cell>
          <cell r="B4205" t="str">
            <v>Gimnasio</v>
          </cell>
        </row>
        <row r="4206">
          <cell r="A4206">
            <v>30222607</v>
          </cell>
          <cell r="B4206" t="str">
            <v>Piscina de natación</v>
          </cell>
        </row>
        <row r="4207">
          <cell r="A4207">
            <v>30222608</v>
          </cell>
          <cell r="B4207" t="str">
            <v>Servicios de deportes acuáticos</v>
          </cell>
        </row>
        <row r="4208">
          <cell r="A4208">
            <v>30222701</v>
          </cell>
          <cell r="B4208" t="str">
            <v>Oficinas</v>
          </cell>
        </row>
        <row r="4209">
          <cell r="A4209">
            <v>30222702</v>
          </cell>
          <cell r="B4209" t="str">
            <v>Instalaciones de almacenamiento en frío</v>
          </cell>
        </row>
        <row r="4210">
          <cell r="A4210">
            <v>30222703</v>
          </cell>
          <cell r="B4210" t="str">
            <v>Mercancías de almacén</v>
          </cell>
        </row>
        <row r="4211">
          <cell r="A4211">
            <v>30222801</v>
          </cell>
          <cell r="B4211" t="str">
            <v>Granero</v>
          </cell>
        </row>
        <row r="4212">
          <cell r="A4212">
            <v>30222802</v>
          </cell>
          <cell r="B4212" t="str">
            <v>Vaquería</v>
          </cell>
        </row>
        <row r="4213">
          <cell r="A4213">
            <v>30222803</v>
          </cell>
          <cell r="B4213" t="str">
            <v>Canal de riego</v>
          </cell>
        </row>
        <row r="4214">
          <cell r="A4214">
            <v>30222901</v>
          </cell>
          <cell r="B4214" t="str">
            <v>Casamata militar</v>
          </cell>
        </row>
        <row r="4215">
          <cell r="A4215">
            <v>30222902</v>
          </cell>
          <cell r="B4215" t="str">
            <v>Refugio militar</v>
          </cell>
        </row>
        <row r="4216">
          <cell r="A4216">
            <v>30222903</v>
          </cell>
          <cell r="B4216" t="str">
            <v>Barracones</v>
          </cell>
        </row>
        <row r="4217">
          <cell r="A4217">
            <v>30222904</v>
          </cell>
          <cell r="B4217" t="str">
            <v>Comedor de oficiales</v>
          </cell>
        </row>
        <row r="4218">
          <cell r="A4218">
            <v>30223001</v>
          </cell>
          <cell r="B4218" t="str">
            <v>Capillas</v>
          </cell>
        </row>
        <row r="4219">
          <cell r="A4219">
            <v>30223002</v>
          </cell>
          <cell r="B4219" t="str">
            <v>Templos</v>
          </cell>
        </row>
        <row r="4220">
          <cell r="A4220">
            <v>30223003</v>
          </cell>
          <cell r="B4220" t="str">
            <v>Mezquitas</v>
          </cell>
        </row>
        <row r="4221">
          <cell r="A4221">
            <v>31101501</v>
          </cell>
          <cell r="B4221" t="str">
            <v>Piezas de aluminio fundidas a presión</v>
          </cell>
        </row>
        <row r="4222">
          <cell r="A4222">
            <v>31101502</v>
          </cell>
          <cell r="B4222" t="str">
            <v>Piezas de aleación ferrosa fundidas a presión</v>
          </cell>
        </row>
        <row r="4223">
          <cell r="A4223">
            <v>31101503</v>
          </cell>
          <cell r="B4223" t="str">
            <v>Piezas de hierro fundidas a presión</v>
          </cell>
        </row>
        <row r="4224">
          <cell r="A4224">
            <v>31101504</v>
          </cell>
          <cell r="B4224" t="str">
            <v>Piezas de aleación no ferrosa fundidas a presión</v>
          </cell>
        </row>
        <row r="4225">
          <cell r="A4225">
            <v>31101505</v>
          </cell>
          <cell r="B4225" t="str">
            <v>Piezas de acero inoxidable fundidas a presión</v>
          </cell>
        </row>
        <row r="4226">
          <cell r="A4226">
            <v>31101506</v>
          </cell>
          <cell r="B4226" t="str">
            <v>Piezas de acero fundidas a presión</v>
          </cell>
        </row>
        <row r="4227">
          <cell r="A4227">
            <v>31101507</v>
          </cell>
          <cell r="B4227" t="str">
            <v>Piezas de magnesio fundidas a presión</v>
          </cell>
        </row>
        <row r="4228">
          <cell r="A4228">
            <v>31101508</v>
          </cell>
          <cell r="B4228" t="str">
            <v>Piezas de cinc fundidas a presión</v>
          </cell>
        </row>
        <row r="4229">
          <cell r="A4229">
            <v>31101509</v>
          </cell>
          <cell r="B4229" t="str">
            <v>Piezas de estaño fundidas a presión</v>
          </cell>
        </row>
        <row r="4230">
          <cell r="A4230">
            <v>31101510</v>
          </cell>
          <cell r="B4230" t="str">
            <v>Piezas de titanio fundidas a presión</v>
          </cell>
        </row>
        <row r="4231">
          <cell r="A4231">
            <v>31101511</v>
          </cell>
          <cell r="B4231" t="str">
            <v>Piezas de berilio fundidas a presión</v>
          </cell>
        </row>
        <row r="4232">
          <cell r="A4232">
            <v>31101512</v>
          </cell>
          <cell r="B4232" t="str">
            <v>Piezas de metal precioso fundidas a presión</v>
          </cell>
        </row>
        <row r="4233">
          <cell r="A4233">
            <v>31101513</v>
          </cell>
          <cell r="B4233" t="str">
            <v>Piezas de cobre fundidas a presión</v>
          </cell>
        </row>
        <row r="4234">
          <cell r="A4234">
            <v>31101514</v>
          </cell>
          <cell r="B4234" t="str">
            <v>Piezas de plomo fundidas a presión</v>
          </cell>
        </row>
        <row r="4235">
          <cell r="A4235">
            <v>31101515</v>
          </cell>
          <cell r="B4235" t="str">
            <v>Piezas de latón fundidas a presión</v>
          </cell>
        </row>
        <row r="4236">
          <cell r="A4236">
            <v>31101516</v>
          </cell>
          <cell r="B4236" t="str">
            <v>Piezas de bronce fundidas a presión</v>
          </cell>
        </row>
        <row r="4237">
          <cell r="A4237">
            <v>31101601</v>
          </cell>
          <cell r="B4237" t="str">
            <v>Fundición en arena de aleación no ferrosa</v>
          </cell>
        </row>
        <row r="4238">
          <cell r="A4238">
            <v>31101602</v>
          </cell>
          <cell r="B4238" t="str">
            <v>Fundición en arena de aleación ferrosa</v>
          </cell>
        </row>
        <row r="4239">
          <cell r="A4239">
            <v>31101603</v>
          </cell>
          <cell r="B4239" t="str">
            <v>Fundición en arena de acero</v>
          </cell>
        </row>
        <row r="4240">
          <cell r="A4240">
            <v>31101604</v>
          </cell>
          <cell r="B4240" t="str">
            <v>Fundición en arena de acero inoxidable</v>
          </cell>
        </row>
        <row r="4241">
          <cell r="A4241">
            <v>31101605</v>
          </cell>
          <cell r="B4241" t="str">
            <v>Moldeos en arena de hierro</v>
          </cell>
        </row>
        <row r="4242">
          <cell r="A4242">
            <v>31101606</v>
          </cell>
          <cell r="B4242" t="str">
            <v>Fundición en arena de aluminio</v>
          </cell>
        </row>
        <row r="4243">
          <cell r="A4243">
            <v>31101607</v>
          </cell>
          <cell r="B4243" t="str">
            <v>Fundición en arena de magnesio</v>
          </cell>
        </row>
        <row r="4244">
          <cell r="A4244">
            <v>31101608</v>
          </cell>
          <cell r="B4244" t="str">
            <v>Fundición en arena de titanio</v>
          </cell>
        </row>
        <row r="4245">
          <cell r="A4245">
            <v>31101609</v>
          </cell>
          <cell r="B4245" t="str">
            <v>Fundición en arena de berilio</v>
          </cell>
        </row>
        <row r="4246">
          <cell r="A4246">
            <v>31101610</v>
          </cell>
          <cell r="B4246" t="str">
            <v>Fundición en arena de cobre</v>
          </cell>
        </row>
        <row r="4247">
          <cell r="A4247">
            <v>31101611</v>
          </cell>
          <cell r="B4247" t="str">
            <v>Fundición en arena de latón</v>
          </cell>
        </row>
        <row r="4248">
          <cell r="A4248">
            <v>31101612</v>
          </cell>
          <cell r="B4248" t="str">
            <v>Fundición en arena de bronce</v>
          </cell>
        </row>
        <row r="4249">
          <cell r="A4249">
            <v>31101613</v>
          </cell>
          <cell r="B4249" t="str">
            <v>Fundición en arena de zinc</v>
          </cell>
        </row>
        <row r="4250">
          <cell r="A4250">
            <v>31101614</v>
          </cell>
          <cell r="B4250" t="str">
            <v>Fundición en arena de estaño</v>
          </cell>
        </row>
        <row r="4251">
          <cell r="A4251">
            <v>31101615</v>
          </cell>
          <cell r="B4251" t="str">
            <v>Fundición en arena de plomo</v>
          </cell>
        </row>
        <row r="4252">
          <cell r="A4252">
            <v>31101616</v>
          </cell>
          <cell r="B4252" t="str">
            <v>Fundición en arena de metal precioso</v>
          </cell>
        </row>
        <row r="4253">
          <cell r="A4253">
            <v>31101701</v>
          </cell>
          <cell r="B4253" t="str">
            <v>Objetos de aleación no ferrosa fundidos en molde fijo</v>
          </cell>
        </row>
        <row r="4254">
          <cell r="A4254">
            <v>31101702</v>
          </cell>
          <cell r="B4254" t="str">
            <v>Objetos de aleación ferrosa fundidos en molde fijo</v>
          </cell>
        </row>
        <row r="4255">
          <cell r="A4255">
            <v>31101703</v>
          </cell>
          <cell r="B4255" t="str">
            <v>Objetos de acero fundidos en molde fijo</v>
          </cell>
        </row>
        <row r="4256">
          <cell r="A4256">
            <v>31101704</v>
          </cell>
          <cell r="B4256" t="str">
            <v>Objetos de acero inoxidable fundidos en molde fijo</v>
          </cell>
        </row>
        <row r="4257">
          <cell r="A4257">
            <v>31101705</v>
          </cell>
          <cell r="B4257" t="str">
            <v>Objetos de hierro fundidos en molde fijo</v>
          </cell>
        </row>
        <row r="4258">
          <cell r="A4258">
            <v>31101706</v>
          </cell>
          <cell r="B4258" t="str">
            <v>Objetos de aluminio fundidos en molde fijo</v>
          </cell>
        </row>
        <row r="4259">
          <cell r="A4259">
            <v>31101707</v>
          </cell>
          <cell r="B4259" t="str">
            <v>Objetos de magnesio fundidos en molde fijo</v>
          </cell>
        </row>
        <row r="4260">
          <cell r="A4260">
            <v>31101708</v>
          </cell>
          <cell r="B4260" t="str">
            <v>Objetos de titanio fundidos en molde fijo</v>
          </cell>
        </row>
        <row r="4261">
          <cell r="A4261">
            <v>31101709</v>
          </cell>
          <cell r="B4261" t="str">
            <v>Objetos de berilio fundidos en molde fijo</v>
          </cell>
        </row>
        <row r="4262">
          <cell r="A4262">
            <v>31101710</v>
          </cell>
          <cell r="B4262" t="str">
            <v>Objetos de cobre fundidos en molde fijo</v>
          </cell>
        </row>
        <row r="4263">
          <cell r="A4263">
            <v>31101711</v>
          </cell>
          <cell r="B4263" t="str">
            <v>Objetos de latón fundidos en molde fijo</v>
          </cell>
        </row>
        <row r="4264">
          <cell r="A4264">
            <v>31101712</v>
          </cell>
          <cell r="B4264" t="str">
            <v>Objetos de bronce fundidos en molde fijo</v>
          </cell>
        </row>
        <row r="4265">
          <cell r="A4265">
            <v>31101713</v>
          </cell>
          <cell r="B4265" t="str">
            <v>Objetos de zinc fundidos en molde fijo</v>
          </cell>
        </row>
        <row r="4266">
          <cell r="A4266">
            <v>31101714</v>
          </cell>
          <cell r="B4266" t="str">
            <v>Objetos de estaño fundidos en molde fijo</v>
          </cell>
        </row>
        <row r="4267">
          <cell r="A4267">
            <v>31101715</v>
          </cell>
          <cell r="B4267" t="str">
            <v>Objetos de plomo fundidos en molde fijo</v>
          </cell>
        </row>
        <row r="4268">
          <cell r="A4268">
            <v>31101716</v>
          </cell>
          <cell r="B4268" t="str">
            <v>Objetos de metal precioso fundidos en molde fijo</v>
          </cell>
        </row>
        <row r="4269">
          <cell r="A4269">
            <v>31101801</v>
          </cell>
          <cell r="B4269" t="str">
            <v>Objetos de aleación no ferrosa fundidos por moldeo en cáscara</v>
          </cell>
        </row>
        <row r="4270">
          <cell r="A4270">
            <v>31101802</v>
          </cell>
          <cell r="B4270" t="str">
            <v>Objetos de aleación ferrosa fundidos por moldeo en cáscara</v>
          </cell>
        </row>
        <row r="4271">
          <cell r="A4271">
            <v>31101803</v>
          </cell>
          <cell r="B4271" t="str">
            <v>Objetos de acero fundidos por moldeo en cáscara</v>
          </cell>
        </row>
        <row r="4272">
          <cell r="A4272">
            <v>31101804</v>
          </cell>
          <cell r="B4272" t="str">
            <v>Objetos de acero inoxidable fundidos por moldeo en cáscara</v>
          </cell>
        </row>
        <row r="4273">
          <cell r="A4273">
            <v>31101805</v>
          </cell>
          <cell r="B4273" t="str">
            <v>Piezas de hierro fundidas por moldeo en cáscara</v>
          </cell>
        </row>
        <row r="4274">
          <cell r="A4274">
            <v>31101806</v>
          </cell>
          <cell r="B4274" t="str">
            <v>Objetos de aluminio fundidos por moldeo en cáscara</v>
          </cell>
        </row>
        <row r="4275">
          <cell r="A4275">
            <v>31101807</v>
          </cell>
          <cell r="B4275" t="str">
            <v>Objetos de magnesio fundidos por moldeo en cáscara</v>
          </cell>
        </row>
        <row r="4276">
          <cell r="A4276">
            <v>31101808</v>
          </cell>
          <cell r="B4276" t="str">
            <v>Objetos de titanio fundidos por moldeo en cáscara</v>
          </cell>
        </row>
        <row r="4277">
          <cell r="A4277">
            <v>31101809</v>
          </cell>
          <cell r="B4277" t="str">
            <v>Objetos de berilio fundidos por moldeo en cáscara</v>
          </cell>
        </row>
        <row r="4278">
          <cell r="A4278">
            <v>31101810</v>
          </cell>
          <cell r="B4278" t="str">
            <v>Objetos de cobre fundidos por moldeo en cáscara</v>
          </cell>
        </row>
        <row r="4279">
          <cell r="A4279">
            <v>31101811</v>
          </cell>
          <cell r="B4279" t="str">
            <v>Objetos de latón fundidos por moldeo en cáscara</v>
          </cell>
        </row>
        <row r="4280">
          <cell r="A4280">
            <v>31101812</v>
          </cell>
          <cell r="B4280" t="str">
            <v>Objetos de bronce fundidos por moldeo en cáscara</v>
          </cell>
        </row>
        <row r="4281">
          <cell r="A4281">
            <v>31101813</v>
          </cell>
          <cell r="B4281" t="str">
            <v>Objetos de zinc fundidos por moldeo en cáscara</v>
          </cell>
        </row>
        <row r="4282">
          <cell r="A4282">
            <v>31101814</v>
          </cell>
          <cell r="B4282" t="str">
            <v>Objetos de estaño fundidos por moldeo en cáscara</v>
          </cell>
        </row>
        <row r="4283">
          <cell r="A4283">
            <v>31101815</v>
          </cell>
          <cell r="B4283" t="str">
            <v>Objetos de plomo fundidos por moldeo en cáscara</v>
          </cell>
        </row>
        <row r="4284">
          <cell r="A4284">
            <v>31101816</v>
          </cell>
          <cell r="B4284" t="str">
            <v>Objetos de metal precioso fundidos por moldeo en cáscara</v>
          </cell>
        </row>
        <row r="4285">
          <cell r="A4285">
            <v>31101901</v>
          </cell>
          <cell r="B4285" t="str">
            <v>Objetos de aleación no ferrosa fundidos a la cera perdida</v>
          </cell>
        </row>
        <row r="4286">
          <cell r="A4286">
            <v>31101902</v>
          </cell>
          <cell r="B4286" t="str">
            <v>Objetos de aleación ferrosa fundidos a la cera perdida</v>
          </cell>
        </row>
        <row r="4287">
          <cell r="A4287">
            <v>31101903</v>
          </cell>
          <cell r="B4287" t="str">
            <v>Objetos de acero fundidos a la cera perdida</v>
          </cell>
        </row>
        <row r="4288">
          <cell r="A4288">
            <v>31101904</v>
          </cell>
          <cell r="B4288" t="str">
            <v>Objetos de acero inoxidable fundidos a la cera perdida</v>
          </cell>
        </row>
        <row r="4289">
          <cell r="A4289">
            <v>31101905</v>
          </cell>
          <cell r="B4289" t="str">
            <v>Objetos de hierro fundidos a la cera perdida</v>
          </cell>
        </row>
        <row r="4290">
          <cell r="A4290">
            <v>31101906</v>
          </cell>
          <cell r="B4290" t="str">
            <v>Objetos de aluminio fundidos a la cera perdida</v>
          </cell>
        </row>
        <row r="4291">
          <cell r="A4291">
            <v>31101907</v>
          </cell>
          <cell r="B4291" t="str">
            <v>Objetos de magnesio fundidos a la cera perdida</v>
          </cell>
        </row>
        <row r="4292">
          <cell r="A4292">
            <v>31101908</v>
          </cell>
          <cell r="B4292" t="str">
            <v>Objetos de zinc fundidos a la cera perdida</v>
          </cell>
        </row>
        <row r="4293">
          <cell r="A4293">
            <v>31101909</v>
          </cell>
          <cell r="B4293" t="str">
            <v>Objetos de estaño fundidos a la cera perdida</v>
          </cell>
        </row>
        <row r="4294">
          <cell r="A4294">
            <v>31101910</v>
          </cell>
          <cell r="B4294" t="str">
            <v>Objetos de plomo fundidos a la cera perdida</v>
          </cell>
        </row>
        <row r="4295">
          <cell r="A4295">
            <v>31101911</v>
          </cell>
          <cell r="B4295" t="str">
            <v>Objetos de metal precioso fundidos a la cera perdida</v>
          </cell>
        </row>
        <row r="4296">
          <cell r="A4296">
            <v>31101912</v>
          </cell>
          <cell r="B4296" t="str">
            <v>Objetos de titanio fundidos a la cera perdida</v>
          </cell>
        </row>
        <row r="4297">
          <cell r="A4297">
            <v>31102001</v>
          </cell>
          <cell r="B4297" t="str">
            <v>Objetos de fundición centrífuga de aleación no ferrosa</v>
          </cell>
        </row>
        <row r="4298">
          <cell r="A4298">
            <v>31102002</v>
          </cell>
          <cell r="B4298" t="str">
            <v>Objetos de fundición centrífuga de aleación ferrosa</v>
          </cell>
        </row>
        <row r="4299">
          <cell r="A4299">
            <v>31102003</v>
          </cell>
          <cell r="B4299" t="str">
            <v>Objetos de fundición centrífuga de acero</v>
          </cell>
        </row>
        <row r="4300">
          <cell r="A4300">
            <v>31102004</v>
          </cell>
          <cell r="B4300" t="str">
            <v>Objetos de fundición centrífuga de acero inoxidable</v>
          </cell>
        </row>
        <row r="4301">
          <cell r="A4301">
            <v>31102005</v>
          </cell>
          <cell r="B4301" t="str">
            <v>Objetos de fundición centrífuga de hierro</v>
          </cell>
        </row>
        <row r="4302">
          <cell r="A4302">
            <v>31102006</v>
          </cell>
          <cell r="B4302" t="str">
            <v>Objetos de fundición centrífuga de aluminio</v>
          </cell>
        </row>
        <row r="4303">
          <cell r="A4303">
            <v>31102007</v>
          </cell>
          <cell r="B4303" t="str">
            <v>Objetos de fundición centrífuga de magnesio</v>
          </cell>
        </row>
        <row r="4304">
          <cell r="A4304">
            <v>31102008</v>
          </cell>
          <cell r="B4304" t="str">
            <v>Objetos de fundición centrífuga de titanio</v>
          </cell>
        </row>
        <row r="4305">
          <cell r="A4305">
            <v>31102009</v>
          </cell>
          <cell r="B4305" t="str">
            <v>Objetos de fundición centrífuga de berilio</v>
          </cell>
        </row>
        <row r="4306">
          <cell r="A4306">
            <v>31102010</v>
          </cell>
          <cell r="B4306" t="str">
            <v>Objetos de fundición centrífuga de cobre</v>
          </cell>
        </row>
        <row r="4307">
          <cell r="A4307">
            <v>31102011</v>
          </cell>
          <cell r="B4307" t="str">
            <v>Objetos de fundición centrífuga de latón</v>
          </cell>
        </row>
        <row r="4308">
          <cell r="A4308">
            <v>31102012</v>
          </cell>
          <cell r="B4308" t="str">
            <v>Objetos de fundición centrífuga de bronce</v>
          </cell>
        </row>
        <row r="4309">
          <cell r="A4309">
            <v>31102013</v>
          </cell>
          <cell r="B4309" t="str">
            <v>Objetos de fundición centrífuga de zinc</v>
          </cell>
        </row>
        <row r="4310">
          <cell r="A4310">
            <v>31102014</v>
          </cell>
          <cell r="B4310" t="str">
            <v>Objetos de fundición centrífuga de estaño</v>
          </cell>
        </row>
        <row r="4311">
          <cell r="A4311">
            <v>31102015</v>
          </cell>
          <cell r="B4311" t="str">
            <v>Objetos de fundición centrífuga de plomo</v>
          </cell>
        </row>
        <row r="4312">
          <cell r="A4312">
            <v>31102016</v>
          </cell>
          <cell r="B4312" t="str">
            <v>Objetos de fundición centrífuga de metal precioso</v>
          </cell>
        </row>
        <row r="4313">
          <cell r="A4313">
            <v>31102101</v>
          </cell>
          <cell r="B4313" t="str">
            <v>Objetos de aleación no ferrosa fundidos en molde cerámico</v>
          </cell>
        </row>
        <row r="4314">
          <cell r="A4314">
            <v>31102102</v>
          </cell>
          <cell r="B4314" t="str">
            <v>Objetos de aleación ferrosa fundidos en molde cerámico</v>
          </cell>
        </row>
        <row r="4315">
          <cell r="A4315">
            <v>31102103</v>
          </cell>
          <cell r="B4315" t="str">
            <v>Objetos de acero fundidos en molde cerámico</v>
          </cell>
        </row>
        <row r="4316">
          <cell r="A4316">
            <v>31102104</v>
          </cell>
          <cell r="B4316" t="str">
            <v>Objetos de acero inoxidable fundidos en molde cerámico</v>
          </cell>
        </row>
        <row r="4317">
          <cell r="A4317">
            <v>31102105</v>
          </cell>
          <cell r="B4317" t="str">
            <v>Objetos de hierro fundidos en molde cerámico</v>
          </cell>
        </row>
        <row r="4318">
          <cell r="A4318">
            <v>31102106</v>
          </cell>
          <cell r="B4318" t="str">
            <v>Objetos de aluminio fundidos en molde cerámico</v>
          </cell>
        </row>
        <row r="4319">
          <cell r="A4319">
            <v>31102107</v>
          </cell>
          <cell r="B4319" t="str">
            <v>Objetos de magnesio fundidos en molde cerámico</v>
          </cell>
        </row>
        <row r="4320">
          <cell r="A4320">
            <v>31102108</v>
          </cell>
          <cell r="B4320" t="str">
            <v>Objetos de titanio fundidos en molde cerámico</v>
          </cell>
        </row>
        <row r="4321">
          <cell r="A4321">
            <v>31102109</v>
          </cell>
          <cell r="B4321" t="str">
            <v>Objetos de berilio fundidos en molde cerámico</v>
          </cell>
        </row>
        <row r="4322">
          <cell r="A4322">
            <v>31102110</v>
          </cell>
          <cell r="B4322" t="str">
            <v>Objetos de cobre fundidos en molde cerámico</v>
          </cell>
        </row>
        <row r="4323">
          <cell r="A4323">
            <v>31102111</v>
          </cell>
          <cell r="B4323" t="str">
            <v>Objetos de latón fundidos en molde cerámico</v>
          </cell>
        </row>
        <row r="4324">
          <cell r="A4324">
            <v>31102112</v>
          </cell>
          <cell r="B4324" t="str">
            <v>Objetos de bronce fundidos en molde cerámico</v>
          </cell>
        </row>
        <row r="4325">
          <cell r="A4325">
            <v>31102113</v>
          </cell>
          <cell r="B4325" t="str">
            <v>Objetos de zinc fundidos en molde cerámico</v>
          </cell>
        </row>
        <row r="4326">
          <cell r="A4326">
            <v>31102114</v>
          </cell>
          <cell r="B4326" t="str">
            <v>Objetos de estaño fundidos en molde cerámico</v>
          </cell>
        </row>
        <row r="4327">
          <cell r="A4327">
            <v>31102115</v>
          </cell>
          <cell r="B4327" t="str">
            <v>Objetos de plomo fundidos en molde cerámico</v>
          </cell>
        </row>
        <row r="4328">
          <cell r="A4328">
            <v>31102116</v>
          </cell>
          <cell r="B4328" t="str">
            <v>Objetos de metal precioso fundidos en molde cerámico</v>
          </cell>
        </row>
        <row r="4329">
          <cell r="A4329">
            <v>31102201</v>
          </cell>
          <cell r="B4329" t="str">
            <v>Objetos de aleación no ferrosa fundidos en molde de grafito</v>
          </cell>
        </row>
        <row r="4330">
          <cell r="A4330">
            <v>31102202</v>
          </cell>
          <cell r="B4330" t="str">
            <v>Objetos de aleación ferrosa fundidos en molde de grafito</v>
          </cell>
        </row>
        <row r="4331">
          <cell r="A4331">
            <v>31102203</v>
          </cell>
          <cell r="B4331" t="str">
            <v>Objetos de acero fundidos en molde de grafito</v>
          </cell>
        </row>
        <row r="4332">
          <cell r="A4332">
            <v>31102204</v>
          </cell>
          <cell r="B4332" t="str">
            <v>Objetos de acero inoxidable fundidos en molde de grafito</v>
          </cell>
        </row>
        <row r="4333">
          <cell r="A4333">
            <v>31102205</v>
          </cell>
          <cell r="B4333" t="str">
            <v>Objetos de hierro fundidos en molde de grafito</v>
          </cell>
        </row>
        <row r="4334">
          <cell r="A4334">
            <v>31102206</v>
          </cell>
          <cell r="B4334" t="str">
            <v>Objetos de aluminio fundidos en molde de grafito</v>
          </cell>
        </row>
        <row r="4335">
          <cell r="A4335">
            <v>31102207</v>
          </cell>
          <cell r="B4335" t="str">
            <v>Objetos de magnesio fundidos en molde de grafito</v>
          </cell>
        </row>
        <row r="4336">
          <cell r="A4336">
            <v>31102208</v>
          </cell>
          <cell r="B4336" t="str">
            <v>Objetos de titanio fundidos en molde de grafito</v>
          </cell>
        </row>
        <row r="4337">
          <cell r="A4337">
            <v>31102209</v>
          </cell>
          <cell r="B4337" t="str">
            <v>Objetos de berilio fundidos en molde de grafito</v>
          </cell>
        </row>
        <row r="4338">
          <cell r="A4338">
            <v>31102210</v>
          </cell>
          <cell r="B4338" t="str">
            <v>Objetos de cobre fundidos en molde de grafito</v>
          </cell>
        </row>
        <row r="4339">
          <cell r="A4339">
            <v>31102211</v>
          </cell>
          <cell r="B4339" t="str">
            <v>Objetos de latón fundidos en molde de grafito</v>
          </cell>
        </row>
        <row r="4340">
          <cell r="A4340">
            <v>31102212</v>
          </cell>
          <cell r="B4340" t="str">
            <v>Objetos de bronce fundidos en molde de grafito</v>
          </cell>
        </row>
        <row r="4341">
          <cell r="A4341">
            <v>31102213</v>
          </cell>
          <cell r="B4341" t="str">
            <v>Objetos de zinc fundidos en molde de grafito</v>
          </cell>
        </row>
        <row r="4342">
          <cell r="A4342">
            <v>31102214</v>
          </cell>
          <cell r="B4342" t="str">
            <v>Objetos de estaño fundidos en molde de grafito</v>
          </cell>
        </row>
        <row r="4343">
          <cell r="A4343">
            <v>31102215</v>
          </cell>
          <cell r="B4343" t="str">
            <v>Objetos de plomo fundidos en molde de grafito</v>
          </cell>
        </row>
        <row r="4344">
          <cell r="A4344">
            <v>31102216</v>
          </cell>
          <cell r="B4344" t="str">
            <v>Objetos de metal precioso fundidos en molde de grafito</v>
          </cell>
        </row>
        <row r="4345">
          <cell r="A4345">
            <v>31102301</v>
          </cell>
          <cell r="B4345" t="str">
            <v>Objetos de aleación no ferrosa fundidos en molde de yeso</v>
          </cell>
        </row>
        <row r="4346">
          <cell r="A4346">
            <v>31102302</v>
          </cell>
          <cell r="B4346" t="str">
            <v>Objetos de aleación ferrosa fundidos en molde de yeso</v>
          </cell>
        </row>
        <row r="4347">
          <cell r="A4347">
            <v>31102303</v>
          </cell>
          <cell r="B4347" t="str">
            <v>Objetos de acero fundidos en molde de yeso</v>
          </cell>
        </row>
        <row r="4348">
          <cell r="A4348">
            <v>31102304</v>
          </cell>
          <cell r="B4348" t="str">
            <v>Objetos de acero inoxidable fundidos en molde de yeso</v>
          </cell>
        </row>
        <row r="4349">
          <cell r="A4349">
            <v>31102305</v>
          </cell>
          <cell r="B4349" t="str">
            <v>Objetos de hierro fundidos en molde de yeso</v>
          </cell>
        </row>
        <row r="4350">
          <cell r="A4350">
            <v>31102306</v>
          </cell>
          <cell r="B4350" t="str">
            <v>Objetos de aluminio fundidos en molde de yeso</v>
          </cell>
        </row>
        <row r="4351">
          <cell r="A4351">
            <v>31102307</v>
          </cell>
          <cell r="B4351" t="str">
            <v>Objetos de magnesio fundidos en molde de yeso</v>
          </cell>
        </row>
        <row r="4352">
          <cell r="A4352">
            <v>31102308</v>
          </cell>
          <cell r="B4352" t="str">
            <v>Objetos de titanio fundidos en molde de yeso</v>
          </cell>
        </row>
        <row r="4353">
          <cell r="A4353">
            <v>31102309</v>
          </cell>
          <cell r="B4353" t="str">
            <v>Objetos de berilio fundidos en molde de yeso</v>
          </cell>
        </row>
        <row r="4354">
          <cell r="A4354">
            <v>31102310</v>
          </cell>
          <cell r="B4354" t="str">
            <v>Objetos de cobre fundidos en molde de yeso</v>
          </cell>
        </row>
        <row r="4355">
          <cell r="A4355">
            <v>31102311</v>
          </cell>
          <cell r="B4355" t="str">
            <v>Objetos de latón fundidos en molde de yeso</v>
          </cell>
        </row>
        <row r="4356">
          <cell r="A4356">
            <v>31102312</v>
          </cell>
          <cell r="B4356" t="str">
            <v>Objetos de bronce fundidos en molde de yeso</v>
          </cell>
        </row>
        <row r="4357">
          <cell r="A4357">
            <v>31102313</v>
          </cell>
          <cell r="B4357" t="str">
            <v>Objetos de zinc fundidos en molde de yeso</v>
          </cell>
        </row>
        <row r="4358">
          <cell r="A4358">
            <v>31102314</v>
          </cell>
          <cell r="B4358" t="str">
            <v>Objetos de estaño fundidos en molde de yeso</v>
          </cell>
        </row>
        <row r="4359">
          <cell r="A4359">
            <v>31102315</v>
          </cell>
          <cell r="B4359" t="str">
            <v>Objetos de plomo fundidos en molde de yeso</v>
          </cell>
        </row>
        <row r="4360">
          <cell r="A4360">
            <v>31102316</v>
          </cell>
          <cell r="B4360" t="str">
            <v>Objetos de metal precioso fundidos en molde de yeso</v>
          </cell>
        </row>
        <row r="4361">
          <cell r="A4361">
            <v>31102401</v>
          </cell>
          <cell r="B4361" t="str">
            <v>Objetos de aleación no ferrosa fundidos por proceso en v</v>
          </cell>
        </row>
        <row r="4362">
          <cell r="A4362">
            <v>31102402</v>
          </cell>
          <cell r="B4362" t="str">
            <v>Objetos de aleación ferrosa fundidos por proceso en v</v>
          </cell>
        </row>
        <row r="4363">
          <cell r="A4363">
            <v>31102403</v>
          </cell>
          <cell r="B4363" t="str">
            <v>Objetos de acero fundidos por proceso en v</v>
          </cell>
        </row>
        <row r="4364">
          <cell r="A4364">
            <v>31102404</v>
          </cell>
          <cell r="B4364" t="str">
            <v>Objetos de acero inoxidable fundidos por proceso en v</v>
          </cell>
        </row>
        <row r="4365">
          <cell r="A4365">
            <v>31102405</v>
          </cell>
          <cell r="B4365" t="str">
            <v>Objetos de hierro fundidos por proceso en v</v>
          </cell>
        </row>
        <row r="4366">
          <cell r="A4366">
            <v>31102406</v>
          </cell>
          <cell r="B4366" t="str">
            <v>Objetos de aluminio fundidos por proceso en v</v>
          </cell>
        </row>
        <row r="4367">
          <cell r="A4367">
            <v>31102407</v>
          </cell>
          <cell r="B4367" t="str">
            <v>Objetos de magnesio fundidos por proceso en v</v>
          </cell>
        </row>
        <row r="4368">
          <cell r="A4368">
            <v>31102408</v>
          </cell>
          <cell r="B4368" t="str">
            <v>Objetos de titanio fundidos por proceso en v</v>
          </cell>
        </row>
        <row r="4369">
          <cell r="A4369">
            <v>31102409</v>
          </cell>
          <cell r="B4369" t="str">
            <v>Objetos de berilio fundidos por proceso en v</v>
          </cell>
        </row>
        <row r="4370">
          <cell r="A4370">
            <v>31102410</v>
          </cell>
          <cell r="B4370" t="str">
            <v>Objetos de cobre fundidos por proceso en v</v>
          </cell>
        </row>
        <row r="4371">
          <cell r="A4371">
            <v>31102411</v>
          </cell>
          <cell r="B4371" t="str">
            <v>Objetos de latón fundidos por proceso en v</v>
          </cell>
        </row>
        <row r="4372">
          <cell r="A4372">
            <v>31102412</v>
          </cell>
          <cell r="B4372" t="str">
            <v>Objetos de bronce fundidos por proceso en v</v>
          </cell>
        </row>
        <row r="4373">
          <cell r="A4373">
            <v>31102413</v>
          </cell>
          <cell r="B4373" t="str">
            <v>Objetos de zinc fundidos por proceso en v</v>
          </cell>
        </row>
        <row r="4374">
          <cell r="A4374">
            <v>31102414</v>
          </cell>
          <cell r="B4374" t="str">
            <v>Objetos de estaño fundidos por proceso en v</v>
          </cell>
        </row>
        <row r="4375">
          <cell r="A4375">
            <v>31102415</v>
          </cell>
          <cell r="B4375" t="str">
            <v>Objetos de plomo fundidos por proceso en v</v>
          </cell>
        </row>
        <row r="4376">
          <cell r="A4376">
            <v>31102416</v>
          </cell>
          <cell r="B4376" t="str">
            <v>Objetos de metal precioso fundidos por proceso en v</v>
          </cell>
        </row>
        <row r="4377">
          <cell r="A4377">
            <v>31111501</v>
          </cell>
          <cell r="B4377" t="str">
            <v>Extrusiones de perfiles de aluminio</v>
          </cell>
        </row>
        <row r="4378">
          <cell r="A4378">
            <v>31111502</v>
          </cell>
          <cell r="B4378" t="str">
            <v>Extrusiones de perfiles de berilio</v>
          </cell>
        </row>
        <row r="4379">
          <cell r="A4379">
            <v>31111503</v>
          </cell>
          <cell r="B4379" t="str">
            <v>Extrusiones de perfiles de latón</v>
          </cell>
        </row>
        <row r="4380">
          <cell r="A4380">
            <v>31111504</v>
          </cell>
          <cell r="B4380" t="str">
            <v>Extrusiones de perfiles de bronce</v>
          </cell>
        </row>
        <row r="4381">
          <cell r="A4381">
            <v>31111505</v>
          </cell>
          <cell r="B4381" t="str">
            <v>Extrusiones de perfiles de cobre</v>
          </cell>
        </row>
        <row r="4382">
          <cell r="A4382">
            <v>31111506</v>
          </cell>
          <cell r="B4382" t="str">
            <v>Extrusiones de perfiles de aleación ferrosa</v>
          </cell>
        </row>
        <row r="4383">
          <cell r="A4383">
            <v>31111507</v>
          </cell>
          <cell r="B4383" t="str">
            <v>Extrusiones de perfiles de plomo</v>
          </cell>
        </row>
        <row r="4384">
          <cell r="A4384">
            <v>31111508</v>
          </cell>
          <cell r="B4384" t="str">
            <v>Extrusiones de perfiles de magnesio</v>
          </cell>
        </row>
        <row r="4385">
          <cell r="A4385">
            <v>31111509</v>
          </cell>
          <cell r="B4385" t="str">
            <v>Extrusiones de perfiles de aleación no ferrosa</v>
          </cell>
        </row>
        <row r="4386">
          <cell r="A4386">
            <v>31111510</v>
          </cell>
          <cell r="B4386" t="str">
            <v>Extrusiones de perfiles de plástico</v>
          </cell>
        </row>
        <row r="4387">
          <cell r="A4387">
            <v>31111511</v>
          </cell>
          <cell r="B4387" t="str">
            <v>Extrusiones de perfiles de metal precioso</v>
          </cell>
        </row>
        <row r="4388">
          <cell r="A4388">
            <v>31111512</v>
          </cell>
          <cell r="B4388" t="str">
            <v>Extrusiones de perfiles de caucho</v>
          </cell>
        </row>
        <row r="4389">
          <cell r="A4389">
            <v>31111513</v>
          </cell>
          <cell r="B4389" t="str">
            <v>Extrusiones de perfiles de acero inoxidable</v>
          </cell>
        </row>
        <row r="4390">
          <cell r="A4390">
            <v>31111514</v>
          </cell>
          <cell r="B4390" t="str">
            <v>Extrusiones de perfiles de acero</v>
          </cell>
        </row>
        <row r="4391">
          <cell r="A4391">
            <v>31111515</v>
          </cell>
          <cell r="B4391" t="str">
            <v>Extrusiones de perfiles de estaño</v>
          </cell>
        </row>
        <row r="4392">
          <cell r="A4392">
            <v>31111516</v>
          </cell>
          <cell r="B4392" t="str">
            <v>Extrusiones de perfiles de titanio</v>
          </cell>
        </row>
        <row r="4393">
          <cell r="A4393">
            <v>31111517</v>
          </cell>
          <cell r="B4393" t="str">
            <v>Extrusiones de perfiles de zinc</v>
          </cell>
        </row>
        <row r="4394">
          <cell r="A4394">
            <v>31111601</v>
          </cell>
          <cell r="B4394" t="str">
            <v>Extrusiones por impacto de aluminio</v>
          </cell>
        </row>
        <row r="4395">
          <cell r="A4395">
            <v>31111602</v>
          </cell>
          <cell r="B4395" t="str">
            <v>Extrusiones por impacto de berilio</v>
          </cell>
        </row>
        <row r="4396">
          <cell r="A4396">
            <v>31111603</v>
          </cell>
          <cell r="B4396" t="str">
            <v>Extrusiones por impacto de latón</v>
          </cell>
        </row>
        <row r="4397">
          <cell r="A4397">
            <v>31111604</v>
          </cell>
          <cell r="B4397" t="str">
            <v>Extrusiones por impacto de bronce</v>
          </cell>
        </row>
        <row r="4398">
          <cell r="A4398">
            <v>31111605</v>
          </cell>
          <cell r="B4398" t="str">
            <v>Extrusiones por impacto de cobre</v>
          </cell>
        </row>
        <row r="4399">
          <cell r="A4399">
            <v>31111606</v>
          </cell>
          <cell r="B4399" t="str">
            <v>Extrusiones por impacto de aleación ferrosa</v>
          </cell>
        </row>
        <row r="4400">
          <cell r="A4400">
            <v>31111607</v>
          </cell>
          <cell r="B4400" t="str">
            <v>Extrusiones por impacto de plomo</v>
          </cell>
        </row>
        <row r="4401">
          <cell r="A4401">
            <v>31111608</v>
          </cell>
          <cell r="B4401" t="str">
            <v>Extrusiones por impacto de magnesio</v>
          </cell>
        </row>
        <row r="4402">
          <cell r="A4402">
            <v>31111609</v>
          </cell>
          <cell r="B4402" t="str">
            <v>Extrusiones por impacto de aleación no ferrosa</v>
          </cell>
        </row>
        <row r="4403">
          <cell r="A4403">
            <v>31111610</v>
          </cell>
          <cell r="B4403" t="str">
            <v>Extrusiones por impacto de plástico</v>
          </cell>
        </row>
        <row r="4404">
          <cell r="A4404">
            <v>31111611</v>
          </cell>
          <cell r="B4404" t="str">
            <v>Extrusiones por impacto de metal precioso</v>
          </cell>
        </row>
        <row r="4405">
          <cell r="A4405">
            <v>31111612</v>
          </cell>
          <cell r="B4405" t="str">
            <v>Extrusiones por impacto de caucho</v>
          </cell>
        </row>
        <row r="4406">
          <cell r="A4406">
            <v>31111613</v>
          </cell>
          <cell r="B4406" t="str">
            <v>Extrusiones por impacto de acero inoxidable</v>
          </cell>
        </row>
        <row r="4407">
          <cell r="A4407">
            <v>31111614</v>
          </cell>
          <cell r="B4407" t="str">
            <v>Extrusiones por impacto de acero</v>
          </cell>
        </row>
        <row r="4408">
          <cell r="A4408">
            <v>31111615</v>
          </cell>
          <cell r="B4408" t="str">
            <v>Extrusiones por impacto de estaño</v>
          </cell>
        </row>
        <row r="4409">
          <cell r="A4409">
            <v>31111616</v>
          </cell>
          <cell r="B4409" t="str">
            <v>Extrusiones por impacto de titanio</v>
          </cell>
        </row>
        <row r="4410">
          <cell r="A4410">
            <v>31111617</v>
          </cell>
          <cell r="B4410" t="str">
            <v>Extrusiones por impacto de zinc</v>
          </cell>
        </row>
        <row r="4411">
          <cell r="A4411">
            <v>31111701</v>
          </cell>
          <cell r="B4411" t="str">
            <v>Extrusiones en frío de aluminio</v>
          </cell>
        </row>
        <row r="4412">
          <cell r="A4412">
            <v>31111702</v>
          </cell>
          <cell r="B4412" t="str">
            <v>Extrusiones en frío de berilio</v>
          </cell>
        </row>
        <row r="4413">
          <cell r="A4413">
            <v>31111703</v>
          </cell>
          <cell r="B4413" t="str">
            <v>Extrusiones en frío de latón</v>
          </cell>
        </row>
        <row r="4414">
          <cell r="A4414">
            <v>31111704</v>
          </cell>
          <cell r="B4414" t="str">
            <v>Extrusiones en frío de bronce</v>
          </cell>
        </row>
        <row r="4415">
          <cell r="A4415">
            <v>31111705</v>
          </cell>
          <cell r="B4415" t="str">
            <v>Extrusiones en frío de cobre</v>
          </cell>
        </row>
        <row r="4416">
          <cell r="A4416">
            <v>31111706</v>
          </cell>
          <cell r="B4416" t="str">
            <v>Extrusiones en frío de aleación ferrosa</v>
          </cell>
        </row>
        <row r="4417">
          <cell r="A4417">
            <v>31111707</v>
          </cell>
          <cell r="B4417" t="str">
            <v>Extrusiones en frío de plomo</v>
          </cell>
        </row>
        <row r="4418">
          <cell r="A4418">
            <v>31111708</v>
          </cell>
          <cell r="B4418" t="str">
            <v>Extrusiones en frío de magnesio</v>
          </cell>
        </row>
        <row r="4419">
          <cell r="A4419">
            <v>31111709</v>
          </cell>
          <cell r="B4419" t="str">
            <v>Extrusiones en frío de aleación no ferrosa</v>
          </cell>
        </row>
        <row r="4420">
          <cell r="A4420">
            <v>31111710</v>
          </cell>
          <cell r="B4420" t="str">
            <v>Extrusiones en frío de plástico</v>
          </cell>
        </row>
        <row r="4421">
          <cell r="A4421">
            <v>31111711</v>
          </cell>
          <cell r="B4421" t="str">
            <v>Extrusiones en frío de metal precioso</v>
          </cell>
        </row>
        <row r="4422">
          <cell r="A4422">
            <v>31111712</v>
          </cell>
          <cell r="B4422" t="str">
            <v>Extrusiones en frío de caucho</v>
          </cell>
        </row>
        <row r="4423">
          <cell r="A4423">
            <v>31111713</v>
          </cell>
          <cell r="B4423" t="str">
            <v>Extrusiones en frío de acero inoxidable</v>
          </cell>
        </row>
        <row r="4424">
          <cell r="A4424">
            <v>31111714</v>
          </cell>
          <cell r="B4424" t="str">
            <v>Extrusiones en frío de acero</v>
          </cell>
        </row>
        <row r="4425">
          <cell r="A4425">
            <v>31111715</v>
          </cell>
          <cell r="B4425" t="str">
            <v>Extrusiones en frío de estaño</v>
          </cell>
        </row>
        <row r="4426">
          <cell r="A4426">
            <v>31111716</v>
          </cell>
          <cell r="B4426" t="str">
            <v>Extrusiones en frío de titanio</v>
          </cell>
        </row>
        <row r="4427">
          <cell r="A4427">
            <v>31111717</v>
          </cell>
          <cell r="B4427" t="str">
            <v>Extrusiones en frío de zinc</v>
          </cell>
        </row>
        <row r="4428">
          <cell r="A4428">
            <v>31121001</v>
          </cell>
          <cell r="B4428" t="str">
            <v>Objetos fundidos maquinados por proceso v de aleaciones no ferrosas</v>
          </cell>
        </row>
        <row r="4429">
          <cell r="A4429">
            <v>31121002</v>
          </cell>
          <cell r="B4429" t="str">
            <v>Objetos fundidos maquinados por proceso v de aleaciones ferrosas</v>
          </cell>
        </row>
        <row r="4430">
          <cell r="A4430">
            <v>31121003</v>
          </cell>
          <cell r="B4430" t="str">
            <v>Objetos fundidos maquinados por proceso v de acero</v>
          </cell>
        </row>
        <row r="4431">
          <cell r="A4431">
            <v>31121004</v>
          </cell>
          <cell r="B4431" t="str">
            <v>Objetos fundidos maquinados por proceso v de acero inoxidable</v>
          </cell>
        </row>
        <row r="4432">
          <cell r="A4432">
            <v>31121005</v>
          </cell>
          <cell r="B4432" t="str">
            <v>Objetos fundidos maquinados por proceso v de hierro</v>
          </cell>
        </row>
        <row r="4433">
          <cell r="A4433">
            <v>31121006</v>
          </cell>
          <cell r="B4433" t="str">
            <v>Objetos fundidos maquinados por proceso v de aluminio</v>
          </cell>
        </row>
        <row r="4434">
          <cell r="A4434">
            <v>31121007</v>
          </cell>
          <cell r="B4434" t="str">
            <v>Objetos fundidos maquinados por proceso v de magnesio</v>
          </cell>
        </row>
        <row r="4435">
          <cell r="A4435">
            <v>31121008</v>
          </cell>
          <cell r="B4435" t="str">
            <v>Objetos fundidos maquinados por proceso v de titanio</v>
          </cell>
        </row>
        <row r="4436">
          <cell r="A4436">
            <v>31121009</v>
          </cell>
          <cell r="B4436" t="str">
            <v>Objetos fundidos maquinados por proceso v de berilio</v>
          </cell>
        </row>
        <row r="4437">
          <cell r="A4437">
            <v>31121010</v>
          </cell>
          <cell r="B4437" t="str">
            <v>Objetos fundidos maquinados por proceso v de cobre</v>
          </cell>
        </row>
        <row r="4438">
          <cell r="A4438">
            <v>31121011</v>
          </cell>
          <cell r="B4438" t="str">
            <v>Objetos fundidos maquinados por proceso v de latón</v>
          </cell>
        </row>
        <row r="4439">
          <cell r="A4439">
            <v>31121012</v>
          </cell>
          <cell r="B4439" t="str">
            <v>Objetos fundidos maquinados por proceso v de bronce</v>
          </cell>
        </row>
        <row r="4440">
          <cell r="A4440">
            <v>31121013</v>
          </cell>
          <cell r="B4440" t="str">
            <v>Objetos fundidos maquinados por proceso v de zinc</v>
          </cell>
        </row>
        <row r="4441">
          <cell r="A4441">
            <v>31121014</v>
          </cell>
          <cell r="B4441" t="str">
            <v>Objetos fundidos maquinados por proceso v de estaño</v>
          </cell>
        </row>
        <row r="4442">
          <cell r="A4442">
            <v>31121015</v>
          </cell>
          <cell r="B4442" t="str">
            <v>Objetos fundidos maquinados por proceso v de plomo</v>
          </cell>
        </row>
        <row r="4443">
          <cell r="A4443">
            <v>31121016</v>
          </cell>
          <cell r="B4443" t="str">
            <v>Objetos fundidos maquinados por proceso v de metal precioso</v>
          </cell>
        </row>
        <row r="4444">
          <cell r="A4444">
            <v>31121017</v>
          </cell>
          <cell r="B4444" t="str">
            <v>Objetos fundidos maquinados por proceso v de compuestos</v>
          </cell>
        </row>
        <row r="4445">
          <cell r="A4445">
            <v>31121018</v>
          </cell>
          <cell r="B4445" t="str">
            <v>Objetos fundidos maquinados por proceso v de aleación de níquel</v>
          </cell>
        </row>
        <row r="4446">
          <cell r="A4446">
            <v>31121019</v>
          </cell>
          <cell r="B4446" t="str">
            <v>Objetos fundidos maquinados por proceso v no metálico</v>
          </cell>
        </row>
        <row r="4447">
          <cell r="A4447">
            <v>31121101</v>
          </cell>
          <cell r="B4447" t="str">
            <v>Objetos fundidos maquinados con troquel de aleaciones no ferrosas</v>
          </cell>
        </row>
        <row r="4448">
          <cell r="A4448">
            <v>31121102</v>
          </cell>
          <cell r="B4448" t="str">
            <v>Objetos fundidos maquinados con troquel de aleaciones ferrosas</v>
          </cell>
        </row>
        <row r="4449">
          <cell r="A4449">
            <v>31121103</v>
          </cell>
          <cell r="B4449" t="str">
            <v>Objetos fundidos maquinados con troquel de acero</v>
          </cell>
        </row>
        <row r="4450">
          <cell r="A4450">
            <v>31121104</v>
          </cell>
          <cell r="B4450" t="str">
            <v>Objetos fundidos maquinados con troquel de acero inoxidable</v>
          </cell>
        </row>
        <row r="4451">
          <cell r="A4451">
            <v>31121105</v>
          </cell>
          <cell r="B4451" t="str">
            <v>Objetos fundidos maquinados con troquel de hierro</v>
          </cell>
        </row>
        <row r="4452">
          <cell r="A4452">
            <v>31121106</v>
          </cell>
          <cell r="B4452" t="str">
            <v>Objetos fundidos maquinados con troquel de aluminio</v>
          </cell>
        </row>
        <row r="4453">
          <cell r="A4453">
            <v>31121107</v>
          </cell>
          <cell r="B4453" t="str">
            <v>Objetos fundidos maquinados con troquel de magnesio</v>
          </cell>
        </row>
        <row r="4454">
          <cell r="A4454">
            <v>31121108</v>
          </cell>
          <cell r="B4454" t="str">
            <v>Objetos fundidos maquinados con troquel de titanio</v>
          </cell>
        </row>
        <row r="4455">
          <cell r="A4455">
            <v>31121109</v>
          </cell>
          <cell r="B4455" t="str">
            <v>Objetos fundidos maquinados con troquel de berilio</v>
          </cell>
        </row>
        <row r="4456">
          <cell r="A4456">
            <v>31121110</v>
          </cell>
          <cell r="B4456" t="str">
            <v>Objetos fundidos maquinados con troquel de cobre</v>
          </cell>
        </row>
        <row r="4457">
          <cell r="A4457">
            <v>31121111</v>
          </cell>
          <cell r="B4457" t="str">
            <v>Objetos fundidos maquinados con troquel de latón</v>
          </cell>
        </row>
        <row r="4458">
          <cell r="A4458">
            <v>31121112</v>
          </cell>
          <cell r="B4458" t="str">
            <v>Objetos fundidos maquinados con troquel de bronce</v>
          </cell>
        </row>
        <row r="4459">
          <cell r="A4459">
            <v>31121113</v>
          </cell>
          <cell r="B4459" t="str">
            <v>Objetos fundidos maquinados con troquel de zinc</v>
          </cell>
        </row>
        <row r="4460">
          <cell r="A4460">
            <v>31121114</v>
          </cell>
          <cell r="B4460" t="str">
            <v>Objetos fundidos maquinados con troquel de estaño</v>
          </cell>
        </row>
        <row r="4461">
          <cell r="A4461">
            <v>31121115</v>
          </cell>
          <cell r="B4461" t="str">
            <v>Objetos fundidos maquinados con troquel de plomo</v>
          </cell>
        </row>
        <row r="4462">
          <cell r="A4462">
            <v>31121116</v>
          </cell>
          <cell r="B4462" t="str">
            <v>Objetos fundidos maquinados con troquel de metal precioso</v>
          </cell>
        </row>
        <row r="4463">
          <cell r="A4463">
            <v>31121117</v>
          </cell>
          <cell r="B4463" t="str">
            <v>Objetos fundidos maquinados con troquel de compuestos</v>
          </cell>
        </row>
        <row r="4464">
          <cell r="A4464">
            <v>31121118</v>
          </cell>
          <cell r="B4464" t="str">
            <v>Objetos fundidos maquinados con troquel de aleación de níquel</v>
          </cell>
        </row>
        <row r="4465">
          <cell r="A4465">
            <v>31121119</v>
          </cell>
          <cell r="B4465" t="str">
            <v>Objetos fundidos maquinados con troquel no metálico</v>
          </cell>
        </row>
        <row r="4466">
          <cell r="A4466">
            <v>31121201</v>
          </cell>
          <cell r="B4466" t="str">
            <v>Objetos maquinados de aleación no ferrosa fundidos en arena</v>
          </cell>
        </row>
        <row r="4467">
          <cell r="A4467">
            <v>31121202</v>
          </cell>
          <cell r="B4467" t="str">
            <v>Objetos maquinados de aleación ferrosa fundidos en arena</v>
          </cell>
        </row>
        <row r="4468">
          <cell r="A4468">
            <v>31121203</v>
          </cell>
          <cell r="B4468" t="str">
            <v>Objetos maquinados de acero fundidos en arena</v>
          </cell>
        </row>
        <row r="4469">
          <cell r="A4469">
            <v>31121204</v>
          </cell>
          <cell r="B4469" t="str">
            <v>Objetos maquinados de acero inoxidable fundidos en arena</v>
          </cell>
        </row>
        <row r="4470">
          <cell r="A4470">
            <v>31121205</v>
          </cell>
          <cell r="B4470" t="str">
            <v>Objetos maquinados de hierro fundidos en arena</v>
          </cell>
        </row>
        <row r="4471">
          <cell r="A4471">
            <v>31121206</v>
          </cell>
          <cell r="B4471" t="str">
            <v>Objetos maquinados de aluminio fundidos en arena</v>
          </cell>
        </row>
        <row r="4472">
          <cell r="A4472">
            <v>31121207</v>
          </cell>
          <cell r="B4472" t="str">
            <v>Objetos maquinados de magnesio fundidos en arena</v>
          </cell>
        </row>
        <row r="4473">
          <cell r="A4473">
            <v>31121208</v>
          </cell>
          <cell r="B4473" t="str">
            <v>Objetos maquinados de titanio fundidos en arena</v>
          </cell>
        </row>
        <row r="4474">
          <cell r="A4474">
            <v>31121209</v>
          </cell>
          <cell r="B4474" t="str">
            <v>Objetos maquinados de berilio fundidos en arena</v>
          </cell>
        </row>
        <row r="4475">
          <cell r="A4475">
            <v>31121210</v>
          </cell>
          <cell r="B4475" t="str">
            <v>Objetos maquinados de cobre fundidos en arena</v>
          </cell>
        </row>
        <row r="4476">
          <cell r="A4476">
            <v>31121211</v>
          </cell>
          <cell r="B4476" t="str">
            <v>Objetos maquinados de latón fundidos en arena</v>
          </cell>
        </row>
        <row r="4477">
          <cell r="A4477">
            <v>31121212</v>
          </cell>
          <cell r="B4477" t="str">
            <v>Objetos maquinados de bronce fundidos en arena</v>
          </cell>
        </row>
        <row r="4478">
          <cell r="A4478">
            <v>31121213</v>
          </cell>
          <cell r="B4478" t="str">
            <v>Objetos maquinados de cinc fundidos en arena</v>
          </cell>
        </row>
        <row r="4479">
          <cell r="A4479">
            <v>31121214</v>
          </cell>
          <cell r="B4479" t="str">
            <v>Objetos maquinados de estaño fundidos en arena</v>
          </cell>
        </row>
        <row r="4480">
          <cell r="A4480">
            <v>31121215</v>
          </cell>
          <cell r="B4480" t="str">
            <v>Objetos maquinados de plomo fundidos en arena</v>
          </cell>
        </row>
        <row r="4481">
          <cell r="A4481">
            <v>31121216</v>
          </cell>
          <cell r="B4481" t="str">
            <v>Objetos maquinados de metal precioso fundidos en arena</v>
          </cell>
        </row>
        <row r="4482">
          <cell r="A4482">
            <v>31121217</v>
          </cell>
          <cell r="B4482" t="str">
            <v>Objetos maquinados de compuestos fundidos en arena</v>
          </cell>
        </row>
        <row r="4483">
          <cell r="A4483">
            <v>31121218</v>
          </cell>
          <cell r="B4483" t="str">
            <v>Objetos maquinados de aleación de níquel fundidos en arena</v>
          </cell>
        </row>
        <row r="4484">
          <cell r="A4484">
            <v>31121219</v>
          </cell>
          <cell r="B4484" t="str">
            <v>Objetos maquinados no metálicos fundidos en arena</v>
          </cell>
        </row>
        <row r="4485">
          <cell r="A4485">
            <v>31121301</v>
          </cell>
          <cell r="B4485" t="str">
            <v>Objetos maquinados en molde permanente de aleación no ferrosa fundidos</v>
          </cell>
        </row>
        <row r="4486">
          <cell r="A4486">
            <v>31121302</v>
          </cell>
          <cell r="B4486" t="str">
            <v>Objetos maquinados en molde permanente de aleación ferrosa fundidos</v>
          </cell>
        </row>
        <row r="4487">
          <cell r="A4487">
            <v>31121303</v>
          </cell>
          <cell r="B4487" t="str">
            <v>Objetos maquinados en molde permanente de acero fundidos</v>
          </cell>
        </row>
        <row r="4488">
          <cell r="A4488">
            <v>31121304</v>
          </cell>
          <cell r="B4488" t="str">
            <v>Objetos maquinados en molde permanente de acero inoxidable fundidos</v>
          </cell>
        </row>
        <row r="4489">
          <cell r="A4489">
            <v>31121305</v>
          </cell>
          <cell r="B4489" t="str">
            <v>Objetos maquinados en molde permanente de hierro fundidos</v>
          </cell>
        </row>
        <row r="4490">
          <cell r="A4490">
            <v>31121306</v>
          </cell>
          <cell r="B4490" t="str">
            <v>Objetos maquinados en molde permanente de aluminio fundidos</v>
          </cell>
        </row>
        <row r="4491">
          <cell r="A4491">
            <v>31121307</v>
          </cell>
          <cell r="B4491" t="str">
            <v>Objetos maquinados en molde permanente de magnesio fundidos</v>
          </cell>
        </row>
        <row r="4492">
          <cell r="A4492">
            <v>31121308</v>
          </cell>
          <cell r="B4492" t="str">
            <v>Objetos maquinados en molde permanente de titanio fundidos</v>
          </cell>
        </row>
        <row r="4493">
          <cell r="A4493">
            <v>31121309</v>
          </cell>
          <cell r="B4493" t="str">
            <v>Objetos maquinados en molde permanente de berilio fundidos</v>
          </cell>
        </row>
        <row r="4494">
          <cell r="A4494">
            <v>31121310</v>
          </cell>
          <cell r="B4494" t="str">
            <v>Objetos maquinados en molde permanente de cobre fundidos</v>
          </cell>
        </row>
        <row r="4495">
          <cell r="A4495">
            <v>31121311</v>
          </cell>
          <cell r="B4495" t="str">
            <v>Objetos maquinados en molde permanente de latón fundidos</v>
          </cell>
        </row>
        <row r="4496">
          <cell r="A4496">
            <v>31121312</v>
          </cell>
          <cell r="B4496" t="str">
            <v>Objetos maquinados en molde permanente de bronce fundidos</v>
          </cell>
        </row>
        <row r="4497">
          <cell r="A4497">
            <v>31121313</v>
          </cell>
          <cell r="B4497" t="str">
            <v>Objetos maquinados en molde permanente de cinc fundidos</v>
          </cell>
        </row>
        <row r="4498">
          <cell r="A4498">
            <v>31121314</v>
          </cell>
          <cell r="B4498" t="str">
            <v>Objetos maquinados en molde permanente de estaño fundidos</v>
          </cell>
        </row>
        <row r="4499">
          <cell r="A4499">
            <v>31121315</v>
          </cell>
          <cell r="B4499" t="str">
            <v>Objetos maquinados en molde permanente de plomo fundidos</v>
          </cell>
        </row>
        <row r="4500">
          <cell r="A4500">
            <v>31121316</v>
          </cell>
          <cell r="B4500" t="str">
            <v>Objetos maquinados en molde permanente de metal precioso fundidos</v>
          </cell>
        </row>
        <row r="4501">
          <cell r="A4501">
            <v>31121317</v>
          </cell>
          <cell r="B4501" t="str">
            <v>Objetos maquinados en molde permanente de compuestos fundidos</v>
          </cell>
        </row>
        <row r="4502">
          <cell r="A4502">
            <v>31121318</v>
          </cell>
          <cell r="B4502" t="str">
            <v>Objetos maquinados en molde permanente de aleación de níquel fundidos</v>
          </cell>
        </row>
        <row r="4503">
          <cell r="A4503">
            <v>31121319</v>
          </cell>
          <cell r="B4503" t="str">
            <v>Objetos maquinados en molde permanente no metálicos fundidos</v>
          </cell>
        </row>
        <row r="4504">
          <cell r="A4504">
            <v>31121401</v>
          </cell>
          <cell r="B4504" t="str">
            <v>Objetos maquinados de aleación no ferrosa fundidos en molde de yeso</v>
          </cell>
        </row>
        <row r="4505">
          <cell r="A4505">
            <v>31121402</v>
          </cell>
          <cell r="B4505" t="str">
            <v>Objetos maquinados de aleación ferrosa fundidos en molde de yeso</v>
          </cell>
        </row>
        <row r="4506">
          <cell r="A4506">
            <v>31121403</v>
          </cell>
          <cell r="B4506" t="str">
            <v>Objetos maquinados de acero fundidos en molde de yeso</v>
          </cell>
        </row>
        <row r="4507">
          <cell r="A4507">
            <v>31121404</v>
          </cell>
          <cell r="B4507" t="str">
            <v>Objetos maquinados de acero inoxidable fundidos en molde de yeso</v>
          </cell>
        </row>
        <row r="4508">
          <cell r="A4508">
            <v>31121405</v>
          </cell>
          <cell r="B4508" t="str">
            <v>Objetos maquinados de hierro fundidos en molde de yeso</v>
          </cell>
        </row>
        <row r="4509">
          <cell r="A4509">
            <v>31121406</v>
          </cell>
          <cell r="B4509" t="str">
            <v>Objetos maquinados de aluminio fundidos en molde de yeso</v>
          </cell>
        </row>
        <row r="4510">
          <cell r="A4510">
            <v>31121407</v>
          </cell>
          <cell r="B4510" t="str">
            <v>Objetos maquinados de magnesio fundidos en molde de yeso</v>
          </cell>
        </row>
        <row r="4511">
          <cell r="A4511">
            <v>31121408</v>
          </cell>
          <cell r="B4511" t="str">
            <v>Objetos maquinados de titanio fundidos en molde de yeso</v>
          </cell>
        </row>
        <row r="4512">
          <cell r="A4512">
            <v>31121409</v>
          </cell>
          <cell r="B4512" t="str">
            <v>Objetos maquinados de berilio fundidos en molde de yeso</v>
          </cell>
        </row>
        <row r="4513">
          <cell r="A4513">
            <v>31121410</v>
          </cell>
          <cell r="B4513" t="str">
            <v>Objetos maquinados de cobre fundidos en molde de yeso</v>
          </cell>
        </row>
        <row r="4514">
          <cell r="A4514">
            <v>31121411</v>
          </cell>
          <cell r="B4514" t="str">
            <v>Objetos maquinados de latón fundidos en molde de yeso</v>
          </cell>
        </row>
        <row r="4515">
          <cell r="A4515">
            <v>31121412</v>
          </cell>
          <cell r="B4515" t="str">
            <v>Objetos maquinados de bronce fundidos en molde de yeso</v>
          </cell>
        </row>
        <row r="4516">
          <cell r="A4516">
            <v>31121413</v>
          </cell>
          <cell r="B4516" t="str">
            <v>Objetos maquinados de cinc fundidos en molde de yeso</v>
          </cell>
        </row>
        <row r="4517">
          <cell r="A4517">
            <v>31121414</v>
          </cell>
          <cell r="B4517" t="str">
            <v>Objetos maquinados de estaño fundidos en molde de yeso</v>
          </cell>
        </row>
        <row r="4518">
          <cell r="A4518">
            <v>31121415</v>
          </cell>
          <cell r="B4518" t="str">
            <v>Objetos maquinados de plomo fundidos en molde de yeso</v>
          </cell>
        </row>
        <row r="4519">
          <cell r="A4519">
            <v>31121416</v>
          </cell>
          <cell r="B4519" t="str">
            <v>Objetos maquinados de metal precioso fundidos en molde de yeso</v>
          </cell>
        </row>
        <row r="4520">
          <cell r="A4520">
            <v>31121417</v>
          </cell>
          <cell r="B4520" t="str">
            <v>Objetos maquinados de compuestos fundidos en molde de yeso</v>
          </cell>
        </row>
        <row r="4521">
          <cell r="A4521">
            <v>31121418</v>
          </cell>
          <cell r="B4521" t="str">
            <v>Objetos maquinados de aleación de níquel fundidos en molde de yeso</v>
          </cell>
        </row>
        <row r="4522">
          <cell r="A4522">
            <v>31121419</v>
          </cell>
          <cell r="B4522" t="str">
            <v>Objetos maquinados no metálicos fundidos en molde de yeso</v>
          </cell>
        </row>
        <row r="4523">
          <cell r="A4523">
            <v>31121501</v>
          </cell>
          <cell r="B4523" t="str">
            <v>Objetos maquinados de aleación no ferrosa fundidos en molde en concha</v>
          </cell>
        </row>
        <row r="4524">
          <cell r="A4524">
            <v>31121502</v>
          </cell>
          <cell r="B4524" t="str">
            <v>Objetos maquinados de aleación ferrosa fundidos en molde en concha</v>
          </cell>
        </row>
        <row r="4525">
          <cell r="A4525">
            <v>31121503</v>
          </cell>
          <cell r="B4525" t="str">
            <v>Objetos maquinados de acero fundidos en molde en concha</v>
          </cell>
        </row>
        <row r="4526">
          <cell r="A4526">
            <v>31121504</v>
          </cell>
          <cell r="B4526" t="str">
            <v>Objetos maquinados de acero inoxidable fundidos en molde en concha</v>
          </cell>
        </row>
        <row r="4527">
          <cell r="A4527">
            <v>31121505</v>
          </cell>
          <cell r="B4527" t="str">
            <v>Objetos maquinados de hierro fundidos en molde en concha</v>
          </cell>
        </row>
        <row r="4528">
          <cell r="A4528">
            <v>31121506</v>
          </cell>
          <cell r="B4528" t="str">
            <v>Objetos maquinados de aluminio fundidos en molde en concha</v>
          </cell>
        </row>
        <row r="4529">
          <cell r="A4529">
            <v>31121507</v>
          </cell>
          <cell r="B4529" t="str">
            <v>Objetos maquinados de magnesio fundidos en molde en concha</v>
          </cell>
        </row>
        <row r="4530">
          <cell r="A4530">
            <v>31121508</v>
          </cell>
          <cell r="B4530" t="str">
            <v>Objetos maquinados de titanio fundidos en molde en concha</v>
          </cell>
        </row>
        <row r="4531">
          <cell r="A4531">
            <v>31121509</v>
          </cell>
          <cell r="B4531" t="str">
            <v>Objetos maquinados de berilio fundidos en molde en concha</v>
          </cell>
        </row>
        <row r="4532">
          <cell r="A4532">
            <v>31121510</v>
          </cell>
          <cell r="B4532" t="str">
            <v>Objetos maquinados de cobre fundidos en molde en concha</v>
          </cell>
        </row>
        <row r="4533">
          <cell r="A4533">
            <v>31121511</v>
          </cell>
          <cell r="B4533" t="str">
            <v>Objetos maquinados de latón fundidos en molde en concha</v>
          </cell>
        </row>
        <row r="4534">
          <cell r="A4534">
            <v>31121512</v>
          </cell>
          <cell r="B4534" t="str">
            <v>Objetos maquinados de bronce fundidos en molde en concha</v>
          </cell>
        </row>
        <row r="4535">
          <cell r="A4535">
            <v>31121513</v>
          </cell>
          <cell r="B4535" t="str">
            <v>Objetos maquinados de cinc fundidos en molde en concha</v>
          </cell>
        </row>
        <row r="4536">
          <cell r="A4536">
            <v>31121514</v>
          </cell>
          <cell r="B4536" t="str">
            <v>Objetos maquinados de estaño fundidos en molde en concha</v>
          </cell>
        </row>
        <row r="4537">
          <cell r="A4537">
            <v>31121515</v>
          </cell>
          <cell r="B4537" t="str">
            <v>Objetos maquinados de plomo fundidos en molde en concha</v>
          </cell>
        </row>
        <row r="4538">
          <cell r="A4538">
            <v>31121516</v>
          </cell>
          <cell r="B4538" t="str">
            <v>Objetos maquinados de metal precioso fundidos en molde en concha</v>
          </cell>
        </row>
        <row r="4539">
          <cell r="A4539">
            <v>31121517</v>
          </cell>
          <cell r="B4539" t="str">
            <v>Objetos maquinados de compuestos fundidos en molde en concha</v>
          </cell>
        </row>
        <row r="4540">
          <cell r="A4540">
            <v>31121518</v>
          </cell>
          <cell r="B4540" t="str">
            <v>Objetos maquinados de aleación de níquel fundidos en molde en concha</v>
          </cell>
        </row>
        <row r="4541">
          <cell r="A4541">
            <v>31121519</v>
          </cell>
          <cell r="B4541" t="str">
            <v>Objetos maquinados no metálicos fundidos en molde en concha</v>
          </cell>
        </row>
        <row r="4542">
          <cell r="A4542">
            <v>31121601</v>
          </cell>
          <cell r="B4542" t="str">
            <v>Objetos maquinados de aleación no ferrosa fundidos a la cera perdida</v>
          </cell>
        </row>
        <row r="4543">
          <cell r="A4543">
            <v>31121602</v>
          </cell>
          <cell r="B4543" t="str">
            <v>Objetos maquinados de aleación ferrosa fundidos a la cera perdida</v>
          </cell>
        </row>
        <row r="4544">
          <cell r="A4544">
            <v>31121603</v>
          </cell>
          <cell r="B4544" t="str">
            <v>Objetos maquinados de acero fundidos a la cera perdida</v>
          </cell>
        </row>
        <row r="4545">
          <cell r="A4545">
            <v>31121604</v>
          </cell>
          <cell r="B4545" t="str">
            <v>Objetos maquinados de acero inoxidable fundidos a la cera perdida</v>
          </cell>
        </row>
        <row r="4546">
          <cell r="A4546">
            <v>31121605</v>
          </cell>
          <cell r="B4546" t="str">
            <v>Objetos maquinados de hierro fundidos a la cera perdida</v>
          </cell>
        </row>
        <row r="4547">
          <cell r="A4547">
            <v>31121606</v>
          </cell>
          <cell r="B4547" t="str">
            <v>Objetos maquinados de aluminio fundidos a la cera perdida</v>
          </cell>
        </row>
        <row r="4548">
          <cell r="A4548">
            <v>31121607</v>
          </cell>
          <cell r="B4548" t="str">
            <v>Objetos maquinados de magnesio fundidos a la cera perdida</v>
          </cell>
        </row>
        <row r="4549">
          <cell r="A4549">
            <v>31121608</v>
          </cell>
          <cell r="B4549" t="str">
            <v>Objetos maquinados de zinc fundidos a la cera perdida</v>
          </cell>
        </row>
        <row r="4550">
          <cell r="A4550">
            <v>31121609</v>
          </cell>
          <cell r="B4550" t="str">
            <v>Objetos maquinados de estaño fundidos a la cera perdida</v>
          </cell>
        </row>
        <row r="4551">
          <cell r="A4551">
            <v>31121610</v>
          </cell>
          <cell r="B4551" t="str">
            <v>Objetos maquinados de plomo fundidos a la cera perdida</v>
          </cell>
        </row>
        <row r="4552">
          <cell r="A4552">
            <v>31121611</v>
          </cell>
          <cell r="B4552" t="str">
            <v>Objetos maquinados de metales preciosos fundidos a la cera perdida</v>
          </cell>
        </row>
        <row r="4553">
          <cell r="A4553">
            <v>31121612</v>
          </cell>
          <cell r="B4553" t="str">
            <v>Objetos maquinados de titanio fundidos a la cera perdida</v>
          </cell>
        </row>
        <row r="4554">
          <cell r="A4554">
            <v>31121613</v>
          </cell>
          <cell r="B4554" t="str">
            <v>Objetos maquinados compuestos fundidos a la cera perdida</v>
          </cell>
        </row>
        <row r="4555">
          <cell r="A4555">
            <v>31121614</v>
          </cell>
          <cell r="B4555" t="str">
            <v>Objetos maquinados de aleación de níquel fundidos a la cera perdida</v>
          </cell>
        </row>
        <row r="4556">
          <cell r="A4556">
            <v>31121615</v>
          </cell>
          <cell r="B4556" t="str">
            <v>Objetos maquinados no metálicos fundidos a la cera perdida</v>
          </cell>
        </row>
        <row r="4557">
          <cell r="A4557">
            <v>31121701</v>
          </cell>
          <cell r="B4557" t="str">
            <v>Objetos maquinados centrifugados de aleación no ferrosa fundidos</v>
          </cell>
        </row>
        <row r="4558">
          <cell r="A4558">
            <v>31121702</v>
          </cell>
          <cell r="B4558" t="str">
            <v>Objetos maquinados centrifugados de aleación ferrosa fundidos</v>
          </cell>
        </row>
        <row r="4559">
          <cell r="A4559">
            <v>31121703</v>
          </cell>
          <cell r="B4559" t="str">
            <v>Objetos maquinados centrifugados de acero fundidos</v>
          </cell>
        </row>
        <row r="4560">
          <cell r="A4560">
            <v>31121704</v>
          </cell>
          <cell r="B4560" t="str">
            <v>Objetos maquinados centrifugados de acero inoxidable fundidos</v>
          </cell>
        </row>
        <row r="4561">
          <cell r="A4561">
            <v>31121705</v>
          </cell>
          <cell r="B4561" t="str">
            <v>Objetos maquinados centrifugados de hierro fundidos</v>
          </cell>
        </row>
        <row r="4562">
          <cell r="A4562">
            <v>31121706</v>
          </cell>
          <cell r="B4562" t="str">
            <v>Objetos maquinados centrifugados de aluminio fundidos</v>
          </cell>
        </row>
        <row r="4563">
          <cell r="A4563">
            <v>31121707</v>
          </cell>
          <cell r="B4563" t="str">
            <v>Objetos maquinados centrifugados de magnesio fundidos</v>
          </cell>
        </row>
        <row r="4564">
          <cell r="A4564">
            <v>31121708</v>
          </cell>
          <cell r="B4564" t="str">
            <v>Objetos maquinados centrifugados de titanio fundidos</v>
          </cell>
        </row>
        <row r="4565">
          <cell r="A4565">
            <v>31121709</v>
          </cell>
          <cell r="B4565" t="str">
            <v>Objetos maquinados centrifugados de berilio fundidos</v>
          </cell>
        </row>
        <row r="4566">
          <cell r="A4566">
            <v>31121710</v>
          </cell>
          <cell r="B4566" t="str">
            <v>Objetos maquinados centrifugados de cobre fundidos</v>
          </cell>
        </row>
        <row r="4567">
          <cell r="A4567">
            <v>31121711</v>
          </cell>
          <cell r="B4567" t="str">
            <v>Objetos maquinados centrifugados de latón fundidos</v>
          </cell>
        </row>
        <row r="4568">
          <cell r="A4568">
            <v>31121712</v>
          </cell>
          <cell r="B4568" t="str">
            <v>Objetos maquinados centrifugados de bronce fundidos</v>
          </cell>
        </row>
        <row r="4569">
          <cell r="A4569">
            <v>31121713</v>
          </cell>
          <cell r="B4569" t="str">
            <v>Objetos maquinados centrifugados de cinc fundidos</v>
          </cell>
        </row>
        <row r="4570">
          <cell r="A4570">
            <v>31121714</v>
          </cell>
          <cell r="B4570" t="str">
            <v>Objetos maquinados centrifugados de estaño fundidos</v>
          </cell>
        </row>
        <row r="4571">
          <cell r="A4571">
            <v>31121715</v>
          </cell>
          <cell r="B4571" t="str">
            <v>Objetos maquinados centrifugados de plomo fundidos</v>
          </cell>
        </row>
        <row r="4572">
          <cell r="A4572">
            <v>31121716</v>
          </cell>
          <cell r="B4572" t="str">
            <v>Objetos maquinados centrifugados de metal precioso fundidos</v>
          </cell>
        </row>
        <row r="4573">
          <cell r="A4573">
            <v>31121717</v>
          </cell>
          <cell r="B4573" t="str">
            <v>Objetos maquinados centrifugados de compuestos fundidos</v>
          </cell>
        </row>
        <row r="4574">
          <cell r="A4574">
            <v>31121718</v>
          </cell>
          <cell r="B4574" t="str">
            <v>Objetos maquinados centrifugados de aleación de níquel fundidos</v>
          </cell>
        </row>
        <row r="4575">
          <cell r="A4575">
            <v>31121719</v>
          </cell>
          <cell r="B4575" t="str">
            <v>Objetos maquinados centrifugados no metálicos fundidos</v>
          </cell>
        </row>
        <row r="4576">
          <cell r="A4576">
            <v>31121801</v>
          </cell>
          <cell r="B4576" t="str">
            <v>Objetos maquinados de aleación no ferrosa fundidos en molde cerámico</v>
          </cell>
        </row>
        <row r="4577">
          <cell r="A4577">
            <v>31121802</v>
          </cell>
          <cell r="B4577" t="str">
            <v>Objetos maquinados de aleación ferrosa fundidos en molde cerámico</v>
          </cell>
        </row>
        <row r="4578">
          <cell r="A4578">
            <v>31121803</v>
          </cell>
          <cell r="B4578" t="str">
            <v>Objetos maquinados de acero fundidos en molde cerámico</v>
          </cell>
        </row>
        <row r="4579">
          <cell r="A4579">
            <v>31121804</v>
          </cell>
          <cell r="B4579" t="str">
            <v>Objetos maquinados de acero inoxidable fundidos en molde cerámico</v>
          </cell>
        </row>
        <row r="4580">
          <cell r="A4580">
            <v>31121805</v>
          </cell>
          <cell r="B4580" t="str">
            <v>Objetos maquinados de hierro fundidos en molde cerámico</v>
          </cell>
        </row>
        <row r="4581">
          <cell r="A4581">
            <v>31121806</v>
          </cell>
          <cell r="B4581" t="str">
            <v>Objetos maquinados de aluminio fundidos en molde cerámico</v>
          </cell>
        </row>
        <row r="4582">
          <cell r="A4582">
            <v>31121807</v>
          </cell>
          <cell r="B4582" t="str">
            <v>Objetos maquinados de magnesio fundidos en molde cerámico</v>
          </cell>
        </row>
        <row r="4583">
          <cell r="A4583">
            <v>31121808</v>
          </cell>
          <cell r="B4583" t="str">
            <v>Objetos maquinados de titanio fundidos en molde cerámico</v>
          </cell>
        </row>
        <row r="4584">
          <cell r="A4584">
            <v>31121809</v>
          </cell>
          <cell r="B4584" t="str">
            <v>Objetos maquinados de berilio fundidos en molde cerámico</v>
          </cell>
        </row>
        <row r="4585">
          <cell r="A4585">
            <v>31121810</v>
          </cell>
          <cell r="B4585" t="str">
            <v>Objetos maquinados de cobre fundidos en molde cerámico</v>
          </cell>
        </row>
        <row r="4586">
          <cell r="A4586">
            <v>31121811</v>
          </cell>
          <cell r="B4586" t="str">
            <v>Objetos maquinados de latón fundidos en molde cerámico</v>
          </cell>
        </row>
        <row r="4587">
          <cell r="A4587">
            <v>31121812</v>
          </cell>
          <cell r="B4587" t="str">
            <v>Objetos maquinados de bronce fundidos en molde cerámico</v>
          </cell>
        </row>
        <row r="4588">
          <cell r="A4588">
            <v>31121813</v>
          </cell>
          <cell r="B4588" t="str">
            <v>Objetos maquinados de cinc fundidos en molde cerámico</v>
          </cell>
        </row>
        <row r="4589">
          <cell r="A4589">
            <v>31121814</v>
          </cell>
          <cell r="B4589" t="str">
            <v>Objetos maquinados de estaño fundidos en molde cerámico</v>
          </cell>
        </row>
        <row r="4590">
          <cell r="A4590">
            <v>31121815</v>
          </cell>
          <cell r="B4590" t="str">
            <v>Objetos maquinados de plomo fundidos en molde cerámico</v>
          </cell>
        </row>
        <row r="4591">
          <cell r="A4591">
            <v>31121816</v>
          </cell>
          <cell r="B4591" t="str">
            <v>Objetos maquinados de metal precioso fundidos en molde cerámico</v>
          </cell>
        </row>
        <row r="4592">
          <cell r="A4592">
            <v>31121817</v>
          </cell>
          <cell r="B4592" t="str">
            <v>Objetos maquinados de compuestos fundidos en molde cerámico</v>
          </cell>
        </row>
        <row r="4593">
          <cell r="A4593">
            <v>31121818</v>
          </cell>
          <cell r="B4593" t="str">
            <v>Objetos maquinados de aleación de níquel fundidos en molde cerámico</v>
          </cell>
        </row>
        <row r="4594">
          <cell r="A4594">
            <v>31121819</v>
          </cell>
          <cell r="B4594" t="str">
            <v>Objetos maquinados no metálicos fundidos en molde cerámico</v>
          </cell>
        </row>
        <row r="4595">
          <cell r="A4595">
            <v>31121901</v>
          </cell>
          <cell r="B4595" t="str">
            <v>Objetos maquinados de aleación no ferrosa fundidos en molde de grafito</v>
          </cell>
        </row>
        <row r="4596">
          <cell r="A4596">
            <v>31121902</v>
          </cell>
          <cell r="B4596" t="str">
            <v>Objetos maquinados de aleación ferrosa fundidos en molde de grafito</v>
          </cell>
        </row>
        <row r="4597">
          <cell r="A4597">
            <v>31121903</v>
          </cell>
          <cell r="B4597" t="str">
            <v>Objetos maquinados de acero fundidos en molde de grafito</v>
          </cell>
        </row>
        <row r="4598">
          <cell r="A4598">
            <v>31121904</v>
          </cell>
          <cell r="B4598" t="str">
            <v>Objetos maquinados de acero inoxidable fundidos en molde de grafito</v>
          </cell>
        </row>
        <row r="4599">
          <cell r="A4599">
            <v>31121905</v>
          </cell>
          <cell r="B4599" t="str">
            <v>Objetos maquinados de hierro fundidos en molde de grafito</v>
          </cell>
        </row>
        <row r="4600">
          <cell r="A4600">
            <v>31121906</v>
          </cell>
          <cell r="B4600" t="str">
            <v>Objetos maquinados de aluminio fundidos en molde de grafito</v>
          </cell>
        </row>
        <row r="4601">
          <cell r="A4601">
            <v>31121907</v>
          </cell>
          <cell r="B4601" t="str">
            <v>Objetos maquinados de magnesio fundidos en molde de grafito</v>
          </cell>
        </row>
        <row r="4602">
          <cell r="A4602">
            <v>31121908</v>
          </cell>
          <cell r="B4602" t="str">
            <v>Objetos maquinados de titanio fundidos en molde de grafito</v>
          </cell>
        </row>
        <row r="4603">
          <cell r="A4603">
            <v>31121909</v>
          </cell>
          <cell r="B4603" t="str">
            <v>Objetos maquinados de berilio fundidos en molde de grafito</v>
          </cell>
        </row>
        <row r="4604">
          <cell r="A4604">
            <v>31121910</v>
          </cell>
          <cell r="B4604" t="str">
            <v>Objetos maquinados de cobre fundidos en molde de grafito</v>
          </cell>
        </row>
        <row r="4605">
          <cell r="A4605">
            <v>31121911</v>
          </cell>
          <cell r="B4605" t="str">
            <v>Objetos maquinados de latón fundidos en molde de grafito</v>
          </cell>
        </row>
        <row r="4606">
          <cell r="A4606">
            <v>31121912</v>
          </cell>
          <cell r="B4606" t="str">
            <v>Objetos maquinados de bronce fundidos en molde de grafito</v>
          </cell>
        </row>
        <row r="4607">
          <cell r="A4607">
            <v>31121913</v>
          </cell>
          <cell r="B4607" t="str">
            <v>Objetos maquinados de cinc fundidos en molde de grafito</v>
          </cell>
        </row>
        <row r="4608">
          <cell r="A4608">
            <v>31121914</v>
          </cell>
          <cell r="B4608" t="str">
            <v>Objetos maquinados de estaño fundidos en molde de grafito</v>
          </cell>
        </row>
        <row r="4609">
          <cell r="A4609">
            <v>31121915</v>
          </cell>
          <cell r="B4609" t="str">
            <v>Objetos maquinados de plomo fundidos en molde de grafito</v>
          </cell>
        </row>
        <row r="4610">
          <cell r="A4610">
            <v>31121916</v>
          </cell>
          <cell r="B4610" t="str">
            <v>Objetos maquinados de metal precioso fundidos en molde de grafito</v>
          </cell>
        </row>
        <row r="4611">
          <cell r="A4611">
            <v>31121917</v>
          </cell>
          <cell r="B4611" t="str">
            <v>Objetos maquinados de compuestos fundidos en molde de grafito</v>
          </cell>
        </row>
        <row r="4612">
          <cell r="A4612">
            <v>31121918</v>
          </cell>
          <cell r="B4612" t="str">
            <v>Objetos maquinados de aleación de níquel fundidos en molde de grafito</v>
          </cell>
        </row>
        <row r="4613">
          <cell r="A4613">
            <v>31121919</v>
          </cell>
          <cell r="B4613" t="str">
            <v>Objetos maquinados no metálicos fundidos en molde de grafito</v>
          </cell>
        </row>
        <row r="4614">
          <cell r="A4614">
            <v>31131501</v>
          </cell>
          <cell r="B4614" t="str">
            <v>Forjaduras en estampa abierta de aleación no ferrosa</v>
          </cell>
        </row>
        <row r="4615">
          <cell r="A4615">
            <v>31131502</v>
          </cell>
          <cell r="B4615" t="str">
            <v>Forjaduras en estampa abierta de aleación ferrosa</v>
          </cell>
        </row>
        <row r="4616">
          <cell r="A4616">
            <v>31131503</v>
          </cell>
          <cell r="B4616" t="str">
            <v>Forjaduras en estampa abierta de acero</v>
          </cell>
        </row>
        <row r="4617">
          <cell r="A4617">
            <v>31131504</v>
          </cell>
          <cell r="B4617" t="str">
            <v>Forjaduras en estampa abierta de acero inoxidable</v>
          </cell>
        </row>
        <row r="4618">
          <cell r="A4618">
            <v>31131505</v>
          </cell>
          <cell r="B4618" t="str">
            <v>Forjaduras en estampa abierta de hierro</v>
          </cell>
        </row>
        <row r="4619">
          <cell r="A4619">
            <v>31131506</v>
          </cell>
          <cell r="B4619" t="str">
            <v>Forjaduras en estampa abierta de aluminio</v>
          </cell>
        </row>
        <row r="4620">
          <cell r="A4620">
            <v>31131507</v>
          </cell>
          <cell r="B4620" t="str">
            <v>Forjaduras en estampa abierta de magnesio</v>
          </cell>
        </row>
        <row r="4621">
          <cell r="A4621">
            <v>31131508</v>
          </cell>
          <cell r="B4621" t="str">
            <v>Forjaduras en estampa abierta de titanio</v>
          </cell>
        </row>
        <row r="4622">
          <cell r="A4622">
            <v>31131509</v>
          </cell>
          <cell r="B4622" t="str">
            <v>Forjaduras en estampa abierta de berilio</v>
          </cell>
        </row>
        <row r="4623">
          <cell r="A4623">
            <v>31131510</v>
          </cell>
          <cell r="B4623" t="str">
            <v>Forjaduras en estampa abierta de cobre</v>
          </cell>
        </row>
        <row r="4624">
          <cell r="A4624">
            <v>31131511</v>
          </cell>
          <cell r="B4624" t="str">
            <v>Forjaduras en estampa abierta de latón</v>
          </cell>
        </row>
        <row r="4625">
          <cell r="A4625">
            <v>31131512</v>
          </cell>
          <cell r="B4625" t="str">
            <v>Forjaduras en estampa abierta de bronce</v>
          </cell>
        </row>
        <row r="4626">
          <cell r="A4626">
            <v>31131513</v>
          </cell>
          <cell r="B4626" t="str">
            <v>Forjaduras en estampa abierta de cinc</v>
          </cell>
        </row>
        <row r="4627">
          <cell r="A4627">
            <v>31131514</v>
          </cell>
          <cell r="B4627" t="str">
            <v>Forjaduras en estampa abierta de estaño</v>
          </cell>
        </row>
        <row r="4628">
          <cell r="A4628">
            <v>31131515</v>
          </cell>
          <cell r="B4628" t="str">
            <v>Forjaduras en estampa abierta de plomo</v>
          </cell>
        </row>
        <row r="4629">
          <cell r="A4629">
            <v>31131516</v>
          </cell>
          <cell r="B4629" t="str">
            <v>Forjaduras en estampa abierta de metal precioso</v>
          </cell>
        </row>
        <row r="4630">
          <cell r="A4630">
            <v>31131601</v>
          </cell>
          <cell r="B4630" t="str">
            <v>Forjaduras en estampa cerrada de aleación no ferrosa</v>
          </cell>
        </row>
        <row r="4631">
          <cell r="A4631">
            <v>31131602</v>
          </cell>
          <cell r="B4631" t="str">
            <v>Forjaduras en estampa cerrada de aleación ferrosa</v>
          </cell>
        </row>
        <row r="4632">
          <cell r="A4632">
            <v>31131603</v>
          </cell>
          <cell r="B4632" t="str">
            <v>Forjaduras en estampa cerrada de acero</v>
          </cell>
        </row>
        <row r="4633">
          <cell r="A4633">
            <v>31131604</v>
          </cell>
          <cell r="B4633" t="str">
            <v>Forjaduras en estampa cerrada de acero inoxidable</v>
          </cell>
        </row>
        <row r="4634">
          <cell r="A4634">
            <v>31131605</v>
          </cell>
          <cell r="B4634" t="str">
            <v>Forjaduras en estampa cerrada de hierro</v>
          </cell>
        </row>
        <row r="4635">
          <cell r="A4635">
            <v>31131606</v>
          </cell>
          <cell r="B4635" t="str">
            <v>Forjaduras en estampa cerrada de aluminio</v>
          </cell>
        </row>
        <row r="4636">
          <cell r="A4636">
            <v>31131607</v>
          </cell>
          <cell r="B4636" t="str">
            <v>Forjaduras en estampa cerrada de magnesio</v>
          </cell>
        </row>
        <row r="4637">
          <cell r="A4637">
            <v>31131608</v>
          </cell>
          <cell r="B4637" t="str">
            <v>Forjaduras en estampa cerrada de titanio</v>
          </cell>
        </row>
        <row r="4638">
          <cell r="A4638">
            <v>31131609</v>
          </cell>
          <cell r="B4638" t="str">
            <v>Forjaduras en estampa cerrada de berilio</v>
          </cell>
        </row>
        <row r="4639">
          <cell r="A4639">
            <v>31131610</v>
          </cell>
          <cell r="B4639" t="str">
            <v>Forjaduras en estampa cerrada de cobre</v>
          </cell>
        </row>
        <row r="4640">
          <cell r="A4640">
            <v>31131611</v>
          </cell>
          <cell r="B4640" t="str">
            <v>Forjaduras en estampa cerrada de latón</v>
          </cell>
        </row>
        <row r="4641">
          <cell r="A4641">
            <v>31131612</v>
          </cell>
          <cell r="B4641" t="str">
            <v>Forjaduras en estampa cerrada de bronce</v>
          </cell>
        </row>
        <row r="4642">
          <cell r="A4642">
            <v>31131613</v>
          </cell>
          <cell r="B4642" t="str">
            <v>Forjaduras en estampa cerrada de cinc</v>
          </cell>
        </row>
        <row r="4643">
          <cell r="A4643">
            <v>31131614</v>
          </cell>
          <cell r="B4643" t="str">
            <v>Forjaduras en estampa cerrada de estaño</v>
          </cell>
        </row>
        <row r="4644">
          <cell r="A4644">
            <v>31131615</v>
          </cell>
          <cell r="B4644" t="str">
            <v>Forjaduras en estampa cerrada de plomo</v>
          </cell>
        </row>
        <row r="4645">
          <cell r="A4645">
            <v>31131616</v>
          </cell>
          <cell r="B4645" t="str">
            <v>Forjaduras en estampa cerrada de metal precioso</v>
          </cell>
        </row>
        <row r="4646">
          <cell r="A4646">
            <v>31131701</v>
          </cell>
          <cell r="B4646" t="str">
            <v>Forjaduras en estampa de impresión de aleación no ferrosa</v>
          </cell>
        </row>
        <row r="4647">
          <cell r="A4647">
            <v>31131702</v>
          </cell>
          <cell r="B4647" t="str">
            <v>Forjaduras en estampa de impresión de aleación ferrosa</v>
          </cell>
        </row>
        <row r="4648">
          <cell r="A4648">
            <v>31131703</v>
          </cell>
          <cell r="B4648" t="str">
            <v>Forjaduras en estampa de impresión de acero</v>
          </cell>
        </row>
        <row r="4649">
          <cell r="A4649">
            <v>31131704</v>
          </cell>
          <cell r="B4649" t="str">
            <v>Forjaduras en estampa de impresión de acero inoxidable</v>
          </cell>
        </row>
        <row r="4650">
          <cell r="A4650">
            <v>31131705</v>
          </cell>
          <cell r="B4650" t="str">
            <v>Forjaduras en estampa de impresión de hierro</v>
          </cell>
        </row>
        <row r="4651">
          <cell r="A4651">
            <v>31131706</v>
          </cell>
          <cell r="B4651" t="str">
            <v>Forjaduras en estampa de impresión de aluminio</v>
          </cell>
        </row>
        <row r="4652">
          <cell r="A4652">
            <v>31131707</v>
          </cell>
          <cell r="B4652" t="str">
            <v>Forjaduras en estampa de impresión de magnesio</v>
          </cell>
        </row>
        <row r="4653">
          <cell r="A4653">
            <v>31131708</v>
          </cell>
          <cell r="B4653" t="str">
            <v>Forjaduras en estampa de impresión de titanio</v>
          </cell>
        </row>
        <row r="4654">
          <cell r="A4654">
            <v>31131709</v>
          </cell>
          <cell r="B4654" t="str">
            <v>Forjaduras en estampa de impresión de berilio</v>
          </cell>
        </row>
        <row r="4655">
          <cell r="A4655">
            <v>31131710</v>
          </cell>
          <cell r="B4655" t="str">
            <v>Forjaduras en estampa de impresión de cobre</v>
          </cell>
        </row>
        <row r="4656">
          <cell r="A4656">
            <v>31131711</v>
          </cell>
          <cell r="B4656" t="str">
            <v>Forjaduras en estampa de impresión de latón</v>
          </cell>
        </row>
        <row r="4657">
          <cell r="A4657">
            <v>31131712</v>
          </cell>
          <cell r="B4657" t="str">
            <v>Forjaduras en estampa de impresión de bronce</v>
          </cell>
        </row>
        <row r="4658">
          <cell r="A4658">
            <v>31131713</v>
          </cell>
          <cell r="B4658" t="str">
            <v>Forjaduras en estampa de impresión de cinc</v>
          </cell>
        </row>
        <row r="4659">
          <cell r="A4659">
            <v>31131714</v>
          </cell>
          <cell r="B4659" t="str">
            <v>Forjaduras en estampa de impresión de estaño</v>
          </cell>
        </row>
        <row r="4660">
          <cell r="A4660">
            <v>31131715</v>
          </cell>
          <cell r="B4660" t="str">
            <v>Forjaduras en estampa de impresión de plomo</v>
          </cell>
        </row>
        <row r="4661">
          <cell r="A4661">
            <v>31131716</v>
          </cell>
          <cell r="B4661" t="str">
            <v>Forjaduras en estampa de impresión de metal precioso</v>
          </cell>
        </row>
        <row r="4662">
          <cell r="A4662">
            <v>31131801</v>
          </cell>
          <cell r="B4662" t="str">
            <v>Piezas de aleación no ferrosa forjadas a martinete</v>
          </cell>
        </row>
        <row r="4663">
          <cell r="A4663">
            <v>31131802</v>
          </cell>
          <cell r="B4663" t="str">
            <v>Piezas de cinc forjadas a martinete</v>
          </cell>
        </row>
        <row r="4664">
          <cell r="A4664">
            <v>31131803</v>
          </cell>
          <cell r="B4664" t="str">
            <v>Piezas de aleación ferrosa forjadas a martinete</v>
          </cell>
        </row>
        <row r="4665">
          <cell r="A4665">
            <v>31131804</v>
          </cell>
          <cell r="B4665" t="str">
            <v>Piezas de estaño forjadas a martinete</v>
          </cell>
        </row>
        <row r="4666">
          <cell r="A4666">
            <v>31131805</v>
          </cell>
          <cell r="B4666" t="str">
            <v>Piezas de plomo forjadas a martinete</v>
          </cell>
        </row>
        <row r="4667">
          <cell r="A4667">
            <v>31131806</v>
          </cell>
          <cell r="B4667" t="str">
            <v>Piezas de acero forjadas a martinete</v>
          </cell>
        </row>
        <row r="4668">
          <cell r="A4668">
            <v>31131807</v>
          </cell>
          <cell r="B4668" t="str">
            <v>Piezas de metal precioso forjadas a martinete</v>
          </cell>
        </row>
        <row r="4669">
          <cell r="A4669">
            <v>31131808</v>
          </cell>
          <cell r="B4669" t="str">
            <v>Piezas de acero inoxidable forjadas a martinete</v>
          </cell>
        </row>
        <row r="4670">
          <cell r="A4670">
            <v>31131809</v>
          </cell>
          <cell r="B4670" t="str">
            <v>Piezas de hierro forjadas a martinete</v>
          </cell>
        </row>
        <row r="4671">
          <cell r="A4671">
            <v>31131810</v>
          </cell>
          <cell r="B4671" t="str">
            <v>Piezas de aluminio forjadas a martinete</v>
          </cell>
        </row>
        <row r="4672">
          <cell r="A4672">
            <v>31131811</v>
          </cell>
          <cell r="B4672" t="str">
            <v>Piezas de magnesio forjadas a martinete</v>
          </cell>
        </row>
        <row r="4673">
          <cell r="A4673">
            <v>31131812</v>
          </cell>
          <cell r="B4673" t="str">
            <v>Piezas de titanio forjadas a martinete</v>
          </cell>
        </row>
        <row r="4674">
          <cell r="A4674">
            <v>31131813</v>
          </cell>
          <cell r="B4674" t="str">
            <v>Piezas de berilio forjadas a martinete</v>
          </cell>
        </row>
        <row r="4675">
          <cell r="A4675">
            <v>31131814</v>
          </cell>
          <cell r="B4675" t="str">
            <v>Piezas de cobre forjadas a martinete</v>
          </cell>
        </row>
        <row r="4676">
          <cell r="A4676">
            <v>31131815</v>
          </cell>
          <cell r="B4676" t="str">
            <v>Piezas de latón forjadas a martinete</v>
          </cell>
        </row>
        <row r="4677">
          <cell r="A4677">
            <v>31131816</v>
          </cell>
          <cell r="B4677" t="str">
            <v>Piezas de bronce forjadas a martinete</v>
          </cell>
        </row>
        <row r="4678">
          <cell r="A4678">
            <v>31131817</v>
          </cell>
          <cell r="B4678" t="str">
            <v>Forjado por golpe de troquel de acero en frío</v>
          </cell>
        </row>
        <row r="4679">
          <cell r="A4679">
            <v>31131818</v>
          </cell>
          <cell r="B4679" t="str">
            <v>Forjado por golpe de troquel de semi acabados</v>
          </cell>
        </row>
        <row r="4680">
          <cell r="A4680">
            <v>31131901</v>
          </cell>
          <cell r="B4680" t="str">
            <v>Forjaduras anulares laminadas de aluminio</v>
          </cell>
        </row>
        <row r="4681">
          <cell r="A4681">
            <v>31131902</v>
          </cell>
          <cell r="B4681" t="str">
            <v>Forjaduras anulares laminadas de berilio</v>
          </cell>
        </row>
        <row r="4682">
          <cell r="A4682">
            <v>31131903</v>
          </cell>
          <cell r="B4682" t="str">
            <v>Forjaduras anulares laminadas de latón</v>
          </cell>
        </row>
        <row r="4683">
          <cell r="A4683">
            <v>31131904</v>
          </cell>
          <cell r="B4683" t="str">
            <v>Forjaduras anulares laminadas de bronce</v>
          </cell>
        </row>
        <row r="4684">
          <cell r="A4684">
            <v>31131905</v>
          </cell>
          <cell r="B4684" t="str">
            <v>Forjaduras anulares laminadas de cobre</v>
          </cell>
        </row>
        <row r="4685">
          <cell r="A4685">
            <v>31131906</v>
          </cell>
          <cell r="B4685" t="str">
            <v>Forjaduras anulares laminadas de hierro</v>
          </cell>
        </row>
        <row r="4686">
          <cell r="A4686">
            <v>31131907</v>
          </cell>
          <cell r="B4686" t="str">
            <v>Forjaduras anulares laminadas de plomo</v>
          </cell>
        </row>
        <row r="4687">
          <cell r="A4687">
            <v>31131908</v>
          </cell>
          <cell r="B4687" t="str">
            <v>Forjaduras anulares laminadas de magnesio</v>
          </cell>
        </row>
        <row r="4688">
          <cell r="A4688">
            <v>31131909</v>
          </cell>
          <cell r="B4688" t="str">
            <v>Forjaduras anulares laminadas de metal precioso</v>
          </cell>
        </row>
        <row r="4689">
          <cell r="A4689">
            <v>31131910</v>
          </cell>
          <cell r="B4689" t="str">
            <v>Forjaduras anulares laminadas de acero inoxidable</v>
          </cell>
        </row>
        <row r="4690">
          <cell r="A4690">
            <v>31131911</v>
          </cell>
          <cell r="B4690" t="str">
            <v>Forjaduras anulares laminadas de estaño</v>
          </cell>
        </row>
        <row r="4691">
          <cell r="A4691">
            <v>31131912</v>
          </cell>
          <cell r="B4691" t="str">
            <v>Forjaduras anulares laminadas de titanio</v>
          </cell>
        </row>
        <row r="4692">
          <cell r="A4692">
            <v>31131913</v>
          </cell>
          <cell r="B4692" t="str">
            <v>Forjaduras anulares laminadas de cinc</v>
          </cell>
        </row>
        <row r="4693">
          <cell r="A4693">
            <v>31131914</v>
          </cell>
          <cell r="B4693" t="str">
            <v>Forjaduras anulares laminadas de aleación no ferrosa</v>
          </cell>
        </row>
        <row r="4694">
          <cell r="A4694">
            <v>31131915</v>
          </cell>
          <cell r="B4694" t="str">
            <v>Forjaduras anulares laminadas de aleación ferrosa</v>
          </cell>
        </row>
        <row r="4695">
          <cell r="A4695">
            <v>31131916</v>
          </cell>
          <cell r="B4695" t="str">
            <v>Forjaduras anulares laminadas de acero</v>
          </cell>
        </row>
        <row r="4696">
          <cell r="A4696">
            <v>31132001</v>
          </cell>
          <cell r="B4696" t="str">
            <v>Componentes de metal ferroso pulverizado</v>
          </cell>
        </row>
        <row r="4697">
          <cell r="A4697">
            <v>31132002</v>
          </cell>
          <cell r="B4697" t="str">
            <v>Partes de metal no ferroso pulverizado</v>
          </cell>
        </row>
        <row r="4698">
          <cell r="A4698">
            <v>31141501</v>
          </cell>
          <cell r="B4698" t="str">
            <v>Molduras por inyección de plástico</v>
          </cell>
        </row>
        <row r="4699">
          <cell r="A4699">
            <v>31141502</v>
          </cell>
          <cell r="B4699" t="str">
            <v>Molduras por inyección de caucho</v>
          </cell>
        </row>
        <row r="4700">
          <cell r="A4700">
            <v>31141503</v>
          </cell>
          <cell r="B4700" t="str">
            <v>Molduras por inyección de vidrio</v>
          </cell>
        </row>
        <row r="4701">
          <cell r="A4701">
            <v>31141601</v>
          </cell>
          <cell r="B4701" t="str">
            <v>Molduras al vacío de plástico</v>
          </cell>
        </row>
        <row r="4702">
          <cell r="A4702">
            <v>31141602</v>
          </cell>
          <cell r="B4702" t="str">
            <v>Molduras al vacío de caucho</v>
          </cell>
        </row>
        <row r="4703">
          <cell r="A4703">
            <v>31141603</v>
          </cell>
          <cell r="B4703" t="str">
            <v>Molduras al vacío de vidrio</v>
          </cell>
        </row>
        <row r="4704">
          <cell r="A4704">
            <v>31141701</v>
          </cell>
          <cell r="B4704" t="str">
            <v>Moldeados plásticos por inyección de aire</v>
          </cell>
        </row>
        <row r="4705">
          <cell r="A4705">
            <v>31141702</v>
          </cell>
          <cell r="B4705" t="str">
            <v>Moldeados de caucho por inyección de aire</v>
          </cell>
        </row>
        <row r="4706">
          <cell r="A4706">
            <v>31141801</v>
          </cell>
          <cell r="B4706" t="str">
            <v>Moldeados de inyección de reacción de plástico</v>
          </cell>
        </row>
        <row r="4707">
          <cell r="A4707">
            <v>31141802</v>
          </cell>
          <cell r="B4707" t="str">
            <v>Moldeados de inyección de reacción de caucho</v>
          </cell>
        </row>
        <row r="4708">
          <cell r="A4708">
            <v>31151501</v>
          </cell>
          <cell r="B4708" t="str">
            <v>Cuerda de algodón</v>
          </cell>
        </row>
        <row r="4709">
          <cell r="A4709">
            <v>31151502</v>
          </cell>
          <cell r="B4709" t="str">
            <v>Cuerda de poliéster</v>
          </cell>
        </row>
        <row r="4710">
          <cell r="A4710">
            <v>31151503</v>
          </cell>
          <cell r="B4710" t="str">
            <v>Cuerda de polipropileno</v>
          </cell>
        </row>
        <row r="4711">
          <cell r="A4711">
            <v>31151504</v>
          </cell>
          <cell r="B4711" t="str">
            <v>Cuerda de nylon</v>
          </cell>
        </row>
        <row r="4712">
          <cell r="A4712">
            <v>31151505</v>
          </cell>
          <cell r="B4712" t="str">
            <v>Cable de acero</v>
          </cell>
        </row>
        <row r="4713">
          <cell r="A4713">
            <v>31151506</v>
          </cell>
          <cell r="B4713" t="str">
            <v>Cuerda de cáñamo</v>
          </cell>
        </row>
        <row r="4714">
          <cell r="A4714">
            <v>31151507</v>
          </cell>
          <cell r="B4714" t="str">
            <v>Cuerda o pita</v>
          </cell>
        </row>
        <row r="4715">
          <cell r="A4715">
            <v>31151508</v>
          </cell>
          <cell r="B4715" t="str">
            <v>Cabuya</v>
          </cell>
        </row>
        <row r="4716">
          <cell r="A4716">
            <v>31151509</v>
          </cell>
          <cell r="B4716" t="str">
            <v>Cuerda de caucho</v>
          </cell>
        </row>
        <row r="4717">
          <cell r="A4717">
            <v>31151601</v>
          </cell>
          <cell r="B4717" t="str">
            <v>Cadenas de seguridad</v>
          </cell>
        </row>
        <row r="4718">
          <cell r="A4718">
            <v>31151603</v>
          </cell>
          <cell r="B4718" t="str">
            <v>Cadenas de rodillos</v>
          </cell>
        </row>
        <row r="4719">
          <cell r="A4719">
            <v>31151604</v>
          </cell>
          <cell r="B4719" t="str">
            <v>Cadenas resistentes de bobina</v>
          </cell>
        </row>
        <row r="4720">
          <cell r="A4720">
            <v>31151605</v>
          </cell>
          <cell r="B4720" t="str">
            <v>Cadenas de banda</v>
          </cell>
        </row>
        <row r="4721">
          <cell r="A4721">
            <v>31151606</v>
          </cell>
          <cell r="B4721" t="str">
            <v>Cadena "jack"</v>
          </cell>
        </row>
        <row r="4722">
          <cell r="A4722">
            <v>31151607</v>
          </cell>
          <cell r="B4722" t="str">
            <v>Cadenas corrientes</v>
          </cell>
        </row>
        <row r="4723">
          <cell r="A4723">
            <v>31151608</v>
          </cell>
          <cell r="B4723" t="str">
            <v>Cadenas de bola</v>
          </cell>
        </row>
        <row r="4724">
          <cell r="A4724">
            <v>31151609</v>
          </cell>
          <cell r="B4724" t="str">
            <v>Eslabones de cadena</v>
          </cell>
        </row>
        <row r="4725">
          <cell r="A4725">
            <v>31151702</v>
          </cell>
          <cell r="B4725" t="str">
            <v>Cables de control no eléctrico</v>
          </cell>
        </row>
        <row r="4726">
          <cell r="A4726">
            <v>31151703</v>
          </cell>
          <cell r="B4726" t="str">
            <v>Cables elevadores</v>
          </cell>
        </row>
        <row r="4727">
          <cell r="A4727">
            <v>31151704</v>
          </cell>
          <cell r="B4727" t="str">
            <v>Cable-vías</v>
          </cell>
        </row>
        <row r="4728">
          <cell r="A4728">
            <v>31151705</v>
          </cell>
          <cell r="B4728" t="str">
            <v>Cable de acero no eléctrico</v>
          </cell>
        </row>
        <row r="4729">
          <cell r="A4729">
            <v>31151706</v>
          </cell>
          <cell r="B4729" t="str">
            <v>Cable de cobre no eléctrico</v>
          </cell>
        </row>
        <row r="4730">
          <cell r="A4730">
            <v>31151707</v>
          </cell>
          <cell r="B4730" t="str">
            <v>Cable de aluminio no eléctrico</v>
          </cell>
        </row>
        <row r="4731">
          <cell r="A4731">
            <v>31151803</v>
          </cell>
          <cell r="B4731" t="str">
            <v>Cuerda de acero para piano</v>
          </cell>
        </row>
        <row r="4732">
          <cell r="A4732">
            <v>31151804</v>
          </cell>
          <cell r="B4732" t="str">
            <v>Alambre de grapa</v>
          </cell>
        </row>
        <row r="4733">
          <cell r="A4733">
            <v>31151901</v>
          </cell>
          <cell r="B4733" t="str">
            <v>Correas de metal</v>
          </cell>
        </row>
        <row r="4734">
          <cell r="A4734">
            <v>31151902</v>
          </cell>
          <cell r="B4734" t="str">
            <v>Correas de cuero</v>
          </cell>
        </row>
        <row r="4735">
          <cell r="A4735">
            <v>31151903</v>
          </cell>
          <cell r="B4735" t="str">
            <v>Correas de fibra</v>
          </cell>
        </row>
        <row r="4736">
          <cell r="A4736">
            <v>31151904</v>
          </cell>
          <cell r="B4736" t="str">
            <v>Correas plásticas</v>
          </cell>
        </row>
        <row r="4737">
          <cell r="A4737">
            <v>31151905</v>
          </cell>
          <cell r="B4737" t="str">
            <v>Correas de caucho</v>
          </cell>
        </row>
        <row r="4738">
          <cell r="A4738">
            <v>31152001</v>
          </cell>
          <cell r="B4738" t="str">
            <v>Alambre de navaja</v>
          </cell>
        </row>
        <row r="4739">
          <cell r="A4739">
            <v>31152002</v>
          </cell>
          <cell r="B4739" t="str">
            <v>Alambre de púas</v>
          </cell>
        </row>
        <row r="4740">
          <cell r="A4740">
            <v>31161501</v>
          </cell>
          <cell r="B4740" t="str">
            <v>Tornillos de perno</v>
          </cell>
        </row>
        <row r="4741">
          <cell r="A4741">
            <v>31161502</v>
          </cell>
          <cell r="B4741" t="str">
            <v>Tornillos de anclaje</v>
          </cell>
        </row>
        <row r="4742">
          <cell r="A4742">
            <v>31161503</v>
          </cell>
          <cell r="B4742" t="str">
            <v>Clavo-tornillo</v>
          </cell>
        </row>
        <row r="4743">
          <cell r="A4743">
            <v>31161504</v>
          </cell>
          <cell r="B4743" t="str">
            <v>Tornillos de máquina</v>
          </cell>
        </row>
        <row r="4744">
          <cell r="A4744">
            <v>31161505</v>
          </cell>
          <cell r="B4744" t="str">
            <v>Tornillos de presión</v>
          </cell>
        </row>
        <row r="4745">
          <cell r="A4745">
            <v>31161506</v>
          </cell>
          <cell r="B4745" t="str">
            <v>Tornillos para lámina metálica</v>
          </cell>
        </row>
        <row r="4746">
          <cell r="A4746">
            <v>31161507</v>
          </cell>
          <cell r="B4746" t="str">
            <v>Tornillos roscadores</v>
          </cell>
        </row>
        <row r="4747">
          <cell r="A4747">
            <v>31161508</v>
          </cell>
          <cell r="B4747" t="str">
            <v>Tornillos de rosca para madera</v>
          </cell>
        </row>
        <row r="4748">
          <cell r="A4748">
            <v>31161509</v>
          </cell>
          <cell r="B4748" t="str">
            <v>Tornillos para drywall</v>
          </cell>
        </row>
        <row r="4749">
          <cell r="A4749">
            <v>31161510</v>
          </cell>
          <cell r="B4749" t="str">
            <v>Tornillo cautivo</v>
          </cell>
        </row>
        <row r="4750">
          <cell r="A4750">
            <v>31161511</v>
          </cell>
          <cell r="B4750" t="str">
            <v>Tornillos de apriete</v>
          </cell>
        </row>
        <row r="4751">
          <cell r="A4751">
            <v>31161512</v>
          </cell>
          <cell r="B4751" t="str">
            <v>Tornillos de rosca para laminados</v>
          </cell>
        </row>
        <row r="4752">
          <cell r="A4752">
            <v>31161513</v>
          </cell>
          <cell r="B4752" t="str">
            <v>Tornillos de cabeza perdida</v>
          </cell>
        </row>
        <row r="4753">
          <cell r="A4753">
            <v>31161514</v>
          </cell>
          <cell r="B4753" t="str">
            <v>Tornillos de soldadura</v>
          </cell>
        </row>
        <row r="4754">
          <cell r="A4754">
            <v>31161516</v>
          </cell>
          <cell r="B4754" t="str">
            <v>Tornillo de orejas</v>
          </cell>
        </row>
        <row r="4755">
          <cell r="A4755">
            <v>31161517</v>
          </cell>
          <cell r="B4755" t="str">
            <v>Tornillo de hombros</v>
          </cell>
        </row>
        <row r="4756">
          <cell r="A4756">
            <v>31161518</v>
          </cell>
          <cell r="B4756" t="str">
            <v>Tornillo de enchufe</v>
          </cell>
        </row>
        <row r="4757">
          <cell r="A4757">
            <v>31161601</v>
          </cell>
          <cell r="B4757" t="str">
            <v>Pernos de anclaje</v>
          </cell>
        </row>
        <row r="4758">
          <cell r="A4758">
            <v>31161602</v>
          </cell>
          <cell r="B4758" t="str">
            <v>Pernos ciegos</v>
          </cell>
        </row>
        <row r="4759">
          <cell r="A4759">
            <v>31161603</v>
          </cell>
          <cell r="B4759" t="str">
            <v>Pernos de carruaje</v>
          </cell>
        </row>
        <row r="4760">
          <cell r="A4760">
            <v>31161604</v>
          </cell>
          <cell r="B4760" t="str">
            <v>Pernos de horquilla</v>
          </cell>
        </row>
        <row r="4761">
          <cell r="A4761">
            <v>31161605</v>
          </cell>
          <cell r="B4761" t="str">
            <v>Pernos de cilindro</v>
          </cell>
        </row>
        <row r="4762">
          <cell r="A4762">
            <v>31161606</v>
          </cell>
          <cell r="B4762" t="str">
            <v>Cerrojos de puerta</v>
          </cell>
        </row>
        <row r="4763">
          <cell r="A4763">
            <v>31161607</v>
          </cell>
          <cell r="B4763" t="str">
            <v>Pernos de expansión</v>
          </cell>
        </row>
        <row r="4764">
          <cell r="A4764">
            <v>31161608</v>
          </cell>
          <cell r="B4764" t="str">
            <v>Tirafondos</v>
          </cell>
        </row>
        <row r="4765">
          <cell r="A4765">
            <v>31161609</v>
          </cell>
          <cell r="B4765" t="str">
            <v>Tornillo de fiador</v>
          </cell>
        </row>
        <row r="4766">
          <cell r="A4766">
            <v>31161610</v>
          </cell>
          <cell r="B4766" t="str">
            <v>Pernos de ojo</v>
          </cell>
        </row>
        <row r="4767">
          <cell r="A4767">
            <v>31161611</v>
          </cell>
          <cell r="B4767" t="str">
            <v>Pernos de sujeción</v>
          </cell>
        </row>
        <row r="4768">
          <cell r="A4768">
            <v>31161612</v>
          </cell>
          <cell r="B4768" t="str">
            <v>Pernos de espiga o de reborde</v>
          </cell>
        </row>
        <row r="4769">
          <cell r="A4769">
            <v>31161613</v>
          </cell>
          <cell r="B4769" t="str">
            <v>Pernos de tensión</v>
          </cell>
        </row>
        <row r="4770">
          <cell r="A4770">
            <v>31161614</v>
          </cell>
          <cell r="B4770" t="str">
            <v>Pernos estructurales</v>
          </cell>
        </row>
        <row r="4771">
          <cell r="A4771">
            <v>31161616</v>
          </cell>
          <cell r="B4771" t="str">
            <v>Pernos en u</v>
          </cell>
        </row>
        <row r="4772">
          <cell r="A4772">
            <v>31161617</v>
          </cell>
          <cell r="B4772" t="str">
            <v>Pernos de ala</v>
          </cell>
        </row>
        <row r="4773">
          <cell r="A4773">
            <v>31161618</v>
          </cell>
          <cell r="B4773" t="str">
            <v>Varilla roscada</v>
          </cell>
        </row>
        <row r="4774">
          <cell r="A4774">
            <v>31161619</v>
          </cell>
          <cell r="B4774" t="str">
            <v>Pernos prisioneros</v>
          </cell>
        </row>
        <row r="4775">
          <cell r="A4775">
            <v>31161620</v>
          </cell>
          <cell r="B4775" t="str">
            <v>Pernos de cabeza hexagonal</v>
          </cell>
        </row>
        <row r="4776">
          <cell r="A4776">
            <v>31161621</v>
          </cell>
          <cell r="B4776" t="str">
            <v>Pernos elevadores</v>
          </cell>
        </row>
        <row r="4777">
          <cell r="A4777">
            <v>31161701</v>
          </cell>
          <cell r="B4777" t="str">
            <v>Tuercas de anclaje</v>
          </cell>
        </row>
        <row r="4778">
          <cell r="A4778">
            <v>31161702</v>
          </cell>
          <cell r="B4778" t="str">
            <v>Tuercas de rodamiento</v>
          </cell>
        </row>
        <row r="4779">
          <cell r="A4779">
            <v>31161703</v>
          </cell>
          <cell r="B4779" t="str">
            <v>Tuercas ciegas</v>
          </cell>
        </row>
        <row r="4780">
          <cell r="A4780">
            <v>31161704</v>
          </cell>
          <cell r="B4780" t="str">
            <v>Tuercas de cañón</v>
          </cell>
        </row>
        <row r="4781">
          <cell r="A4781">
            <v>31161705</v>
          </cell>
          <cell r="B4781" t="str">
            <v>Tuerca tapa</v>
          </cell>
        </row>
        <row r="4782">
          <cell r="A4782">
            <v>31161706</v>
          </cell>
          <cell r="B4782" t="str">
            <v>Tuercas cautivas</v>
          </cell>
        </row>
        <row r="4783">
          <cell r="A4783">
            <v>31161707</v>
          </cell>
          <cell r="B4783" t="str">
            <v>Tuercas almenadas</v>
          </cell>
        </row>
        <row r="4784">
          <cell r="A4784">
            <v>31161708</v>
          </cell>
          <cell r="B4784" t="str">
            <v>Tuercas de canal</v>
          </cell>
        </row>
        <row r="4785">
          <cell r="A4785">
            <v>31161709</v>
          </cell>
          <cell r="B4785" t="str">
            <v>Tuercas sujetadoras</v>
          </cell>
        </row>
        <row r="4786">
          <cell r="A4786">
            <v>31161710</v>
          </cell>
          <cell r="B4786" t="str">
            <v>Tuercas de expansión</v>
          </cell>
        </row>
        <row r="4787">
          <cell r="A4787">
            <v>31161711</v>
          </cell>
          <cell r="B4787" t="str">
            <v>Tuercas de ojo</v>
          </cell>
        </row>
        <row r="4788">
          <cell r="A4788">
            <v>31161712</v>
          </cell>
          <cell r="B4788" t="str">
            <v>Tuercas de brida</v>
          </cell>
        </row>
        <row r="4789">
          <cell r="A4789">
            <v>31161713</v>
          </cell>
          <cell r="B4789" t="str">
            <v>Tuercas de manguera</v>
          </cell>
        </row>
        <row r="4790">
          <cell r="A4790">
            <v>31161714</v>
          </cell>
          <cell r="B4790" t="str">
            <v>Tuercas de inserción</v>
          </cell>
        </row>
        <row r="4791">
          <cell r="A4791">
            <v>31161716</v>
          </cell>
          <cell r="B4791" t="str">
            <v>Contratuercas</v>
          </cell>
        </row>
        <row r="4792">
          <cell r="A4792">
            <v>31161717</v>
          </cell>
          <cell r="B4792" t="str">
            <v>Tuercas de aletas</v>
          </cell>
        </row>
        <row r="4793">
          <cell r="A4793">
            <v>31161718</v>
          </cell>
          <cell r="B4793" t="str">
            <v>Tuercas de fiador</v>
          </cell>
        </row>
        <row r="4794">
          <cell r="A4794">
            <v>31161719</v>
          </cell>
          <cell r="B4794" t="str">
            <v>Tuercas giratorias</v>
          </cell>
        </row>
        <row r="4795">
          <cell r="A4795">
            <v>31161720</v>
          </cell>
          <cell r="B4795" t="str">
            <v>Tuercas limitadoras</v>
          </cell>
        </row>
        <row r="4796">
          <cell r="A4796">
            <v>31161721</v>
          </cell>
          <cell r="B4796" t="str">
            <v>Tuercas de resorte</v>
          </cell>
        </row>
        <row r="4797">
          <cell r="A4797">
            <v>31161722</v>
          </cell>
          <cell r="B4797" t="str">
            <v>Tuercas de unión</v>
          </cell>
        </row>
        <row r="4798">
          <cell r="A4798">
            <v>31161723</v>
          </cell>
          <cell r="B4798" t="str">
            <v>Tuercas de placa con rosca</v>
          </cell>
        </row>
        <row r="4799">
          <cell r="A4799">
            <v>31161724</v>
          </cell>
          <cell r="B4799" t="str">
            <v>Tuercas de prensa</v>
          </cell>
        </row>
        <row r="4800">
          <cell r="A4800">
            <v>31161725</v>
          </cell>
          <cell r="B4800" t="str">
            <v>Tuercas abrazaderas</v>
          </cell>
        </row>
        <row r="4801">
          <cell r="A4801">
            <v>31161726</v>
          </cell>
          <cell r="B4801" t="str">
            <v>Tuercas domo</v>
          </cell>
        </row>
        <row r="4802">
          <cell r="A4802">
            <v>31161727</v>
          </cell>
          <cell r="B4802" t="str">
            <v>Tuercas hexagonales</v>
          </cell>
        </row>
        <row r="4803">
          <cell r="A4803">
            <v>31161728</v>
          </cell>
          <cell r="B4803" t="str">
            <v>Tuercas de acople</v>
          </cell>
        </row>
        <row r="4804">
          <cell r="A4804">
            <v>31161729</v>
          </cell>
          <cell r="B4804" t="str">
            <v>Tuercas estriadas</v>
          </cell>
        </row>
        <row r="4805">
          <cell r="A4805">
            <v>31161730</v>
          </cell>
          <cell r="B4805" t="str">
            <v>Tuercas cuadradas</v>
          </cell>
        </row>
        <row r="4806">
          <cell r="A4806">
            <v>31161731</v>
          </cell>
          <cell r="B4806" t="str">
            <v>Tuercas soldables</v>
          </cell>
        </row>
        <row r="4807">
          <cell r="A4807">
            <v>31161801</v>
          </cell>
          <cell r="B4807" t="str">
            <v>Arandelas de seguridad</v>
          </cell>
        </row>
        <row r="4808">
          <cell r="A4808">
            <v>31161802</v>
          </cell>
          <cell r="B4808" t="str">
            <v>Arandelas achaflanadas</v>
          </cell>
        </row>
        <row r="4809">
          <cell r="A4809">
            <v>31161803</v>
          </cell>
          <cell r="B4809" t="str">
            <v>Arandelas de fijación</v>
          </cell>
        </row>
        <row r="4810">
          <cell r="A4810">
            <v>31161804</v>
          </cell>
          <cell r="B4810" t="str">
            <v>Arandelas curvas</v>
          </cell>
        </row>
        <row r="4811">
          <cell r="A4811">
            <v>31161805</v>
          </cell>
          <cell r="B4811" t="str">
            <v>Arandelas aislantes eléctricas</v>
          </cell>
        </row>
        <row r="4812">
          <cell r="A4812">
            <v>31161806</v>
          </cell>
          <cell r="B4812" t="str">
            <v>Arandelas de acabado</v>
          </cell>
        </row>
        <row r="4813">
          <cell r="A4813">
            <v>31161807</v>
          </cell>
          <cell r="B4813" t="str">
            <v>Arandelas planas</v>
          </cell>
        </row>
        <row r="4814">
          <cell r="A4814">
            <v>31161808</v>
          </cell>
          <cell r="B4814" t="str">
            <v>Arandelas abiertas</v>
          </cell>
        </row>
        <row r="4815">
          <cell r="A4815">
            <v>31161809</v>
          </cell>
          <cell r="B4815" t="str">
            <v>Arandelas reductoras</v>
          </cell>
        </row>
        <row r="4816">
          <cell r="A4816">
            <v>31161810</v>
          </cell>
          <cell r="B4816" t="str">
            <v>Arandelas de separación</v>
          </cell>
        </row>
        <row r="4817">
          <cell r="A4817">
            <v>31161811</v>
          </cell>
          <cell r="B4817" t="str">
            <v>Arandelas de resorte</v>
          </cell>
        </row>
        <row r="4818">
          <cell r="A4818">
            <v>31161812</v>
          </cell>
          <cell r="B4818" t="str">
            <v>Arandelas cuadradas</v>
          </cell>
        </row>
        <row r="4819">
          <cell r="A4819">
            <v>31161813</v>
          </cell>
          <cell r="B4819" t="str">
            <v>Arandelas giratorias</v>
          </cell>
        </row>
        <row r="4820">
          <cell r="A4820">
            <v>31161814</v>
          </cell>
          <cell r="B4820" t="str">
            <v>Arandelas de empuje</v>
          </cell>
        </row>
        <row r="4821">
          <cell r="A4821">
            <v>31161815</v>
          </cell>
          <cell r="B4821" t="str">
            <v>Arandelas de tope</v>
          </cell>
        </row>
        <row r="4822">
          <cell r="A4822">
            <v>31161816</v>
          </cell>
          <cell r="B4822" t="str">
            <v>Espaciadores y separadores</v>
          </cell>
        </row>
        <row r="4823">
          <cell r="A4823">
            <v>31161817</v>
          </cell>
          <cell r="B4823" t="str">
            <v>Arandelas cónicas</v>
          </cell>
        </row>
        <row r="4824">
          <cell r="A4824">
            <v>31161818</v>
          </cell>
          <cell r="B4824" t="str">
            <v>Arandelas de sellado</v>
          </cell>
        </row>
        <row r="4825">
          <cell r="A4825">
            <v>31161819</v>
          </cell>
          <cell r="B4825" t="str">
            <v>Juegos de arandelas</v>
          </cell>
        </row>
        <row r="4826">
          <cell r="A4826">
            <v>31161820</v>
          </cell>
          <cell r="B4826" t="str">
            <v>Arandelas en domo o esféricas</v>
          </cell>
        </row>
        <row r="4827">
          <cell r="A4827">
            <v>31161901</v>
          </cell>
          <cell r="B4827" t="str">
            <v>Muelles helicoidales</v>
          </cell>
        </row>
        <row r="4828">
          <cell r="A4828">
            <v>31161902</v>
          </cell>
          <cell r="B4828" t="str">
            <v>Muelles</v>
          </cell>
        </row>
        <row r="4829">
          <cell r="A4829">
            <v>31161903</v>
          </cell>
          <cell r="B4829" t="str">
            <v>Muelles espirales</v>
          </cell>
        </row>
        <row r="4830">
          <cell r="A4830">
            <v>31161904</v>
          </cell>
          <cell r="B4830" t="str">
            <v>Resortes de compresión</v>
          </cell>
        </row>
        <row r="4831">
          <cell r="A4831">
            <v>31161905</v>
          </cell>
          <cell r="B4831" t="str">
            <v>Resortes para estampas</v>
          </cell>
        </row>
        <row r="4832">
          <cell r="A4832">
            <v>31161906</v>
          </cell>
          <cell r="B4832" t="str">
            <v>Muelles de disco</v>
          </cell>
        </row>
        <row r="4833">
          <cell r="A4833">
            <v>31161907</v>
          </cell>
          <cell r="B4833" t="str">
            <v>Muelles de extensión</v>
          </cell>
        </row>
        <row r="4834">
          <cell r="A4834">
            <v>31161908</v>
          </cell>
          <cell r="B4834" t="str">
            <v>Muelles de torsión</v>
          </cell>
        </row>
        <row r="4835">
          <cell r="A4835">
            <v>31162001</v>
          </cell>
          <cell r="B4835" t="str">
            <v>Chinches</v>
          </cell>
        </row>
        <row r="4836">
          <cell r="A4836">
            <v>31162002</v>
          </cell>
          <cell r="B4836" t="str">
            <v>Clavos de sombrerete</v>
          </cell>
        </row>
        <row r="4837">
          <cell r="A4837">
            <v>31162003</v>
          </cell>
          <cell r="B4837" t="str">
            <v>Clavos de acabado</v>
          </cell>
        </row>
        <row r="4838">
          <cell r="A4838">
            <v>31162004</v>
          </cell>
          <cell r="B4838" t="str">
            <v>Clavos de mampostería</v>
          </cell>
        </row>
        <row r="4839">
          <cell r="A4839">
            <v>31162005</v>
          </cell>
          <cell r="B4839" t="str">
            <v>Clavos para tejados</v>
          </cell>
        </row>
        <row r="4840">
          <cell r="A4840">
            <v>31162006</v>
          </cell>
          <cell r="B4840" t="str">
            <v>Clavos de alambre</v>
          </cell>
        </row>
        <row r="4841">
          <cell r="A4841">
            <v>31162007</v>
          </cell>
          <cell r="B4841" t="str">
            <v>Clavos de tapicería</v>
          </cell>
        </row>
        <row r="4842">
          <cell r="A4842">
            <v>31162008</v>
          </cell>
          <cell r="B4842" t="str">
            <v>Pasadores de arrastre</v>
          </cell>
        </row>
        <row r="4843">
          <cell r="A4843">
            <v>31162101</v>
          </cell>
          <cell r="B4843" t="str">
            <v>Anclajes de concreto</v>
          </cell>
        </row>
        <row r="4844">
          <cell r="A4844">
            <v>31162102</v>
          </cell>
          <cell r="B4844" t="str">
            <v>Anclajes de cuña</v>
          </cell>
        </row>
        <row r="4845">
          <cell r="A4845">
            <v>31162103</v>
          </cell>
          <cell r="B4845" t="str">
            <v>Anclajes de pared</v>
          </cell>
        </row>
        <row r="4846">
          <cell r="A4846">
            <v>31162104</v>
          </cell>
          <cell r="B4846" t="str">
            <v>Anclajes de tornillo</v>
          </cell>
        </row>
        <row r="4847">
          <cell r="A4847">
            <v>31162105</v>
          </cell>
          <cell r="B4847" t="str">
            <v>Anclajes de resina</v>
          </cell>
        </row>
        <row r="4848">
          <cell r="A4848">
            <v>31162106</v>
          </cell>
          <cell r="B4848" t="str">
            <v>Anclaje de tubería</v>
          </cell>
        </row>
        <row r="4849">
          <cell r="A4849">
            <v>31162107</v>
          </cell>
          <cell r="B4849" t="str">
            <v>Anclajes de expansión de clavo</v>
          </cell>
        </row>
        <row r="4850">
          <cell r="A4850">
            <v>31162108</v>
          </cell>
          <cell r="B4850" t="str">
            <v>Anclajes de amarre</v>
          </cell>
        </row>
        <row r="4851">
          <cell r="A4851">
            <v>31162201</v>
          </cell>
          <cell r="B4851" t="str">
            <v>Remaches ciegos</v>
          </cell>
        </row>
        <row r="4852">
          <cell r="A4852">
            <v>31162202</v>
          </cell>
          <cell r="B4852" t="str">
            <v>Remaches de corona</v>
          </cell>
        </row>
        <row r="4853">
          <cell r="A4853">
            <v>31162203</v>
          </cell>
          <cell r="B4853" t="str">
            <v>Remaches de cabeza plana</v>
          </cell>
        </row>
        <row r="4854">
          <cell r="A4854">
            <v>31162204</v>
          </cell>
          <cell r="B4854" t="str">
            <v>Remaches completos</v>
          </cell>
        </row>
        <row r="4855">
          <cell r="A4855">
            <v>31162205</v>
          </cell>
          <cell r="B4855" t="str">
            <v>Remaches de trinquetes</v>
          </cell>
        </row>
        <row r="4856">
          <cell r="A4856">
            <v>31162206</v>
          </cell>
          <cell r="B4856" t="str">
            <v>Remaches de estañador</v>
          </cell>
        </row>
        <row r="4857">
          <cell r="A4857">
            <v>31162207</v>
          </cell>
          <cell r="B4857" t="str">
            <v>Remaches de compresión</v>
          </cell>
        </row>
        <row r="4858">
          <cell r="A4858">
            <v>31162208</v>
          </cell>
          <cell r="B4858" t="str">
            <v>Remaches de tonelero</v>
          </cell>
        </row>
        <row r="4859">
          <cell r="A4859">
            <v>31162209</v>
          </cell>
          <cell r="B4859" t="str">
            <v>Remaches de botón</v>
          </cell>
        </row>
        <row r="4860">
          <cell r="A4860">
            <v>31162210</v>
          </cell>
          <cell r="B4860" t="str">
            <v>Remaches articulados</v>
          </cell>
        </row>
        <row r="4861">
          <cell r="A4861">
            <v>31162301</v>
          </cell>
          <cell r="B4861" t="str">
            <v>Perfiles de montaje</v>
          </cell>
        </row>
        <row r="4862">
          <cell r="A4862">
            <v>31162303</v>
          </cell>
          <cell r="B4862" t="str">
            <v>Barras de montaje</v>
          </cell>
        </row>
        <row r="4863">
          <cell r="A4863">
            <v>31162304</v>
          </cell>
          <cell r="B4863" t="str">
            <v>Regletas de montaje</v>
          </cell>
        </row>
        <row r="4864">
          <cell r="A4864">
            <v>31162305</v>
          </cell>
          <cell r="B4864" t="str">
            <v>Abrazaderas de montaje</v>
          </cell>
        </row>
        <row r="4865">
          <cell r="A4865">
            <v>31162306</v>
          </cell>
          <cell r="B4865" t="str">
            <v>Soportes colgantes de montaje</v>
          </cell>
        </row>
        <row r="4866">
          <cell r="A4866">
            <v>31162307</v>
          </cell>
          <cell r="B4866" t="str">
            <v>Placas de montaje</v>
          </cell>
        </row>
        <row r="4867">
          <cell r="A4867">
            <v>31162308</v>
          </cell>
          <cell r="B4867" t="str">
            <v>Paneles de montaje</v>
          </cell>
        </row>
        <row r="4868">
          <cell r="A4868">
            <v>31162309</v>
          </cell>
          <cell r="B4868" t="str">
            <v>Estantes de montaje</v>
          </cell>
        </row>
        <row r="4869">
          <cell r="A4869">
            <v>31162310</v>
          </cell>
          <cell r="B4869" t="str">
            <v>Correas de montaje</v>
          </cell>
        </row>
        <row r="4870">
          <cell r="A4870">
            <v>31162311</v>
          </cell>
          <cell r="B4870" t="str">
            <v>Bujes de pared</v>
          </cell>
        </row>
        <row r="4871">
          <cell r="A4871">
            <v>31162312</v>
          </cell>
          <cell r="B4871" t="str">
            <v>Pasadores de montaje</v>
          </cell>
        </row>
        <row r="4872">
          <cell r="A4872">
            <v>31162313</v>
          </cell>
          <cell r="B4872" t="str">
            <v>Kits de montaje</v>
          </cell>
        </row>
        <row r="4873">
          <cell r="A4873">
            <v>31162401</v>
          </cell>
          <cell r="B4873" t="str">
            <v>Aros interiores</v>
          </cell>
        </row>
        <row r="4874">
          <cell r="A4874">
            <v>31162402</v>
          </cell>
          <cell r="B4874" t="str">
            <v>Cerraduras</v>
          </cell>
        </row>
        <row r="4875">
          <cell r="A4875">
            <v>31162403</v>
          </cell>
          <cell r="B4875" t="str">
            <v>Goznes o bisagras</v>
          </cell>
        </row>
        <row r="4876">
          <cell r="A4876">
            <v>31162404</v>
          </cell>
          <cell r="B4876" t="str">
            <v>Grapas</v>
          </cell>
        </row>
        <row r="4877">
          <cell r="A4877">
            <v>31162405</v>
          </cell>
          <cell r="B4877" t="str">
            <v>Tensores</v>
          </cell>
        </row>
        <row r="4878">
          <cell r="A4878">
            <v>31162406</v>
          </cell>
          <cell r="B4878" t="str">
            <v>Cierres para zunchado</v>
          </cell>
        </row>
        <row r="4879">
          <cell r="A4879">
            <v>31162407</v>
          </cell>
          <cell r="B4879" t="str">
            <v>Pestillo</v>
          </cell>
        </row>
        <row r="4880">
          <cell r="A4880">
            <v>31162409</v>
          </cell>
          <cell r="B4880" t="str">
            <v>Pasador de horquilla</v>
          </cell>
        </row>
        <row r="4881">
          <cell r="A4881">
            <v>31162410</v>
          </cell>
          <cell r="B4881" t="str">
            <v>Pasadores estriados</v>
          </cell>
        </row>
        <row r="4882">
          <cell r="A4882">
            <v>31162411</v>
          </cell>
          <cell r="B4882" t="str">
            <v>Anillos elásticos</v>
          </cell>
        </row>
        <row r="4883">
          <cell r="A4883">
            <v>31162412</v>
          </cell>
          <cell r="B4883" t="str">
            <v>Horquilla</v>
          </cell>
        </row>
        <row r="4884">
          <cell r="A4884">
            <v>31162413</v>
          </cell>
          <cell r="B4884" t="str">
            <v>Cierre de presión</v>
          </cell>
        </row>
        <row r="4885">
          <cell r="A4885">
            <v>31162414</v>
          </cell>
          <cell r="B4885" t="str">
            <v>Abrazadera</v>
          </cell>
        </row>
        <row r="4886">
          <cell r="A4886">
            <v>31162415</v>
          </cell>
          <cell r="B4886" t="str">
            <v>Uñeta</v>
          </cell>
        </row>
        <row r="4887">
          <cell r="A4887">
            <v>31162416</v>
          </cell>
          <cell r="B4887" t="str">
            <v>Pasadores de conexión o acoplamiento</v>
          </cell>
        </row>
        <row r="4888">
          <cell r="A4888">
            <v>31162417</v>
          </cell>
          <cell r="B4888" t="str">
            <v>Pasadores de alineación</v>
          </cell>
        </row>
        <row r="4889">
          <cell r="A4889">
            <v>31162418</v>
          </cell>
          <cell r="B4889" t="str">
            <v>Ataduras de torsión</v>
          </cell>
        </row>
        <row r="4890">
          <cell r="A4890">
            <v>31162501</v>
          </cell>
          <cell r="B4890" t="str">
            <v>Soportes para estanterías</v>
          </cell>
        </row>
        <row r="4891">
          <cell r="A4891">
            <v>31162502</v>
          </cell>
          <cell r="B4891" t="str">
            <v>Soportes en escuadra</v>
          </cell>
        </row>
        <row r="4892">
          <cell r="A4892">
            <v>31162503</v>
          </cell>
          <cell r="B4892" t="str">
            <v>Puntales</v>
          </cell>
        </row>
        <row r="4893">
          <cell r="A4893">
            <v>31162504</v>
          </cell>
          <cell r="B4893" t="str">
            <v>Soportes para accesorios eléctricos</v>
          </cell>
        </row>
        <row r="4894">
          <cell r="A4894">
            <v>31162505</v>
          </cell>
          <cell r="B4894" t="str">
            <v>Soportes de montaje magnético</v>
          </cell>
        </row>
        <row r="4895">
          <cell r="A4895">
            <v>31162506</v>
          </cell>
          <cell r="B4895" t="str">
            <v>Soporte de pared</v>
          </cell>
        </row>
        <row r="4896">
          <cell r="A4896">
            <v>31162507</v>
          </cell>
          <cell r="B4896" t="str">
            <v>Soportes de piñón</v>
          </cell>
        </row>
        <row r="4897">
          <cell r="A4897">
            <v>31162601</v>
          </cell>
          <cell r="B4897" t="str">
            <v>Ganchos giratorios</v>
          </cell>
        </row>
        <row r="4898">
          <cell r="A4898">
            <v>31162602</v>
          </cell>
          <cell r="B4898" t="str">
            <v>Ganchos de resorte</v>
          </cell>
        </row>
        <row r="4899">
          <cell r="A4899">
            <v>31162603</v>
          </cell>
          <cell r="B4899" t="str">
            <v>Ganchos en s</v>
          </cell>
        </row>
        <row r="4900">
          <cell r="A4900">
            <v>31162604</v>
          </cell>
          <cell r="B4900" t="str">
            <v>Ganchos de seguridad</v>
          </cell>
        </row>
        <row r="4901">
          <cell r="A4901">
            <v>31162605</v>
          </cell>
          <cell r="B4901" t="str">
            <v>Ganchos de suspensión</v>
          </cell>
        </row>
        <row r="4902">
          <cell r="A4902">
            <v>31162606</v>
          </cell>
          <cell r="B4902" t="str">
            <v>Ganchos en j</v>
          </cell>
        </row>
        <row r="4903">
          <cell r="A4903">
            <v>31162607</v>
          </cell>
          <cell r="B4903" t="str">
            <v>Ganchos de alambre para riostras</v>
          </cell>
        </row>
        <row r="4904">
          <cell r="A4904">
            <v>31162608</v>
          </cell>
          <cell r="B4904" t="str">
            <v>Ganchos de grúa</v>
          </cell>
        </row>
        <row r="4905">
          <cell r="A4905">
            <v>31162609</v>
          </cell>
          <cell r="B4905" t="str">
            <v>Ganchos de atornillar</v>
          </cell>
        </row>
        <row r="4906">
          <cell r="A4906">
            <v>31162610</v>
          </cell>
          <cell r="B4906" t="str">
            <v>Ganchos de tablero</v>
          </cell>
        </row>
        <row r="4907">
          <cell r="A4907">
            <v>31162611</v>
          </cell>
          <cell r="B4907" t="str">
            <v>Gancho de deslizamiento</v>
          </cell>
        </row>
        <row r="4908">
          <cell r="A4908">
            <v>31162701</v>
          </cell>
          <cell r="B4908" t="str">
            <v>Ruedas para muebles</v>
          </cell>
        </row>
        <row r="4909">
          <cell r="A4909">
            <v>31162702</v>
          </cell>
          <cell r="B4909" t="str">
            <v>Ruedas</v>
          </cell>
        </row>
        <row r="4910">
          <cell r="A4910">
            <v>31162703</v>
          </cell>
          <cell r="B4910" t="str">
            <v>Deslizadoras</v>
          </cell>
        </row>
        <row r="4911">
          <cell r="A4911">
            <v>31162704</v>
          </cell>
          <cell r="B4911" t="str">
            <v>Puntas de rodillo</v>
          </cell>
        </row>
        <row r="4912">
          <cell r="A4912">
            <v>31162801</v>
          </cell>
          <cell r="B4912" t="str">
            <v>Chapas o pomos</v>
          </cell>
        </row>
        <row r="4913">
          <cell r="A4913">
            <v>31162802</v>
          </cell>
          <cell r="B4913" t="str">
            <v>Insertos</v>
          </cell>
        </row>
        <row r="4914">
          <cell r="A4914">
            <v>31162803</v>
          </cell>
          <cell r="B4914" t="str">
            <v>Grilletes</v>
          </cell>
        </row>
        <row r="4915">
          <cell r="A4915">
            <v>31162804</v>
          </cell>
          <cell r="B4915" t="str">
            <v>Topes de puerta</v>
          </cell>
        </row>
        <row r="4916">
          <cell r="A4916">
            <v>31162805</v>
          </cell>
          <cell r="B4916" t="str">
            <v>Cable dedal</v>
          </cell>
        </row>
        <row r="4917">
          <cell r="A4917">
            <v>31162806</v>
          </cell>
          <cell r="B4917" t="str">
            <v>Cubiertas de tornillos</v>
          </cell>
        </row>
        <row r="4918">
          <cell r="A4918">
            <v>31162807</v>
          </cell>
          <cell r="B4918" t="str">
            <v>Palancas</v>
          </cell>
        </row>
        <row r="4919">
          <cell r="A4919">
            <v>31162808</v>
          </cell>
          <cell r="B4919" t="str">
            <v>Barras de pánico</v>
          </cell>
        </row>
        <row r="4920">
          <cell r="A4920">
            <v>31162809</v>
          </cell>
          <cell r="B4920" t="str">
            <v>Pasadores posicionadores</v>
          </cell>
        </row>
        <row r="4921">
          <cell r="A4921">
            <v>31162810</v>
          </cell>
          <cell r="B4921" t="str">
            <v>Empalmes o placas de unión</v>
          </cell>
        </row>
        <row r="4922">
          <cell r="A4922">
            <v>31162811</v>
          </cell>
          <cell r="B4922" t="str">
            <v>Collar del eje</v>
          </cell>
        </row>
        <row r="4923">
          <cell r="A4923">
            <v>31162901</v>
          </cell>
          <cell r="B4923" t="str">
            <v>Abrazaderas de espiga</v>
          </cell>
        </row>
        <row r="4924">
          <cell r="A4924">
            <v>31162902</v>
          </cell>
          <cell r="B4924" t="str">
            <v>Abrazaderas de resorte</v>
          </cell>
        </row>
        <row r="4925">
          <cell r="A4925">
            <v>31162903</v>
          </cell>
          <cell r="B4925" t="str">
            <v>Abrazaderas de tornillo</v>
          </cell>
        </row>
        <row r="4926">
          <cell r="A4926">
            <v>31162904</v>
          </cell>
          <cell r="B4926" t="str">
            <v>Abrazadera de cable metálico</v>
          </cell>
        </row>
        <row r="4927">
          <cell r="A4927">
            <v>31162905</v>
          </cell>
          <cell r="B4927" t="str">
            <v>Abrazadera para viga doble t</v>
          </cell>
        </row>
        <row r="4928">
          <cell r="A4928">
            <v>31162906</v>
          </cell>
          <cell r="B4928" t="str">
            <v>Abrazaderas de manguera o tubo</v>
          </cell>
        </row>
        <row r="4929">
          <cell r="A4929">
            <v>31163001</v>
          </cell>
          <cell r="B4929" t="str">
            <v>Acoples elastoméricos</v>
          </cell>
        </row>
        <row r="4930">
          <cell r="A4930">
            <v>31163002</v>
          </cell>
          <cell r="B4930" t="str">
            <v>Acoples por engranaje</v>
          </cell>
        </row>
        <row r="4931">
          <cell r="A4931">
            <v>31163003</v>
          </cell>
          <cell r="B4931" t="str">
            <v>Acoples metálicos</v>
          </cell>
        </row>
        <row r="4932">
          <cell r="A4932">
            <v>31163004</v>
          </cell>
          <cell r="B4932" t="str">
            <v>Acoples en miniatura</v>
          </cell>
        </row>
        <row r="4933">
          <cell r="A4933">
            <v>31163005</v>
          </cell>
          <cell r="B4933" t="str">
            <v>Manguitos de acoplamiento</v>
          </cell>
        </row>
        <row r="4934">
          <cell r="A4934">
            <v>31163101</v>
          </cell>
          <cell r="B4934" t="str">
            <v>Desconectores rápidos</v>
          </cell>
        </row>
        <row r="4935">
          <cell r="A4935">
            <v>31163102</v>
          </cell>
          <cell r="B4935" t="str">
            <v>Férula</v>
          </cell>
        </row>
        <row r="4936">
          <cell r="A4936">
            <v>31163103</v>
          </cell>
          <cell r="B4936" t="str">
            <v>Conector de remolque</v>
          </cell>
        </row>
        <row r="4937">
          <cell r="A4937">
            <v>31163201</v>
          </cell>
          <cell r="B4937" t="str">
            <v>Pasadores de resorte</v>
          </cell>
        </row>
        <row r="4938">
          <cell r="A4938">
            <v>31163202</v>
          </cell>
          <cell r="B4938" t="str">
            <v>Anillos de retención</v>
          </cell>
        </row>
        <row r="4939">
          <cell r="A4939">
            <v>31163203</v>
          </cell>
          <cell r="B4939" t="str">
            <v>Pasador de espiga</v>
          </cell>
        </row>
        <row r="4940">
          <cell r="A4940">
            <v>31163204</v>
          </cell>
          <cell r="B4940" t="str">
            <v>Pasador de horquilla</v>
          </cell>
        </row>
        <row r="4941">
          <cell r="A4941">
            <v>31163205</v>
          </cell>
          <cell r="B4941" t="str">
            <v>Pasadores de cono</v>
          </cell>
        </row>
        <row r="4942">
          <cell r="A4942">
            <v>31163207</v>
          </cell>
          <cell r="B4942" t="str">
            <v>Horquillas de eje o de disco</v>
          </cell>
        </row>
        <row r="4943">
          <cell r="A4943">
            <v>31163208</v>
          </cell>
          <cell r="B4943" t="str">
            <v>Bloquecillo</v>
          </cell>
        </row>
        <row r="4944">
          <cell r="A4944">
            <v>31163209</v>
          </cell>
          <cell r="B4944" t="str">
            <v>Soportes o retenes del rodamiento</v>
          </cell>
        </row>
        <row r="4945">
          <cell r="A4945">
            <v>31163210</v>
          </cell>
          <cell r="B4945" t="str">
            <v>Collares de retención</v>
          </cell>
        </row>
        <row r="4946">
          <cell r="A4946">
            <v>31163211</v>
          </cell>
          <cell r="B4946" t="str">
            <v>Grapas de retención</v>
          </cell>
        </row>
        <row r="4947">
          <cell r="A4947">
            <v>31163212</v>
          </cell>
          <cell r="B4947" t="str">
            <v>Pasadores roscados</v>
          </cell>
        </row>
        <row r="4948">
          <cell r="A4948">
            <v>31163213</v>
          </cell>
          <cell r="B4948" t="str">
            <v>Pasadores de pivote</v>
          </cell>
        </row>
        <row r="4949">
          <cell r="A4949">
            <v>31163214</v>
          </cell>
          <cell r="B4949" t="str">
            <v>Pasadores de deslizamiento</v>
          </cell>
        </row>
        <row r="4950">
          <cell r="A4950">
            <v>31163215</v>
          </cell>
          <cell r="B4950" t="str">
            <v>Pasadores estriados</v>
          </cell>
        </row>
        <row r="4951">
          <cell r="A4951">
            <v>31163301</v>
          </cell>
          <cell r="B4951" t="str">
            <v>Montante de dos extremos</v>
          </cell>
        </row>
        <row r="4952">
          <cell r="A4952">
            <v>31171501</v>
          </cell>
          <cell r="B4952" t="str">
            <v>Rodamientos embridados</v>
          </cell>
        </row>
        <row r="4953">
          <cell r="A4953">
            <v>31171502</v>
          </cell>
          <cell r="B4953" t="str">
            <v>Rodamientos radiales</v>
          </cell>
        </row>
        <row r="4954">
          <cell r="A4954">
            <v>31171503</v>
          </cell>
          <cell r="B4954" t="str">
            <v>Rodamientos de rueda</v>
          </cell>
        </row>
        <row r="4955">
          <cell r="A4955">
            <v>31171504</v>
          </cell>
          <cell r="B4955" t="str">
            <v>Rodamientos de balineras</v>
          </cell>
        </row>
        <row r="4956">
          <cell r="A4956">
            <v>31171505</v>
          </cell>
          <cell r="B4956" t="str">
            <v>Rodamientos de rodillos</v>
          </cell>
        </row>
        <row r="4957">
          <cell r="A4957">
            <v>31171506</v>
          </cell>
          <cell r="B4957" t="str">
            <v>Rodamientos lineales</v>
          </cell>
        </row>
        <row r="4958">
          <cell r="A4958">
            <v>31171507</v>
          </cell>
          <cell r="B4958" t="str">
            <v>Rodamientos de empuje</v>
          </cell>
        </row>
        <row r="4959">
          <cell r="A4959">
            <v>31171508</v>
          </cell>
          <cell r="B4959" t="str">
            <v>Rodamientos de cabeza de biela</v>
          </cell>
        </row>
        <row r="4960">
          <cell r="A4960">
            <v>31171509</v>
          </cell>
          <cell r="B4960" t="str">
            <v>Rodamientos de manguito interior</v>
          </cell>
        </row>
        <row r="4961">
          <cell r="A4961">
            <v>31171510</v>
          </cell>
          <cell r="B4961" t="str">
            <v>Rodamientos esféricos</v>
          </cell>
        </row>
        <row r="4962">
          <cell r="A4962">
            <v>31171511</v>
          </cell>
          <cell r="B4962" t="str">
            <v>Soportes de cojinetes</v>
          </cell>
        </row>
        <row r="4963">
          <cell r="A4963">
            <v>31171512</v>
          </cell>
          <cell r="B4963" t="str">
            <v>Rodamiento de agujas</v>
          </cell>
        </row>
        <row r="4964">
          <cell r="A4964">
            <v>31171513</v>
          </cell>
          <cell r="B4964" t="str">
            <v>Rodamientos colgaderos</v>
          </cell>
        </row>
        <row r="4965">
          <cell r="A4965">
            <v>31171515</v>
          </cell>
          <cell r="B4965" t="str">
            <v>Rodamientos simples</v>
          </cell>
        </row>
        <row r="4966">
          <cell r="A4966">
            <v>31171516</v>
          </cell>
          <cell r="B4966" t="str">
            <v>Rodamientos cónicos</v>
          </cell>
        </row>
        <row r="4967">
          <cell r="A4967">
            <v>31171518</v>
          </cell>
          <cell r="B4967" t="str">
            <v>Jaula de rodamiento</v>
          </cell>
        </row>
        <row r="4968">
          <cell r="A4968">
            <v>31171519</v>
          </cell>
          <cell r="B4968" t="str">
            <v>Carcasas o pedestales de rodamientos</v>
          </cell>
        </row>
        <row r="4969">
          <cell r="A4969">
            <v>31171520</v>
          </cell>
          <cell r="B4969" t="str">
            <v>Muñones de rodamientos</v>
          </cell>
        </row>
        <row r="4970">
          <cell r="A4970">
            <v>31171521</v>
          </cell>
          <cell r="B4970" t="str">
            <v>Bolas o rodillos de cojinete</v>
          </cell>
        </row>
        <row r="4971">
          <cell r="A4971">
            <v>31171522</v>
          </cell>
          <cell r="B4971" t="str">
            <v>Rodamientos magnéticos</v>
          </cell>
        </row>
        <row r="4972">
          <cell r="A4972">
            <v>31171523</v>
          </cell>
          <cell r="B4972" t="str">
            <v>Rodamientos neumáticos</v>
          </cell>
        </row>
        <row r="4973">
          <cell r="A4973">
            <v>31171524</v>
          </cell>
          <cell r="B4973" t="str">
            <v>Tapas de rodamientos</v>
          </cell>
        </row>
        <row r="4974">
          <cell r="A4974">
            <v>31171525</v>
          </cell>
          <cell r="B4974" t="str">
            <v>Revestimientos de rodamiento</v>
          </cell>
        </row>
        <row r="4975">
          <cell r="A4975">
            <v>31171526</v>
          </cell>
          <cell r="B4975" t="str">
            <v>Almohadillas de rodamiento</v>
          </cell>
        </row>
        <row r="4976">
          <cell r="A4976">
            <v>31171527</v>
          </cell>
          <cell r="B4976" t="str">
            <v>Conos de rodamiento</v>
          </cell>
        </row>
        <row r="4977">
          <cell r="A4977">
            <v>31171528</v>
          </cell>
          <cell r="B4977" t="str">
            <v>Rodamiento partido</v>
          </cell>
        </row>
        <row r="4978">
          <cell r="A4978">
            <v>31171529</v>
          </cell>
          <cell r="B4978" t="str">
            <v>Sombreretes de rodamiento</v>
          </cell>
        </row>
        <row r="4979">
          <cell r="A4979">
            <v>31171603</v>
          </cell>
          <cell r="B4979" t="str">
            <v>Bujes de taladro</v>
          </cell>
        </row>
        <row r="4980">
          <cell r="A4980">
            <v>31171604</v>
          </cell>
          <cell r="B4980" t="str">
            <v>Bujes pilotos</v>
          </cell>
        </row>
        <row r="4981">
          <cell r="A4981">
            <v>31171605</v>
          </cell>
          <cell r="B4981" t="str">
            <v>Bujes de eje</v>
          </cell>
        </row>
        <row r="4982">
          <cell r="A4982">
            <v>31171606</v>
          </cell>
          <cell r="B4982" t="str">
            <v>Bujes de brida</v>
          </cell>
        </row>
        <row r="4983">
          <cell r="A4983">
            <v>31171704</v>
          </cell>
          <cell r="B4983" t="str">
            <v>Engranajes de fricción</v>
          </cell>
        </row>
        <row r="4984">
          <cell r="A4984">
            <v>31171706</v>
          </cell>
          <cell r="B4984" t="str">
            <v>Engranajes cónicos</v>
          </cell>
        </row>
        <row r="4985">
          <cell r="A4985">
            <v>31171707</v>
          </cell>
          <cell r="B4985" t="str">
            <v>Engranajes rectos</v>
          </cell>
        </row>
        <row r="4986">
          <cell r="A4986">
            <v>31171708</v>
          </cell>
          <cell r="B4986" t="str">
            <v>Engranajes biselados</v>
          </cell>
        </row>
        <row r="4987">
          <cell r="A4987">
            <v>31171709</v>
          </cell>
          <cell r="B4987" t="str">
            <v>Engranajes cremallera</v>
          </cell>
        </row>
        <row r="4988">
          <cell r="A4988">
            <v>31171710</v>
          </cell>
          <cell r="B4988" t="str">
            <v>Engranajes piñón</v>
          </cell>
        </row>
        <row r="4989">
          <cell r="A4989">
            <v>31171711</v>
          </cell>
          <cell r="B4989" t="str">
            <v>Engranajes de anillo</v>
          </cell>
        </row>
        <row r="4990">
          <cell r="A4990">
            <v>31171712</v>
          </cell>
          <cell r="B4990" t="str">
            <v>Engranajes de tornillo sin fin</v>
          </cell>
        </row>
        <row r="4991">
          <cell r="A4991">
            <v>31171713</v>
          </cell>
          <cell r="B4991" t="str">
            <v>Engranajes laterales</v>
          </cell>
        </row>
        <row r="4992">
          <cell r="A4992">
            <v>31171714</v>
          </cell>
          <cell r="B4992" t="str">
            <v>Engranajes helicoidales</v>
          </cell>
        </row>
        <row r="4993">
          <cell r="A4993">
            <v>31171801</v>
          </cell>
          <cell r="B4993" t="str">
            <v>Ruedas dentadas</v>
          </cell>
        </row>
        <row r="4994">
          <cell r="A4994">
            <v>31171802</v>
          </cell>
          <cell r="B4994" t="str">
            <v>Ruedas motrices</v>
          </cell>
        </row>
        <row r="4995">
          <cell r="A4995">
            <v>31171803</v>
          </cell>
          <cell r="B4995" t="str">
            <v>Rueda voladora</v>
          </cell>
        </row>
        <row r="4996">
          <cell r="A4996">
            <v>31171804</v>
          </cell>
          <cell r="B4996" t="str">
            <v>Poleas</v>
          </cell>
        </row>
        <row r="4997">
          <cell r="A4997">
            <v>31171805</v>
          </cell>
          <cell r="B4997" t="str">
            <v>Cepillos de rueda</v>
          </cell>
        </row>
        <row r="4998">
          <cell r="A4998">
            <v>31171806</v>
          </cell>
          <cell r="B4998" t="str">
            <v>Ruedas de rodillos</v>
          </cell>
        </row>
        <row r="4999">
          <cell r="A4999">
            <v>31171901</v>
          </cell>
          <cell r="B4999" t="str">
            <v>Ruedas dentadas para cadena de rodillos</v>
          </cell>
        </row>
        <row r="5000">
          <cell r="A5000">
            <v>31181501</v>
          </cell>
          <cell r="B5000" t="str">
            <v>Juntas obturadoras plásticas</v>
          </cell>
        </row>
        <row r="5001">
          <cell r="A5001">
            <v>31181502</v>
          </cell>
          <cell r="B5001" t="str">
            <v>Juntas obturadoras de caucho</v>
          </cell>
        </row>
        <row r="5002">
          <cell r="A5002">
            <v>31181503</v>
          </cell>
          <cell r="B5002" t="str">
            <v>Juntas obturadoras de metal</v>
          </cell>
        </row>
        <row r="5003">
          <cell r="A5003">
            <v>31181504</v>
          </cell>
          <cell r="B5003" t="str">
            <v>Juntas obturadoras textiles</v>
          </cell>
        </row>
        <row r="5004">
          <cell r="A5004">
            <v>31181505</v>
          </cell>
          <cell r="B5004" t="str">
            <v>Juntas obturadoras de corcho</v>
          </cell>
        </row>
        <row r="5005">
          <cell r="A5005">
            <v>31181506</v>
          </cell>
          <cell r="B5005" t="str">
            <v>Juntas teóricas</v>
          </cell>
        </row>
        <row r="5006">
          <cell r="A5006">
            <v>31181507</v>
          </cell>
          <cell r="B5006" t="str">
            <v>Juntas de interferencia electromagnética (IEM)</v>
          </cell>
        </row>
        <row r="5007">
          <cell r="A5007">
            <v>31181508</v>
          </cell>
          <cell r="B5007" t="str">
            <v>Juntas bulonadas</v>
          </cell>
        </row>
        <row r="5008">
          <cell r="A5008">
            <v>31181509</v>
          </cell>
          <cell r="B5008" t="str">
            <v>Equipos de cubrejuntas</v>
          </cell>
        </row>
        <row r="5009">
          <cell r="A5009">
            <v>31181510</v>
          </cell>
          <cell r="B5009" t="str">
            <v>Juntas de silicona</v>
          </cell>
        </row>
        <row r="5010">
          <cell r="A5010">
            <v>31181511</v>
          </cell>
          <cell r="B5010" t="str">
            <v>Juntas líquidas</v>
          </cell>
        </row>
        <row r="5011">
          <cell r="A5011">
            <v>31181512</v>
          </cell>
          <cell r="B5011" t="str">
            <v>Juntas de fibra comprimida</v>
          </cell>
        </row>
        <row r="5012">
          <cell r="A5012">
            <v>31181601</v>
          </cell>
          <cell r="B5012" t="str">
            <v>Sellos de plástico</v>
          </cell>
        </row>
        <row r="5013">
          <cell r="A5013">
            <v>31181602</v>
          </cell>
          <cell r="B5013" t="str">
            <v>Sellos de caucho</v>
          </cell>
        </row>
        <row r="5014">
          <cell r="A5014">
            <v>31181603</v>
          </cell>
          <cell r="B5014" t="str">
            <v>Sellos metálicos</v>
          </cell>
        </row>
        <row r="5015">
          <cell r="A5015">
            <v>31181604</v>
          </cell>
          <cell r="B5015" t="str">
            <v>Sello mecánico</v>
          </cell>
        </row>
        <row r="5016">
          <cell r="A5016">
            <v>31181605</v>
          </cell>
          <cell r="B5016" t="str">
            <v>Sellos de diafragma</v>
          </cell>
        </row>
        <row r="5017">
          <cell r="A5017">
            <v>31181606</v>
          </cell>
          <cell r="B5017" t="str">
            <v>Juegos de sellos</v>
          </cell>
        </row>
        <row r="5018">
          <cell r="A5018">
            <v>31181607</v>
          </cell>
          <cell r="B5018" t="str">
            <v>Manguitos de mástil</v>
          </cell>
        </row>
        <row r="5019">
          <cell r="A5019">
            <v>31181701</v>
          </cell>
          <cell r="B5019" t="str">
            <v>Empaques</v>
          </cell>
        </row>
        <row r="5020">
          <cell r="A5020">
            <v>31181702</v>
          </cell>
          <cell r="B5020" t="str">
            <v>Prensaestopas</v>
          </cell>
        </row>
        <row r="5021">
          <cell r="A5021">
            <v>31181703</v>
          </cell>
          <cell r="B5021" t="str">
            <v>Deflectores de aceite</v>
          </cell>
        </row>
        <row r="5022">
          <cell r="A5022">
            <v>31191501</v>
          </cell>
          <cell r="B5022" t="str">
            <v>Papeles abrasivos</v>
          </cell>
        </row>
        <row r="5023">
          <cell r="A5023">
            <v>31191502</v>
          </cell>
          <cell r="B5023" t="str">
            <v>Pulidor</v>
          </cell>
        </row>
        <row r="5024">
          <cell r="A5024">
            <v>31191504</v>
          </cell>
          <cell r="B5024" t="str">
            <v>Telas abrasivas</v>
          </cell>
        </row>
        <row r="5025">
          <cell r="A5025">
            <v>31191505</v>
          </cell>
          <cell r="B5025" t="str">
            <v>Almohadillas abrasivas</v>
          </cell>
        </row>
        <row r="5026">
          <cell r="A5026">
            <v>31191506</v>
          </cell>
          <cell r="B5026" t="str">
            <v>Discos abrasivos</v>
          </cell>
        </row>
        <row r="5027">
          <cell r="A5027">
            <v>31191507</v>
          </cell>
          <cell r="B5027" t="str">
            <v>Cintas abrasivas</v>
          </cell>
        </row>
        <row r="5028">
          <cell r="A5028">
            <v>31191508</v>
          </cell>
          <cell r="B5028" t="str">
            <v>Polvo de diamante</v>
          </cell>
        </row>
        <row r="5029">
          <cell r="A5029">
            <v>31191509</v>
          </cell>
          <cell r="B5029" t="str">
            <v>Pulidores abrasivos</v>
          </cell>
        </row>
        <row r="5030">
          <cell r="A5030">
            <v>31191510</v>
          </cell>
          <cell r="B5030" t="str">
            <v>Piedras abrasivas</v>
          </cell>
        </row>
        <row r="5031">
          <cell r="A5031">
            <v>31191511</v>
          </cell>
          <cell r="B5031" t="str">
            <v>Virutas de acero</v>
          </cell>
        </row>
        <row r="5032">
          <cell r="A5032">
            <v>31191512</v>
          </cell>
          <cell r="B5032" t="str">
            <v>Chorro de balines o perdigones</v>
          </cell>
        </row>
        <row r="5033">
          <cell r="A5033">
            <v>31191513</v>
          </cell>
          <cell r="B5033" t="str">
            <v>Cuentas de vidrio</v>
          </cell>
        </row>
        <row r="5034">
          <cell r="A5034">
            <v>31191514</v>
          </cell>
          <cell r="B5034" t="str">
            <v>Medio amortiguador</v>
          </cell>
        </row>
        <row r="5035">
          <cell r="A5035">
            <v>31191515</v>
          </cell>
          <cell r="B5035" t="str">
            <v>Malla abrasiva</v>
          </cell>
        </row>
        <row r="5036">
          <cell r="A5036">
            <v>31191516</v>
          </cell>
          <cell r="B5036" t="str">
            <v>Rollos de cartucho abrasivo</v>
          </cell>
        </row>
        <row r="5037">
          <cell r="A5037">
            <v>31191517</v>
          </cell>
          <cell r="B5037" t="str">
            <v>Planchas de esmeril</v>
          </cell>
        </row>
        <row r="5038">
          <cell r="A5038">
            <v>31191518</v>
          </cell>
          <cell r="B5038" t="str">
            <v>Carburo de tungsteno</v>
          </cell>
        </row>
        <row r="5039">
          <cell r="A5039">
            <v>31191519</v>
          </cell>
          <cell r="B5039" t="str">
            <v>Tambores abrasivos</v>
          </cell>
        </row>
        <row r="5040">
          <cell r="A5040">
            <v>31191601</v>
          </cell>
          <cell r="B5040" t="str">
            <v>Ruedas abrasivas cúbicas de nitrato borozon</v>
          </cell>
        </row>
        <row r="5041">
          <cell r="A5041">
            <v>31191602</v>
          </cell>
          <cell r="B5041" t="str">
            <v>Ruedas abrasivas de diamante</v>
          </cell>
        </row>
        <row r="5042">
          <cell r="A5042">
            <v>31191603</v>
          </cell>
          <cell r="B5042" t="str">
            <v>Ruedas abrasivas de carburo de tungsteno</v>
          </cell>
        </row>
        <row r="5043">
          <cell r="A5043">
            <v>31201501</v>
          </cell>
          <cell r="B5043" t="str">
            <v>Cinta de ductos</v>
          </cell>
        </row>
        <row r="5044">
          <cell r="A5044">
            <v>31201502</v>
          </cell>
          <cell r="B5044" t="str">
            <v>Cinta aislante eléctrica</v>
          </cell>
        </row>
        <row r="5045">
          <cell r="A5045">
            <v>31201503</v>
          </cell>
          <cell r="B5045" t="str">
            <v>Cinta de enmascarar</v>
          </cell>
        </row>
        <row r="5046">
          <cell r="A5046">
            <v>31201504</v>
          </cell>
          <cell r="B5046" t="str">
            <v>Cinta para alfombras</v>
          </cell>
        </row>
        <row r="5047">
          <cell r="A5047">
            <v>31201505</v>
          </cell>
          <cell r="B5047" t="str">
            <v>Cinta doble faz</v>
          </cell>
        </row>
        <row r="5048">
          <cell r="A5048">
            <v>31201506</v>
          </cell>
          <cell r="B5048" t="str">
            <v>Cinta de bísmalemida</v>
          </cell>
        </row>
        <row r="5049">
          <cell r="A5049">
            <v>31201507</v>
          </cell>
          <cell r="B5049" t="str">
            <v>Cinta de fibra de vidrio</v>
          </cell>
        </row>
        <row r="5050">
          <cell r="A5050">
            <v>31201508</v>
          </cell>
          <cell r="B5050" t="str">
            <v>Cinta de grafito</v>
          </cell>
        </row>
        <row r="5051">
          <cell r="A5051">
            <v>31201509</v>
          </cell>
          <cell r="B5051" t="str">
            <v>Cinta de nylon</v>
          </cell>
        </row>
        <row r="5052">
          <cell r="A5052">
            <v>31201510</v>
          </cell>
          <cell r="B5052" t="str">
            <v>Cinta impregnada de resina</v>
          </cell>
        </row>
        <row r="5053">
          <cell r="A5053">
            <v>31201511</v>
          </cell>
          <cell r="B5053" t="str">
            <v>Cinta de malla metálica</v>
          </cell>
        </row>
        <row r="5054">
          <cell r="A5054">
            <v>31201512</v>
          </cell>
          <cell r="B5054" t="str">
            <v>Cinta transparente</v>
          </cell>
        </row>
        <row r="5055">
          <cell r="A5055">
            <v>31201513</v>
          </cell>
          <cell r="B5055" t="str">
            <v>Cintas antideslizantes de seguridad</v>
          </cell>
        </row>
        <row r="5056">
          <cell r="A5056">
            <v>31201514</v>
          </cell>
          <cell r="B5056" t="str">
            <v>Cinta de sellado de hilo de poli tetrafluoretileno (ptfe)</v>
          </cell>
        </row>
        <row r="5057">
          <cell r="A5057">
            <v>31201515</v>
          </cell>
          <cell r="B5057" t="str">
            <v>Cintas de papel</v>
          </cell>
        </row>
        <row r="5058">
          <cell r="A5058">
            <v>31201516</v>
          </cell>
          <cell r="B5058" t="str">
            <v>Cinta reflectiva</v>
          </cell>
        </row>
        <row r="5059">
          <cell r="A5059">
            <v>31201517</v>
          </cell>
          <cell r="B5059" t="str">
            <v>Cinta para empaquetar</v>
          </cell>
        </row>
        <row r="5060">
          <cell r="A5060">
            <v>31201518</v>
          </cell>
          <cell r="B5060" t="str">
            <v>Cinta conductora de electricidad</v>
          </cell>
        </row>
        <row r="5061">
          <cell r="A5061">
            <v>31201519</v>
          </cell>
          <cell r="B5061" t="str">
            <v>Cinta para reparar tubería o manguera</v>
          </cell>
        </row>
        <row r="5062">
          <cell r="A5062">
            <v>31201520</v>
          </cell>
          <cell r="B5062" t="str">
            <v>Cinta para marcar los pasillos</v>
          </cell>
        </row>
        <row r="5063">
          <cell r="A5063">
            <v>31201521</v>
          </cell>
          <cell r="B5063" t="str">
            <v>Cinta metálica</v>
          </cell>
        </row>
        <row r="5064">
          <cell r="A5064">
            <v>31201522</v>
          </cell>
          <cell r="B5064" t="str">
            <v>Cinta de transferencia adhesiva</v>
          </cell>
        </row>
        <row r="5065">
          <cell r="A5065">
            <v>31201523</v>
          </cell>
          <cell r="B5065" t="str">
            <v>Cinta de tela</v>
          </cell>
        </row>
        <row r="5066">
          <cell r="A5066">
            <v>31201524</v>
          </cell>
          <cell r="B5066" t="str">
            <v>Cinta para codificación de color</v>
          </cell>
        </row>
        <row r="5067">
          <cell r="A5067">
            <v>31201525</v>
          </cell>
          <cell r="B5067" t="str">
            <v>Cinta de vinilo</v>
          </cell>
        </row>
        <row r="5068">
          <cell r="A5068">
            <v>31201526</v>
          </cell>
          <cell r="B5068" t="str">
            <v>Cinta magnética</v>
          </cell>
        </row>
        <row r="5069">
          <cell r="A5069">
            <v>31201527</v>
          </cell>
          <cell r="B5069" t="str">
            <v>Cintas de espuma</v>
          </cell>
        </row>
        <row r="5070">
          <cell r="A5070">
            <v>31201528</v>
          </cell>
          <cell r="B5070" t="str">
            <v>Cinta de montaje</v>
          </cell>
        </row>
        <row r="5071">
          <cell r="A5071">
            <v>31201601</v>
          </cell>
          <cell r="B5071" t="str">
            <v>Adhesivos químicos</v>
          </cell>
        </row>
        <row r="5072">
          <cell r="A5072">
            <v>31201602</v>
          </cell>
          <cell r="B5072" t="str">
            <v>Pastas</v>
          </cell>
        </row>
        <row r="5073">
          <cell r="A5073">
            <v>31201603</v>
          </cell>
          <cell r="B5073" t="str">
            <v>Gomas</v>
          </cell>
        </row>
        <row r="5074">
          <cell r="A5074">
            <v>31201604</v>
          </cell>
          <cell r="B5074" t="str">
            <v>Cementos de caucho</v>
          </cell>
        </row>
        <row r="5075">
          <cell r="A5075">
            <v>31201605</v>
          </cell>
          <cell r="B5075" t="str">
            <v>Masillas</v>
          </cell>
        </row>
        <row r="5076">
          <cell r="A5076">
            <v>31201606</v>
          </cell>
          <cell r="B5076" t="str">
            <v>Calafateos</v>
          </cell>
        </row>
        <row r="5077">
          <cell r="A5077">
            <v>31201607</v>
          </cell>
          <cell r="B5077" t="str">
            <v>Aglomerante epoxy</v>
          </cell>
        </row>
        <row r="5078">
          <cell r="A5078">
            <v>31201608</v>
          </cell>
          <cell r="B5078" t="str">
            <v>Adhesivos de espuma</v>
          </cell>
        </row>
        <row r="5079">
          <cell r="A5079">
            <v>31201609</v>
          </cell>
          <cell r="B5079" t="str">
            <v>Adhesivos de termo impregnación</v>
          </cell>
        </row>
        <row r="5080">
          <cell r="A5080">
            <v>31201610</v>
          </cell>
          <cell r="B5080" t="str">
            <v>Pegamentos</v>
          </cell>
        </row>
        <row r="5081">
          <cell r="A5081">
            <v>31201611</v>
          </cell>
          <cell r="B5081" t="str">
            <v>Adhesivos de lámina</v>
          </cell>
        </row>
        <row r="5082">
          <cell r="A5082">
            <v>31201612</v>
          </cell>
          <cell r="B5082" t="str">
            <v>Selladores de rosca</v>
          </cell>
        </row>
        <row r="5083">
          <cell r="A5083">
            <v>31201613</v>
          </cell>
          <cell r="B5083" t="str">
            <v>Adhesivo reusable</v>
          </cell>
        </row>
        <row r="5084">
          <cell r="A5084">
            <v>31201614</v>
          </cell>
          <cell r="B5084" t="str">
            <v>Lacre</v>
          </cell>
        </row>
        <row r="5085">
          <cell r="A5085">
            <v>31201615</v>
          </cell>
          <cell r="B5085" t="str">
            <v>Activadores del adhesivo</v>
          </cell>
        </row>
        <row r="5086">
          <cell r="A5086">
            <v>31201616</v>
          </cell>
          <cell r="B5086" t="str">
            <v>Adhesivos líquidos</v>
          </cell>
        </row>
        <row r="5087">
          <cell r="A5087">
            <v>31201617</v>
          </cell>
          <cell r="B5087" t="str">
            <v>Cementos disolventes</v>
          </cell>
        </row>
        <row r="5088">
          <cell r="A5088">
            <v>31211501</v>
          </cell>
          <cell r="B5088" t="str">
            <v>Pinturas de esmalte</v>
          </cell>
        </row>
        <row r="5089">
          <cell r="A5089">
            <v>31211502</v>
          </cell>
          <cell r="B5089" t="str">
            <v>Pinturas de agua</v>
          </cell>
        </row>
        <row r="5090">
          <cell r="A5090">
            <v>31211503</v>
          </cell>
          <cell r="B5090" t="str">
            <v>Pinturas basadas en pigmentos</v>
          </cell>
        </row>
        <row r="5091">
          <cell r="A5091">
            <v>31211504</v>
          </cell>
          <cell r="B5091" t="str">
            <v>Pinturas de revestimiento</v>
          </cell>
        </row>
        <row r="5092">
          <cell r="A5092">
            <v>31211505</v>
          </cell>
          <cell r="B5092" t="str">
            <v>Pinturas de aceite</v>
          </cell>
        </row>
        <row r="5093">
          <cell r="A5093">
            <v>31211506</v>
          </cell>
          <cell r="B5093" t="str">
            <v>Pinturas de látex</v>
          </cell>
        </row>
        <row r="5094">
          <cell r="A5094">
            <v>31211507</v>
          </cell>
          <cell r="B5094" t="str">
            <v>Pinturas en aerosol</v>
          </cell>
        </row>
        <row r="5095">
          <cell r="A5095">
            <v>31211508</v>
          </cell>
          <cell r="B5095" t="str">
            <v>Pinturas acrílicas</v>
          </cell>
        </row>
        <row r="5096">
          <cell r="A5096">
            <v>31211509</v>
          </cell>
          <cell r="B5096" t="str">
            <v>Bases para esmalte</v>
          </cell>
        </row>
        <row r="5097">
          <cell r="A5097">
            <v>31211510</v>
          </cell>
          <cell r="B5097" t="str">
            <v>Bases de poliuretano</v>
          </cell>
        </row>
        <row r="5098">
          <cell r="A5098">
            <v>31211511</v>
          </cell>
          <cell r="B5098" t="str">
            <v>Bases de uretano</v>
          </cell>
        </row>
        <row r="5099">
          <cell r="A5099">
            <v>31211512</v>
          </cell>
          <cell r="B5099" t="str">
            <v>Bases de látex</v>
          </cell>
        </row>
        <row r="5100">
          <cell r="A5100">
            <v>31211601</v>
          </cell>
          <cell r="B5100" t="str">
            <v>Lechada de cal con cola para blanquear paredes</v>
          </cell>
        </row>
        <row r="5101">
          <cell r="A5101">
            <v>31211602</v>
          </cell>
          <cell r="B5101" t="str">
            <v>Lechada de cal con cola para blanquear paredes</v>
          </cell>
        </row>
        <row r="5102">
          <cell r="A5102">
            <v>31211603</v>
          </cell>
          <cell r="B5102" t="str">
            <v>Secantes de pintura</v>
          </cell>
        </row>
        <row r="5103">
          <cell r="A5103">
            <v>31211604</v>
          </cell>
          <cell r="B5103" t="str">
            <v>Diluyentes para pinturas</v>
          </cell>
        </row>
        <row r="5104">
          <cell r="A5104">
            <v>31211605</v>
          </cell>
          <cell r="B5104" t="str">
            <v>Agentes antideslizantes</v>
          </cell>
        </row>
        <row r="5105">
          <cell r="A5105">
            <v>31211606</v>
          </cell>
          <cell r="B5105" t="str">
            <v>Agentes niveladores</v>
          </cell>
        </row>
        <row r="5106">
          <cell r="A5106">
            <v>31211701</v>
          </cell>
          <cell r="B5106" t="str">
            <v>Vitrificados</v>
          </cell>
        </row>
        <row r="5107">
          <cell r="A5107">
            <v>31211702</v>
          </cell>
          <cell r="B5107" t="str">
            <v>Lustres</v>
          </cell>
        </row>
        <row r="5108">
          <cell r="A5108">
            <v>31211703</v>
          </cell>
          <cell r="B5108" t="str">
            <v>Lacas</v>
          </cell>
        </row>
        <row r="5109">
          <cell r="A5109">
            <v>31211704</v>
          </cell>
          <cell r="B5109" t="str">
            <v>Sellantes</v>
          </cell>
        </row>
        <row r="5110">
          <cell r="A5110">
            <v>31211705</v>
          </cell>
          <cell r="B5110" t="str">
            <v>Barniz de laca</v>
          </cell>
        </row>
        <row r="5111">
          <cell r="A5111">
            <v>31211706</v>
          </cell>
          <cell r="B5111" t="str">
            <v>Tinturas</v>
          </cell>
        </row>
        <row r="5112">
          <cell r="A5112">
            <v>31211707</v>
          </cell>
          <cell r="B5112" t="str">
            <v>Barnices</v>
          </cell>
        </row>
        <row r="5113">
          <cell r="A5113">
            <v>31211708</v>
          </cell>
          <cell r="B5113" t="str">
            <v>Recubrimiento de polvo</v>
          </cell>
        </row>
        <row r="5114">
          <cell r="A5114">
            <v>31211801</v>
          </cell>
          <cell r="B5114" t="str">
            <v>Removedores de pintura o barniz</v>
          </cell>
        </row>
        <row r="5115">
          <cell r="A5115">
            <v>31211802</v>
          </cell>
          <cell r="B5115" t="str">
            <v>Compuestos para arrancar pintura o barniz</v>
          </cell>
        </row>
        <row r="5116">
          <cell r="A5116">
            <v>31211803</v>
          </cell>
          <cell r="B5116" t="str">
            <v>Diluyentes para pinturas y barnices</v>
          </cell>
        </row>
        <row r="5117">
          <cell r="A5117">
            <v>31211901</v>
          </cell>
          <cell r="B5117" t="str">
            <v>Paños para herramientas</v>
          </cell>
        </row>
        <row r="5118">
          <cell r="A5118">
            <v>31211902</v>
          </cell>
          <cell r="B5118" t="str">
            <v>Herramientas para bordes</v>
          </cell>
        </row>
        <row r="5119">
          <cell r="A5119">
            <v>31211903</v>
          </cell>
          <cell r="B5119" t="str">
            <v>Equipo para protección</v>
          </cell>
        </row>
        <row r="5120">
          <cell r="A5120">
            <v>31211904</v>
          </cell>
          <cell r="B5120" t="str">
            <v>Brochas</v>
          </cell>
        </row>
        <row r="5121">
          <cell r="A5121">
            <v>31211905</v>
          </cell>
          <cell r="B5121" t="str">
            <v>Mezcladores de pintura</v>
          </cell>
        </row>
        <row r="5122">
          <cell r="A5122">
            <v>31211906</v>
          </cell>
          <cell r="B5122" t="str">
            <v>Rodillos de pintar</v>
          </cell>
        </row>
        <row r="5123">
          <cell r="A5123">
            <v>31211908</v>
          </cell>
          <cell r="B5123" t="str">
            <v>Pistolas de pintar</v>
          </cell>
        </row>
        <row r="5124">
          <cell r="A5124">
            <v>31211909</v>
          </cell>
          <cell r="B5124" t="str">
            <v>Bandejas de pintura</v>
          </cell>
        </row>
        <row r="5125">
          <cell r="A5125">
            <v>31211910</v>
          </cell>
          <cell r="B5125" t="str">
            <v>Guantes para pintar</v>
          </cell>
        </row>
        <row r="5126">
          <cell r="A5126">
            <v>31211912</v>
          </cell>
          <cell r="B5126" t="str">
            <v>Varillas telescópicas</v>
          </cell>
        </row>
        <row r="5127">
          <cell r="A5127">
            <v>31211913</v>
          </cell>
          <cell r="B5127" t="str">
            <v>Boquillas de pintura</v>
          </cell>
        </row>
        <row r="5128">
          <cell r="A5128">
            <v>31211914</v>
          </cell>
          <cell r="B5128" t="str">
            <v>Cepillos de aire</v>
          </cell>
        </row>
        <row r="5129">
          <cell r="A5129">
            <v>31211915</v>
          </cell>
          <cell r="B5129" t="str">
            <v>Coladores de pintura</v>
          </cell>
        </row>
        <row r="5130">
          <cell r="A5130">
            <v>31211916</v>
          </cell>
          <cell r="B5130" t="str">
            <v>Forradores de bandeja de pintura</v>
          </cell>
        </row>
        <row r="5131">
          <cell r="A5131">
            <v>31211917</v>
          </cell>
          <cell r="B5131" t="str">
            <v>Cubiertas para rodillos de pintura</v>
          </cell>
        </row>
        <row r="5132">
          <cell r="A5132">
            <v>31221601</v>
          </cell>
          <cell r="B5132" t="str">
            <v>Extractos inorgánicos para curtiembre</v>
          </cell>
        </row>
        <row r="5133">
          <cell r="A5133">
            <v>31221602</v>
          </cell>
          <cell r="B5133" t="str">
            <v>Extractos orgánicos de origen animal para curtiembre</v>
          </cell>
        </row>
        <row r="5134">
          <cell r="A5134">
            <v>31221603</v>
          </cell>
          <cell r="B5134" t="str">
            <v>Extractos orgánicos de origen vegetal para curtiembre</v>
          </cell>
        </row>
        <row r="5135">
          <cell r="A5135">
            <v>31231101</v>
          </cell>
          <cell r="B5135" t="str">
            <v>Aluminio en barra labrada</v>
          </cell>
        </row>
        <row r="5136">
          <cell r="A5136">
            <v>31231102</v>
          </cell>
          <cell r="B5136" t="str">
            <v>Berilio en barra labrada</v>
          </cell>
        </row>
        <row r="5137">
          <cell r="A5137">
            <v>31231103</v>
          </cell>
          <cell r="B5137" t="str">
            <v>Latón en barra labrada</v>
          </cell>
        </row>
        <row r="5138">
          <cell r="A5138">
            <v>31231104</v>
          </cell>
          <cell r="B5138" t="str">
            <v>Bronce en barra labrada</v>
          </cell>
        </row>
        <row r="5139">
          <cell r="A5139">
            <v>31231105</v>
          </cell>
          <cell r="B5139" t="str">
            <v>Cobre en barra labrada</v>
          </cell>
        </row>
        <row r="5140">
          <cell r="A5140">
            <v>31231106</v>
          </cell>
          <cell r="B5140" t="str">
            <v>Hierro en barra labrada</v>
          </cell>
        </row>
        <row r="5141">
          <cell r="A5141">
            <v>31231107</v>
          </cell>
          <cell r="B5141" t="str">
            <v>Plomo en barra labrada</v>
          </cell>
        </row>
        <row r="5142">
          <cell r="A5142">
            <v>31231108</v>
          </cell>
          <cell r="B5142" t="str">
            <v>Magnesio en barra labrada</v>
          </cell>
        </row>
        <row r="5143">
          <cell r="A5143">
            <v>31231109</v>
          </cell>
          <cell r="B5143" t="str">
            <v>Metal precioso en barra labrada</v>
          </cell>
        </row>
        <row r="5144">
          <cell r="A5144">
            <v>31231110</v>
          </cell>
          <cell r="B5144" t="str">
            <v>Acero inoxidable en barra labrada</v>
          </cell>
        </row>
        <row r="5145">
          <cell r="A5145">
            <v>31231111</v>
          </cell>
          <cell r="B5145" t="str">
            <v>Estaño en barra labrada</v>
          </cell>
        </row>
        <row r="5146">
          <cell r="A5146">
            <v>31231112</v>
          </cell>
          <cell r="B5146" t="str">
            <v>Titanio en barra labrada</v>
          </cell>
        </row>
        <row r="5147">
          <cell r="A5147">
            <v>31231113</v>
          </cell>
          <cell r="B5147" t="str">
            <v>Cinc en barra labrada</v>
          </cell>
        </row>
        <row r="5148">
          <cell r="A5148">
            <v>31231114</v>
          </cell>
          <cell r="B5148" t="str">
            <v>Aleación no ferrosa en barra labrada</v>
          </cell>
        </row>
        <row r="5149">
          <cell r="A5149">
            <v>31231115</v>
          </cell>
          <cell r="B5149" t="str">
            <v>Aleación ferrosa en barra labrada</v>
          </cell>
        </row>
        <row r="5150">
          <cell r="A5150">
            <v>31231116</v>
          </cell>
          <cell r="B5150" t="str">
            <v>Acero en barra labrada</v>
          </cell>
        </row>
        <row r="5151">
          <cell r="A5151">
            <v>31231117</v>
          </cell>
          <cell r="B5151" t="str">
            <v>Compuestos en barra labrada</v>
          </cell>
        </row>
        <row r="5152">
          <cell r="A5152">
            <v>31231118</v>
          </cell>
          <cell r="B5152" t="str">
            <v>Aleación de níquel en barra labrada</v>
          </cell>
        </row>
        <row r="5153">
          <cell r="A5153">
            <v>31231119</v>
          </cell>
          <cell r="B5153" t="str">
            <v>Material no metálico en barra labrada</v>
          </cell>
        </row>
        <row r="5154">
          <cell r="A5154">
            <v>31231201</v>
          </cell>
          <cell r="B5154" t="str">
            <v>Aluminio en placa labrada</v>
          </cell>
        </row>
        <row r="5155">
          <cell r="A5155">
            <v>31231202</v>
          </cell>
          <cell r="B5155" t="str">
            <v>Berilio en placa labrada</v>
          </cell>
        </row>
        <row r="5156">
          <cell r="A5156">
            <v>31231203</v>
          </cell>
          <cell r="B5156" t="str">
            <v>Latón en placa labrada</v>
          </cell>
        </row>
        <row r="5157">
          <cell r="A5157">
            <v>31231204</v>
          </cell>
          <cell r="B5157" t="str">
            <v>Bronce en placa labrada</v>
          </cell>
        </row>
        <row r="5158">
          <cell r="A5158">
            <v>31231205</v>
          </cell>
          <cell r="B5158" t="str">
            <v>Cobre en placa labrada</v>
          </cell>
        </row>
        <row r="5159">
          <cell r="A5159">
            <v>31231206</v>
          </cell>
          <cell r="B5159" t="str">
            <v>Hierro en placa labrada</v>
          </cell>
        </row>
        <row r="5160">
          <cell r="A5160">
            <v>31231207</v>
          </cell>
          <cell r="B5160" t="str">
            <v>Plomo en placa labrada</v>
          </cell>
        </row>
        <row r="5161">
          <cell r="A5161">
            <v>31231208</v>
          </cell>
          <cell r="B5161" t="str">
            <v>Magnesio en placa labrada</v>
          </cell>
        </row>
        <row r="5162">
          <cell r="A5162">
            <v>31231209</v>
          </cell>
          <cell r="B5162" t="str">
            <v>Metal precioso en placa labrada</v>
          </cell>
        </row>
        <row r="5163">
          <cell r="A5163">
            <v>31231210</v>
          </cell>
          <cell r="B5163" t="str">
            <v>Acero inoxidable en placa labrada</v>
          </cell>
        </row>
        <row r="5164">
          <cell r="A5164">
            <v>31231211</v>
          </cell>
          <cell r="B5164" t="str">
            <v>Estaño en placa labrada</v>
          </cell>
        </row>
        <row r="5165">
          <cell r="A5165">
            <v>31231212</v>
          </cell>
          <cell r="B5165" t="str">
            <v>Titanio en placa labrada</v>
          </cell>
        </row>
        <row r="5166">
          <cell r="A5166">
            <v>31231213</v>
          </cell>
          <cell r="B5166" t="str">
            <v>Cinc en placa labrada</v>
          </cell>
        </row>
        <row r="5167">
          <cell r="A5167">
            <v>31231214</v>
          </cell>
          <cell r="B5167" t="str">
            <v>Aleación no ferrosa en placa labrada</v>
          </cell>
        </row>
        <row r="5168">
          <cell r="A5168">
            <v>31231215</v>
          </cell>
          <cell r="B5168" t="str">
            <v>Aleación ferrosa en placa labrada</v>
          </cell>
        </row>
        <row r="5169">
          <cell r="A5169">
            <v>31231216</v>
          </cell>
          <cell r="B5169" t="str">
            <v>Acero en placa labrada</v>
          </cell>
        </row>
        <row r="5170">
          <cell r="A5170">
            <v>31231217</v>
          </cell>
          <cell r="B5170" t="str">
            <v>Compuestos en placa labrada</v>
          </cell>
        </row>
        <row r="5171">
          <cell r="A5171">
            <v>31231218</v>
          </cell>
          <cell r="B5171" t="str">
            <v>Aleación de níquel en placa labrada</v>
          </cell>
        </row>
        <row r="5172">
          <cell r="A5172">
            <v>31231219</v>
          </cell>
          <cell r="B5172" t="str">
            <v>Material no metálico en placa labrada</v>
          </cell>
        </row>
        <row r="5173">
          <cell r="A5173">
            <v>31231301</v>
          </cell>
          <cell r="B5173" t="str">
            <v>Tubería de aleación ferrosa</v>
          </cell>
        </row>
        <row r="5174">
          <cell r="A5174">
            <v>31231302</v>
          </cell>
          <cell r="B5174" t="str">
            <v>Tubería de cobre</v>
          </cell>
        </row>
        <row r="5175">
          <cell r="A5175">
            <v>31231303</v>
          </cell>
          <cell r="B5175" t="str">
            <v>Tubería de titanio</v>
          </cell>
        </row>
        <row r="5176">
          <cell r="A5176">
            <v>31231304</v>
          </cell>
          <cell r="B5176" t="str">
            <v>Tubería de magnesio</v>
          </cell>
        </row>
        <row r="5177">
          <cell r="A5177">
            <v>31231305</v>
          </cell>
          <cell r="B5177" t="str">
            <v>Tubería de estaño</v>
          </cell>
        </row>
        <row r="5178">
          <cell r="A5178">
            <v>31231306</v>
          </cell>
          <cell r="B5178" t="str">
            <v>Tubería de latón</v>
          </cell>
        </row>
        <row r="5179">
          <cell r="A5179">
            <v>31231307</v>
          </cell>
          <cell r="B5179" t="str">
            <v>Tubería de plomo</v>
          </cell>
        </row>
        <row r="5180">
          <cell r="A5180">
            <v>31231308</v>
          </cell>
          <cell r="B5180" t="str">
            <v>Tubería de bronce</v>
          </cell>
        </row>
        <row r="5181">
          <cell r="A5181">
            <v>31231309</v>
          </cell>
          <cell r="B5181" t="str">
            <v>Tubería de cinc</v>
          </cell>
        </row>
        <row r="5182">
          <cell r="A5182">
            <v>31231310</v>
          </cell>
          <cell r="B5182" t="str">
            <v>Tubería de acero</v>
          </cell>
        </row>
        <row r="5183">
          <cell r="A5183">
            <v>31231311</v>
          </cell>
          <cell r="B5183" t="str">
            <v>Tubería de hierro</v>
          </cell>
        </row>
        <row r="5184">
          <cell r="A5184">
            <v>31231312</v>
          </cell>
          <cell r="B5184" t="str">
            <v>Tubería de cemento</v>
          </cell>
        </row>
        <row r="5185">
          <cell r="A5185">
            <v>31231313</v>
          </cell>
          <cell r="B5185" t="str">
            <v>Tubería de plástico</v>
          </cell>
        </row>
        <row r="5186">
          <cell r="A5186">
            <v>31231314</v>
          </cell>
          <cell r="B5186" t="str">
            <v>Tubería de goma</v>
          </cell>
        </row>
        <row r="5187">
          <cell r="A5187">
            <v>31231315</v>
          </cell>
          <cell r="B5187" t="str">
            <v>Tubería de cristal</v>
          </cell>
        </row>
        <row r="5188">
          <cell r="A5188">
            <v>31231316</v>
          </cell>
          <cell r="B5188" t="str">
            <v>Tubería de piedra</v>
          </cell>
        </row>
        <row r="5189">
          <cell r="A5189">
            <v>31231317</v>
          </cell>
          <cell r="B5189" t="str">
            <v>Tubería de aleación no ferrosa</v>
          </cell>
        </row>
        <row r="5190">
          <cell r="A5190">
            <v>31231318</v>
          </cell>
          <cell r="B5190" t="str">
            <v>Tubería de aluminio</v>
          </cell>
        </row>
        <row r="5191">
          <cell r="A5191">
            <v>31231319</v>
          </cell>
          <cell r="B5191" t="str">
            <v>Tubería de acero inoxidable</v>
          </cell>
        </row>
        <row r="5192">
          <cell r="A5192">
            <v>31231320</v>
          </cell>
          <cell r="B5192" t="str">
            <v>Tubería de metal precioso</v>
          </cell>
        </row>
        <row r="5193">
          <cell r="A5193">
            <v>31231321</v>
          </cell>
          <cell r="B5193" t="str">
            <v>Tuberías de nailon</v>
          </cell>
        </row>
        <row r="5194">
          <cell r="A5194">
            <v>31231401</v>
          </cell>
          <cell r="B5194" t="str">
            <v>Platina de latón</v>
          </cell>
        </row>
        <row r="5195">
          <cell r="A5195">
            <v>31231402</v>
          </cell>
          <cell r="B5195" t="str">
            <v>Platina de acero</v>
          </cell>
        </row>
        <row r="5196">
          <cell r="A5196">
            <v>31231403</v>
          </cell>
          <cell r="B5196" t="str">
            <v>Platina de acero inoxidable</v>
          </cell>
        </row>
        <row r="5197">
          <cell r="A5197">
            <v>31231404</v>
          </cell>
          <cell r="B5197" t="str">
            <v>Platina de aluminio</v>
          </cell>
        </row>
        <row r="5198">
          <cell r="A5198">
            <v>31231405</v>
          </cell>
          <cell r="B5198" t="str">
            <v>Platina de cobre</v>
          </cell>
        </row>
        <row r="5199">
          <cell r="A5199">
            <v>31241501</v>
          </cell>
          <cell r="B5199" t="str">
            <v>Lentes</v>
          </cell>
        </row>
        <row r="5200">
          <cell r="A5200">
            <v>31241502</v>
          </cell>
          <cell r="B5200" t="str">
            <v>Prismas</v>
          </cell>
        </row>
        <row r="5201">
          <cell r="A5201">
            <v>31241601</v>
          </cell>
          <cell r="B5201" t="str">
            <v>Cristales de filtro</v>
          </cell>
        </row>
        <row r="5202">
          <cell r="A5202">
            <v>31241602</v>
          </cell>
          <cell r="B5202" t="str">
            <v>Discos de cristal</v>
          </cell>
        </row>
        <row r="5203">
          <cell r="A5203">
            <v>31241603</v>
          </cell>
          <cell r="B5203" t="str">
            <v>Vidrio moldeado</v>
          </cell>
        </row>
        <row r="5204">
          <cell r="A5204">
            <v>31241604</v>
          </cell>
          <cell r="B5204" t="str">
            <v>Cristales de prismas</v>
          </cell>
        </row>
        <row r="5205">
          <cell r="A5205">
            <v>31241605</v>
          </cell>
          <cell r="B5205" t="str">
            <v>Cristales de silicio</v>
          </cell>
        </row>
        <row r="5206">
          <cell r="A5206">
            <v>31241606</v>
          </cell>
          <cell r="B5206" t="str">
            <v>Cristales de germanio</v>
          </cell>
        </row>
        <row r="5207">
          <cell r="A5207">
            <v>31241607</v>
          </cell>
          <cell r="B5207" t="str">
            <v>Barras redondas</v>
          </cell>
        </row>
        <row r="5208">
          <cell r="A5208">
            <v>31241608</v>
          </cell>
          <cell r="B5208" t="str">
            <v>Barras cuadradas</v>
          </cell>
        </row>
        <row r="5209">
          <cell r="A5209">
            <v>31241609</v>
          </cell>
          <cell r="B5209" t="str">
            <v>Cristales indicadores de muestra</v>
          </cell>
        </row>
        <row r="5210">
          <cell r="A5210">
            <v>31241610</v>
          </cell>
          <cell r="B5210" t="str">
            <v>Blancos de material óptico infrarrojo</v>
          </cell>
        </row>
        <row r="5211">
          <cell r="A5211">
            <v>31241701</v>
          </cell>
          <cell r="B5211" t="str">
            <v>Espejos torneados con herramienta de diamante</v>
          </cell>
        </row>
        <row r="5212">
          <cell r="A5212">
            <v>31241702</v>
          </cell>
          <cell r="B5212" t="str">
            <v>Espejos metálicos</v>
          </cell>
        </row>
        <row r="5213">
          <cell r="A5213">
            <v>31241703</v>
          </cell>
          <cell r="B5213" t="str">
            <v>Espejos parabólicos</v>
          </cell>
        </row>
        <row r="5214">
          <cell r="A5214">
            <v>31241704</v>
          </cell>
          <cell r="B5214" t="str">
            <v>Espejos sin revestimiento</v>
          </cell>
        </row>
        <row r="5215">
          <cell r="A5215">
            <v>31241705</v>
          </cell>
          <cell r="B5215" t="str">
            <v>Espejos para láser</v>
          </cell>
        </row>
        <row r="5216">
          <cell r="A5216">
            <v>31241801</v>
          </cell>
          <cell r="B5216" t="str">
            <v>Filtros ópticos de banda ancha</v>
          </cell>
        </row>
        <row r="5217">
          <cell r="A5217">
            <v>31241802</v>
          </cell>
          <cell r="B5217" t="str">
            <v>Filtros de gradiente</v>
          </cell>
        </row>
        <row r="5218">
          <cell r="A5218">
            <v>31241803</v>
          </cell>
          <cell r="B5218" t="str">
            <v>Filtros infrarrojos</v>
          </cell>
        </row>
        <row r="5219">
          <cell r="A5219">
            <v>31241804</v>
          </cell>
          <cell r="B5219" t="str">
            <v>Filtros de láser</v>
          </cell>
        </row>
        <row r="5220">
          <cell r="A5220">
            <v>31241805</v>
          </cell>
          <cell r="B5220" t="str">
            <v>Filtros de banda estrecha</v>
          </cell>
        </row>
        <row r="5221">
          <cell r="A5221">
            <v>31241806</v>
          </cell>
          <cell r="B5221" t="str">
            <v>Filtros de película de plástico</v>
          </cell>
        </row>
        <row r="5222">
          <cell r="A5222">
            <v>31241807</v>
          </cell>
          <cell r="B5222" t="str">
            <v>Filtros visuales</v>
          </cell>
        </row>
        <row r="5223">
          <cell r="A5223">
            <v>31241901</v>
          </cell>
          <cell r="B5223" t="str">
            <v>Bóvedas de especialidad</v>
          </cell>
        </row>
        <row r="5224">
          <cell r="A5224">
            <v>31241902</v>
          </cell>
          <cell r="B5224" t="str">
            <v>Bóvedas torneadas con diamante</v>
          </cell>
        </row>
        <row r="5225">
          <cell r="A5225">
            <v>31241903</v>
          </cell>
          <cell r="B5225" t="str">
            <v>Bóvedas metálicas</v>
          </cell>
        </row>
        <row r="5226">
          <cell r="A5226">
            <v>31241904</v>
          </cell>
          <cell r="B5226" t="str">
            <v>Bóvedas de vidrio moldeado</v>
          </cell>
        </row>
        <row r="5227">
          <cell r="A5227">
            <v>31241905</v>
          </cell>
          <cell r="B5227" t="str">
            <v>Bóvedas moldeadas del policarbonato</v>
          </cell>
        </row>
        <row r="5228">
          <cell r="A5228">
            <v>31241906</v>
          </cell>
          <cell r="B5228" t="str">
            <v>Bóvedas reproducidas</v>
          </cell>
        </row>
        <row r="5229">
          <cell r="A5229">
            <v>31241907</v>
          </cell>
          <cell r="B5229" t="str">
            <v>Bóvedas formadas</v>
          </cell>
        </row>
        <row r="5230">
          <cell r="A5230">
            <v>31241908</v>
          </cell>
          <cell r="B5230" t="str">
            <v>Bóvedas frangibles</v>
          </cell>
        </row>
        <row r="5231">
          <cell r="A5231">
            <v>31242001</v>
          </cell>
          <cell r="B5231" t="str">
            <v>Ventana externa de láser o lentes</v>
          </cell>
        </row>
        <row r="5232">
          <cell r="A5232">
            <v>31242002</v>
          </cell>
          <cell r="B5232" t="str">
            <v>Ventanas de lentes infrarrojos o de láser</v>
          </cell>
        </row>
        <row r="5233">
          <cell r="A5233">
            <v>31242003</v>
          </cell>
          <cell r="B5233" t="str">
            <v>Ventana visual de láser o lentes</v>
          </cell>
        </row>
        <row r="5234">
          <cell r="A5234">
            <v>31242101</v>
          </cell>
          <cell r="B5234" t="str">
            <v>Monturas ópticas</v>
          </cell>
        </row>
        <row r="5235">
          <cell r="A5235">
            <v>31242103</v>
          </cell>
          <cell r="B5235" t="str">
            <v>Aberturas o ranuras ópticas</v>
          </cell>
        </row>
        <row r="5236">
          <cell r="A5236">
            <v>31242104</v>
          </cell>
          <cell r="B5236" t="str">
            <v>Soportes o carriles ópticos</v>
          </cell>
        </row>
        <row r="5237">
          <cell r="A5237">
            <v>31242105</v>
          </cell>
          <cell r="B5237" t="str">
            <v>Identificadores de fibra óptica</v>
          </cell>
        </row>
        <row r="5238">
          <cell r="A5238">
            <v>31242106</v>
          </cell>
          <cell r="B5238" t="str">
            <v>Recubrimientos ópticos</v>
          </cell>
        </row>
        <row r="5239">
          <cell r="A5239">
            <v>31242201</v>
          </cell>
          <cell r="B5239" t="str">
            <v>Divisores del haz óptico</v>
          </cell>
        </row>
        <row r="5240">
          <cell r="A5240">
            <v>31242202</v>
          </cell>
          <cell r="B5240" t="str">
            <v>Polarizadores</v>
          </cell>
        </row>
        <row r="5241">
          <cell r="A5241">
            <v>31242203</v>
          </cell>
          <cell r="B5241" t="str">
            <v>Despolarizadores</v>
          </cell>
        </row>
        <row r="5242">
          <cell r="A5242">
            <v>31242204</v>
          </cell>
          <cell r="B5242" t="str">
            <v>Difusores ópticos</v>
          </cell>
        </row>
        <row r="5243">
          <cell r="A5243">
            <v>31242205</v>
          </cell>
          <cell r="B5243" t="str">
            <v>Retardadores ópticos</v>
          </cell>
        </row>
        <row r="5244">
          <cell r="A5244">
            <v>31242206</v>
          </cell>
          <cell r="B5244" t="str">
            <v>Vidrios ópticamente planos</v>
          </cell>
        </row>
        <row r="5245">
          <cell r="A5245">
            <v>31242207</v>
          </cell>
          <cell r="B5245" t="str">
            <v>Montajes ópticos experimentales</v>
          </cell>
        </row>
        <row r="5246">
          <cell r="A5246">
            <v>31242208</v>
          </cell>
          <cell r="B5246" t="str">
            <v>Picadores ópticos</v>
          </cell>
        </row>
        <row r="5247">
          <cell r="A5247">
            <v>31251501</v>
          </cell>
          <cell r="B5247" t="str">
            <v>Activadores eléctricos</v>
          </cell>
        </row>
        <row r="5248">
          <cell r="A5248">
            <v>31251502</v>
          </cell>
          <cell r="B5248" t="str">
            <v>Activadores electrónicos</v>
          </cell>
        </row>
        <row r="5249">
          <cell r="A5249">
            <v>31251503</v>
          </cell>
          <cell r="B5249" t="str">
            <v>Activadores hidráulicos</v>
          </cell>
        </row>
        <row r="5250">
          <cell r="A5250">
            <v>31251504</v>
          </cell>
          <cell r="B5250" t="str">
            <v>Activadores neumáticos</v>
          </cell>
        </row>
        <row r="5251">
          <cell r="A5251">
            <v>31251505</v>
          </cell>
          <cell r="B5251" t="str">
            <v>Servoválvula</v>
          </cell>
        </row>
        <row r="5252">
          <cell r="A5252">
            <v>31251506</v>
          </cell>
          <cell r="B5252" t="str">
            <v>Activadores por engranajes</v>
          </cell>
        </row>
        <row r="5253">
          <cell r="A5253">
            <v>31251507</v>
          </cell>
          <cell r="B5253" t="str">
            <v>Activadores giratorios</v>
          </cell>
        </row>
        <row r="5254">
          <cell r="A5254">
            <v>31251508</v>
          </cell>
          <cell r="B5254" t="str">
            <v>Activadores fotoeléctricos</v>
          </cell>
        </row>
        <row r="5255">
          <cell r="A5255">
            <v>31251509</v>
          </cell>
          <cell r="B5255" t="str">
            <v>Activadores electromagnéticos</v>
          </cell>
        </row>
        <row r="5256">
          <cell r="A5256">
            <v>31251510</v>
          </cell>
          <cell r="B5256" t="str">
            <v>Solenoides</v>
          </cell>
        </row>
        <row r="5257">
          <cell r="A5257">
            <v>31251511</v>
          </cell>
          <cell r="B5257" t="str">
            <v>Activadores lineales</v>
          </cell>
        </row>
        <row r="5258">
          <cell r="A5258">
            <v>31251601</v>
          </cell>
          <cell r="B5258" t="str">
            <v>Efectores finales robóticos</v>
          </cell>
        </row>
        <row r="5259">
          <cell r="A5259">
            <v>31261501</v>
          </cell>
          <cell r="B5259" t="str">
            <v>Cubiertas y carcasas de plástico</v>
          </cell>
        </row>
        <row r="5260">
          <cell r="A5260">
            <v>31261502</v>
          </cell>
          <cell r="B5260" t="str">
            <v>Cubiertas y carcasas de metal</v>
          </cell>
        </row>
        <row r="5261">
          <cell r="A5261">
            <v>31261503</v>
          </cell>
          <cell r="B5261" t="str">
            <v>Cubiertas y carcasas de acero</v>
          </cell>
        </row>
        <row r="5262">
          <cell r="A5262">
            <v>31261504</v>
          </cell>
          <cell r="B5262" t="str">
            <v>Carcasas de cajas de cambios</v>
          </cell>
        </row>
        <row r="5263">
          <cell r="A5263">
            <v>31261505</v>
          </cell>
          <cell r="B5263" t="str">
            <v>Carcasas de embrague</v>
          </cell>
        </row>
        <row r="5264">
          <cell r="A5264">
            <v>31261601</v>
          </cell>
          <cell r="B5264" t="str">
            <v>Envoltorios o recubrimientos de plástico</v>
          </cell>
        </row>
        <row r="5265">
          <cell r="A5265">
            <v>31261602</v>
          </cell>
          <cell r="B5265" t="str">
            <v>Envoltorios o recubrimientos de metal</v>
          </cell>
        </row>
        <row r="5266">
          <cell r="A5266">
            <v>31261603</v>
          </cell>
          <cell r="B5266" t="str">
            <v>Envoltorios o recubrimientos de acero</v>
          </cell>
        </row>
        <row r="5267">
          <cell r="A5267">
            <v>31261701</v>
          </cell>
          <cell r="B5267" t="str">
            <v>Carcasa  insonorizante de máquina</v>
          </cell>
        </row>
        <row r="5268">
          <cell r="A5268">
            <v>31261702</v>
          </cell>
          <cell r="B5268" t="str">
            <v>Cerramiento insonorizante de conjunto de generador montado</v>
          </cell>
        </row>
        <row r="5269">
          <cell r="A5269">
            <v>31261703</v>
          </cell>
          <cell r="B5269" t="str">
            <v>Carcasa insonorizante de bomba</v>
          </cell>
        </row>
        <row r="5270">
          <cell r="A5270">
            <v>31261704</v>
          </cell>
          <cell r="B5270" t="str">
            <v>Carcasa insonorizante de admisión de aire</v>
          </cell>
        </row>
        <row r="5271">
          <cell r="A5271">
            <v>31271601</v>
          </cell>
          <cell r="B5271" t="str">
            <v>Piezas hechas en torno de roscar de metal</v>
          </cell>
        </row>
        <row r="5272">
          <cell r="A5272">
            <v>31271602</v>
          </cell>
          <cell r="B5272" t="str">
            <v>Piezas hechas en torno de roscar no metales</v>
          </cell>
        </row>
        <row r="5273">
          <cell r="A5273">
            <v>31281502</v>
          </cell>
          <cell r="B5273" t="str">
            <v>Componentes de aluminio estampados</v>
          </cell>
        </row>
        <row r="5274">
          <cell r="A5274">
            <v>31281503</v>
          </cell>
          <cell r="B5274" t="str">
            <v>Componentes de aleaciones ferrosas estampados</v>
          </cell>
        </row>
        <row r="5275">
          <cell r="A5275">
            <v>31281504</v>
          </cell>
          <cell r="B5275" t="str">
            <v>Componentes de hierro estampados</v>
          </cell>
        </row>
        <row r="5276">
          <cell r="A5276">
            <v>31281505</v>
          </cell>
          <cell r="B5276" t="str">
            <v>Componentes de aleaciones no ferrosas estampados</v>
          </cell>
        </row>
        <row r="5277">
          <cell r="A5277">
            <v>31281506</v>
          </cell>
          <cell r="B5277" t="str">
            <v>Componentes de acero inoxidable estampados</v>
          </cell>
        </row>
        <row r="5278">
          <cell r="A5278">
            <v>31281507</v>
          </cell>
          <cell r="B5278" t="str">
            <v>Componentes de acero al carbono estampados</v>
          </cell>
        </row>
        <row r="5279">
          <cell r="A5279">
            <v>31281508</v>
          </cell>
          <cell r="B5279" t="str">
            <v>Componentes de magnesio estampados</v>
          </cell>
        </row>
        <row r="5280">
          <cell r="A5280">
            <v>31281509</v>
          </cell>
          <cell r="B5280" t="str">
            <v>Componentes de zinc estampados</v>
          </cell>
        </row>
        <row r="5281">
          <cell r="A5281">
            <v>31281510</v>
          </cell>
          <cell r="B5281" t="str">
            <v>Componentes de estaño estampados</v>
          </cell>
        </row>
        <row r="5282">
          <cell r="A5282">
            <v>31281511</v>
          </cell>
          <cell r="B5282" t="str">
            <v>Componentes de titanio estampados</v>
          </cell>
        </row>
        <row r="5283">
          <cell r="A5283">
            <v>31281512</v>
          </cell>
          <cell r="B5283" t="str">
            <v>Componentes de berilio estampados</v>
          </cell>
        </row>
        <row r="5284">
          <cell r="A5284">
            <v>31281513</v>
          </cell>
          <cell r="B5284" t="str">
            <v>Componentes de metal precioso estampados</v>
          </cell>
        </row>
        <row r="5285">
          <cell r="A5285">
            <v>31281514</v>
          </cell>
          <cell r="B5285" t="str">
            <v>Componentes de cobre estampados</v>
          </cell>
        </row>
        <row r="5286">
          <cell r="A5286">
            <v>31281515</v>
          </cell>
          <cell r="B5286" t="str">
            <v>Componentes de plomo estampados</v>
          </cell>
        </row>
        <row r="5287">
          <cell r="A5287">
            <v>31281516</v>
          </cell>
          <cell r="B5287" t="str">
            <v>Componentes de latón estampados</v>
          </cell>
        </row>
        <row r="5288">
          <cell r="A5288">
            <v>31281517</v>
          </cell>
          <cell r="B5288" t="str">
            <v>Componentes de bronce estampados</v>
          </cell>
        </row>
        <row r="5289">
          <cell r="A5289">
            <v>31281518</v>
          </cell>
          <cell r="B5289" t="str">
            <v>Componentes compuestos estampados</v>
          </cell>
        </row>
        <row r="5290">
          <cell r="A5290">
            <v>31281519</v>
          </cell>
          <cell r="B5290" t="str">
            <v>Componentes de aleación de níquel estampados</v>
          </cell>
        </row>
        <row r="5291">
          <cell r="A5291">
            <v>31281520</v>
          </cell>
          <cell r="B5291" t="str">
            <v>Componentes no metálicos estampados</v>
          </cell>
        </row>
        <row r="5292">
          <cell r="A5292">
            <v>31281521</v>
          </cell>
          <cell r="B5292" t="str">
            <v>Estampados recubiertos</v>
          </cell>
        </row>
        <row r="5293">
          <cell r="A5293">
            <v>31281701</v>
          </cell>
          <cell r="B5293" t="str">
            <v>Componentes de metal soldado</v>
          </cell>
        </row>
        <row r="5294">
          <cell r="A5294">
            <v>31281801</v>
          </cell>
          <cell r="B5294" t="str">
            <v>Componentes de aluminio perforados</v>
          </cell>
        </row>
        <row r="5295">
          <cell r="A5295">
            <v>31281802</v>
          </cell>
          <cell r="B5295" t="str">
            <v>Componentes de aleación ferrosa perforados</v>
          </cell>
        </row>
        <row r="5296">
          <cell r="A5296">
            <v>31281803</v>
          </cell>
          <cell r="B5296" t="str">
            <v>Componentes de hierro perforados</v>
          </cell>
        </row>
        <row r="5297">
          <cell r="A5297">
            <v>31281804</v>
          </cell>
          <cell r="B5297" t="str">
            <v>Componentes de aleaciones no ferrosas perforados</v>
          </cell>
        </row>
        <row r="5298">
          <cell r="A5298">
            <v>31281805</v>
          </cell>
          <cell r="B5298" t="str">
            <v>Componentes de acero inoxidable perforados</v>
          </cell>
        </row>
        <row r="5299">
          <cell r="A5299">
            <v>31281806</v>
          </cell>
          <cell r="B5299" t="str">
            <v>Componentes de acero al carbono perforados</v>
          </cell>
        </row>
        <row r="5300">
          <cell r="A5300">
            <v>31281807</v>
          </cell>
          <cell r="B5300" t="str">
            <v>Componentes compuestos perforados</v>
          </cell>
        </row>
        <row r="5301">
          <cell r="A5301">
            <v>31281808</v>
          </cell>
          <cell r="B5301" t="str">
            <v>Componentes de aleación de níquel perforados</v>
          </cell>
        </row>
        <row r="5302">
          <cell r="A5302">
            <v>31281809</v>
          </cell>
          <cell r="B5302" t="str">
            <v>Componentes no metálicos perforados</v>
          </cell>
        </row>
        <row r="5303">
          <cell r="A5303">
            <v>31281810</v>
          </cell>
          <cell r="B5303" t="str">
            <v>Componentes de titanio perforados</v>
          </cell>
        </row>
        <row r="5304">
          <cell r="A5304">
            <v>31281811</v>
          </cell>
          <cell r="B5304" t="str">
            <v>Componentes de berilio perforados</v>
          </cell>
        </row>
        <row r="5305">
          <cell r="A5305">
            <v>31281812</v>
          </cell>
          <cell r="B5305" t="str">
            <v>Componentes de metal precioso perforados</v>
          </cell>
        </row>
        <row r="5306">
          <cell r="A5306">
            <v>31281813</v>
          </cell>
          <cell r="B5306" t="str">
            <v>Componentes de cobre perforados</v>
          </cell>
        </row>
        <row r="5307">
          <cell r="A5307">
            <v>31281814</v>
          </cell>
          <cell r="B5307" t="str">
            <v>Componentes de plomo perforados</v>
          </cell>
        </row>
        <row r="5308">
          <cell r="A5308">
            <v>31281815</v>
          </cell>
          <cell r="B5308" t="str">
            <v>Componentes de latón perforados</v>
          </cell>
        </row>
        <row r="5309">
          <cell r="A5309">
            <v>31281816</v>
          </cell>
          <cell r="B5309" t="str">
            <v>Componentes de bronce perforados</v>
          </cell>
        </row>
        <row r="5310">
          <cell r="A5310">
            <v>31281817</v>
          </cell>
          <cell r="B5310" t="str">
            <v>Componentes de magnesio perforados</v>
          </cell>
        </row>
        <row r="5311">
          <cell r="A5311">
            <v>31281818</v>
          </cell>
          <cell r="B5311" t="str">
            <v>Componentes de zinc perforados</v>
          </cell>
        </row>
        <row r="5312">
          <cell r="A5312">
            <v>31281819</v>
          </cell>
          <cell r="B5312" t="str">
            <v>Componentes de estaño perforados</v>
          </cell>
        </row>
        <row r="5313">
          <cell r="A5313">
            <v>31281901</v>
          </cell>
          <cell r="B5313" t="str">
            <v>Componentes de aluminio formados por estiramiento</v>
          </cell>
        </row>
        <row r="5314">
          <cell r="A5314">
            <v>31281902</v>
          </cell>
          <cell r="B5314" t="str">
            <v>Componentes de berilio formados por estiramiento</v>
          </cell>
        </row>
        <row r="5315">
          <cell r="A5315">
            <v>31281903</v>
          </cell>
          <cell r="B5315" t="str">
            <v>Componentes de latón formados por estiramiento</v>
          </cell>
        </row>
        <row r="5316">
          <cell r="A5316">
            <v>31281904</v>
          </cell>
          <cell r="B5316" t="str">
            <v>Componentes de bronce formados por estiramiento</v>
          </cell>
        </row>
        <row r="5317">
          <cell r="A5317">
            <v>31281905</v>
          </cell>
          <cell r="B5317" t="str">
            <v>Componentes compuestos formados por estiramiento</v>
          </cell>
        </row>
        <row r="5318">
          <cell r="A5318">
            <v>31281906</v>
          </cell>
          <cell r="B5318" t="str">
            <v>Componentes de cobre formados por estiramiento</v>
          </cell>
        </row>
        <row r="5319">
          <cell r="A5319">
            <v>31281907</v>
          </cell>
          <cell r="B5319" t="str">
            <v>Componentes de aleación ferrosa formados por estiramiento</v>
          </cell>
        </row>
        <row r="5320">
          <cell r="A5320">
            <v>31281908</v>
          </cell>
          <cell r="B5320" t="str">
            <v>Componentes de hierro formados por estiramiento</v>
          </cell>
        </row>
        <row r="5321">
          <cell r="A5321">
            <v>31281909</v>
          </cell>
          <cell r="B5321" t="str">
            <v>Componentes de plomo formados por estiramiento</v>
          </cell>
        </row>
        <row r="5322">
          <cell r="A5322">
            <v>31281910</v>
          </cell>
          <cell r="B5322" t="str">
            <v>Componentes de magnesio formados por estiramiento</v>
          </cell>
        </row>
        <row r="5323">
          <cell r="A5323">
            <v>31281911</v>
          </cell>
          <cell r="B5323" t="str">
            <v>Componentes de aleación de níquel formados por estiramiento</v>
          </cell>
        </row>
        <row r="5324">
          <cell r="A5324">
            <v>31281912</v>
          </cell>
          <cell r="B5324" t="str">
            <v>Componentes de aleación no ferrosa formados por estiramiento</v>
          </cell>
        </row>
        <row r="5325">
          <cell r="A5325">
            <v>31281913</v>
          </cell>
          <cell r="B5325" t="str">
            <v>Componentes no metálicos formados por estiramiento</v>
          </cell>
        </row>
        <row r="5326">
          <cell r="A5326">
            <v>31281914</v>
          </cell>
          <cell r="B5326" t="str">
            <v>Componentes de metal precioso formados por estiramiento</v>
          </cell>
        </row>
        <row r="5327">
          <cell r="A5327">
            <v>31281915</v>
          </cell>
          <cell r="B5327" t="str">
            <v>Componentes de acero inoxidable formados por estiramiento</v>
          </cell>
        </row>
        <row r="5328">
          <cell r="A5328">
            <v>31281916</v>
          </cell>
          <cell r="B5328" t="str">
            <v>Componentes de acero formados por estiramiento</v>
          </cell>
        </row>
        <row r="5329">
          <cell r="A5329">
            <v>31281917</v>
          </cell>
          <cell r="B5329" t="str">
            <v>Componentes de estaño formados por estiramiento</v>
          </cell>
        </row>
        <row r="5330">
          <cell r="A5330">
            <v>31281918</v>
          </cell>
          <cell r="B5330" t="str">
            <v>Componentes de titanio formados por estiramiento</v>
          </cell>
        </row>
        <row r="5331">
          <cell r="A5331">
            <v>31281919</v>
          </cell>
          <cell r="B5331" t="str">
            <v>Componentes de zinc formados por estiramiento</v>
          </cell>
        </row>
        <row r="5332">
          <cell r="A5332">
            <v>31282001</v>
          </cell>
          <cell r="B5332" t="str">
            <v>Componentes de aluminio hidroformados</v>
          </cell>
        </row>
        <row r="5333">
          <cell r="A5333">
            <v>31282002</v>
          </cell>
          <cell r="B5333" t="str">
            <v>Componentes de berilio hidroformados</v>
          </cell>
        </row>
        <row r="5334">
          <cell r="A5334">
            <v>31282003</v>
          </cell>
          <cell r="B5334" t="str">
            <v>Componentes de latón hidroformados</v>
          </cell>
        </row>
        <row r="5335">
          <cell r="A5335">
            <v>31282004</v>
          </cell>
          <cell r="B5335" t="str">
            <v>Componentes de bronce hidroformados</v>
          </cell>
        </row>
        <row r="5336">
          <cell r="A5336">
            <v>31282005</v>
          </cell>
          <cell r="B5336" t="str">
            <v>Componentes compuestos hidroformados</v>
          </cell>
        </row>
        <row r="5337">
          <cell r="A5337">
            <v>31282006</v>
          </cell>
          <cell r="B5337" t="str">
            <v>Componentes de cobre hidroformados</v>
          </cell>
        </row>
        <row r="5338">
          <cell r="A5338">
            <v>31282007</v>
          </cell>
          <cell r="B5338" t="str">
            <v>Componentes de aleación ferrosa hidroformados</v>
          </cell>
        </row>
        <row r="5339">
          <cell r="A5339">
            <v>31282008</v>
          </cell>
          <cell r="B5339" t="str">
            <v>Componentes de hierro hidroformados</v>
          </cell>
        </row>
        <row r="5340">
          <cell r="A5340">
            <v>31282009</v>
          </cell>
          <cell r="B5340" t="str">
            <v>Componentes de plomo hidroformados</v>
          </cell>
        </row>
        <row r="5341">
          <cell r="A5341">
            <v>31282010</v>
          </cell>
          <cell r="B5341" t="str">
            <v>Componentes de magnesio hidroformados</v>
          </cell>
        </row>
        <row r="5342">
          <cell r="A5342">
            <v>31282011</v>
          </cell>
          <cell r="B5342" t="str">
            <v>Componentes de aleación de níquel hidroformados</v>
          </cell>
        </row>
        <row r="5343">
          <cell r="A5343">
            <v>31282012</v>
          </cell>
          <cell r="B5343" t="str">
            <v>Componentes de aleación no ferrosa hidroformados</v>
          </cell>
        </row>
        <row r="5344">
          <cell r="A5344">
            <v>31282013</v>
          </cell>
          <cell r="B5344" t="str">
            <v>Componentes no metálicos hidroformados</v>
          </cell>
        </row>
        <row r="5345">
          <cell r="A5345">
            <v>31282014</v>
          </cell>
          <cell r="B5345" t="str">
            <v>Componentes de metal precioso hidroformados</v>
          </cell>
        </row>
        <row r="5346">
          <cell r="A5346">
            <v>31282015</v>
          </cell>
          <cell r="B5346" t="str">
            <v>Componentes de acero inoxidable hidroformados</v>
          </cell>
        </row>
        <row r="5347">
          <cell r="A5347">
            <v>31282016</v>
          </cell>
          <cell r="B5347" t="str">
            <v>Componentes de acero hidroformados</v>
          </cell>
        </row>
        <row r="5348">
          <cell r="A5348">
            <v>31282017</v>
          </cell>
          <cell r="B5348" t="str">
            <v>Componentes de estaño hidroformados</v>
          </cell>
        </row>
        <row r="5349">
          <cell r="A5349">
            <v>31282018</v>
          </cell>
          <cell r="B5349" t="str">
            <v>Componentes de titanio hidroformados</v>
          </cell>
        </row>
        <row r="5350">
          <cell r="A5350">
            <v>31282019</v>
          </cell>
          <cell r="B5350" t="str">
            <v>Componentes de zinc hidroformados</v>
          </cell>
        </row>
        <row r="5351">
          <cell r="A5351">
            <v>31282101</v>
          </cell>
          <cell r="B5351" t="str">
            <v>Componentes de aluminio formados en torno</v>
          </cell>
        </row>
        <row r="5352">
          <cell r="A5352">
            <v>31282102</v>
          </cell>
          <cell r="B5352" t="str">
            <v>Componentes de berilio formados en torno</v>
          </cell>
        </row>
        <row r="5353">
          <cell r="A5353">
            <v>31282103</v>
          </cell>
          <cell r="B5353" t="str">
            <v>Componentes de latón formados en torno</v>
          </cell>
        </row>
        <row r="5354">
          <cell r="A5354">
            <v>31282104</v>
          </cell>
          <cell r="B5354" t="str">
            <v>Componentes de bronce formados en torno</v>
          </cell>
        </row>
        <row r="5355">
          <cell r="A5355">
            <v>31282105</v>
          </cell>
          <cell r="B5355" t="str">
            <v>Componentes compuestos formados en torno</v>
          </cell>
        </row>
        <row r="5356">
          <cell r="A5356">
            <v>31282106</v>
          </cell>
          <cell r="B5356" t="str">
            <v>Componentes de cobre formados en torno</v>
          </cell>
        </row>
        <row r="5357">
          <cell r="A5357">
            <v>31282107</v>
          </cell>
          <cell r="B5357" t="str">
            <v>Componentes de aleación ferrosa formados en torno</v>
          </cell>
        </row>
        <row r="5358">
          <cell r="A5358">
            <v>31282108</v>
          </cell>
          <cell r="B5358" t="str">
            <v>Componentes de hierro formados en torno</v>
          </cell>
        </row>
        <row r="5359">
          <cell r="A5359">
            <v>31282109</v>
          </cell>
          <cell r="B5359" t="str">
            <v>Componentes de plomo formados en torno</v>
          </cell>
        </row>
        <row r="5360">
          <cell r="A5360">
            <v>31282110</v>
          </cell>
          <cell r="B5360" t="str">
            <v>Componentes de magnesio formados en torno</v>
          </cell>
        </row>
        <row r="5361">
          <cell r="A5361">
            <v>31282111</v>
          </cell>
          <cell r="B5361" t="str">
            <v>Componentes de aleación de níquel formados en torno</v>
          </cell>
        </row>
        <row r="5362">
          <cell r="A5362">
            <v>31282112</v>
          </cell>
          <cell r="B5362" t="str">
            <v>Componentes de aleación no ferrosa formados en torno</v>
          </cell>
        </row>
        <row r="5363">
          <cell r="A5363">
            <v>31282113</v>
          </cell>
          <cell r="B5363" t="str">
            <v>Componentes no metálicos formados en torno</v>
          </cell>
        </row>
        <row r="5364">
          <cell r="A5364">
            <v>31282114</v>
          </cell>
          <cell r="B5364" t="str">
            <v>Componentes de metal precioso formados en torno</v>
          </cell>
        </row>
        <row r="5365">
          <cell r="A5365">
            <v>31282115</v>
          </cell>
          <cell r="B5365" t="str">
            <v>Componentes de acero inoxidable formados en torno</v>
          </cell>
        </row>
        <row r="5366">
          <cell r="A5366">
            <v>31282116</v>
          </cell>
          <cell r="B5366" t="str">
            <v>Componentes de acero formados en torno</v>
          </cell>
        </row>
        <row r="5367">
          <cell r="A5367">
            <v>31282117</v>
          </cell>
          <cell r="B5367" t="str">
            <v>Componentes de estaño formados en torno</v>
          </cell>
        </row>
        <row r="5368">
          <cell r="A5368">
            <v>31282118</v>
          </cell>
          <cell r="B5368" t="str">
            <v>Componentes de titanio formados en torno</v>
          </cell>
        </row>
        <row r="5369">
          <cell r="A5369">
            <v>31282119</v>
          </cell>
          <cell r="B5369" t="str">
            <v>Componentes de zinc formados en torno</v>
          </cell>
        </row>
        <row r="5370">
          <cell r="A5370">
            <v>31282201</v>
          </cell>
          <cell r="B5370" t="str">
            <v>Componentes de aluminio formados enrollados</v>
          </cell>
        </row>
        <row r="5371">
          <cell r="A5371">
            <v>31282202</v>
          </cell>
          <cell r="B5371" t="str">
            <v>Componentes de berilio formados enrollados</v>
          </cell>
        </row>
        <row r="5372">
          <cell r="A5372">
            <v>31282203</v>
          </cell>
          <cell r="B5372" t="str">
            <v>Componentes de latón formados enrollados</v>
          </cell>
        </row>
        <row r="5373">
          <cell r="A5373">
            <v>31282204</v>
          </cell>
          <cell r="B5373" t="str">
            <v>Componentes de bronce formados enrollados</v>
          </cell>
        </row>
        <row r="5374">
          <cell r="A5374">
            <v>31282205</v>
          </cell>
          <cell r="B5374" t="str">
            <v>Componentes compuestos formados enrollados</v>
          </cell>
        </row>
        <row r="5375">
          <cell r="A5375">
            <v>31282206</v>
          </cell>
          <cell r="B5375" t="str">
            <v>Componentes de cobre formados enrollados</v>
          </cell>
        </row>
        <row r="5376">
          <cell r="A5376">
            <v>31282207</v>
          </cell>
          <cell r="B5376" t="str">
            <v>Componentes de aleación ferrosa formados enrollados</v>
          </cell>
        </row>
        <row r="5377">
          <cell r="A5377">
            <v>31282208</v>
          </cell>
          <cell r="B5377" t="str">
            <v>Componentes de hierro formados enrollados</v>
          </cell>
        </row>
        <row r="5378">
          <cell r="A5378">
            <v>31282209</v>
          </cell>
          <cell r="B5378" t="str">
            <v>Componentes de plomo formados enrollados</v>
          </cell>
        </row>
        <row r="5379">
          <cell r="A5379">
            <v>31282210</v>
          </cell>
          <cell r="B5379" t="str">
            <v>Componentes de magnesio formados enrollados</v>
          </cell>
        </row>
        <row r="5380">
          <cell r="A5380">
            <v>31282211</v>
          </cell>
          <cell r="B5380" t="str">
            <v>Componentes de aleación de níquel formados enrollados</v>
          </cell>
        </row>
        <row r="5381">
          <cell r="A5381">
            <v>31282212</v>
          </cell>
          <cell r="B5381" t="str">
            <v>Componentes de aleación no ferrosa formados enrollados</v>
          </cell>
        </row>
        <row r="5382">
          <cell r="A5382">
            <v>31282213</v>
          </cell>
          <cell r="B5382" t="str">
            <v>Componentes no metálicos formados enrollados</v>
          </cell>
        </row>
        <row r="5383">
          <cell r="A5383">
            <v>31282214</v>
          </cell>
          <cell r="B5383" t="str">
            <v>Componentes de metal precioso formados enrollados</v>
          </cell>
        </row>
        <row r="5384">
          <cell r="A5384">
            <v>31282215</v>
          </cell>
          <cell r="B5384" t="str">
            <v>Componentes de acero inoxidable formados enrollados</v>
          </cell>
        </row>
        <row r="5385">
          <cell r="A5385">
            <v>31282216</v>
          </cell>
          <cell r="B5385" t="str">
            <v>Componentes de acero formados enrollados</v>
          </cell>
        </row>
        <row r="5386">
          <cell r="A5386">
            <v>31282217</v>
          </cell>
          <cell r="B5386" t="str">
            <v>Componentes de estaño formados enrollados</v>
          </cell>
        </row>
        <row r="5387">
          <cell r="A5387">
            <v>31282218</v>
          </cell>
          <cell r="B5387" t="str">
            <v>Componentes de titanio formados enrollados</v>
          </cell>
        </row>
        <row r="5388">
          <cell r="A5388">
            <v>31282219</v>
          </cell>
          <cell r="B5388" t="str">
            <v>Componentes de zinc formados enrollados</v>
          </cell>
        </row>
        <row r="5389">
          <cell r="A5389">
            <v>31282301</v>
          </cell>
          <cell r="B5389" t="str">
            <v>Componentes de aluminio formados por estiramiento por presión</v>
          </cell>
        </row>
        <row r="5390">
          <cell r="A5390">
            <v>31282302</v>
          </cell>
          <cell r="B5390" t="str">
            <v>Componentes de berilio formados por estiramiento por presión</v>
          </cell>
        </row>
        <row r="5391">
          <cell r="A5391">
            <v>31282303</v>
          </cell>
          <cell r="B5391" t="str">
            <v>Componentes de latón formados por estiramiento por presión</v>
          </cell>
        </row>
        <row r="5392">
          <cell r="A5392">
            <v>31282304</v>
          </cell>
          <cell r="B5392" t="str">
            <v>Componentes de bronce formados por estiramiento por presión</v>
          </cell>
        </row>
        <row r="5393">
          <cell r="A5393">
            <v>31282305</v>
          </cell>
          <cell r="B5393" t="str">
            <v>Componentes compuestos formados por estiramiento por presión</v>
          </cell>
        </row>
        <row r="5394">
          <cell r="A5394">
            <v>31282306</v>
          </cell>
          <cell r="B5394" t="str">
            <v>Componentes de cobre formados por estiramiento por presión</v>
          </cell>
        </row>
        <row r="5395">
          <cell r="A5395">
            <v>31282307</v>
          </cell>
          <cell r="B5395" t="str">
            <v>Componentes de aleación ferrosa formados por estiramiento por presión</v>
          </cell>
        </row>
        <row r="5396">
          <cell r="A5396">
            <v>31282308</v>
          </cell>
          <cell r="B5396" t="str">
            <v>Componentes de hierro formados por estiramiento por presión</v>
          </cell>
        </row>
        <row r="5397">
          <cell r="A5397">
            <v>31282309</v>
          </cell>
          <cell r="B5397" t="str">
            <v>Componentes de plomo formados por estiramiento por presión</v>
          </cell>
        </row>
        <row r="5398">
          <cell r="A5398">
            <v>31282310</v>
          </cell>
          <cell r="B5398" t="str">
            <v>Componentes de magnesio formados por estiramiento por presión</v>
          </cell>
        </row>
        <row r="5399">
          <cell r="A5399">
            <v>31282311</v>
          </cell>
          <cell r="B5399" t="str">
            <v>Componentes de aleación de níquel formados por estiramiento por presión</v>
          </cell>
        </row>
        <row r="5400">
          <cell r="A5400">
            <v>31282312</v>
          </cell>
          <cell r="B5400" t="str">
            <v>Componentes de aleación no ferrosa formados por estiramiento por presión</v>
          </cell>
        </row>
        <row r="5401">
          <cell r="A5401">
            <v>31282313</v>
          </cell>
          <cell r="B5401" t="str">
            <v>Componentes no metálicos formados por estiramiento por presión</v>
          </cell>
        </row>
        <row r="5402">
          <cell r="A5402">
            <v>31282314</v>
          </cell>
          <cell r="B5402" t="str">
            <v>Componentes de metal precioso formados por estiramiento por presión</v>
          </cell>
        </row>
        <row r="5403">
          <cell r="A5403">
            <v>31282315</v>
          </cell>
          <cell r="B5403" t="str">
            <v>Componentes de acero inoxidable formados por estiramiento por presión</v>
          </cell>
        </row>
        <row r="5404">
          <cell r="A5404">
            <v>31282316</v>
          </cell>
          <cell r="B5404" t="str">
            <v>Componentes de acero formados por estiramiento por presión</v>
          </cell>
        </row>
        <row r="5405">
          <cell r="A5405">
            <v>31282317</v>
          </cell>
          <cell r="B5405" t="str">
            <v>Componentes de estaño formados por estiramiento por presión</v>
          </cell>
        </row>
        <row r="5406">
          <cell r="A5406">
            <v>31282318</v>
          </cell>
          <cell r="B5406" t="str">
            <v>Componentes de titanio formados por estiramiento por presión</v>
          </cell>
        </row>
        <row r="5407">
          <cell r="A5407">
            <v>31282319</v>
          </cell>
          <cell r="B5407" t="str">
            <v>Componentes de zinc formados por estiramiento por presión</v>
          </cell>
        </row>
        <row r="5408">
          <cell r="A5408">
            <v>31282401</v>
          </cell>
          <cell r="B5408" t="str">
            <v>Componentes de aluminio formados con explosivos</v>
          </cell>
        </row>
        <row r="5409">
          <cell r="A5409">
            <v>31282402</v>
          </cell>
          <cell r="B5409" t="str">
            <v>Componentes de berilio formados con explosivos</v>
          </cell>
        </row>
        <row r="5410">
          <cell r="A5410">
            <v>31282403</v>
          </cell>
          <cell r="B5410" t="str">
            <v>Componentes de latón formados con explosivos</v>
          </cell>
        </row>
        <row r="5411">
          <cell r="A5411">
            <v>31282404</v>
          </cell>
          <cell r="B5411" t="str">
            <v>Componentes de bronce formados con explosivos</v>
          </cell>
        </row>
        <row r="5412">
          <cell r="A5412">
            <v>31282405</v>
          </cell>
          <cell r="B5412" t="str">
            <v>Componentes compuestos formados con explosivos</v>
          </cell>
        </row>
        <row r="5413">
          <cell r="A5413">
            <v>31282406</v>
          </cell>
          <cell r="B5413" t="str">
            <v>Componentes de cobre formados con explosivos</v>
          </cell>
        </row>
        <row r="5414">
          <cell r="A5414">
            <v>31282407</v>
          </cell>
          <cell r="B5414" t="str">
            <v>Componentes de aleación ferrosa formados con explosivos</v>
          </cell>
        </row>
        <row r="5415">
          <cell r="A5415">
            <v>31282408</v>
          </cell>
          <cell r="B5415" t="str">
            <v>Componentes de hierro formados con explosivos</v>
          </cell>
        </row>
        <row r="5416">
          <cell r="A5416">
            <v>31282409</v>
          </cell>
          <cell r="B5416" t="str">
            <v>Componentes de plomo formados con explosivos</v>
          </cell>
        </row>
        <row r="5417">
          <cell r="A5417">
            <v>31282410</v>
          </cell>
          <cell r="B5417" t="str">
            <v>Componentes de magnesio formados con explosivos</v>
          </cell>
        </row>
        <row r="5418">
          <cell r="A5418">
            <v>31282411</v>
          </cell>
          <cell r="B5418" t="str">
            <v>Componentes de aleación de níquel formados con explosivos</v>
          </cell>
        </row>
        <row r="5419">
          <cell r="A5419">
            <v>31282412</v>
          </cell>
          <cell r="B5419" t="str">
            <v>Componentes de aleación no ferrosa formados con explosivos</v>
          </cell>
        </row>
        <row r="5420">
          <cell r="A5420">
            <v>31282413</v>
          </cell>
          <cell r="B5420" t="str">
            <v>Componentes no metálicos formados con explosivos</v>
          </cell>
        </row>
        <row r="5421">
          <cell r="A5421">
            <v>31282414</v>
          </cell>
          <cell r="B5421" t="str">
            <v>Componentes de metal precioso formados con explosivos</v>
          </cell>
        </row>
        <row r="5422">
          <cell r="A5422">
            <v>31282415</v>
          </cell>
          <cell r="B5422" t="str">
            <v>Componentes de acero inoxidable formados con explosivos</v>
          </cell>
        </row>
        <row r="5423">
          <cell r="A5423">
            <v>31282416</v>
          </cell>
          <cell r="B5423" t="str">
            <v>Componentes de acero formados con explosivos</v>
          </cell>
        </row>
        <row r="5424">
          <cell r="A5424">
            <v>31282417</v>
          </cell>
          <cell r="B5424" t="str">
            <v>Componentes de estaño formados con explosivos</v>
          </cell>
        </row>
        <row r="5425">
          <cell r="A5425">
            <v>31282418</v>
          </cell>
          <cell r="B5425" t="str">
            <v>Componentes de titanio formados con explosivos</v>
          </cell>
        </row>
        <row r="5426">
          <cell r="A5426">
            <v>31282419</v>
          </cell>
          <cell r="B5426" t="str">
            <v>Componentes de zinc formados con explosivos</v>
          </cell>
        </row>
        <row r="5427">
          <cell r="A5427">
            <v>31291101</v>
          </cell>
          <cell r="B5427" t="str">
            <v>Componentes de aluminio maquinados por extrusión hidrostática</v>
          </cell>
        </row>
        <row r="5428">
          <cell r="A5428">
            <v>31291102</v>
          </cell>
          <cell r="B5428" t="str">
            <v>Componentes de berilio maquinados por extrusión hidrostática</v>
          </cell>
        </row>
        <row r="5429">
          <cell r="A5429">
            <v>31291103</v>
          </cell>
          <cell r="B5429" t="str">
            <v>Componentes de latón maquinados por extrusión hidrostática</v>
          </cell>
        </row>
        <row r="5430">
          <cell r="A5430">
            <v>31291104</v>
          </cell>
          <cell r="B5430" t="str">
            <v>Componentes de bronce maquinados por extrusión hidrostática</v>
          </cell>
        </row>
        <row r="5431">
          <cell r="A5431">
            <v>31291105</v>
          </cell>
          <cell r="B5431" t="str">
            <v>Componentes de cobre maquinados por extrusión hidrostática</v>
          </cell>
        </row>
        <row r="5432">
          <cell r="A5432">
            <v>31291106</v>
          </cell>
          <cell r="B5432" t="str">
            <v>Componentes de aleación ferrosa maquinados por extrusión hidrostática</v>
          </cell>
        </row>
        <row r="5433">
          <cell r="A5433">
            <v>31291107</v>
          </cell>
          <cell r="B5433" t="str">
            <v>Componentes de plomo maquinados por extrusión hidrostática</v>
          </cell>
        </row>
        <row r="5434">
          <cell r="A5434">
            <v>31291108</v>
          </cell>
          <cell r="B5434" t="str">
            <v>Componentes de magnesio maquinados por extrusión hidrostática</v>
          </cell>
        </row>
        <row r="5435">
          <cell r="A5435">
            <v>31291109</v>
          </cell>
          <cell r="B5435" t="str">
            <v>Componentes de aleación no ferrosa maquinados por extrusión hidrostática</v>
          </cell>
        </row>
        <row r="5436">
          <cell r="A5436">
            <v>31291110</v>
          </cell>
          <cell r="B5436" t="str">
            <v>Componentes plásticos maquinados por extrusión hidrostática</v>
          </cell>
        </row>
        <row r="5437">
          <cell r="A5437">
            <v>31291111</v>
          </cell>
          <cell r="B5437" t="str">
            <v>Componentes de metal precioso maquinados por extrusión hidrostática</v>
          </cell>
        </row>
        <row r="5438">
          <cell r="A5438">
            <v>31291112</v>
          </cell>
          <cell r="B5438" t="str">
            <v>Componentes de caucho maquinados por extrusión hidrostática</v>
          </cell>
        </row>
        <row r="5439">
          <cell r="A5439">
            <v>31291113</v>
          </cell>
          <cell r="B5439" t="str">
            <v>Componentes de acero inoxidable maquinados por extrusión hidrostática</v>
          </cell>
        </row>
        <row r="5440">
          <cell r="A5440">
            <v>31291114</v>
          </cell>
          <cell r="B5440" t="str">
            <v>Componentes de acero maquinados por extrusión hidrostática</v>
          </cell>
        </row>
        <row r="5441">
          <cell r="A5441">
            <v>31291115</v>
          </cell>
          <cell r="B5441" t="str">
            <v>Componentes de estaño maquinados por extrusión hidrostática</v>
          </cell>
        </row>
        <row r="5442">
          <cell r="A5442">
            <v>31291116</v>
          </cell>
          <cell r="B5442" t="str">
            <v>Componentes de titanio maquinados por extrusión hidrostática</v>
          </cell>
        </row>
        <row r="5443">
          <cell r="A5443">
            <v>31291117</v>
          </cell>
          <cell r="B5443" t="str">
            <v>Componentes de zinc maquinados por extrusión hidrostática</v>
          </cell>
        </row>
        <row r="5444">
          <cell r="A5444">
            <v>31291118</v>
          </cell>
          <cell r="B5444" t="str">
            <v>Componentes compuestos maquinados por extrusión hidrostática</v>
          </cell>
        </row>
        <row r="5445">
          <cell r="A5445">
            <v>31291119</v>
          </cell>
          <cell r="B5445" t="str">
            <v>Componentes de aleación de níquel maquinados por extrusión hidrostática</v>
          </cell>
        </row>
        <row r="5446">
          <cell r="A5446">
            <v>31291120</v>
          </cell>
          <cell r="B5446" t="str">
            <v>Componentes no metálicos maquinados por extrusión hidrostática</v>
          </cell>
        </row>
        <row r="5447">
          <cell r="A5447">
            <v>31291201</v>
          </cell>
          <cell r="B5447" t="str">
            <v>Componentes de aluminio maquinados por extrusión de impacto</v>
          </cell>
        </row>
        <row r="5448">
          <cell r="A5448">
            <v>31291202</v>
          </cell>
          <cell r="B5448" t="str">
            <v>Componentes de berilio maquinados por extrusión de impacto</v>
          </cell>
        </row>
        <row r="5449">
          <cell r="A5449">
            <v>31291203</v>
          </cell>
          <cell r="B5449" t="str">
            <v>Componentes de latón maquinados por extrusión de impacto</v>
          </cell>
        </row>
        <row r="5450">
          <cell r="A5450">
            <v>31291204</v>
          </cell>
          <cell r="B5450" t="str">
            <v>Componentes de bronce maquinados por extrusión de impacto</v>
          </cell>
        </row>
        <row r="5451">
          <cell r="A5451">
            <v>31291205</v>
          </cell>
          <cell r="B5451" t="str">
            <v>Componentes de cobre maquinados por extrusión de impacto</v>
          </cell>
        </row>
        <row r="5452">
          <cell r="A5452">
            <v>31291206</v>
          </cell>
          <cell r="B5452" t="str">
            <v>Componentes de aleación ferrosa maquinados por extrusión de impacto</v>
          </cell>
        </row>
        <row r="5453">
          <cell r="A5453">
            <v>31291207</v>
          </cell>
          <cell r="B5453" t="str">
            <v>Componentes de plomo maquinados por extrusión de impacto</v>
          </cell>
        </row>
        <row r="5454">
          <cell r="A5454">
            <v>31291208</v>
          </cell>
          <cell r="B5454" t="str">
            <v>Componentes de magnesio maquinados por extrusión de impacto</v>
          </cell>
        </row>
        <row r="5455">
          <cell r="A5455">
            <v>31291209</v>
          </cell>
          <cell r="B5455" t="str">
            <v>Componentes de aleación no ferrosa maquinados por extrusión de impacto</v>
          </cell>
        </row>
        <row r="5456">
          <cell r="A5456">
            <v>31291210</v>
          </cell>
          <cell r="B5456" t="str">
            <v>Componentes plásticos maquinados por extrusión de impacto</v>
          </cell>
        </row>
        <row r="5457">
          <cell r="A5457">
            <v>31291211</v>
          </cell>
          <cell r="B5457" t="str">
            <v>Componentes de metal precioso maquinados por extrusión de impacto</v>
          </cell>
        </row>
        <row r="5458">
          <cell r="A5458">
            <v>31291212</v>
          </cell>
          <cell r="B5458" t="str">
            <v>Componentes de caucho maquinados por extrusión de impacto</v>
          </cell>
        </row>
        <row r="5459">
          <cell r="A5459">
            <v>31291213</v>
          </cell>
          <cell r="B5459" t="str">
            <v>Componentes de acero inoxidable maquinados por extrusión de impacto</v>
          </cell>
        </row>
        <row r="5460">
          <cell r="A5460">
            <v>31291214</v>
          </cell>
          <cell r="B5460" t="str">
            <v>Componentes de acero maquinados por extrusión de impacto</v>
          </cell>
        </row>
        <row r="5461">
          <cell r="A5461">
            <v>31291215</v>
          </cell>
          <cell r="B5461" t="str">
            <v>Componentes de estaño maquinados por extrusión de impacto</v>
          </cell>
        </row>
        <row r="5462">
          <cell r="A5462">
            <v>31291216</v>
          </cell>
          <cell r="B5462" t="str">
            <v>Componentes de titanio maquinados por extrusión de impacto</v>
          </cell>
        </row>
        <row r="5463">
          <cell r="A5463">
            <v>31291217</v>
          </cell>
          <cell r="B5463" t="str">
            <v>Componentes de zinc maquinados por extrusión de impacto</v>
          </cell>
        </row>
        <row r="5464">
          <cell r="A5464">
            <v>31291218</v>
          </cell>
          <cell r="B5464" t="str">
            <v>Componentes compuestos maquinados por extrusión de impacto</v>
          </cell>
        </row>
        <row r="5465">
          <cell r="A5465">
            <v>31291219</v>
          </cell>
          <cell r="B5465" t="str">
            <v>Componentes de aleación de níquel maquinados por extrusión de impacto</v>
          </cell>
        </row>
        <row r="5466">
          <cell r="A5466">
            <v>31291220</v>
          </cell>
          <cell r="B5466" t="str">
            <v>Componentes no metálicos maquinados por extrusión de impacto</v>
          </cell>
        </row>
        <row r="5467">
          <cell r="A5467">
            <v>31291301</v>
          </cell>
          <cell r="B5467" t="str">
            <v>Componentes de aluminio maquinados por extrusión en frío</v>
          </cell>
        </row>
        <row r="5468">
          <cell r="A5468">
            <v>31291302</v>
          </cell>
          <cell r="B5468" t="str">
            <v>Componentes de berilio maquinados por extrusión en frío</v>
          </cell>
        </row>
        <row r="5469">
          <cell r="A5469">
            <v>31291303</v>
          </cell>
          <cell r="B5469" t="str">
            <v>Componentes de latón maquinados por extrusión en frío</v>
          </cell>
        </row>
        <row r="5470">
          <cell r="A5470">
            <v>31291304</v>
          </cell>
          <cell r="B5470" t="str">
            <v>Componentes de bronce maquinados por extrusión en frío</v>
          </cell>
        </row>
        <row r="5471">
          <cell r="A5471">
            <v>31291305</v>
          </cell>
          <cell r="B5471" t="str">
            <v>Componentes de cobre maquinados por extrusión en frío</v>
          </cell>
        </row>
        <row r="5472">
          <cell r="A5472">
            <v>31291306</v>
          </cell>
          <cell r="B5472" t="str">
            <v>Componentes de aleación ferrosa maquinados por extrusión en frío</v>
          </cell>
        </row>
        <row r="5473">
          <cell r="A5473">
            <v>31291307</v>
          </cell>
          <cell r="B5473" t="str">
            <v>Componentes de plomo maquinados por extrusión en frío</v>
          </cell>
        </row>
        <row r="5474">
          <cell r="A5474">
            <v>31291308</v>
          </cell>
          <cell r="B5474" t="str">
            <v>Componentes de magnesio maquinados por extrusión en frío</v>
          </cell>
        </row>
        <row r="5475">
          <cell r="A5475">
            <v>31291309</v>
          </cell>
          <cell r="B5475" t="str">
            <v>Componentes de aleación no ferrosa maquinados por extrusión en frío</v>
          </cell>
        </row>
        <row r="5476">
          <cell r="A5476">
            <v>31291310</v>
          </cell>
          <cell r="B5476" t="str">
            <v>Componentes plásticos maquinados por extrusión en frío</v>
          </cell>
        </row>
        <row r="5477">
          <cell r="A5477">
            <v>31291311</v>
          </cell>
          <cell r="B5477" t="str">
            <v>Componentes de metal precioso maquinados por extrusión en frío</v>
          </cell>
        </row>
        <row r="5478">
          <cell r="A5478">
            <v>31291312</v>
          </cell>
          <cell r="B5478" t="str">
            <v>Componentes de caucho maquinados por extrusión en frío</v>
          </cell>
        </row>
        <row r="5479">
          <cell r="A5479">
            <v>31291313</v>
          </cell>
          <cell r="B5479" t="str">
            <v>Componentes de acero inoxidable maquinados por extrusión en frío</v>
          </cell>
        </row>
        <row r="5480">
          <cell r="A5480">
            <v>31291314</v>
          </cell>
          <cell r="B5480" t="str">
            <v>Componentes de acero maquinados por extrusión en frío</v>
          </cell>
        </row>
        <row r="5481">
          <cell r="A5481">
            <v>31291315</v>
          </cell>
          <cell r="B5481" t="str">
            <v>Componentes de estaño maquinados por extrusión en frío</v>
          </cell>
        </row>
        <row r="5482">
          <cell r="A5482">
            <v>31291316</v>
          </cell>
          <cell r="B5482" t="str">
            <v>Componentes de titanio maquinados por extrusión en frío</v>
          </cell>
        </row>
        <row r="5483">
          <cell r="A5483">
            <v>31291317</v>
          </cell>
          <cell r="B5483" t="str">
            <v>Componentes de zinc maquinados por extrusión en frío</v>
          </cell>
        </row>
        <row r="5484">
          <cell r="A5484">
            <v>31291318</v>
          </cell>
          <cell r="B5484" t="str">
            <v>Componentes compuestos maquinados por extrusión en frío</v>
          </cell>
        </row>
        <row r="5485">
          <cell r="A5485">
            <v>31291319</v>
          </cell>
          <cell r="B5485" t="str">
            <v>Componentes de aleación de níquel maquinados por extrusión en frío</v>
          </cell>
        </row>
        <row r="5486">
          <cell r="A5486">
            <v>31291320</v>
          </cell>
          <cell r="B5486" t="str">
            <v>Componentes no metálicos maquinados por extrusión en frío</v>
          </cell>
        </row>
        <row r="5487">
          <cell r="A5487">
            <v>31291401</v>
          </cell>
          <cell r="B5487" t="str">
            <v>Componentes de aluminio maquinados por extrusión en caliente</v>
          </cell>
        </row>
        <row r="5488">
          <cell r="A5488">
            <v>31291402</v>
          </cell>
          <cell r="B5488" t="str">
            <v>Componentes de berilio maquinados por extrusión en caliente</v>
          </cell>
        </row>
        <row r="5489">
          <cell r="A5489">
            <v>31291403</v>
          </cell>
          <cell r="B5489" t="str">
            <v>Componentes de latón maquinados por extrusión en caliente</v>
          </cell>
        </row>
        <row r="5490">
          <cell r="A5490">
            <v>31291404</v>
          </cell>
          <cell r="B5490" t="str">
            <v>Componentes de bronce maquinados por extrusión en caliente</v>
          </cell>
        </row>
        <row r="5491">
          <cell r="A5491">
            <v>31291405</v>
          </cell>
          <cell r="B5491" t="str">
            <v>Componentes de cobre maquinados por extrusión en caliente</v>
          </cell>
        </row>
        <row r="5492">
          <cell r="A5492">
            <v>31291406</v>
          </cell>
          <cell r="B5492" t="str">
            <v>Componentes de aleación ferrosa maquinados por extrusión en caliente</v>
          </cell>
        </row>
        <row r="5493">
          <cell r="A5493">
            <v>31291407</v>
          </cell>
          <cell r="B5493" t="str">
            <v>Componentes de plomo maquinados por extrusión en caliente</v>
          </cell>
        </row>
        <row r="5494">
          <cell r="A5494">
            <v>31291408</v>
          </cell>
          <cell r="B5494" t="str">
            <v>Componentes de magnesio maquinados por extrusión en caliente</v>
          </cell>
        </row>
        <row r="5495">
          <cell r="A5495">
            <v>31291409</v>
          </cell>
          <cell r="B5495" t="str">
            <v>Componentes de aleación no ferrosa maquinados por extrusión en caliente</v>
          </cell>
        </row>
        <row r="5496">
          <cell r="A5496">
            <v>31291410</v>
          </cell>
          <cell r="B5496" t="str">
            <v>Componentes plásticos maquinados por extrusión en caliente</v>
          </cell>
        </row>
        <row r="5497">
          <cell r="A5497">
            <v>31291411</v>
          </cell>
          <cell r="B5497" t="str">
            <v>Componentes de metal precioso maquinados por extrusión en caliente</v>
          </cell>
        </row>
        <row r="5498">
          <cell r="A5498">
            <v>31291412</v>
          </cell>
          <cell r="B5498" t="str">
            <v>Componentes de caucho maquinados por extrusión en caliente</v>
          </cell>
        </row>
        <row r="5499">
          <cell r="A5499">
            <v>31291413</v>
          </cell>
          <cell r="B5499" t="str">
            <v>Componentes de acero inoxidable maquinados por extrusión en caliente</v>
          </cell>
        </row>
        <row r="5500">
          <cell r="A5500">
            <v>31291414</v>
          </cell>
          <cell r="B5500" t="str">
            <v>Componentes de acero maquinados por extrusión en caliente</v>
          </cell>
        </row>
        <row r="5501">
          <cell r="A5501">
            <v>31291415</v>
          </cell>
          <cell r="B5501" t="str">
            <v>Componentes de estaño maquinados por extrusión en caliente</v>
          </cell>
        </row>
        <row r="5502">
          <cell r="A5502">
            <v>31291416</v>
          </cell>
          <cell r="B5502" t="str">
            <v>Componentes de titanio maquinados por extrusión en caliente</v>
          </cell>
        </row>
        <row r="5503">
          <cell r="A5503">
            <v>31291417</v>
          </cell>
          <cell r="B5503" t="str">
            <v>Componentes de zinc maquinados por extrusión en caliente</v>
          </cell>
        </row>
        <row r="5504">
          <cell r="A5504">
            <v>31291418</v>
          </cell>
          <cell r="B5504" t="str">
            <v>Componentes compuestos maquinados por extrusión en caliente</v>
          </cell>
        </row>
        <row r="5505">
          <cell r="A5505">
            <v>31291419</v>
          </cell>
          <cell r="B5505" t="str">
            <v>Componentes de aleación de níquel maquinados por extrusión en caliente</v>
          </cell>
        </row>
        <row r="5506">
          <cell r="A5506">
            <v>31291420</v>
          </cell>
          <cell r="B5506" t="str">
            <v>Componentes no metálicos maquinados por extrusión en caliente</v>
          </cell>
        </row>
        <row r="5507">
          <cell r="A5507">
            <v>31301101</v>
          </cell>
          <cell r="B5507" t="str">
            <v>Forjas de aleación no ferrosa maquinadas con troquel abierto</v>
          </cell>
        </row>
        <row r="5508">
          <cell r="A5508">
            <v>31301102</v>
          </cell>
          <cell r="B5508" t="str">
            <v>Forjas de aleación ferrosa maquinadas con troquel abierto</v>
          </cell>
        </row>
        <row r="5509">
          <cell r="A5509">
            <v>31301103</v>
          </cell>
          <cell r="B5509" t="str">
            <v>Forjas de acero maquinadas con troquel abierto</v>
          </cell>
        </row>
        <row r="5510">
          <cell r="A5510">
            <v>31301104</v>
          </cell>
          <cell r="B5510" t="str">
            <v>Forjas de acero inoxidable maquinadas con troquel abierto</v>
          </cell>
        </row>
        <row r="5511">
          <cell r="A5511">
            <v>31301105</v>
          </cell>
          <cell r="B5511" t="str">
            <v>Forjas de hierro maquinadas con troquel abierto</v>
          </cell>
        </row>
        <row r="5512">
          <cell r="A5512">
            <v>31301106</v>
          </cell>
          <cell r="B5512" t="str">
            <v>Forjas de aluminio maquinadas con troquel abierto</v>
          </cell>
        </row>
        <row r="5513">
          <cell r="A5513">
            <v>31301107</v>
          </cell>
          <cell r="B5513" t="str">
            <v>Forjas de magnesio maquinadas con troquel abierto</v>
          </cell>
        </row>
        <row r="5514">
          <cell r="A5514">
            <v>31301108</v>
          </cell>
          <cell r="B5514" t="str">
            <v>Forjas de titanio maquinadas con troquel abierto</v>
          </cell>
        </row>
        <row r="5515">
          <cell r="A5515">
            <v>31301109</v>
          </cell>
          <cell r="B5515" t="str">
            <v>Forjas de berilio maquinadas con troquel abierto</v>
          </cell>
        </row>
        <row r="5516">
          <cell r="A5516">
            <v>31301110</v>
          </cell>
          <cell r="B5516" t="str">
            <v>Forjas de cobre maquinadas con troquel abierto</v>
          </cell>
        </row>
        <row r="5517">
          <cell r="A5517">
            <v>31301111</v>
          </cell>
          <cell r="B5517" t="str">
            <v>Forjas de latón maquinadas con troquel abierto</v>
          </cell>
        </row>
        <row r="5518">
          <cell r="A5518">
            <v>31301112</v>
          </cell>
          <cell r="B5518" t="str">
            <v>Forjas de bronce maquinadas con troquel abierto</v>
          </cell>
        </row>
        <row r="5519">
          <cell r="A5519">
            <v>31301113</v>
          </cell>
          <cell r="B5519" t="str">
            <v>Forjas de zinc maquinadas con troquel abierto</v>
          </cell>
        </row>
        <row r="5520">
          <cell r="A5520">
            <v>31301114</v>
          </cell>
          <cell r="B5520" t="str">
            <v>Forjas de estaño maquinadas con troquel abierto</v>
          </cell>
        </row>
        <row r="5521">
          <cell r="A5521">
            <v>31301115</v>
          </cell>
          <cell r="B5521" t="str">
            <v>Forjas de plomo maquinadas con troquel abierto</v>
          </cell>
        </row>
        <row r="5522">
          <cell r="A5522">
            <v>31301116</v>
          </cell>
          <cell r="B5522" t="str">
            <v>Forjas de metales preciosos maquinadas con troquel abierto</v>
          </cell>
        </row>
        <row r="5523">
          <cell r="A5523">
            <v>31301117</v>
          </cell>
          <cell r="B5523" t="str">
            <v>Forjas compuestas maquinadas con troquel abierto</v>
          </cell>
        </row>
        <row r="5524">
          <cell r="A5524">
            <v>31301118</v>
          </cell>
          <cell r="B5524" t="str">
            <v>Forjas de aleación de níquel maquinadas con troquel abierto</v>
          </cell>
        </row>
        <row r="5525">
          <cell r="A5525">
            <v>31301119</v>
          </cell>
          <cell r="B5525" t="str">
            <v>Forjas no metálicas maquinadas con troquel abierto</v>
          </cell>
        </row>
        <row r="5526">
          <cell r="A5526">
            <v>31301201</v>
          </cell>
          <cell r="B5526" t="str">
            <v>Forjas de aleación no ferrosa maquinadas con troquel cerrado</v>
          </cell>
        </row>
        <row r="5527">
          <cell r="A5527">
            <v>31301202</v>
          </cell>
          <cell r="B5527" t="str">
            <v>Forjas de aleación ferrosa maquinadas con troquel cerrado</v>
          </cell>
        </row>
        <row r="5528">
          <cell r="A5528">
            <v>31301203</v>
          </cell>
          <cell r="B5528" t="str">
            <v>Forjas de acero maquinadas con troquel cerrado</v>
          </cell>
        </row>
        <row r="5529">
          <cell r="A5529">
            <v>31301204</v>
          </cell>
          <cell r="B5529" t="str">
            <v>Forjas de acero inoxidable maquinadas con troquel cerrado</v>
          </cell>
        </row>
        <row r="5530">
          <cell r="A5530">
            <v>31301205</v>
          </cell>
          <cell r="B5530" t="str">
            <v>Forjas de hierro maquinadas con troquel cerrado</v>
          </cell>
        </row>
        <row r="5531">
          <cell r="A5531">
            <v>31301206</v>
          </cell>
          <cell r="B5531" t="str">
            <v>Forjas de aluminio maquinadas con troquel cerrado</v>
          </cell>
        </row>
        <row r="5532">
          <cell r="A5532">
            <v>31301207</v>
          </cell>
          <cell r="B5532" t="str">
            <v>Forjas de magnesio maquinadas con troquel cerrado</v>
          </cell>
        </row>
        <row r="5533">
          <cell r="A5533">
            <v>31301208</v>
          </cell>
          <cell r="B5533" t="str">
            <v>Forjas de titanio maquinadas con troquel cerrado</v>
          </cell>
        </row>
        <row r="5534">
          <cell r="A5534">
            <v>31301209</v>
          </cell>
          <cell r="B5534" t="str">
            <v>Forjas de berilio maquinadas con troquel cerrado</v>
          </cell>
        </row>
        <row r="5535">
          <cell r="A5535">
            <v>31301210</v>
          </cell>
          <cell r="B5535" t="str">
            <v>Forjas de cobre maquinadas con troquel cerrado</v>
          </cell>
        </row>
        <row r="5536">
          <cell r="A5536">
            <v>31301211</v>
          </cell>
          <cell r="B5536" t="str">
            <v>Forjas de latón maquinadas con troquel cerrado</v>
          </cell>
        </row>
        <row r="5537">
          <cell r="A5537">
            <v>31301212</v>
          </cell>
          <cell r="B5537" t="str">
            <v>Forjas de bronce maquinadas con troquel cerrado</v>
          </cell>
        </row>
        <row r="5538">
          <cell r="A5538">
            <v>31301213</v>
          </cell>
          <cell r="B5538" t="str">
            <v>Forjas de zinc maquinadas con troquel cerrado</v>
          </cell>
        </row>
        <row r="5539">
          <cell r="A5539">
            <v>31301214</v>
          </cell>
          <cell r="B5539" t="str">
            <v>Forjas de estaño maquinadas con troquel cerrado</v>
          </cell>
        </row>
        <row r="5540">
          <cell r="A5540">
            <v>31301215</v>
          </cell>
          <cell r="B5540" t="str">
            <v>Forjas de plomo maquinadas con troquel cerrado</v>
          </cell>
        </row>
        <row r="5541">
          <cell r="A5541">
            <v>31301216</v>
          </cell>
          <cell r="B5541" t="str">
            <v>Forjas de metales preciosos maquinadas con troquel cerrado</v>
          </cell>
        </row>
        <row r="5542">
          <cell r="A5542">
            <v>31301217</v>
          </cell>
          <cell r="B5542" t="str">
            <v>Forjas compuestas maquinadas con troquel cerrado</v>
          </cell>
        </row>
        <row r="5543">
          <cell r="A5543">
            <v>31301218</v>
          </cell>
          <cell r="B5543" t="str">
            <v>Forjas de aleación de níquel maquinadas con troquel cerrado</v>
          </cell>
        </row>
        <row r="5544">
          <cell r="A5544">
            <v>31301219</v>
          </cell>
          <cell r="B5544" t="str">
            <v>Forjas no metálicas maquinadas con troquel cerrado</v>
          </cell>
        </row>
        <row r="5545">
          <cell r="A5545">
            <v>31301301</v>
          </cell>
          <cell r="B5545" t="str">
            <v>Forjas de aleación no ferrosa maquinadas con impresión por troquel</v>
          </cell>
        </row>
        <row r="5546">
          <cell r="A5546">
            <v>31301302</v>
          </cell>
          <cell r="B5546" t="str">
            <v>Forjas de aleación ferrosa maquinadas con impresión por troquel</v>
          </cell>
        </row>
        <row r="5547">
          <cell r="A5547">
            <v>31301303</v>
          </cell>
          <cell r="B5547" t="str">
            <v>Forjas de acero maquinadas con impresión por troquel</v>
          </cell>
        </row>
        <row r="5548">
          <cell r="A5548">
            <v>31301304</v>
          </cell>
          <cell r="B5548" t="str">
            <v>Forjas de acero inoxidable maquinadas con impresión por troquel</v>
          </cell>
        </row>
        <row r="5549">
          <cell r="A5549">
            <v>31301305</v>
          </cell>
          <cell r="B5549" t="str">
            <v>Forjas de hierro maquinadas con impresión por troquel</v>
          </cell>
        </row>
        <row r="5550">
          <cell r="A5550">
            <v>31301306</v>
          </cell>
          <cell r="B5550" t="str">
            <v>Forjas de aluminio maquinadas con impresión por troquel</v>
          </cell>
        </row>
        <row r="5551">
          <cell r="A5551">
            <v>31301307</v>
          </cell>
          <cell r="B5551" t="str">
            <v>Forjas de magnesio maquinadas con impresión por troquel</v>
          </cell>
        </row>
        <row r="5552">
          <cell r="A5552">
            <v>31301308</v>
          </cell>
          <cell r="B5552" t="str">
            <v>Forjas de titanio maquinadas con impresión por troquel</v>
          </cell>
        </row>
        <row r="5553">
          <cell r="A5553">
            <v>31301309</v>
          </cell>
          <cell r="B5553" t="str">
            <v>Forjas de berilio maquinadas con impresión por troquel</v>
          </cell>
        </row>
        <row r="5554">
          <cell r="A5554">
            <v>31301310</v>
          </cell>
          <cell r="B5554" t="str">
            <v>Forjas de cobre maquinadas con impresión por troquel</v>
          </cell>
        </row>
        <row r="5555">
          <cell r="A5555">
            <v>31301311</v>
          </cell>
          <cell r="B5555" t="str">
            <v>Forjas de latón maquinadas con impresión por troquel</v>
          </cell>
        </row>
        <row r="5556">
          <cell r="A5556">
            <v>31301312</v>
          </cell>
          <cell r="B5556" t="str">
            <v>Forjas de bronce maquinadas con impresión por troquel</v>
          </cell>
        </row>
        <row r="5557">
          <cell r="A5557">
            <v>31301313</v>
          </cell>
          <cell r="B5557" t="str">
            <v>Forjas de zinc maquinadas con impresión por troquel</v>
          </cell>
        </row>
        <row r="5558">
          <cell r="A5558">
            <v>31301314</v>
          </cell>
          <cell r="B5558" t="str">
            <v>Forjas de estaño maquinadas con impresión por troquel</v>
          </cell>
        </row>
        <row r="5559">
          <cell r="A5559">
            <v>31301315</v>
          </cell>
          <cell r="B5559" t="str">
            <v>Forjas de plomo maquinadas con impresión por troquel</v>
          </cell>
        </row>
        <row r="5560">
          <cell r="A5560">
            <v>31301316</v>
          </cell>
          <cell r="B5560" t="str">
            <v>Forjas de metales preciosos maquinadas con impresión por troquel</v>
          </cell>
        </row>
        <row r="5561">
          <cell r="A5561">
            <v>31301317</v>
          </cell>
          <cell r="B5561" t="str">
            <v>Forjas compuestas maquinadas con impresión por troquel</v>
          </cell>
        </row>
        <row r="5562">
          <cell r="A5562">
            <v>31301318</v>
          </cell>
          <cell r="B5562" t="str">
            <v>Forjas de aleación de níquel maquinadas con impresión por troquel</v>
          </cell>
        </row>
        <row r="5563">
          <cell r="A5563">
            <v>31301319</v>
          </cell>
          <cell r="B5563" t="str">
            <v>Forjas no metálicas maquinadas con impresión por troquel</v>
          </cell>
        </row>
        <row r="5564">
          <cell r="A5564">
            <v>31301401</v>
          </cell>
          <cell r="B5564" t="str">
            <v>Forjas de aleación no ferrosa maquinadas por reducción</v>
          </cell>
        </row>
        <row r="5565">
          <cell r="A5565">
            <v>31301402</v>
          </cell>
          <cell r="B5565" t="str">
            <v>Forjas de aleación ferrosa maquinadas por reducción</v>
          </cell>
        </row>
        <row r="5566">
          <cell r="A5566">
            <v>31301403</v>
          </cell>
          <cell r="B5566" t="str">
            <v>Forjas de acero maquinadas por reducción</v>
          </cell>
        </row>
        <row r="5567">
          <cell r="A5567">
            <v>31301404</v>
          </cell>
          <cell r="B5567" t="str">
            <v>Forjas de acero inoxidable maquinadas por reducción</v>
          </cell>
        </row>
        <row r="5568">
          <cell r="A5568">
            <v>31301405</v>
          </cell>
          <cell r="B5568" t="str">
            <v>Forjas de hierro maquinadas por reducción</v>
          </cell>
        </row>
        <row r="5569">
          <cell r="A5569">
            <v>31301406</v>
          </cell>
          <cell r="B5569" t="str">
            <v>Forjas de aluminio maquinadas por reducción</v>
          </cell>
        </row>
        <row r="5570">
          <cell r="A5570">
            <v>31301407</v>
          </cell>
          <cell r="B5570" t="str">
            <v>Forjas de magnesio maquinadas por reducción</v>
          </cell>
        </row>
        <row r="5571">
          <cell r="A5571">
            <v>31301408</v>
          </cell>
          <cell r="B5571" t="str">
            <v>Forjas de titanio maquinadas por reducción</v>
          </cell>
        </row>
        <row r="5572">
          <cell r="A5572">
            <v>31301409</v>
          </cell>
          <cell r="B5572" t="str">
            <v>Forjas de berilio maquinadas por reducción</v>
          </cell>
        </row>
        <row r="5573">
          <cell r="A5573">
            <v>31301410</v>
          </cell>
          <cell r="B5573" t="str">
            <v>Forjas de cobre maquinadas por reducción</v>
          </cell>
        </row>
        <row r="5574">
          <cell r="A5574">
            <v>31301411</v>
          </cell>
          <cell r="B5574" t="str">
            <v>Forjas de latón maquinadas por reducción</v>
          </cell>
        </row>
        <row r="5575">
          <cell r="A5575">
            <v>31301412</v>
          </cell>
          <cell r="B5575" t="str">
            <v>Forjas de bronce maquinadas por reducción</v>
          </cell>
        </row>
        <row r="5576">
          <cell r="A5576">
            <v>31301413</v>
          </cell>
          <cell r="B5576" t="str">
            <v>Forjas de zinc maquinadas por reducción</v>
          </cell>
        </row>
        <row r="5577">
          <cell r="A5577">
            <v>31301414</v>
          </cell>
          <cell r="B5577" t="str">
            <v>Forjas de estaño maquinadas por reducción</v>
          </cell>
        </row>
        <row r="5578">
          <cell r="A5578">
            <v>31301415</v>
          </cell>
          <cell r="B5578" t="str">
            <v>Forjas de plomo maquinadas por reducción</v>
          </cell>
        </row>
        <row r="5579">
          <cell r="A5579">
            <v>31301416</v>
          </cell>
          <cell r="B5579" t="str">
            <v>Forjas de metales preciosos maquinadas por reducción</v>
          </cell>
        </row>
        <row r="5580">
          <cell r="A5580">
            <v>31301417</v>
          </cell>
          <cell r="B5580" t="str">
            <v>Forjas compuestas maquinadas por reducción</v>
          </cell>
        </row>
        <row r="5581">
          <cell r="A5581">
            <v>31301418</v>
          </cell>
          <cell r="B5581" t="str">
            <v>Forjas de aleación de níquel maquinadas por reducción</v>
          </cell>
        </row>
        <row r="5582">
          <cell r="A5582">
            <v>31301419</v>
          </cell>
          <cell r="B5582" t="str">
            <v>Forjas no metálicas maquinadas por reducción</v>
          </cell>
        </row>
        <row r="5583">
          <cell r="A5583">
            <v>31301501</v>
          </cell>
          <cell r="B5583" t="str">
            <v>Forjas de aluminio maquinadas por anillo enrollado</v>
          </cell>
        </row>
        <row r="5584">
          <cell r="A5584">
            <v>31301502</v>
          </cell>
          <cell r="B5584" t="str">
            <v>Forjas de berilio maquinadas por anillo enrollado</v>
          </cell>
        </row>
        <row r="5585">
          <cell r="A5585">
            <v>31301503</v>
          </cell>
          <cell r="B5585" t="str">
            <v>Forjas de latón maquinadas por anillo enrollado</v>
          </cell>
        </row>
        <row r="5586">
          <cell r="A5586">
            <v>31301504</v>
          </cell>
          <cell r="B5586" t="str">
            <v>Forjas de bronce maquinadas por anillo enrollado</v>
          </cell>
        </row>
        <row r="5587">
          <cell r="A5587">
            <v>31301505</v>
          </cell>
          <cell r="B5587" t="str">
            <v>Forjas de cobre maquinadas por anillo enrollado</v>
          </cell>
        </row>
        <row r="5588">
          <cell r="A5588">
            <v>31301506</v>
          </cell>
          <cell r="B5588" t="str">
            <v>Forjas de hierro maquinadas por anillo enrollado</v>
          </cell>
        </row>
        <row r="5589">
          <cell r="A5589">
            <v>31301507</v>
          </cell>
          <cell r="B5589" t="str">
            <v>Forjas de plomo maquinadas por anillo enrollado</v>
          </cell>
        </row>
        <row r="5590">
          <cell r="A5590">
            <v>31301508</v>
          </cell>
          <cell r="B5590" t="str">
            <v>Forjas de magnesio maquinadas por anillo enrollado</v>
          </cell>
        </row>
        <row r="5591">
          <cell r="A5591">
            <v>31301509</v>
          </cell>
          <cell r="B5591" t="str">
            <v>Forjas de metal precioso maquinadas por anillo enrollado</v>
          </cell>
        </row>
        <row r="5592">
          <cell r="A5592">
            <v>31301510</v>
          </cell>
          <cell r="B5592" t="str">
            <v>Forjas de acero inoxidable maquinadas por anillo enrollado</v>
          </cell>
        </row>
        <row r="5593">
          <cell r="A5593">
            <v>31301511</v>
          </cell>
          <cell r="B5593" t="str">
            <v>Forjas de estaño maquinadas por anillo enrollado</v>
          </cell>
        </row>
        <row r="5594">
          <cell r="A5594">
            <v>31301512</v>
          </cell>
          <cell r="B5594" t="str">
            <v>Forjas de titanio maquinadas por anillo enrollado</v>
          </cell>
        </row>
        <row r="5595">
          <cell r="A5595">
            <v>31301513</v>
          </cell>
          <cell r="B5595" t="str">
            <v>Forjas de zinc maquinadas por anillo enrollado</v>
          </cell>
        </row>
        <row r="5596">
          <cell r="A5596">
            <v>31301514</v>
          </cell>
          <cell r="B5596" t="str">
            <v>Forjas de aleación no ferrosa maquinadas por anillo enrollado</v>
          </cell>
        </row>
        <row r="5597">
          <cell r="A5597">
            <v>31301515</v>
          </cell>
          <cell r="B5597" t="str">
            <v>Forjas de aleación ferrosa maquinadas por anillo enrollado</v>
          </cell>
        </row>
        <row r="5598">
          <cell r="A5598">
            <v>31301516</v>
          </cell>
          <cell r="B5598" t="str">
            <v>Forjas de acero maquinadas por anillo enrollado</v>
          </cell>
        </row>
        <row r="5599">
          <cell r="A5599">
            <v>31301517</v>
          </cell>
          <cell r="B5599" t="str">
            <v>Forjas compuestas maquinadas por anillo enrollado</v>
          </cell>
        </row>
        <row r="5600">
          <cell r="A5600">
            <v>31301518</v>
          </cell>
          <cell r="B5600" t="str">
            <v>Forjas de aleación de níquel maquinadas por anillo enrollado</v>
          </cell>
        </row>
        <row r="5601">
          <cell r="A5601">
            <v>31301519</v>
          </cell>
          <cell r="B5601" t="str">
            <v>Forjas no metálicos maquinadas por anillo enrollado</v>
          </cell>
        </row>
        <row r="5602">
          <cell r="A5602">
            <v>31311101</v>
          </cell>
          <cell r="B5602" t="str">
            <v>Ensambles de tubería soldada de solvente de aluminio</v>
          </cell>
        </row>
        <row r="5603">
          <cell r="A5603">
            <v>31311102</v>
          </cell>
          <cell r="B5603" t="str">
            <v>Ensambles de tubería soldada de solvente de acero de carbono</v>
          </cell>
        </row>
        <row r="5604">
          <cell r="A5604">
            <v>31311103</v>
          </cell>
          <cell r="B5604" t="str">
            <v>Ensambles de tubería soldada de solvente de aleación hast x</v>
          </cell>
        </row>
        <row r="5605">
          <cell r="A5605">
            <v>31311104</v>
          </cell>
          <cell r="B5605" t="str">
            <v>Ensambles de tubería soldada de solvente de inconel</v>
          </cell>
        </row>
        <row r="5606">
          <cell r="A5606">
            <v>31311105</v>
          </cell>
          <cell r="B5606" t="str">
            <v>Ensambles de tubería soldada de solvente de acero de aleación baja</v>
          </cell>
        </row>
        <row r="5607">
          <cell r="A5607">
            <v>31311106</v>
          </cell>
          <cell r="B5607" t="str">
            <v>Ensambles de tubería soldada de solvente no metálico</v>
          </cell>
        </row>
        <row r="5608">
          <cell r="A5608">
            <v>31311109</v>
          </cell>
          <cell r="B5608" t="str">
            <v>Ensambles de tubería soldada de solvente de acero inoxidable</v>
          </cell>
        </row>
        <row r="5609">
          <cell r="A5609">
            <v>31311110</v>
          </cell>
          <cell r="B5609" t="str">
            <v>Ensambles de tubería soldada de solvente de titanio</v>
          </cell>
        </row>
        <row r="5610">
          <cell r="A5610">
            <v>31311111</v>
          </cell>
          <cell r="B5610" t="str">
            <v>Ensambles de tubería soldada de solvente de aleación wasp</v>
          </cell>
        </row>
        <row r="5611">
          <cell r="A5611">
            <v>31311112</v>
          </cell>
          <cell r="B5611" t="str">
            <v>Ensambles de tubería soldada de solvente de cobre</v>
          </cell>
        </row>
        <row r="5612">
          <cell r="A5612">
            <v>31311113</v>
          </cell>
          <cell r="B5612" t="str">
            <v>Ensambles de tubería soldada de solvente de latón</v>
          </cell>
        </row>
        <row r="5613">
          <cell r="A5613">
            <v>31311201</v>
          </cell>
          <cell r="B5613" t="str">
            <v>Ensambles de tubería remachada de aluminio</v>
          </cell>
        </row>
        <row r="5614">
          <cell r="A5614">
            <v>31311202</v>
          </cell>
          <cell r="B5614" t="str">
            <v>Ensambles de tubería remachada de acero al carbono</v>
          </cell>
        </row>
        <row r="5615">
          <cell r="A5615">
            <v>31311203</v>
          </cell>
          <cell r="B5615" t="str">
            <v>Ensambles de tubería remachada de aleación hast x</v>
          </cell>
        </row>
        <row r="5616">
          <cell r="A5616">
            <v>31311204</v>
          </cell>
          <cell r="B5616" t="str">
            <v>Ensambles de tubería remachada de inconel</v>
          </cell>
        </row>
        <row r="5617">
          <cell r="A5617">
            <v>31311205</v>
          </cell>
          <cell r="B5617" t="str">
            <v>Ensambles de tubería remachada de acero de aleación baja</v>
          </cell>
        </row>
        <row r="5618">
          <cell r="A5618">
            <v>31311206</v>
          </cell>
          <cell r="B5618" t="str">
            <v>Ensambles de tubería remachada no metálica</v>
          </cell>
        </row>
        <row r="5619">
          <cell r="A5619">
            <v>31311209</v>
          </cell>
          <cell r="B5619" t="str">
            <v>Ensambles de tubería remachada de acero inoxidable</v>
          </cell>
        </row>
        <row r="5620">
          <cell r="A5620">
            <v>31311210</v>
          </cell>
          <cell r="B5620" t="str">
            <v>Ensambles de tubería remachada de titanio</v>
          </cell>
        </row>
        <row r="5621">
          <cell r="A5621">
            <v>31311211</v>
          </cell>
          <cell r="B5621" t="str">
            <v>Ensambles de tubería remachada de aleación wasp</v>
          </cell>
        </row>
        <row r="5622">
          <cell r="A5622">
            <v>31311212</v>
          </cell>
          <cell r="B5622" t="str">
            <v>Ensambles de tubería remachada de cobre</v>
          </cell>
        </row>
        <row r="5623">
          <cell r="A5623">
            <v>31311213</v>
          </cell>
          <cell r="B5623" t="str">
            <v>Ensambles de tubería remachada de latón</v>
          </cell>
        </row>
        <row r="5624">
          <cell r="A5624">
            <v>31311301</v>
          </cell>
          <cell r="B5624" t="str">
            <v>Ensambles de tubería atornillada de aluminio</v>
          </cell>
        </row>
        <row r="5625">
          <cell r="A5625">
            <v>31311302</v>
          </cell>
          <cell r="B5625" t="str">
            <v>Ensambles de tubería atornillada de acero al carbono</v>
          </cell>
        </row>
        <row r="5626">
          <cell r="A5626">
            <v>31311303</v>
          </cell>
          <cell r="B5626" t="str">
            <v>Ensambles de tubería atornillada de aleación hast x</v>
          </cell>
        </row>
        <row r="5627">
          <cell r="A5627">
            <v>31311304</v>
          </cell>
          <cell r="B5627" t="str">
            <v>Ensambles de tubería atornillada de inconel</v>
          </cell>
        </row>
        <row r="5628">
          <cell r="A5628">
            <v>31311305</v>
          </cell>
          <cell r="B5628" t="str">
            <v>Ensambles de tubería atornillada de acero de aleación baja</v>
          </cell>
        </row>
        <row r="5629">
          <cell r="A5629">
            <v>31311306</v>
          </cell>
          <cell r="B5629" t="str">
            <v>Ensambles de tubería atornillada no metálica</v>
          </cell>
        </row>
        <row r="5630">
          <cell r="A5630">
            <v>31311309</v>
          </cell>
          <cell r="B5630" t="str">
            <v>Ensambles de tubería atornillada de acero inoxidable</v>
          </cell>
        </row>
        <row r="5631">
          <cell r="A5631">
            <v>31311310</v>
          </cell>
          <cell r="B5631" t="str">
            <v>Ensambles de tubería atornillada de titanio</v>
          </cell>
        </row>
        <row r="5632">
          <cell r="A5632">
            <v>31311311</v>
          </cell>
          <cell r="B5632" t="str">
            <v>Ensambles de tubería atornillada de aleación wasp</v>
          </cell>
        </row>
        <row r="5633">
          <cell r="A5633">
            <v>31311312</v>
          </cell>
          <cell r="B5633" t="str">
            <v>Ensambles de tubería atornillada de cobre</v>
          </cell>
        </row>
        <row r="5634">
          <cell r="A5634">
            <v>31311313</v>
          </cell>
          <cell r="B5634" t="str">
            <v>Ensambles de tubería atornillada de latón</v>
          </cell>
        </row>
        <row r="5635">
          <cell r="A5635">
            <v>31311401</v>
          </cell>
          <cell r="B5635" t="str">
            <v>Ensambles de tubería soldada con ultra violeta de aluminio</v>
          </cell>
        </row>
        <row r="5636">
          <cell r="A5636">
            <v>31311402</v>
          </cell>
          <cell r="B5636" t="str">
            <v>Ensambles de tubería soldada con ultra violeta de acero al carbono</v>
          </cell>
        </row>
        <row r="5637">
          <cell r="A5637">
            <v>31311403</v>
          </cell>
          <cell r="B5637" t="str">
            <v>Ensambles de tubería soldada con ultra violeta de aleación hast x</v>
          </cell>
        </row>
        <row r="5638">
          <cell r="A5638">
            <v>31311404</v>
          </cell>
          <cell r="B5638" t="str">
            <v>Ensambles de tubería soldada con ultra violeta de inconel</v>
          </cell>
        </row>
        <row r="5639">
          <cell r="A5639">
            <v>31311405</v>
          </cell>
          <cell r="B5639" t="str">
            <v>Ensambles de tubería soldada con ultra violeta de acero de aleación baja</v>
          </cell>
        </row>
        <row r="5640">
          <cell r="A5640">
            <v>31311406</v>
          </cell>
          <cell r="B5640" t="str">
            <v>Ensambles de tubería soldada con ultra violeta no metálica</v>
          </cell>
        </row>
        <row r="5641">
          <cell r="A5641">
            <v>31311409</v>
          </cell>
          <cell r="B5641" t="str">
            <v>Ensambles de tubería soldada con ultra violeta de acero inoxidable</v>
          </cell>
        </row>
        <row r="5642">
          <cell r="A5642">
            <v>31311410</v>
          </cell>
          <cell r="B5642" t="str">
            <v>Ensambles de tubería soldada con ultra violeta de titanio</v>
          </cell>
        </row>
        <row r="5643">
          <cell r="A5643">
            <v>31311411</v>
          </cell>
          <cell r="B5643" t="str">
            <v>Ensambles de tubería soldada con ultra violeta de aleación wasp</v>
          </cell>
        </row>
        <row r="5644">
          <cell r="A5644">
            <v>31311412</v>
          </cell>
          <cell r="B5644" t="str">
            <v>Ensambles de tubería soldada con ultra violeta de cobre</v>
          </cell>
        </row>
        <row r="5645">
          <cell r="A5645">
            <v>31311413</v>
          </cell>
          <cell r="B5645" t="str">
            <v>Ensambles de tubería soldada con ultra violeta de latón</v>
          </cell>
        </row>
        <row r="5646">
          <cell r="A5646">
            <v>31311501</v>
          </cell>
          <cell r="B5646" t="str">
            <v>Ensambles de tubería con soldadura fuerte o débil de aluminio</v>
          </cell>
        </row>
        <row r="5647">
          <cell r="A5647">
            <v>31311502</v>
          </cell>
          <cell r="B5647" t="str">
            <v>Ensambles de tubería con soldadura fuerte o débil de acero al carbono</v>
          </cell>
        </row>
        <row r="5648">
          <cell r="A5648">
            <v>31311503</v>
          </cell>
          <cell r="B5648" t="str">
            <v>Ensambles de tubería con soldadura fuerte o débil de aleación hast x</v>
          </cell>
        </row>
        <row r="5649">
          <cell r="A5649">
            <v>31311504</v>
          </cell>
          <cell r="B5649" t="str">
            <v>Ensambles de tubería con soldadura fuerte o débil de inconel</v>
          </cell>
        </row>
        <row r="5650">
          <cell r="A5650">
            <v>31311505</v>
          </cell>
          <cell r="B5650" t="str">
            <v>Ensambles de tubería con soldadura fuerte o débil de acero de aleación baja</v>
          </cell>
        </row>
        <row r="5651">
          <cell r="A5651">
            <v>31311506</v>
          </cell>
          <cell r="B5651" t="str">
            <v>Ensambles de tubería con soldadura fuerte o débil no metálica</v>
          </cell>
        </row>
        <row r="5652">
          <cell r="A5652">
            <v>31311509</v>
          </cell>
          <cell r="B5652" t="str">
            <v>Ensambles de tubería con soldadura fuerte o débil de acero inoxidable</v>
          </cell>
        </row>
        <row r="5653">
          <cell r="A5653">
            <v>31311510</v>
          </cell>
          <cell r="B5653" t="str">
            <v>Ensambles de tubería con soldadura fuerte o débil de titanio</v>
          </cell>
        </row>
        <row r="5654">
          <cell r="A5654">
            <v>31311511</v>
          </cell>
          <cell r="B5654" t="str">
            <v>Ensambles de tubería con soldadura fuerte o débil de aleación wasp</v>
          </cell>
        </row>
        <row r="5655">
          <cell r="A5655">
            <v>31311512</v>
          </cell>
          <cell r="B5655" t="str">
            <v>Ensambles de tubería con soldadura fuerte o débil de cobre</v>
          </cell>
        </row>
        <row r="5656">
          <cell r="A5656">
            <v>31311513</v>
          </cell>
          <cell r="B5656" t="str">
            <v>Ensambles de tubería con soldadura fuerte o débil de latón</v>
          </cell>
        </row>
        <row r="5657">
          <cell r="A5657">
            <v>31311601</v>
          </cell>
          <cell r="B5657" t="str">
            <v>Ensambles de tubería con soldadura sónica de aluminio</v>
          </cell>
        </row>
        <row r="5658">
          <cell r="A5658">
            <v>31311602</v>
          </cell>
          <cell r="B5658" t="str">
            <v>Ensambles de tubería con soldadura sónica de acero al carbono</v>
          </cell>
        </row>
        <row r="5659">
          <cell r="A5659">
            <v>31311603</v>
          </cell>
          <cell r="B5659" t="str">
            <v>Ensambles de tubería con soldadura sónica de aleación hast x</v>
          </cell>
        </row>
        <row r="5660">
          <cell r="A5660">
            <v>31311604</v>
          </cell>
          <cell r="B5660" t="str">
            <v>Ensambles de tubería con soldadura sónica de inconel</v>
          </cell>
        </row>
        <row r="5661">
          <cell r="A5661">
            <v>31311605</v>
          </cell>
          <cell r="B5661" t="str">
            <v>Ensambles de tubería con soldadura sónica de acero de aleación baja</v>
          </cell>
        </row>
        <row r="5662">
          <cell r="A5662">
            <v>31311606</v>
          </cell>
          <cell r="B5662" t="str">
            <v>Ensambles de tubería con soldadura sónica no metálica</v>
          </cell>
        </row>
        <row r="5663">
          <cell r="A5663">
            <v>31311609</v>
          </cell>
          <cell r="B5663" t="str">
            <v>Ensambles de tubería con soldadura sónica de acero inoxidable</v>
          </cell>
        </row>
        <row r="5664">
          <cell r="A5664">
            <v>31311610</v>
          </cell>
          <cell r="B5664" t="str">
            <v>Ensambles de tubería con soldadura sónica de titanio</v>
          </cell>
        </row>
        <row r="5665">
          <cell r="A5665">
            <v>31311611</v>
          </cell>
          <cell r="B5665" t="str">
            <v>Ensambles de tubería con soldadura sónica de aleación wasp</v>
          </cell>
        </row>
        <row r="5666">
          <cell r="A5666">
            <v>31311612</v>
          </cell>
          <cell r="B5666" t="str">
            <v>Ensambles de tubería con soldadura sónica de cobre</v>
          </cell>
        </row>
        <row r="5667">
          <cell r="A5667">
            <v>31311613</v>
          </cell>
          <cell r="B5667" t="str">
            <v>Ensambles de tubería con soldadura sónica de latón</v>
          </cell>
        </row>
        <row r="5668">
          <cell r="A5668">
            <v>31311701</v>
          </cell>
          <cell r="B5668" t="str">
            <v>Ensambles de tubería pegada de aluminio</v>
          </cell>
        </row>
        <row r="5669">
          <cell r="A5669">
            <v>31311702</v>
          </cell>
          <cell r="B5669" t="str">
            <v>Ensambles de tubería pegada de acero al carbono</v>
          </cell>
        </row>
        <row r="5670">
          <cell r="A5670">
            <v>31311703</v>
          </cell>
          <cell r="B5670" t="str">
            <v>Ensambles de tubería pegada de aleación hast x</v>
          </cell>
        </row>
        <row r="5671">
          <cell r="A5671">
            <v>31311704</v>
          </cell>
          <cell r="B5671" t="str">
            <v>Ensambles de tubería pegada de inconel</v>
          </cell>
        </row>
        <row r="5672">
          <cell r="A5672">
            <v>31311705</v>
          </cell>
          <cell r="B5672" t="str">
            <v>Ensambles de tubería pegada de acero de aleación baja</v>
          </cell>
        </row>
        <row r="5673">
          <cell r="A5673">
            <v>31311706</v>
          </cell>
          <cell r="B5673" t="str">
            <v>Ensambles de tubería pegada no metálica</v>
          </cell>
        </row>
        <row r="5674">
          <cell r="A5674">
            <v>31311709</v>
          </cell>
          <cell r="B5674" t="str">
            <v>Ensambles de tubería pegada de acero inoxidable</v>
          </cell>
        </row>
        <row r="5675">
          <cell r="A5675">
            <v>31311710</v>
          </cell>
          <cell r="B5675" t="str">
            <v>Ensambles de tubería pegada de titanio</v>
          </cell>
        </row>
        <row r="5676">
          <cell r="A5676">
            <v>31311711</v>
          </cell>
          <cell r="B5676" t="str">
            <v>Ensambles de tubería pegada de aleación wasp</v>
          </cell>
        </row>
        <row r="5677">
          <cell r="A5677">
            <v>31311712</v>
          </cell>
          <cell r="B5677" t="str">
            <v>Ensambles de tubería pegada de cobre</v>
          </cell>
        </row>
        <row r="5678">
          <cell r="A5678">
            <v>31311713</v>
          </cell>
          <cell r="B5678" t="str">
            <v>Ensambles de tubería pegada de latón</v>
          </cell>
        </row>
        <row r="5679">
          <cell r="A5679">
            <v>31321101</v>
          </cell>
          <cell r="B5679" t="str">
            <v>Ensambles de barras pegadas de aluminio</v>
          </cell>
        </row>
        <row r="5680">
          <cell r="A5680">
            <v>31321102</v>
          </cell>
          <cell r="B5680" t="str">
            <v>Ensambles de barras pegadas de acero al carbono</v>
          </cell>
        </row>
        <row r="5681">
          <cell r="A5681">
            <v>31321103</v>
          </cell>
          <cell r="B5681" t="str">
            <v>Ensambles de barras pegadas de aleación hast x</v>
          </cell>
        </row>
        <row r="5682">
          <cell r="A5682">
            <v>31321104</v>
          </cell>
          <cell r="B5682" t="str">
            <v>Ensambles de barras pegadas de inconel</v>
          </cell>
        </row>
        <row r="5683">
          <cell r="A5683">
            <v>31321105</v>
          </cell>
          <cell r="B5683" t="str">
            <v>Ensambles de barras pegadas de acero de aleación baja</v>
          </cell>
        </row>
        <row r="5684">
          <cell r="A5684">
            <v>31321106</v>
          </cell>
          <cell r="B5684" t="str">
            <v>Ensambles de barras pegadas no metálica</v>
          </cell>
        </row>
        <row r="5685">
          <cell r="A5685">
            <v>31321109</v>
          </cell>
          <cell r="B5685" t="str">
            <v>Ensambles de barras pegadas de acero inoxidable</v>
          </cell>
        </row>
        <row r="5686">
          <cell r="A5686">
            <v>31321110</v>
          </cell>
          <cell r="B5686" t="str">
            <v>Ensambles de barras pegadas de titanio</v>
          </cell>
        </row>
        <row r="5687">
          <cell r="A5687">
            <v>31321111</v>
          </cell>
          <cell r="B5687" t="str">
            <v>Ensambles de barras pegadas de aleación wasp</v>
          </cell>
        </row>
        <row r="5688">
          <cell r="A5688">
            <v>31321112</v>
          </cell>
          <cell r="B5688" t="str">
            <v>Ensambles de barras pegadas de cobre</v>
          </cell>
        </row>
        <row r="5689">
          <cell r="A5689">
            <v>31321113</v>
          </cell>
          <cell r="B5689" t="str">
            <v>Ensambles de barras pegadas de latón</v>
          </cell>
        </row>
        <row r="5690">
          <cell r="A5690">
            <v>31321201</v>
          </cell>
          <cell r="B5690" t="str">
            <v>Ensambles de barras soldadas con solvente de aluminio</v>
          </cell>
        </row>
        <row r="5691">
          <cell r="A5691">
            <v>31321202</v>
          </cell>
          <cell r="B5691" t="str">
            <v>Ensambles de barras soldadas con solvente de acero al carbono</v>
          </cell>
        </row>
        <row r="5692">
          <cell r="A5692">
            <v>31321203</v>
          </cell>
          <cell r="B5692" t="str">
            <v>Ensambles de barras soldadas con solvente de aleación hast x</v>
          </cell>
        </row>
        <row r="5693">
          <cell r="A5693">
            <v>31321204</v>
          </cell>
          <cell r="B5693" t="str">
            <v>Ensambles de barras soldadas con solvente de inconel</v>
          </cell>
        </row>
        <row r="5694">
          <cell r="A5694">
            <v>31321205</v>
          </cell>
          <cell r="B5694" t="str">
            <v>Ensambles de barras soldadas con solvente de acero de aleación baja</v>
          </cell>
        </row>
        <row r="5695">
          <cell r="A5695">
            <v>31321206</v>
          </cell>
          <cell r="B5695" t="str">
            <v>Ensambles de barras soldadas con solvente no metálica</v>
          </cell>
        </row>
        <row r="5696">
          <cell r="A5696">
            <v>31321209</v>
          </cell>
          <cell r="B5696" t="str">
            <v>Ensambles de barras soldadas con solvente de acero inoxidable</v>
          </cell>
        </row>
        <row r="5697">
          <cell r="A5697">
            <v>31321210</v>
          </cell>
          <cell r="B5697" t="str">
            <v>Ensambles de barras soldadas con solvente de titanio</v>
          </cell>
        </row>
        <row r="5698">
          <cell r="A5698">
            <v>31321211</v>
          </cell>
          <cell r="B5698" t="str">
            <v>Ensambles de barras soldadas con solvente de aleación wasp</v>
          </cell>
        </row>
        <row r="5699">
          <cell r="A5699">
            <v>31321212</v>
          </cell>
          <cell r="B5699" t="str">
            <v>Ensambles de barras soldadas con solvente de cobre</v>
          </cell>
        </row>
        <row r="5700">
          <cell r="A5700">
            <v>31321213</v>
          </cell>
          <cell r="B5700" t="str">
            <v>Ensambles de barras soldadas con solvente de latón</v>
          </cell>
        </row>
        <row r="5701">
          <cell r="A5701">
            <v>31321301</v>
          </cell>
          <cell r="B5701" t="str">
            <v>Ensambles de barras remachadas de aluminio</v>
          </cell>
        </row>
        <row r="5702">
          <cell r="A5702">
            <v>31321302</v>
          </cell>
          <cell r="B5702" t="str">
            <v>Ensambles de barras remachadas de acero al carbono</v>
          </cell>
        </row>
        <row r="5703">
          <cell r="A5703">
            <v>31321303</v>
          </cell>
          <cell r="B5703" t="str">
            <v>Ensambles de barras remachadas de aleación hast x</v>
          </cell>
        </row>
        <row r="5704">
          <cell r="A5704">
            <v>31321304</v>
          </cell>
          <cell r="B5704" t="str">
            <v>Ensambles de barras remachadas de inconel</v>
          </cell>
        </row>
        <row r="5705">
          <cell r="A5705">
            <v>31321305</v>
          </cell>
          <cell r="B5705" t="str">
            <v>Ensambles de barras remachadas de acero de aleación baja</v>
          </cell>
        </row>
        <row r="5706">
          <cell r="A5706">
            <v>31321306</v>
          </cell>
          <cell r="B5706" t="str">
            <v>Ensambles de barras remachadas no metálica</v>
          </cell>
        </row>
        <row r="5707">
          <cell r="A5707">
            <v>31321309</v>
          </cell>
          <cell r="B5707" t="str">
            <v>Ensambles de barras remachadas de acero inoxidable</v>
          </cell>
        </row>
        <row r="5708">
          <cell r="A5708">
            <v>31321310</v>
          </cell>
          <cell r="B5708" t="str">
            <v>Ensambles de barras remachadas de titanio</v>
          </cell>
        </row>
        <row r="5709">
          <cell r="A5709">
            <v>31321311</v>
          </cell>
          <cell r="B5709" t="str">
            <v>Ensambles de barras remachadas de aleación wasp</v>
          </cell>
        </row>
        <row r="5710">
          <cell r="A5710">
            <v>31321312</v>
          </cell>
          <cell r="B5710" t="str">
            <v>Ensambles de barras remachadas de cobre</v>
          </cell>
        </row>
        <row r="5711">
          <cell r="A5711">
            <v>31321313</v>
          </cell>
          <cell r="B5711" t="str">
            <v>Ensambles de barras remachadas de latón</v>
          </cell>
        </row>
        <row r="5712">
          <cell r="A5712">
            <v>31321401</v>
          </cell>
          <cell r="B5712" t="str">
            <v>Ensambles de barras soldadas con soldadura fuerte o débil de aluminio</v>
          </cell>
        </row>
        <row r="5713">
          <cell r="A5713">
            <v>31321402</v>
          </cell>
          <cell r="B5713" t="str">
            <v>Ensambles de barras soldadas con soldadura fuerte o débil de acero al carbono</v>
          </cell>
        </row>
        <row r="5714">
          <cell r="A5714">
            <v>31321403</v>
          </cell>
          <cell r="B5714" t="str">
            <v>Ensambles de barras soldadas con soldadura fuerte o débil de aleación hast x</v>
          </cell>
        </row>
        <row r="5715">
          <cell r="A5715">
            <v>31321404</v>
          </cell>
          <cell r="B5715" t="str">
            <v>Ensambles de barras soldadas con soldadura fuerte o débil de inconel</v>
          </cell>
        </row>
        <row r="5716">
          <cell r="A5716">
            <v>31321405</v>
          </cell>
          <cell r="B5716" t="str">
            <v>Ensambles de barras soldadas con soldadura fuerte o débil de acero de aleación baja</v>
          </cell>
        </row>
        <row r="5717">
          <cell r="A5717">
            <v>31321406</v>
          </cell>
          <cell r="B5717" t="str">
            <v>Ensambles de barras soldadas con soldadura fuerte o débil no metálica</v>
          </cell>
        </row>
        <row r="5718">
          <cell r="A5718">
            <v>31321409</v>
          </cell>
          <cell r="B5718" t="str">
            <v>Ensambles de barras soldadas con soldadura fuerte o débil de acero inoxidable</v>
          </cell>
        </row>
        <row r="5719">
          <cell r="A5719">
            <v>31321410</v>
          </cell>
          <cell r="B5719" t="str">
            <v>Ensambles de barras soldadas con soldadura fuerte o débil de titanio</v>
          </cell>
        </row>
        <row r="5720">
          <cell r="A5720">
            <v>31321411</v>
          </cell>
          <cell r="B5720" t="str">
            <v>Ensambles de barras soldadas con soldadura fuerte o débil de aleación wasp</v>
          </cell>
        </row>
        <row r="5721">
          <cell r="A5721">
            <v>31321412</v>
          </cell>
          <cell r="B5721" t="str">
            <v>Ensambles de barras soldadas con soldadura fuerte o débil de cobre</v>
          </cell>
        </row>
        <row r="5722">
          <cell r="A5722">
            <v>31321413</v>
          </cell>
          <cell r="B5722" t="str">
            <v>Ensambles de barras soldadas con soldadura fuerte o débil de latón</v>
          </cell>
        </row>
        <row r="5723">
          <cell r="A5723">
            <v>31321501</v>
          </cell>
          <cell r="B5723" t="str">
            <v>Ensambles de barras soldadas con soldadura ultra violeta de aluminio</v>
          </cell>
        </row>
        <row r="5724">
          <cell r="A5724">
            <v>31321502</v>
          </cell>
          <cell r="B5724" t="str">
            <v>Ensambles de barras soldadas con soldadura ultra violeta de acero al carbono</v>
          </cell>
        </row>
        <row r="5725">
          <cell r="A5725">
            <v>31321503</v>
          </cell>
          <cell r="B5725" t="str">
            <v>Ensambles de barras soldadas con soldadura ultra violeta de aleación hast x</v>
          </cell>
        </row>
        <row r="5726">
          <cell r="A5726">
            <v>31321504</v>
          </cell>
          <cell r="B5726" t="str">
            <v>Ensambles de barras soldadas con soldadura ultra violeta de inconel</v>
          </cell>
        </row>
        <row r="5727">
          <cell r="A5727">
            <v>31321505</v>
          </cell>
          <cell r="B5727" t="str">
            <v>Ensambles de barras soldadas con soldadura ultra violeta de acero de aleación baja</v>
          </cell>
        </row>
        <row r="5728">
          <cell r="A5728">
            <v>31321506</v>
          </cell>
          <cell r="B5728" t="str">
            <v>Ensambles de barras soldadas con soldadura ultra violeta no metálica</v>
          </cell>
        </row>
        <row r="5729">
          <cell r="A5729">
            <v>31321509</v>
          </cell>
          <cell r="B5729" t="str">
            <v>Ensambles de barras soldadas con soldadura ultra violeta de acero inoxidable</v>
          </cell>
        </row>
        <row r="5730">
          <cell r="A5730">
            <v>31321510</v>
          </cell>
          <cell r="B5730" t="str">
            <v>Ensambles de barras soldadas con soldadura ultra violeta de titanio</v>
          </cell>
        </row>
        <row r="5731">
          <cell r="A5731">
            <v>31321511</v>
          </cell>
          <cell r="B5731" t="str">
            <v>Ensambles de barras soldadas con soldadura ultra violeta de aleación wasp</v>
          </cell>
        </row>
        <row r="5732">
          <cell r="A5732">
            <v>31321512</v>
          </cell>
          <cell r="B5732" t="str">
            <v>Ensambles de barras soldadas con soldadura ultra violeta de cobre</v>
          </cell>
        </row>
        <row r="5733">
          <cell r="A5733">
            <v>31321513</v>
          </cell>
          <cell r="B5733" t="str">
            <v>Ensambles de barras soldadas con soldadura ultra violeta de latón</v>
          </cell>
        </row>
        <row r="5734">
          <cell r="A5734">
            <v>31321601</v>
          </cell>
          <cell r="B5734" t="str">
            <v>Ensambles de barras soldadas con soldadura sónica de aluminio</v>
          </cell>
        </row>
        <row r="5735">
          <cell r="A5735">
            <v>31321602</v>
          </cell>
          <cell r="B5735" t="str">
            <v>Ensambles de barras soldadas con soldadura sónica de acero al carbono</v>
          </cell>
        </row>
        <row r="5736">
          <cell r="A5736">
            <v>31321603</v>
          </cell>
          <cell r="B5736" t="str">
            <v>Ensambles de barras soldadas con soldadura sónica de aleación hast x</v>
          </cell>
        </row>
        <row r="5737">
          <cell r="A5737">
            <v>31321604</v>
          </cell>
          <cell r="B5737" t="str">
            <v>Ensambles de barras soldadas con soldadura sónica de inconel</v>
          </cell>
        </row>
        <row r="5738">
          <cell r="A5738">
            <v>31321605</v>
          </cell>
          <cell r="B5738" t="str">
            <v>Ensambles de barras soldadas con soldadura sónica de acero de aleación baja</v>
          </cell>
        </row>
        <row r="5739">
          <cell r="A5739">
            <v>31321606</v>
          </cell>
          <cell r="B5739" t="str">
            <v>Ensambles de barras soldadas con soldadura sónica no metálica</v>
          </cell>
        </row>
        <row r="5740">
          <cell r="A5740">
            <v>31321609</v>
          </cell>
          <cell r="B5740" t="str">
            <v>Ensambles de barras soldadas con soldadura sónica de acero inoxidable</v>
          </cell>
        </row>
        <row r="5741">
          <cell r="A5741">
            <v>31321610</v>
          </cell>
          <cell r="B5741" t="str">
            <v>Ensambles de barras soldadas con soldadura sónica de titanio</v>
          </cell>
        </row>
        <row r="5742">
          <cell r="A5742">
            <v>31321611</v>
          </cell>
          <cell r="B5742" t="str">
            <v>Ensambles de barras soldadas con soldadura sónica de aleación wasp</v>
          </cell>
        </row>
        <row r="5743">
          <cell r="A5743">
            <v>31321612</v>
          </cell>
          <cell r="B5743" t="str">
            <v>Ensambles de barras soldadas con soldadura sónica de cobre</v>
          </cell>
        </row>
        <row r="5744">
          <cell r="A5744">
            <v>31321613</v>
          </cell>
          <cell r="B5744" t="str">
            <v>Ensambles de barras soldadas con soldadura sónica de latón</v>
          </cell>
        </row>
        <row r="5745">
          <cell r="A5745">
            <v>31321701</v>
          </cell>
          <cell r="B5745" t="str">
            <v>Ensambles de barras atornilladas de aluminio</v>
          </cell>
        </row>
        <row r="5746">
          <cell r="A5746">
            <v>31321702</v>
          </cell>
          <cell r="B5746" t="str">
            <v>Ensambles de barras atornilladas de acero al carbono</v>
          </cell>
        </row>
        <row r="5747">
          <cell r="A5747">
            <v>31321703</v>
          </cell>
          <cell r="B5747" t="str">
            <v>Ensambles de barras atornilladas de aleación hast x</v>
          </cell>
        </row>
        <row r="5748">
          <cell r="A5748">
            <v>31321704</v>
          </cell>
          <cell r="B5748" t="str">
            <v>Ensambles de barras atornilladas de inconel</v>
          </cell>
        </row>
        <row r="5749">
          <cell r="A5749">
            <v>31321705</v>
          </cell>
          <cell r="B5749" t="str">
            <v>Ensambles de barras atornilladas de acero de aleación baja</v>
          </cell>
        </row>
        <row r="5750">
          <cell r="A5750">
            <v>31321706</v>
          </cell>
          <cell r="B5750" t="str">
            <v>Ensambles de barras atornilladas no metálica</v>
          </cell>
        </row>
        <row r="5751">
          <cell r="A5751">
            <v>31321709</v>
          </cell>
          <cell r="B5751" t="str">
            <v>Ensambles de barras atornilladas de acero inoxidable</v>
          </cell>
        </row>
        <row r="5752">
          <cell r="A5752">
            <v>31321710</v>
          </cell>
          <cell r="B5752" t="str">
            <v>Ensambles de barras atornilladas de titanio</v>
          </cell>
        </row>
        <row r="5753">
          <cell r="A5753">
            <v>31321711</v>
          </cell>
          <cell r="B5753" t="str">
            <v>Ensambles de barras atornilladas de aleación wasp</v>
          </cell>
        </row>
        <row r="5754">
          <cell r="A5754">
            <v>31321712</v>
          </cell>
          <cell r="B5754" t="str">
            <v>Ensambles de barras atornilladas de cobre</v>
          </cell>
        </row>
        <row r="5755">
          <cell r="A5755">
            <v>31321713</v>
          </cell>
          <cell r="B5755" t="str">
            <v>Ensambles de barras atornilladas de latón</v>
          </cell>
        </row>
        <row r="5756">
          <cell r="A5756">
            <v>31331101</v>
          </cell>
          <cell r="B5756" t="str">
            <v>Ensambles estructurales pegados de aluminio</v>
          </cell>
        </row>
        <row r="5757">
          <cell r="A5757">
            <v>31331102</v>
          </cell>
          <cell r="B5757" t="str">
            <v>Ensambles estructurales pegados de acero al carbono</v>
          </cell>
        </row>
        <row r="5758">
          <cell r="A5758">
            <v>31331103</v>
          </cell>
          <cell r="B5758" t="str">
            <v>Ensambles estructurales pegados de aleación hast x</v>
          </cell>
        </row>
        <row r="5759">
          <cell r="A5759">
            <v>31331104</v>
          </cell>
          <cell r="B5759" t="str">
            <v>Ensambles estructurales pegados de inconel</v>
          </cell>
        </row>
        <row r="5760">
          <cell r="A5760">
            <v>31331105</v>
          </cell>
          <cell r="B5760" t="str">
            <v>Ensambles estructurales pegados de acero de aleación baja</v>
          </cell>
        </row>
        <row r="5761">
          <cell r="A5761">
            <v>31331106</v>
          </cell>
          <cell r="B5761" t="str">
            <v>Ensambles estructurales pegados no metálica</v>
          </cell>
        </row>
        <row r="5762">
          <cell r="A5762">
            <v>31331109</v>
          </cell>
          <cell r="B5762" t="str">
            <v>Ensambles estructurales pegados de acero inoxidable</v>
          </cell>
        </row>
        <row r="5763">
          <cell r="A5763">
            <v>31331110</v>
          </cell>
          <cell r="B5763" t="str">
            <v>Ensambles estructurales pegados de titanio</v>
          </cell>
        </row>
        <row r="5764">
          <cell r="A5764">
            <v>31331111</v>
          </cell>
          <cell r="B5764" t="str">
            <v>Ensambles estructurales pegados de aleación wasp</v>
          </cell>
        </row>
        <row r="5765">
          <cell r="A5765">
            <v>31331112</v>
          </cell>
          <cell r="B5765" t="str">
            <v>Ensambles estructurales pegados de cobre</v>
          </cell>
        </row>
        <row r="5766">
          <cell r="A5766">
            <v>31331113</v>
          </cell>
          <cell r="B5766" t="str">
            <v>Ensambles estructurales pegados de latón</v>
          </cell>
        </row>
        <row r="5767">
          <cell r="A5767">
            <v>31331201</v>
          </cell>
          <cell r="B5767" t="str">
            <v>Ensambles estructurales atornillados de aluminio</v>
          </cell>
        </row>
        <row r="5768">
          <cell r="A5768">
            <v>31331202</v>
          </cell>
          <cell r="B5768" t="str">
            <v>Ensambles estructurales atornillados de acero al carbono</v>
          </cell>
        </row>
        <row r="5769">
          <cell r="A5769">
            <v>31331203</v>
          </cell>
          <cell r="B5769" t="str">
            <v>Ensambles estructurales atornillados de aleación hast x</v>
          </cell>
        </row>
        <row r="5770">
          <cell r="A5770">
            <v>31331204</v>
          </cell>
          <cell r="B5770" t="str">
            <v>Ensambles estructurales atornillados de inconel</v>
          </cell>
        </row>
        <row r="5771">
          <cell r="A5771">
            <v>31331205</v>
          </cell>
          <cell r="B5771" t="str">
            <v>Ensambles estructurales atornillados de acero de aleación baja</v>
          </cell>
        </row>
        <row r="5772">
          <cell r="A5772">
            <v>31331206</v>
          </cell>
          <cell r="B5772" t="str">
            <v>Ensambles estructurales atornillados no metálica</v>
          </cell>
        </row>
        <row r="5773">
          <cell r="A5773">
            <v>31331209</v>
          </cell>
          <cell r="B5773" t="str">
            <v>Ensambles estructurales atornillados de acero inoxidable</v>
          </cell>
        </row>
        <row r="5774">
          <cell r="A5774">
            <v>31331210</v>
          </cell>
          <cell r="B5774" t="str">
            <v>Ensambles estructurales atornillados de titanio</v>
          </cell>
        </row>
        <row r="5775">
          <cell r="A5775">
            <v>31331211</v>
          </cell>
          <cell r="B5775" t="str">
            <v>Ensambles estructurales atornillados de aleación wasp</v>
          </cell>
        </row>
        <row r="5776">
          <cell r="A5776">
            <v>31331212</v>
          </cell>
          <cell r="B5776" t="str">
            <v>Ensambles estructurales atornillados de cobre</v>
          </cell>
        </row>
        <row r="5777">
          <cell r="A5777">
            <v>31331213</v>
          </cell>
          <cell r="B5777" t="str">
            <v>Ensambles estructurales atornillados de latón</v>
          </cell>
        </row>
        <row r="5778">
          <cell r="A5778">
            <v>31331301</v>
          </cell>
          <cell r="B5778" t="str">
            <v>Ensambles estructurales con soldadura sónica de aluminio</v>
          </cell>
        </row>
        <row r="5779">
          <cell r="A5779">
            <v>31331302</v>
          </cell>
          <cell r="B5779" t="str">
            <v>Ensambles estructurales con soldadura sónica de acero al carbono</v>
          </cell>
        </row>
        <row r="5780">
          <cell r="A5780">
            <v>31331303</v>
          </cell>
          <cell r="B5780" t="str">
            <v>Ensambles estructurales con soldadura sónica de aleación hast x</v>
          </cell>
        </row>
        <row r="5781">
          <cell r="A5781">
            <v>31331304</v>
          </cell>
          <cell r="B5781" t="str">
            <v>Ensambles estructurales con soldadura sónica de inconel</v>
          </cell>
        </row>
        <row r="5782">
          <cell r="A5782">
            <v>31331305</v>
          </cell>
          <cell r="B5782" t="str">
            <v>Ensambles estructurales con soldadura sónica de acero de aleación baja</v>
          </cell>
        </row>
        <row r="5783">
          <cell r="A5783">
            <v>31331306</v>
          </cell>
          <cell r="B5783" t="str">
            <v>Ensambles estructurales con soldadura sónica no metálica</v>
          </cell>
        </row>
        <row r="5784">
          <cell r="A5784">
            <v>31331309</v>
          </cell>
          <cell r="B5784" t="str">
            <v>Ensambles estructurales con soldadura sónica de acero inoxidable</v>
          </cell>
        </row>
        <row r="5785">
          <cell r="A5785">
            <v>31331310</v>
          </cell>
          <cell r="B5785" t="str">
            <v>Ensambles estructurales con soldadura sónica de titanio</v>
          </cell>
        </row>
        <row r="5786">
          <cell r="A5786">
            <v>31331311</v>
          </cell>
          <cell r="B5786" t="str">
            <v>Ensambles estructurales con soldadura sónica de aleación wasp</v>
          </cell>
        </row>
        <row r="5787">
          <cell r="A5787">
            <v>31331312</v>
          </cell>
          <cell r="B5787" t="str">
            <v>Ensambles estructurales con soldadura sónica de cobre</v>
          </cell>
        </row>
        <row r="5788">
          <cell r="A5788">
            <v>31331313</v>
          </cell>
          <cell r="B5788" t="str">
            <v>Ensambles estructurales con soldadura sónica de latón</v>
          </cell>
        </row>
        <row r="5789">
          <cell r="A5789">
            <v>31331401</v>
          </cell>
          <cell r="B5789" t="str">
            <v>Ensambles estructurales con soldadura ultra violeta de aluminio</v>
          </cell>
        </row>
        <row r="5790">
          <cell r="A5790">
            <v>31331402</v>
          </cell>
          <cell r="B5790" t="str">
            <v>Ensambles estructurales con soldadura ultra violeta de acero al carbono</v>
          </cell>
        </row>
        <row r="5791">
          <cell r="A5791">
            <v>31331403</v>
          </cell>
          <cell r="B5791" t="str">
            <v>Ensambles estructurales con soldadura ultra violeta de aleación hast x</v>
          </cell>
        </row>
        <row r="5792">
          <cell r="A5792">
            <v>31331404</v>
          </cell>
          <cell r="B5792" t="str">
            <v>Ensambles estructurales con soldadura ultra violeta de inconel</v>
          </cell>
        </row>
        <row r="5793">
          <cell r="A5793">
            <v>31331405</v>
          </cell>
          <cell r="B5793" t="str">
            <v>Ensambles estructurales con soldadura ultra violeta de acero de aleación baja</v>
          </cell>
        </row>
        <row r="5794">
          <cell r="A5794">
            <v>31331406</v>
          </cell>
          <cell r="B5794" t="str">
            <v>Ensambles estructurales con soldadura ultra violeta no metálica</v>
          </cell>
        </row>
        <row r="5795">
          <cell r="A5795">
            <v>31331409</v>
          </cell>
          <cell r="B5795" t="str">
            <v>Ensambles estructurales con soldadura ultra violeta de acero inoxidable</v>
          </cell>
        </row>
        <row r="5796">
          <cell r="A5796">
            <v>31331410</v>
          </cell>
          <cell r="B5796" t="str">
            <v>Ensambles estructurales con soldadura ultra violeta de titanio</v>
          </cell>
        </row>
        <row r="5797">
          <cell r="A5797">
            <v>31331411</v>
          </cell>
          <cell r="B5797" t="str">
            <v>Ensambles estructurales con soldadura ultra violeta de aleación wasp</v>
          </cell>
        </row>
        <row r="5798">
          <cell r="A5798">
            <v>31331412</v>
          </cell>
          <cell r="B5798" t="str">
            <v>Ensambles estructurales con soldadura ultra violeta de cobre</v>
          </cell>
        </row>
        <row r="5799">
          <cell r="A5799">
            <v>31331413</v>
          </cell>
          <cell r="B5799" t="str">
            <v>Ensambles estructurales con soldadura ultra violeta de latón</v>
          </cell>
        </row>
        <row r="5800">
          <cell r="A5800">
            <v>31331501</v>
          </cell>
          <cell r="B5800" t="str">
            <v>Ensambles estructurales con soldadura de solvente de aluminio</v>
          </cell>
        </row>
        <row r="5801">
          <cell r="A5801">
            <v>31331502</v>
          </cell>
          <cell r="B5801" t="str">
            <v>Ensambles estructurales con soldadura de solvente de acero al carbono</v>
          </cell>
        </row>
        <row r="5802">
          <cell r="A5802">
            <v>31331503</v>
          </cell>
          <cell r="B5802" t="str">
            <v>Ensambles estructurales con soldadura de solvente de aleación hast x</v>
          </cell>
        </row>
        <row r="5803">
          <cell r="A5803">
            <v>31331504</v>
          </cell>
          <cell r="B5803" t="str">
            <v>Ensambles estructurales con soldadura de solvente de inconel</v>
          </cell>
        </row>
        <row r="5804">
          <cell r="A5804">
            <v>31331505</v>
          </cell>
          <cell r="B5804" t="str">
            <v>Ensambles estructurales con soldadura de solvente de acero de aleación baja</v>
          </cell>
        </row>
        <row r="5805">
          <cell r="A5805">
            <v>31331506</v>
          </cell>
          <cell r="B5805" t="str">
            <v>Ensambles estructurales con soldadura de solvente no metálica</v>
          </cell>
        </row>
        <row r="5806">
          <cell r="A5806">
            <v>31331509</v>
          </cell>
          <cell r="B5806" t="str">
            <v>Ensambles estructurales con soldadura de solvente de acero inoxidable</v>
          </cell>
        </row>
        <row r="5807">
          <cell r="A5807">
            <v>31331510</v>
          </cell>
          <cell r="B5807" t="str">
            <v>Ensambles estructurales con soldadura de solvente de titanio</v>
          </cell>
        </row>
        <row r="5808">
          <cell r="A5808">
            <v>31331511</v>
          </cell>
          <cell r="B5808" t="str">
            <v>Ensambles estructurales con soldadura de solvente de aleación wasp</v>
          </cell>
        </row>
        <row r="5809">
          <cell r="A5809">
            <v>31331512</v>
          </cell>
          <cell r="B5809" t="str">
            <v>Ensambles estructurales con soldadura de solvente de cobre</v>
          </cell>
        </row>
        <row r="5810">
          <cell r="A5810">
            <v>31331513</v>
          </cell>
          <cell r="B5810" t="str">
            <v>Ensambles estructurales con soldadura de solvente de latón</v>
          </cell>
        </row>
        <row r="5811">
          <cell r="A5811">
            <v>31331601</v>
          </cell>
          <cell r="B5811" t="str">
            <v>Ensambles estructurales con soldadura de fuerte o débil de aluminio</v>
          </cell>
        </row>
        <row r="5812">
          <cell r="A5812">
            <v>31331602</v>
          </cell>
          <cell r="B5812" t="str">
            <v>Ensambles estructurales con soldadura de fuerte o débil de acero al carbono</v>
          </cell>
        </row>
        <row r="5813">
          <cell r="A5813">
            <v>31331603</v>
          </cell>
          <cell r="B5813" t="str">
            <v>Ensambles estructurales con soldadura de fuerte o débil de aleación hast x</v>
          </cell>
        </row>
        <row r="5814">
          <cell r="A5814">
            <v>31331604</v>
          </cell>
          <cell r="B5814" t="str">
            <v>Ensambles estructurales con soldadura de fuerte o débil de inconel</v>
          </cell>
        </row>
        <row r="5815">
          <cell r="A5815">
            <v>31331605</v>
          </cell>
          <cell r="B5815" t="str">
            <v>Ensambles estructurales con soldadura de fuerte o débil de acero de aleación baja</v>
          </cell>
        </row>
        <row r="5816">
          <cell r="A5816">
            <v>31331606</v>
          </cell>
          <cell r="B5816" t="str">
            <v>Ensambles estructurales con soldadura de fuerte o débil no metálica</v>
          </cell>
        </row>
        <row r="5817">
          <cell r="A5817">
            <v>31331609</v>
          </cell>
          <cell r="B5817" t="str">
            <v>Ensambles estructurales con soldadura de fuerte o débil de acero inoxidable</v>
          </cell>
        </row>
        <row r="5818">
          <cell r="A5818">
            <v>31331610</v>
          </cell>
          <cell r="B5818" t="str">
            <v>Ensambles estructurales con soldadura de fuerte o débil de titanio</v>
          </cell>
        </row>
        <row r="5819">
          <cell r="A5819">
            <v>31331611</v>
          </cell>
          <cell r="B5819" t="str">
            <v>Ensambles estructurales con soldadura de fuerte o débil de aleación wasp</v>
          </cell>
        </row>
        <row r="5820">
          <cell r="A5820">
            <v>31331612</v>
          </cell>
          <cell r="B5820" t="str">
            <v>Ensambles estructurales con soldadura de fuerte o débil de cobre</v>
          </cell>
        </row>
        <row r="5821">
          <cell r="A5821">
            <v>31331613</v>
          </cell>
          <cell r="B5821" t="str">
            <v>Ensambles estructurales con soldadura de fuerte o débil de latón</v>
          </cell>
        </row>
        <row r="5822">
          <cell r="A5822">
            <v>31331701</v>
          </cell>
          <cell r="B5822" t="str">
            <v>Ensambles estructurales remachados de aluminio</v>
          </cell>
        </row>
        <row r="5823">
          <cell r="A5823">
            <v>31331702</v>
          </cell>
          <cell r="B5823" t="str">
            <v>Ensambles estructurales remachados de acero al carbono</v>
          </cell>
        </row>
        <row r="5824">
          <cell r="A5824">
            <v>31331703</v>
          </cell>
          <cell r="B5824" t="str">
            <v>Ensambles estructurales remachados de aleación hast x</v>
          </cell>
        </row>
        <row r="5825">
          <cell r="A5825">
            <v>31331704</v>
          </cell>
          <cell r="B5825" t="str">
            <v>Ensambles estructurales remachados de inconel</v>
          </cell>
        </row>
        <row r="5826">
          <cell r="A5826">
            <v>31331705</v>
          </cell>
          <cell r="B5826" t="str">
            <v>Ensambles estructurales remachados de acero de aleación baja</v>
          </cell>
        </row>
        <row r="5827">
          <cell r="A5827">
            <v>31331706</v>
          </cell>
          <cell r="B5827" t="str">
            <v>Ensambles estructurales remachados no metálica</v>
          </cell>
        </row>
        <row r="5828">
          <cell r="A5828">
            <v>31331709</v>
          </cell>
          <cell r="B5828" t="str">
            <v>Ensambles estructurales remachados de acero inoxidable</v>
          </cell>
        </row>
        <row r="5829">
          <cell r="A5829">
            <v>31331710</v>
          </cell>
          <cell r="B5829" t="str">
            <v>Ensambles estructurales remachados de titanio</v>
          </cell>
        </row>
        <row r="5830">
          <cell r="A5830">
            <v>31331711</v>
          </cell>
          <cell r="B5830" t="str">
            <v>Ensambles estructurales remachados de aleación wasp</v>
          </cell>
        </row>
        <row r="5831">
          <cell r="A5831">
            <v>31331712</v>
          </cell>
          <cell r="B5831" t="str">
            <v>Ensambles estructurales remachados de cobre</v>
          </cell>
        </row>
        <row r="5832">
          <cell r="A5832">
            <v>31331713</v>
          </cell>
          <cell r="B5832" t="str">
            <v>Ensambles estructurales remachados de latón</v>
          </cell>
        </row>
        <row r="5833">
          <cell r="A5833">
            <v>31341101</v>
          </cell>
          <cell r="B5833" t="str">
            <v>Ensambles de láminas soldadas con soldadura fuerte o débil de aluminio</v>
          </cell>
        </row>
        <row r="5834">
          <cell r="A5834">
            <v>31341102</v>
          </cell>
          <cell r="B5834" t="str">
            <v>Ensambles de láminas soldadas con soldadura fuerte o débil de acero al carbono</v>
          </cell>
        </row>
        <row r="5835">
          <cell r="A5835">
            <v>31341103</v>
          </cell>
          <cell r="B5835" t="str">
            <v>Ensambles de láminas soldadas con soldadura fuerte o débil de aleación hast x</v>
          </cell>
        </row>
        <row r="5836">
          <cell r="A5836">
            <v>31341104</v>
          </cell>
          <cell r="B5836" t="str">
            <v>Ensambles de láminas soldadas con soldadura fuerte o débil de inconel</v>
          </cell>
        </row>
        <row r="5837">
          <cell r="A5837">
            <v>31341105</v>
          </cell>
          <cell r="B5837" t="str">
            <v>Ensambles de láminas soldadas con soldadura fuerte o débil de acero de aleación baja</v>
          </cell>
        </row>
        <row r="5838">
          <cell r="A5838">
            <v>31341106</v>
          </cell>
          <cell r="B5838" t="str">
            <v>Ensambles de láminas soldadas con soldadura fuerte o débil no metálica</v>
          </cell>
        </row>
        <row r="5839">
          <cell r="A5839">
            <v>31341109</v>
          </cell>
          <cell r="B5839" t="str">
            <v>Ensambles de láminas soldadas con soldadura fuerte o débil de acero inoxidable</v>
          </cell>
        </row>
        <row r="5840">
          <cell r="A5840">
            <v>31341110</v>
          </cell>
          <cell r="B5840" t="str">
            <v>Ensambles de láminas soldadas con soldadura fuerte o débil de titanio</v>
          </cell>
        </row>
        <row r="5841">
          <cell r="A5841">
            <v>31341111</v>
          </cell>
          <cell r="B5841" t="str">
            <v>Ensambles de láminas soldadas con soldadura fuerte o débil de aleación wasp</v>
          </cell>
        </row>
        <row r="5842">
          <cell r="A5842">
            <v>31341112</v>
          </cell>
          <cell r="B5842" t="str">
            <v>Ensambles de láminas soldadas con soldadura fuerte o débil de cobre</v>
          </cell>
        </row>
        <row r="5843">
          <cell r="A5843">
            <v>31341113</v>
          </cell>
          <cell r="B5843" t="str">
            <v>Ensambles de láminas soldadas con soldadura fuerte o débil de latón</v>
          </cell>
        </row>
        <row r="5844">
          <cell r="A5844">
            <v>31341201</v>
          </cell>
          <cell r="B5844" t="str">
            <v>Ensambles de láminas remachadas de aluminio</v>
          </cell>
        </row>
        <row r="5845">
          <cell r="A5845">
            <v>31341202</v>
          </cell>
          <cell r="B5845" t="str">
            <v>Ensambles de láminas remachadas de acero al carbono</v>
          </cell>
        </row>
        <row r="5846">
          <cell r="A5846">
            <v>31341203</v>
          </cell>
          <cell r="B5846" t="str">
            <v>Ensambles de láminas remachadas de aleación hast x</v>
          </cell>
        </row>
        <row r="5847">
          <cell r="A5847">
            <v>31341204</v>
          </cell>
          <cell r="B5847" t="str">
            <v>Ensambles de láminas remachadas de inconel</v>
          </cell>
        </row>
        <row r="5848">
          <cell r="A5848">
            <v>31341205</v>
          </cell>
          <cell r="B5848" t="str">
            <v>Ensambles de láminas remachadas de acero de aleación baja</v>
          </cell>
        </row>
        <row r="5849">
          <cell r="A5849">
            <v>31341206</v>
          </cell>
          <cell r="B5849" t="str">
            <v>Ensambles de láminas remachadas no metálica</v>
          </cell>
        </row>
        <row r="5850">
          <cell r="A5850">
            <v>31341209</v>
          </cell>
          <cell r="B5850" t="str">
            <v>Ensambles de láminas remachadas de acero inoxidable</v>
          </cell>
        </row>
        <row r="5851">
          <cell r="A5851">
            <v>31341210</v>
          </cell>
          <cell r="B5851" t="str">
            <v>Ensambles de láminas remachadas de titanio</v>
          </cell>
        </row>
        <row r="5852">
          <cell r="A5852">
            <v>31341211</v>
          </cell>
          <cell r="B5852" t="str">
            <v>Ensambles de láminas remachadas de aleación wasp</v>
          </cell>
        </row>
        <row r="5853">
          <cell r="A5853">
            <v>31341212</v>
          </cell>
          <cell r="B5853" t="str">
            <v>Ensambles de láminas remachadas de cobre</v>
          </cell>
        </row>
        <row r="5854">
          <cell r="A5854">
            <v>31341213</v>
          </cell>
          <cell r="B5854" t="str">
            <v>Ensambles de láminas remachadas de latón</v>
          </cell>
        </row>
        <row r="5855">
          <cell r="A5855">
            <v>31341301</v>
          </cell>
          <cell r="B5855" t="str">
            <v>Ensambles de láminas soldadas con soldadura ultra violeta de aluminio</v>
          </cell>
        </row>
        <row r="5856">
          <cell r="A5856">
            <v>31341302</v>
          </cell>
          <cell r="B5856" t="str">
            <v>Ensambles de láminas soldadas con soldadura ultra violeta de acero al carbono</v>
          </cell>
        </row>
        <row r="5857">
          <cell r="A5857">
            <v>31341303</v>
          </cell>
          <cell r="B5857" t="str">
            <v>Ensambles de láminas soldadas con soldadura ultra violeta de aleación hast x</v>
          </cell>
        </row>
        <row r="5858">
          <cell r="A5858">
            <v>31341304</v>
          </cell>
          <cell r="B5858" t="str">
            <v>Ensambles de láminas soldadas con soldadura ultra violeta de inconel</v>
          </cell>
        </row>
        <row r="5859">
          <cell r="A5859">
            <v>31341305</v>
          </cell>
          <cell r="B5859" t="str">
            <v>Ensambles de láminas soldadas con soldadura ultra violeta de acero de aleación baja</v>
          </cell>
        </row>
        <row r="5860">
          <cell r="A5860">
            <v>31341306</v>
          </cell>
          <cell r="B5860" t="str">
            <v>Ensambles de láminas soldadas con soldadura ultra violeta no metálica</v>
          </cell>
        </row>
        <row r="5861">
          <cell r="A5861">
            <v>31341309</v>
          </cell>
          <cell r="B5861" t="str">
            <v>Ensambles de láminas soldadas con soldadura ultra violeta de acero inoxidable</v>
          </cell>
        </row>
        <row r="5862">
          <cell r="A5862">
            <v>31341310</v>
          </cell>
          <cell r="B5862" t="str">
            <v>Ensambles de láminas soldadas con soldadura ultra violeta de titanio</v>
          </cell>
        </row>
        <row r="5863">
          <cell r="A5863">
            <v>31341311</v>
          </cell>
          <cell r="B5863" t="str">
            <v>Ensambles de láminas soldadas con soldadura ultra violeta de aleación wasp</v>
          </cell>
        </row>
        <row r="5864">
          <cell r="A5864">
            <v>31341312</v>
          </cell>
          <cell r="B5864" t="str">
            <v>Ensambles de láminas soldadas con soldadura ultra violeta de cobre</v>
          </cell>
        </row>
        <row r="5865">
          <cell r="A5865">
            <v>31341313</v>
          </cell>
          <cell r="B5865" t="str">
            <v>Ensambles de láminas soldadas con soldadura ultra violeta de latón</v>
          </cell>
        </row>
        <row r="5866">
          <cell r="A5866">
            <v>31341401</v>
          </cell>
          <cell r="B5866" t="str">
            <v>Ensambles de láminas soldadas con soldadura sónica de aluminio</v>
          </cell>
        </row>
        <row r="5867">
          <cell r="A5867">
            <v>31341402</v>
          </cell>
          <cell r="B5867" t="str">
            <v>Ensambles de láminas soldadas con soldadura sónica de acero al carbono</v>
          </cell>
        </row>
        <row r="5868">
          <cell r="A5868">
            <v>31341403</v>
          </cell>
          <cell r="B5868" t="str">
            <v>Ensambles de láminas soldadas con soldadura sónica de aleación hast x</v>
          </cell>
        </row>
        <row r="5869">
          <cell r="A5869">
            <v>31341404</v>
          </cell>
          <cell r="B5869" t="str">
            <v>Ensambles de láminas soldadas con soldadura sónica de inconel</v>
          </cell>
        </row>
        <row r="5870">
          <cell r="A5870">
            <v>31341405</v>
          </cell>
          <cell r="B5870" t="str">
            <v>Ensambles de láminas soldadas con soldadura sónica de acero de aleación baja</v>
          </cell>
        </row>
        <row r="5871">
          <cell r="A5871">
            <v>31341406</v>
          </cell>
          <cell r="B5871" t="str">
            <v>Ensambles de láminas soldadas con soldadura sónica no metálica</v>
          </cell>
        </row>
        <row r="5872">
          <cell r="A5872">
            <v>31341409</v>
          </cell>
          <cell r="B5872" t="str">
            <v>Ensambles de láminas soldadas con soldadura sónica de acero inoxidable</v>
          </cell>
        </row>
        <row r="5873">
          <cell r="A5873">
            <v>31341410</v>
          </cell>
          <cell r="B5873" t="str">
            <v>Ensambles de láminas soldadas con soldadura sónica de titanio</v>
          </cell>
        </row>
        <row r="5874">
          <cell r="A5874">
            <v>31341411</v>
          </cell>
          <cell r="B5874" t="str">
            <v>Ensambles de láminas soldadas con soldadura sónica de aleación wasp</v>
          </cell>
        </row>
        <row r="5875">
          <cell r="A5875">
            <v>31341412</v>
          </cell>
          <cell r="B5875" t="str">
            <v>Ensambles de láminas soldadas con soldadura sónica de cobre</v>
          </cell>
        </row>
        <row r="5876">
          <cell r="A5876">
            <v>31341413</v>
          </cell>
          <cell r="B5876" t="str">
            <v>Ensambles de láminas soldadas con soldadura sónica de latón</v>
          </cell>
        </row>
        <row r="5877">
          <cell r="A5877">
            <v>31341501</v>
          </cell>
          <cell r="B5877" t="str">
            <v>Ensambles de láminas soldadas con soldadura solvente de aluminio</v>
          </cell>
        </row>
        <row r="5878">
          <cell r="A5878">
            <v>31341502</v>
          </cell>
          <cell r="B5878" t="str">
            <v>Ensambles de láminas soldadas con soldadura solvente de acero al carbono</v>
          </cell>
        </row>
        <row r="5879">
          <cell r="A5879">
            <v>31341503</v>
          </cell>
          <cell r="B5879" t="str">
            <v>Ensambles de láminas soldadas con soldadura solvente de aleación hast x</v>
          </cell>
        </row>
        <row r="5880">
          <cell r="A5880">
            <v>31341504</v>
          </cell>
          <cell r="B5880" t="str">
            <v>Ensambles de láminas soldadas con soldadura solvente de inconel</v>
          </cell>
        </row>
        <row r="5881">
          <cell r="A5881">
            <v>31341505</v>
          </cell>
          <cell r="B5881" t="str">
            <v>Ensambles de láminas soldadas con soldadura solvente de acero de aleación baja</v>
          </cell>
        </row>
        <row r="5882">
          <cell r="A5882">
            <v>31341506</v>
          </cell>
          <cell r="B5882" t="str">
            <v>Ensambles de láminas soldadas con soldadura solvente no metálica</v>
          </cell>
        </row>
        <row r="5883">
          <cell r="A5883">
            <v>31341509</v>
          </cell>
          <cell r="B5883" t="str">
            <v>Ensambles de láminas soldadas con soldadura solvente de acero inoxidable</v>
          </cell>
        </row>
        <row r="5884">
          <cell r="A5884">
            <v>31341510</v>
          </cell>
          <cell r="B5884" t="str">
            <v>Ensambles de láminas soldadas con soldadura solvente de titanio</v>
          </cell>
        </row>
        <row r="5885">
          <cell r="A5885">
            <v>31341511</v>
          </cell>
          <cell r="B5885" t="str">
            <v>Ensambles de láminas soldadas con soldadura solvente de aleación wasp</v>
          </cell>
        </row>
        <row r="5886">
          <cell r="A5886">
            <v>31341512</v>
          </cell>
          <cell r="B5886" t="str">
            <v>Ensambles de láminas soldadas con soldadura solvente de cobre</v>
          </cell>
        </row>
        <row r="5887">
          <cell r="A5887">
            <v>31341513</v>
          </cell>
          <cell r="B5887" t="str">
            <v>Ensambles de láminas soldadas con soldadura solvente de latón</v>
          </cell>
        </row>
        <row r="5888">
          <cell r="A5888">
            <v>31341601</v>
          </cell>
          <cell r="B5888" t="str">
            <v>Ensambles de láminas pegadas de aluminio</v>
          </cell>
        </row>
        <row r="5889">
          <cell r="A5889">
            <v>31341602</v>
          </cell>
          <cell r="B5889" t="str">
            <v>Ensambles de láminas pegadas de acero al carbono</v>
          </cell>
        </row>
        <row r="5890">
          <cell r="A5890">
            <v>31341603</v>
          </cell>
          <cell r="B5890" t="str">
            <v>Ensambles de láminas pegadas de aleación hast x</v>
          </cell>
        </row>
        <row r="5891">
          <cell r="A5891">
            <v>31341604</v>
          </cell>
          <cell r="B5891" t="str">
            <v>Ensambles de láminas pegadas de inconel</v>
          </cell>
        </row>
        <row r="5892">
          <cell r="A5892">
            <v>31341605</v>
          </cell>
          <cell r="B5892" t="str">
            <v>Ensambles de láminas pegadas de acero de aleación baja</v>
          </cell>
        </row>
        <row r="5893">
          <cell r="A5893">
            <v>31341606</v>
          </cell>
          <cell r="B5893" t="str">
            <v>Ensambles de láminas pegadas no metálica</v>
          </cell>
        </row>
        <row r="5894">
          <cell r="A5894">
            <v>31341609</v>
          </cell>
          <cell r="B5894" t="str">
            <v>Ensambles de láminas pegadas de acero inoxidable</v>
          </cell>
        </row>
        <row r="5895">
          <cell r="A5895">
            <v>31341610</v>
          </cell>
          <cell r="B5895" t="str">
            <v>Ensambles de láminas pegadas de titanio</v>
          </cell>
        </row>
        <row r="5896">
          <cell r="A5896">
            <v>31341611</v>
          </cell>
          <cell r="B5896" t="str">
            <v>Ensambles de láminas pegadas de aleación wasp</v>
          </cell>
        </row>
        <row r="5897">
          <cell r="A5897">
            <v>31341612</v>
          </cell>
          <cell r="B5897" t="str">
            <v>Ensambles de láminas pegadas de cobre</v>
          </cell>
        </row>
        <row r="5898">
          <cell r="A5898">
            <v>31341613</v>
          </cell>
          <cell r="B5898" t="str">
            <v>Ensambles de láminas pegadas de latón</v>
          </cell>
        </row>
        <row r="5899">
          <cell r="A5899">
            <v>31341701</v>
          </cell>
          <cell r="B5899" t="str">
            <v>Ensambles de láminas atornilladas de aluminio</v>
          </cell>
        </row>
        <row r="5900">
          <cell r="A5900">
            <v>31341702</v>
          </cell>
          <cell r="B5900" t="str">
            <v>Ensambles de láminas atornilladas de acero al carbono</v>
          </cell>
        </row>
        <row r="5901">
          <cell r="A5901">
            <v>31341703</v>
          </cell>
          <cell r="B5901" t="str">
            <v>Ensambles de láminas atornilladas de aleación hast x</v>
          </cell>
        </row>
        <row r="5902">
          <cell r="A5902">
            <v>31341704</v>
          </cell>
          <cell r="B5902" t="str">
            <v>Ensambles de láminas atornilladas de inconel</v>
          </cell>
        </row>
        <row r="5903">
          <cell r="A5903">
            <v>31341705</v>
          </cell>
          <cell r="B5903" t="str">
            <v>Ensambles de láminas atornilladas de acero de aleación baja</v>
          </cell>
        </row>
        <row r="5904">
          <cell r="A5904">
            <v>31341706</v>
          </cell>
          <cell r="B5904" t="str">
            <v>Ensambles de láminas atornilladas no metálica</v>
          </cell>
        </row>
        <row r="5905">
          <cell r="A5905">
            <v>31341709</v>
          </cell>
          <cell r="B5905" t="str">
            <v>Ensambles de láminas atornilladas de acero inoxidable</v>
          </cell>
        </row>
        <row r="5906">
          <cell r="A5906">
            <v>31341710</v>
          </cell>
          <cell r="B5906" t="str">
            <v>Ensambles de láminas atornilladas de titanio</v>
          </cell>
        </row>
        <row r="5907">
          <cell r="A5907">
            <v>31341711</v>
          </cell>
          <cell r="B5907" t="str">
            <v>Ensambles de láminas atornilladas de aleación wasp</v>
          </cell>
        </row>
        <row r="5908">
          <cell r="A5908">
            <v>31341712</v>
          </cell>
          <cell r="B5908" t="str">
            <v>Ensambles de láminas atornilladas de cobre</v>
          </cell>
        </row>
        <row r="5909">
          <cell r="A5909">
            <v>31341713</v>
          </cell>
          <cell r="B5909" t="str">
            <v>Ensambles de láminas atornilladas de latón</v>
          </cell>
        </row>
        <row r="5910">
          <cell r="A5910">
            <v>31351101</v>
          </cell>
          <cell r="B5910" t="str">
            <v>Ensambles de tubos soldados con soldadura ultra violeta de aluminio</v>
          </cell>
        </row>
        <row r="5911">
          <cell r="A5911">
            <v>31351102</v>
          </cell>
          <cell r="B5911" t="str">
            <v>Ensambles de tubos soldados con soldadura ultra violeta de acero al carbono</v>
          </cell>
        </row>
        <row r="5912">
          <cell r="A5912">
            <v>31351103</v>
          </cell>
          <cell r="B5912" t="str">
            <v>Ensambles de tubos soldados con soldadura ultra violeta de aleación hast x</v>
          </cell>
        </row>
        <row r="5913">
          <cell r="A5913">
            <v>31351104</v>
          </cell>
          <cell r="B5913" t="str">
            <v>Ensambles de tubos soldados con soldadura ultra violeta de inconel</v>
          </cell>
        </row>
        <row r="5914">
          <cell r="A5914">
            <v>31351105</v>
          </cell>
          <cell r="B5914" t="str">
            <v>Ensambles de tubos soldados con soldadura ultra violeta de acero de aleación baja</v>
          </cell>
        </row>
        <row r="5915">
          <cell r="A5915">
            <v>31351106</v>
          </cell>
          <cell r="B5915" t="str">
            <v>Ensambles de tubos soldados con soldadura ultra violeta no metálica</v>
          </cell>
        </row>
        <row r="5916">
          <cell r="A5916">
            <v>31351109</v>
          </cell>
          <cell r="B5916" t="str">
            <v>Ensambles de tubos soldados con soldadura ultra violeta de acero inoxidable</v>
          </cell>
        </row>
        <row r="5917">
          <cell r="A5917">
            <v>31351110</v>
          </cell>
          <cell r="B5917" t="str">
            <v>Ensambles de tubos soldados con soldadura ultra violeta de titanio</v>
          </cell>
        </row>
        <row r="5918">
          <cell r="A5918">
            <v>31351111</v>
          </cell>
          <cell r="B5918" t="str">
            <v>Ensambles de tubos soldados con soldadura ultra violeta de aleación wasp</v>
          </cell>
        </row>
        <row r="5919">
          <cell r="A5919">
            <v>31351112</v>
          </cell>
          <cell r="B5919" t="str">
            <v>Ensambles de tubos soldados con soldadura ultra violeta de cobre</v>
          </cell>
        </row>
        <row r="5920">
          <cell r="A5920">
            <v>31351113</v>
          </cell>
          <cell r="B5920" t="str">
            <v>Ensambles de tubos soldados con soldadura ultra violeta de latón</v>
          </cell>
        </row>
        <row r="5921">
          <cell r="A5921">
            <v>31351201</v>
          </cell>
          <cell r="B5921" t="str">
            <v>Ensambles de tubos soldados con soldadura fuerte o débil de aluminio</v>
          </cell>
        </row>
        <row r="5922">
          <cell r="A5922">
            <v>31351202</v>
          </cell>
          <cell r="B5922" t="str">
            <v>Ensambles de tubos soldados con soldadura fuerte o débil de acero al carbono</v>
          </cell>
        </row>
        <row r="5923">
          <cell r="A5923">
            <v>31351203</v>
          </cell>
          <cell r="B5923" t="str">
            <v>Ensambles de tubos soldados con soldadura fuerte o débil de aleación hast x</v>
          </cell>
        </row>
        <row r="5924">
          <cell r="A5924">
            <v>31351204</v>
          </cell>
          <cell r="B5924" t="str">
            <v>Ensambles de tubos soldados con soldadura fuerte o débil de inconel</v>
          </cell>
        </row>
        <row r="5925">
          <cell r="A5925">
            <v>31351205</v>
          </cell>
          <cell r="B5925" t="str">
            <v>Ensambles de tubos soldados con soldadura fuerte o débil de acero de aleación baja</v>
          </cell>
        </row>
        <row r="5926">
          <cell r="A5926">
            <v>31351206</v>
          </cell>
          <cell r="B5926" t="str">
            <v>Ensambles de tubos soldados con soldadura fuerte o débil no metálica</v>
          </cell>
        </row>
        <row r="5927">
          <cell r="A5927">
            <v>31351209</v>
          </cell>
          <cell r="B5927" t="str">
            <v>Ensambles de tubos soldados con soldadura fuerte o débil de acero inoxidable</v>
          </cell>
        </row>
        <row r="5928">
          <cell r="A5928">
            <v>31351210</v>
          </cell>
          <cell r="B5928" t="str">
            <v>Ensambles de tubos soldados con soldadura fuerte o débil de titanio</v>
          </cell>
        </row>
        <row r="5929">
          <cell r="A5929">
            <v>31351211</v>
          </cell>
          <cell r="B5929" t="str">
            <v>Ensambles de tubos soldados con soldadura fuerte o débil de aleación wasp</v>
          </cell>
        </row>
        <row r="5930">
          <cell r="A5930">
            <v>31351212</v>
          </cell>
          <cell r="B5930" t="str">
            <v>Ensambles de tubos soldados con soldadura fuerte o débil de cobre</v>
          </cell>
        </row>
        <row r="5931">
          <cell r="A5931">
            <v>31351213</v>
          </cell>
          <cell r="B5931" t="str">
            <v>Ensambles de tubos soldados con soldadura fuerte o débil de latón</v>
          </cell>
        </row>
        <row r="5932">
          <cell r="A5932">
            <v>31351301</v>
          </cell>
          <cell r="B5932" t="str">
            <v>Ensambles de tubos remachados de aluminio</v>
          </cell>
        </row>
        <row r="5933">
          <cell r="A5933">
            <v>31351302</v>
          </cell>
          <cell r="B5933" t="str">
            <v>Ensambles de tubos remachados de acero al carbono</v>
          </cell>
        </row>
        <row r="5934">
          <cell r="A5934">
            <v>31351303</v>
          </cell>
          <cell r="B5934" t="str">
            <v>Ensambles de tubos remachados de aleación hast x</v>
          </cell>
        </row>
        <row r="5935">
          <cell r="A5935">
            <v>31351304</v>
          </cell>
          <cell r="B5935" t="str">
            <v>Ensambles de tubos remachados de inconel</v>
          </cell>
        </row>
        <row r="5936">
          <cell r="A5936">
            <v>31351305</v>
          </cell>
          <cell r="B5936" t="str">
            <v>Ensambles de tubos remachados de acero de aleación baja</v>
          </cell>
        </row>
        <row r="5937">
          <cell r="A5937">
            <v>31351306</v>
          </cell>
          <cell r="B5937" t="str">
            <v>Ensambles de tubos remachados no metálica</v>
          </cell>
        </row>
        <row r="5938">
          <cell r="A5938">
            <v>31351309</v>
          </cell>
          <cell r="B5938" t="str">
            <v>Ensambles de tubos remachados de acero inoxidable</v>
          </cell>
        </row>
        <row r="5939">
          <cell r="A5939">
            <v>31351310</v>
          </cell>
          <cell r="B5939" t="str">
            <v>Ensambles de tubos remachados de titanio</v>
          </cell>
        </row>
        <row r="5940">
          <cell r="A5940">
            <v>31351311</v>
          </cell>
          <cell r="B5940" t="str">
            <v>Ensambles de tubos remachados de aleación wasp</v>
          </cell>
        </row>
        <row r="5941">
          <cell r="A5941">
            <v>31351312</v>
          </cell>
          <cell r="B5941" t="str">
            <v>Ensambles de tubos remachados de cobre</v>
          </cell>
        </row>
        <row r="5942">
          <cell r="A5942">
            <v>31351313</v>
          </cell>
          <cell r="B5942" t="str">
            <v>Ensambles de tubos remachados de latón</v>
          </cell>
        </row>
        <row r="5943">
          <cell r="A5943">
            <v>31351401</v>
          </cell>
          <cell r="B5943" t="str">
            <v>Ensambles de tubos pegados de aluminio</v>
          </cell>
        </row>
        <row r="5944">
          <cell r="A5944">
            <v>31351402</v>
          </cell>
          <cell r="B5944" t="str">
            <v>Ensambles de tubos pegados de acero al carbono</v>
          </cell>
        </row>
        <row r="5945">
          <cell r="A5945">
            <v>31351403</v>
          </cell>
          <cell r="B5945" t="str">
            <v>Ensambles de tubos pegados de aleación hast x</v>
          </cell>
        </row>
        <row r="5946">
          <cell r="A5946">
            <v>31351404</v>
          </cell>
          <cell r="B5946" t="str">
            <v>Ensambles de tubos pegados de inconel</v>
          </cell>
        </row>
        <row r="5947">
          <cell r="A5947">
            <v>31351405</v>
          </cell>
          <cell r="B5947" t="str">
            <v>Ensambles de tubos pegados de acero de aleación baja</v>
          </cell>
        </row>
        <row r="5948">
          <cell r="A5948">
            <v>31351406</v>
          </cell>
          <cell r="B5948" t="str">
            <v>Ensambles de tubos pegados no metálica</v>
          </cell>
        </row>
        <row r="5949">
          <cell r="A5949">
            <v>31351409</v>
          </cell>
          <cell r="B5949" t="str">
            <v>Ensambles de tubos pegados de acero inoxidable</v>
          </cell>
        </row>
        <row r="5950">
          <cell r="A5950">
            <v>31351410</v>
          </cell>
          <cell r="B5950" t="str">
            <v>Ensambles de tubos pegados de titanio</v>
          </cell>
        </row>
        <row r="5951">
          <cell r="A5951">
            <v>31351411</v>
          </cell>
          <cell r="B5951" t="str">
            <v>Ensambles de tubos pegados de aleación wasp</v>
          </cell>
        </row>
        <row r="5952">
          <cell r="A5952">
            <v>31351412</v>
          </cell>
          <cell r="B5952" t="str">
            <v>Ensambles de tubos pegados de cobre</v>
          </cell>
        </row>
        <row r="5953">
          <cell r="A5953">
            <v>31351413</v>
          </cell>
          <cell r="B5953" t="str">
            <v>Ensambles de tubos pegados de latón</v>
          </cell>
        </row>
        <row r="5954">
          <cell r="A5954">
            <v>31351501</v>
          </cell>
          <cell r="B5954" t="str">
            <v>Ensambles de tubos atornillados de aluminio</v>
          </cell>
        </row>
        <row r="5955">
          <cell r="A5955">
            <v>31351502</v>
          </cell>
          <cell r="B5955" t="str">
            <v>Ensambles de tubos atornillados de acero al carbono</v>
          </cell>
        </row>
        <row r="5956">
          <cell r="A5956">
            <v>31351503</v>
          </cell>
          <cell r="B5956" t="str">
            <v>Ensambles de tubos atornillados de aleación hast x</v>
          </cell>
        </row>
        <row r="5957">
          <cell r="A5957">
            <v>31351504</v>
          </cell>
          <cell r="B5957" t="str">
            <v>Ensambles de tubos atornillados de inconel</v>
          </cell>
        </row>
        <row r="5958">
          <cell r="A5958">
            <v>31351505</v>
          </cell>
          <cell r="B5958" t="str">
            <v>Ensambles de tubos atornillados de acero de aleación baja</v>
          </cell>
        </row>
        <row r="5959">
          <cell r="A5959">
            <v>31351506</v>
          </cell>
          <cell r="B5959" t="str">
            <v>Ensambles de tubos atornillados no metálica</v>
          </cell>
        </row>
        <row r="5960">
          <cell r="A5960">
            <v>31351509</v>
          </cell>
          <cell r="B5960" t="str">
            <v>Ensambles de tubos atornillados de acero inoxidable</v>
          </cell>
        </row>
        <row r="5961">
          <cell r="A5961">
            <v>31351510</v>
          </cell>
          <cell r="B5961" t="str">
            <v>Ensambles de tubos atornillados de titanio</v>
          </cell>
        </row>
        <row r="5962">
          <cell r="A5962">
            <v>31351511</v>
          </cell>
          <cell r="B5962" t="str">
            <v>Ensambles de tubos atornillados de aleación wasp</v>
          </cell>
        </row>
        <row r="5963">
          <cell r="A5963">
            <v>31351512</v>
          </cell>
          <cell r="B5963" t="str">
            <v>Ensambles de tubos atornillados de cobre</v>
          </cell>
        </row>
        <row r="5964">
          <cell r="A5964">
            <v>31351513</v>
          </cell>
          <cell r="B5964" t="str">
            <v>Ensambles de tubos atornillados de latón</v>
          </cell>
        </row>
        <row r="5965">
          <cell r="A5965">
            <v>31351601</v>
          </cell>
          <cell r="B5965" t="str">
            <v>Ensambles de tubos soldados con disolvente de aluminio</v>
          </cell>
        </row>
        <row r="5966">
          <cell r="A5966">
            <v>31351602</v>
          </cell>
          <cell r="B5966" t="str">
            <v>Ensambles de tubos soldados con disolvente de acero al carbono</v>
          </cell>
        </row>
        <row r="5967">
          <cell r="A5967">
            <v>31351603</v>
          </cell>
          <cell r="B5967" t="str">
            <v>Ensambles de tubos soldados con disolvente de aleación hast x</v>
          </cell>
        </row>
        <row r="5968">
          <cell r="A5968">
            <v>31351604</v>
          </cell>
          <cell r="B5968" t="str">
            <v>Ensambles de tubos soldados con disolvente de inconel</v>
          </cell>
        </row>
        <row r="5969">
          <cell r="A5969">
            <v>31351605</v>
          </cell>
          <cell r="B5969" t="str">
            <v>Ensambles de tubos soldados con disolvente de acero de aleación baja</v>
          </cell>
        </row>
        <row r="5970">
          <cell r="A5970">
            <v>31351606</v>
          </cell>
          <cell r="B5970" t="str">
            <v>Ensambles de tubos soldados con disolvente no metálica</v>
          </cell>
        </row>
        <row r="5971">
          <cell r="A5971">
            <v>31351609</v>
          </cell>
          <cell r="B5971" t="str">
            <v>Ensambles de tubos soldados con disolvente de acero inoxidable</v>
          </cell>
        </row>
        <row r="5972">
          <cell r="A5972">
            <v>31351610</v>
          </cell>
          <cell r="B5972" t="str">
            <v>Ensambles de tubos soldados con disolvente de titanio</v>
          </cell>
        </row>
        <row r="5973">
          <cell r="A5973">
            <v>31351611</v>
          </cell>
          <cell r="B5973" t="str">
            <v>Ensambles de tubos soldados con disolvente de aleación wasp</v>
          </cell>
        </row>
        <row r="5974">
          <cell r="A5974">
            <v>31351612</v>
          </cell>
          <cell r="B5974" t="str">
            <v>Ensambles de tubos soldados con disolvente de cobre</v>
          </cell>
        </row>
        <row r="5975">
          <cell r="A5975">
            <v>31351613</v>
          </cell>
          <cell r="B5975" t="str">
            <v>Ensambles de tubos soldados con disolvente de latón</v>
          </cell>
        </row>
        <row r="5976">
          <cell r="A5976">
            <v>31351701</v>
          </cell>
          <cell r="B5976" t="str">
            <v>Ensambles de tubos soldados con soldadura sónica de aluminio</v>
          </cell>
        </row>
        <row r="5977">
          <cell r="A5977">
            <v>31351702</v>
          </cell>
          <cell r="B5977" t="str">
            <v>Ensambles de tubos soldados con soldadura sónica de acero al carbono</v>
          </cell>
        </row>
        <row r="5978">
          <cell r="A5978">
            <v>31351703</v>
          </cell>
          <cell r="B5978" t="str">
            <v>Ensambles de tubos soldados con soldadura sónica de aleación hast x</v>
          </cell>
        </row>
        <row r="5979">
          <cell r="A5979">
            <v>31351704</v>
          </cell>
          <cell r="B5979" t="str">
            <v>Ensambles de tubos soldados con soldadura sónica de inconel</v>
          </cell>
        </row>
        <row r="5980">
          <cell r="A5980">
            <v>31351705</v>
          </cell>
          <cell r="B5980" t="str">
            <v>Ensambles de tubos soldados con soldadura sónica de acero de aleación baja</v>
          </cell>
        </row>
        <row r="5981">
          <cell r="A5981">
            <v>31351706</v>
          </cell>
          <cell r="B5981" t="str">
            <v>Ensambles de tubos soldados con soldadura sónica no metálica</v>
          </cell>
        </row>
        <row r="5982">
          <cell r="A5982">
            <v>31351709</v>
          </cell>
          <cell r="B5982" t="str">
            <v>Ensambles de tubos soldados con soldadura sónica de acero inoxidable</v>
          </cell>
        </row>
        <row r="5983">
          <cell r="A5983">
            <v>31351710</v>
          </cell>
          <cell r="B5983" t="str">
            <v>Ensambles de tubos soldados con soldadura sónica de titanio</v>
          </cell>
        </row>
        <row r="5984">
          <cell r="A5984">
            <v>31351711</v>
          </cell>
          <cell r="B5984" t="str">
            <v>Ensambles de tubos soldados con soldadura sónica de aleación wasp</v>
          </cell>
        </row>
        <row r="5985">
          <cell r="A5985">
            <v>31351712</v>
          </cell>
          <cell r="B5985" t="str">
            <v>Ensambles de tubos soldados con soldadura sónica de cobre</v>
          </cell>
        </row>
        <row r="5986">
          <cell r="A5986">
            <v>31351713</v>
          </cell>
          <cell r="B5986" t="str">
            <v>Ensambles de tubos soldados con soldadura sónica de latón</v>
          </cell>
        </row>
        <row r="5987">
          <cell r="A5987">
            <v>31361101</v>
          </cell>
          <cell r="B5987" t="str">
            <v>Ensambles de placas soldadas de aluminio</v>
          </cell>
        </row>
        <row r="5988">
          <cell r="A5988">
            <v>31361102</v>
          </cell>
          <cell r="B5988" t="str">
            <v>Ensambles de placas soldadas de acero al carbono</v>
          </cell>
        </row>
        <row r="5989">
          <cell r="A5989">
            <v>31361103</v>
          </cell>
          <cell r="B5989" t="str">
            <v>Ensambles de placas soldadas de aleación hast x</v>
          </cell>
        </row>
        <row r="5990">
          <cell r="A5990">
            <v>31361104</v>
          </cell>
          <cell r="B5990" t="str">
            <v>Ensambles de placas soldadas de inconel</v>
          </cell>
        </row>
        <row r="5991">
          <cell r="A5991">
            <v>31361105</v>
          </cell>
          <cell r="B5991" t="str">
            <v>Ensambles de placas soldadas de acero de aleación baja</v>
          </cell>
        </row>
        <row r="5992">
          <cell r="A5992">
            <v>31361106</v>
          </cell>
          <cell r="B5992" t="str">
            <v>Ensambles de placas soldadas no metálica</v>
          </cell>
        </row>
        <row r="5993">
          <cell r="A5993">
            <v>31361109</v>
          </cell>
          <cell r="B5993" t="str">
            <v>Ensambles de placas soldadas de acero inoxidable</v>
          </cell>
        </row>
        <row r="5994">
          <cell r="A5994">
            <v>31361110</v>
          </cell>
          <cell r="B5994" t="str">
            <v>Ensambles de placas soldadas de titanio</v>
          </cell>
        </row>
        <row r="5995">
          <cell r="A5995">
            <v>31361111</v>
          </cell>
          <cell r="B5995" t="str">
            <v>Ensambles de placas soldadas de aleación wasp</v>
          </cell>
        </row>
        <row r="5996">
          <cell r="A5996">
            <v>31361112</v>
          </cell>
          <cell r="B5996" t="str">
            <v>Ensambles de placas soldadas de cobre</v>
          </cell>
        </row>
        <row r="5997">
          <cell r="A5997">
            <v>31361113</v>
          </cell>
          <cell r="B5997" t="str">
            <v>Ensambles de placas soldadas de latón</v>
          </cell>
        </row>
        <row r="5998">
          <cell r="A5998">
            <v>31361201</v>
          </cell>
          <cell r="B5998" t="str">
            <v>Ensambles de placas atornilladas de aluminio</v>
          </cell>
        </row>
        <row r="5999">
          <cell r="A5999">
            <v>31361202</v>
          </cell>
          <cell r="B5999" t="str">
            <v>Ensambles de placas atornilladas de acero al carbono</v>
          </cell>
        </row>
        <row r="6000">
          <cell r="A6000">
            <v>31361203</v>
          </cell>
          <cell r="B6000" t="str">
            <v>Ensambles de placas atornilladas de aleación hast x</v>
          </cell>
        </row>
        <row r="6001">
          <cell r="A6001">
            <v>31361204</v>
          </cell>
          <cell r="B6001" t="str">
            <v>Ensambles de placas atornilladas de inconel</v>
          </cell>
        </row>
        <row r="6002">
          <cell r="A6002">
            <v>31361205</v>
          </cell>
          <cell r="B6002" t="str">
            <v>Ensambles de placas atornilladas de acero de aleación baja</v>
          </cell>
        </row>
        <row r="6003">
          <cell r="A6003">
            <v>31361206</v>
          </cell>
          <cell r="B6003" t="str">
            <v>Ensambles de placas atornilladas no metálica</v>
          </cell>
        </row>
        <row r="6004">
          <cell r="A6004">
            <v>31361209</v>
          </cell>
          <cell r="B6004" t="str">
            <v>Ensambles de placas atornilladas de acero inoxidable</v>
          </cell>
        </row>
        <row r="6005">
          <cell r="A6005">
            <v>31361210</v>
          </cell>
          <cell r="B6005" t="str">
            <v>Ensambles de placas atornilladas de titanio</v>
          </cell>
        </row>
        <row r="6006">
          <cell r="A6006">
            <v>31361211</v>
          </cell>
          <cell r="B6006" t="str">
            <v>Ensambles de placas atornilladas de aleación wasp</v>
          </cell>
        </row>
        <row r="6007">
          <cell r="A6007">
            <v>31361212</v>
          </cell>
          <cell r="B6007" t="str">
            <v>Ensambles de placas atornilladas de cobre</v>
          </cell>
        </row>
        <row r="6008">
          <cell r="A6008">
            <v>31361213</v>
          </cell>
          <cell r="B6008" t="str">
            <v>Ensambles de placas atornilladas de latón</v>
          </cell>
        </row>
        <row r="6009">
          <cell r="A6009">
            <v>31361301</v>
          </cell>
          <cell r="B6009" t="str">
            <v>Ensambles de placas soldadas con solvente de aluminio</v>
          </cell>
        </row>
        <row r="6010">
          <cell r="A6010">
            <v>31361302</v>
          </cell>
          <cell r="B6010" t="str">
            <v>Ensambles de placas soldadas con solvente de acero al carbono</v>
          </cell>
        </row>
        <row r="6011">
          <cell r="A6011">
            <v>31361303</v>
          </cell>
          <cell r="B6011" t="str">
            <v>Ensambles de placas soldadas con solvente de aleación hast x</v>
          </cell>
        </row>
        <row r="6012">
          <cell r="A6012">
            <v>31361304</v>
          </cell>
          <cell r="B6012" t="str">
            <v>Ensambles de placas soldadas con solvente de inconel</v>
          </cell>
        </row>
        <row r="6013">
          <cell r="A6013">
            <v>31361305</v>
          </cell>
          <cell r="B6013" t="str">
            <v>Ensambles de placas soldadas con solvente de acero de aleación baja</v>
          </cell>
        </row>
        <row r="6014">
          <cell r="A6014">
            <v>31361306</v>
          </cell>
          <cell r="B6014" t="str">
            <v>Ensambles de placas soldadas con solvente no metálica</v>
          </cell>
        </row>
        <row r="6015">
          <cell r="A6015">
            <v>31361309</v>
          </cell>
          <cell r="B6015" t="str">
            <v>Ensambles de placas soldadas con solvente de acero inoxidable</v>
          </cell>
        </row>
        <row r="6016">
          <cell r="A6016">
            <v>31361310</v>
          </cell>
          <cell r="B6016" t="str">
            <v>Ensambles de placas soldadas con solvente de titanio</v>
          </cell>
        </row>
        <row r="6017">
          <cell r="A6017">
            <v>31361311</v>
          </cell>
          <cell r="B6017" t="str">
            <v>Ensambles de placas soldadas con solvente de aleación wasp</v>
          </cell>
        </row>
        <row r="6018">
          <cell r="A6018">
            <v>31361312</v>
          </cell>
          <cell r="B6018" t="str">
            <v>Ensambles de placas soldadas con solvente de cobre</v>
          </cell>
        </row>
        <row r="6019">
          <cell r="A6019">
            <v>31361313</v>
          </cell>
          <cell r="B6019" t="str">
            <v>Ensambles de placas soldadas con solvente de latón</v>
          </cell>
        </row>
        <row r="6020">
          <cell r="A6020">
            <v>31361401</v>
          </cell>
          <cell r="B6020" t="str">
            <v>Ensambles de placas soldadas con soldadura fuerte o débil de aluminio</v>
          </cell>
        </row>
        <row r="6021">
          <cell r="A6021">
            <v>31361402</v>
          </cell>
          <cell r="B6021" t="str">
            <v>Ensambles de placas soldadas con soldadura fuerte o débil de acero al carbono</v>
          </cell>
        </row>
        <row r="6022">
          <cell r="A6022">
            <v>31361403</v>
          </cell>
          <cell r="B6022" t="str">
            <v>Ensambles de placas soldadas con soldadura fuerte o débil de aleación hast x</v>
          </cell>
        </row>
        <row r="6023">
          <cell r="A6023">
            <v>31361404</v>
          </cell>
          <cell r="B6023" t="str">
            <v>Ensambles de placas soldadas con soldadura fuerte o débil de inconel</v>
          </cell>
        </row>
        <row r="6024">
          <cell r="A6024">
            <v>31361405</v>
          </cell>
          <cell r="B6024" t="str">
            <v>Ensambles de placas soldadas con soldadura fuerte o débil de acero de aleación baja</v>
          </cell>
        </row>
        <row r="6025">
          <cell r="A6025">
            <v>31361406</v>
          </cell>
          <cell r="B6025" t="str">
            <v>Ensambles de placas soldadas con soldadura fuerte o débil no metálica</v>
          </cell>
        </row>
        <row r="6026">
          <cell r="A6026">
            <v>31361409</v>
          </cell>
          <cell r="B6026" t="str">
            <v>Ensambles de placas soldadas con soldadura fuerte o débil de acero inoxidable</v>
          </cell>
        </row>
        <row r="6027">
          <cell r="A6027">
            <v>31361410</v>
          </cell>
          <cell r="B6027" t="str">
            <v>Ensambles de placas soldadas con soldadura fuerte o débil de titanio</v>
          </cell>
        </row>
        <row r="6028">
          <cell r="A6028">
            <v>31361411</v>
          </cell>
          <cell r="B6028" t="str">
            <v>Ensambles de placas soldadas con soldadura fuerte o débil de aleación wasp</v>
          </cell>
        </row>
        <row r="6029">
          <cell r="A6029">
            <v>31361412</v>
          </cell>
          <cell r="B6029" t="str">
            <v>Ensambles de placas soldadas con soldadura fuerte o débil de cobre</v>
          </cell>
        </row>
        <row r="6030">
          <cell r="A6030">
            <v>31361413</v>
          </cell>
          <cell r="B6030" t="str">
            <v>Ensambles de placas soldadas con soldadura fuerte o débil de latón</v>
          </cell>
        </row>
        <row r="6031">
          <cell r="A6031">
            <v>31361501</v>
          </cell>
          <cell r="B6031" t="str">
            <v>Ensambles de placas soldadas con soldadura ultra violeta de aluminio</v>
          </cell>
        </row>
        <row r="6032">
          <cell r="A6032">
            <v>31361502</v>
          </cell>
          <cell r="B6032" t="str">
            <v>Ensambles de placas soldadas con soldadura ultra violeta de acero al carbono</v>
          </cell>
        </row>
        <row r="6033">
          <cell r="A6033">
            <v>31361503</v>
          </cell>
          <cell r="B6033" t="str">
            <v>Ensambles de placas soldadas con soldadura ultra violeta de aleación hast x</v>
          </cell>
        </row>
        <row r="6034">
          <cell r="A6034">
            <v>31361504</v>
          </cell>
          <cell r="B6034" t="str">
            <v>Ensambles de placas soldadas con soldadura ultra violeta de inconel</v>
          </cell>
        </row>
        <row r="6035">
          <cell r="A6035">
            <v>31361505</v>
          </cell>
          <cell r="B6035" t="str">
            <v>Ensambles de placas soldadas con soldadura ultra violeta de acero de aleación baja</v>
          </cell>
        </row>
        <row r="6036">
          <cell r="A6036">
            <v>31361506</v>
          </cell>
          <cell r="B6036" t="str">
            <v>Ensambles de placas soldadas con soldadura ultra violeta no metálica</v>
          </cell>
        </row>
        <row r="6037">
          <cell r="A6037">
            <v>31361509</v>
          </cell>
          <cell r="B6037" t="str">
            <v>Ensambles de placas soldadas con soldadura ultra violeta de acero inoxidable</v>
          </cell>
        </row>
        <row r="6038">
          <cell r="A6038">
            <v>31361510</v>
          </cell>
          <cell r="B6038" t="str">
            <v>Ensambles de placas soldadas con soldadura ultra violeta de titanio</v>
          </cell>
        </row>
        <row r="6039">
          <cell r="A6039">
            <v>31361511</v>
          </cell>
          <cell r="B6039" t="str">
            <v>Ensambles de placas soldadas con soldadura ultra violeta de aleación wasp</v>
          </cell>
        </row>
        <row r="6040">
          <cell r="A6040">
            <v>31361512</v>
          </cell>
          <cell r="B6040" t="str">
            <v>Ensambles de placas soldadas con soldadura ultra violeta de cobre</v>
          </cell>
        </row>
        <row r="6041">
          <cell r="A6041">
            <v>31361513</v>
          </cell>
          <cell r="B6041" t="str">
            <v>Ensambles de placas soldadas con soldadura ultra violeta de latón</v>
          </cell>
        </row>
        <row r="6042">
          <cell r="A6042">
            <v>31361601</v>
          </cell>
          <cell r="B6042" t="str">
            <v>Ensambles de placas soldadas con soldadura sónica de aluminio</v>
          </cell>
        </row>
        <row r="6043">
          <cell r="A6043">
            <v>31361602</v>
          </cell>
          <cell r="B6043" t="str">
            <v>Ensambles de placas soldadas con soldadura sónica de acero al carbono</v>
          </cell>
        </row>
        <row r="6044">
          <cell r="A6044">
            <v>31361603</v>
          </cell>
          <cell r="B6044" t="str">
            <v>Ensambles de placas soldadas con soldadura sónica de aleación hast x</v>
          </cell>
        </row>
        <row r="6045">
          <cell r="A6045">
            <v>31361604</v>
          </cell>
          <cell r="B6045" t="str">
            <v>Ensambles de placas soldadas con soldadura sónica de inconel</v>
          </cell>
        </row>
        <row r="6046">
          <cell r="A6046">
            <v>31361605</v>
          </cell>
          <cell r="B6046" t="str">
            <v>Ensambles de placas soldadas con soldadura sónica de acero de aleación baja</v>
          </cell>
        </row>
        <row r="6047">
          <cell r="A6047">
            <v>31361606</v>
          </cell>
          <cell r="B6047" t="str">
            <v>Ensambles de placas soldadas con soldadura sónica no metálica</v>
          </cell>
        </row>
        <row r="6048">
          <cell r="A6048">
            <v>31361609</v>
          </cell>
          <cell r="B6048" t="str">
            <v>Ensambles de placas soldadas con soldadura sónica de acero inoxidable</v>
          </cell>
        </row>
        <row r="6049">
          <cell r="A6049">
            <v>31361610</v>
          </cell>
          <cell r="B6049" t="str">
            <v>Ensambles de placas soldadas con soldadura sónica de titanio</v>
          </cell>
        </row>
        <row r="6050">
          <cell r="A6050">
            <v>31361611</v>
          </cell>
          <cell r="B6050" t="str">
            <v>Ensambles de placas soldadas con soldadura sónica de aleación wasp</v>
          </cell>
        </row>
        <row r="6051">
          <cell r="A6051">
            <v>31361612</v>
          </cell>
          <cell r="B6051" t="str">
            <v>Ensambles de placas soldadas con soldadura sónica de cobre</v>
          </cell>
        </row>
        <row r="6052">
          <cell r="A6052">
            <v>31361613</v>
          </cell>
          <cell r="B6052" t="str">
            <v>Ensambles de placas soldadas con soldadura sónica de latón</v>
          </cell>
        </row>
        <row r="6053">
          <cell r="A6053">
            <v>31361701</v>
          </cell>
          <cell r="B6053" t="str">
            <v>Ensambles de placas remachadas de aluminio</v>
          </cell>
        </row>
        <row r="6054">
          <cell r="A6054">
            <v>31361702</v>
          </cell>
          <cell r="B6054" t="str">
            <v>Ensambles de placas remachadas de acero al carbono</v>
          </cell>
        </row>
        <row r="6055">
          <cell r="A6055">
            <v>31361703</v>
          </cell>
          <cell r="B6055" t="str">
            <v>Ensambles de placas remachadas de aleación hast x</v>
          </cell>
        </row>
        <row r="6056">
          <cell r="A6056">
            <v>31361704</v>
          </cell>
          <cell r="B6056" t="str">
            <v>Ensambles de placas remachadas de inconel</v>
          </cell>
        </row>
        <row r="6057">
          <cell r="A6057">
            <v>31361705</v>
          </cell>
          <cell r="B6057" t="str">
            <v>Ensambles de placas remachadas de acero de aleación baja</v>
          </cell>
        </row>
        <row r="6058">
          <cell r="A6058">
            <v>31361706</v>
          </cell>
          <cell r="B6058" t="str">
            <v>Ensambles de placas remachadas no metálica</v>
          </cell>
        </row>
        <row r="6059">
          <cell r="A6059">
            <v>31361709</v>
          </cell>
          <cell r="B6059" t="str">
            <v>Ensambles de placas remachadas de acero inoxidable</v>
          </cell>
        </row>
        <row r="6060">
          <cell r="A6060">
            <v>31361710</v>
          </cell>
          <cell r="B6060" t="str">
            <v>Ensambles de placas remachadas de titanio</v>
          </cell>
        </row>
        <row r="6061">
          <cell r="A6061">
            <v>31361711</v>
          </cell>
          <cell r="B6061" t="str">
            <v>Ensambles de placas remachadas de aleación wasp</v>
          </cell>
        </row>
        <row r="6062">
          <cell r="A6062">
            <v>31361712</v>
          </cell>
          <cell r="B6062" t="str">
            <v>Ensambles de placas remachadas de cobre</v>
          </cell>
        </row>
        <row r="6063">
          <cell r="A6063">
            <v>31361713</v>
          </cell>
          <cell r="B6063" t="str">
            <v>Ensambles de placas remachadas de latón</v>
          </cell>
        </row>
        <row r="6064">
          <cell r="A6064">
            <v>31371001</v>
          </cell>
          <cell r="B6064" t="str">
            <v>Paneles aislantes</v>
          </cell>
        </row>
        <row r="6065">
          <cell r="A6065">
            <v>31371002</v>
          </cell>
          <cell r="B6065" t="str">
            <v>Lana aislante</v>
          </cell>
        </row>
        <row r="6066">
          <cell r="A6066">
            <v>31371003</v>
          </cell>
          <cell r="B6066" t="str">
            <v>Sábanas refractarias</v>
          </cell>
        </row>
        <row r="6067">
          <cell r="A6067">
            <v>31371101</v>
          </cell>
          <cell r="B6067" t="str">
            <v>Ladrillo de mulita</v>
          </cell>
        </row>
        <row r="6068">
          <cell r="A6068">
            <v>31371102</v>
          </cell>
          <cell r="B6068" t="str">
            <v>Ladrillos de silimanita</v>
          </cell>
        </row>
        <row r="6069">
          <cell r="A6069">
            <v>31371103</v>
          </cell>
          <cell r="B6069" t="str">
            <v>Ladrillos resistentes al ácido</v>
          </cell>
        </row>
        <row r="6070">
          <cell r="A6070">
            <v>31371104</v>
          </cell>
          <cell r="B6070" t="str">
            <v>Ladrillos de sílice</v>
          </cell>
        </row>
        <row r="6071">
          <cell r="A6071">
            <v>31371105</v>
          </cell>
          <cell r="B6071" t="str">
            <v>Ladrillos de alta alúmina</v>
          </cell>
        </row>
        <row r="6072">
          <cell r="A6072">
            <v>31371106</v>
          </cell>
          <cell r="B6072" t="str">
            <v>Ladrillos de silicato de calcio</v>
          </cell>
        </row>
        <row r="6073">
          <cell r="A6073">
            <v>31371107</v>
          </cell>
          <cell r="B6073" t="str">
            <v>Ladrillos con formas</v>
          </cell>
        </row>
        <row r="6074">
          <cell r="A6074">
            <v>31371201</v>
          </cell>
          <cell r="B6074" t="str">
            <v>Moldeables densos</v>
          </cell>
        </row>
        <row r="6075">
          <cell r="A6075">
            <v>31371202</v>
          </cell>
          <cell r="B6075" t="str">
            <v>Moldeables de aislación</v>
          </cell>
        </row>
        <row r="6076">
          <cell r="A6076">
            <v>31371203</v>
          </cell>
          <cell r="B6076" t="str">
            <v>Moldeables bajos en cemento</v>
          </cell>
        </row>
        <row r="6077">
          <cell r="A6077">
            <v>31371204</v>
          </cell>
          <cell r="B6077" t="str">
            <v>Moldeables resistentes a ácidos o a álcalis</v>
          </cell>
        </row>
        <row r="6078">
          <cell r="A6078">
            <v>31371205</v>
          </cell>
          <cell r="B6078" t="str">
            <v>Moldeables resistentes a abrasión</v>
          </cell>
        </row>
        <row r="6079">
          <cell r="A6079">
            <v>31371206</v>
          </cell>
          <cell r="B6079" t="str">
            <v>Moldeables sic</v>
          </cell>
        </row>
        <row r="6080">
          <cell r="A6080">
            <v>31371207</v>
          </cell>
          <cell r="B6080" t="str">
            <v>Moldeables de auto flujo</v>
          </cell>
        </row>
        <row r="6081">
          <cell r="A6081">
            <v>31371208</v>
          </cell>
          <cell r="B6081" t="str">
            <v>Moldeable tabular alúmina</v>
          </cell>
        </row>
        <row r="6082">
          <cell r="A6082">
            <v>31371209</v>
          </cell>
          <cell r="B6082" t="str">
            <v>Moldeable resistente a la erosión</v>
          </cell>
        </row>
        <row r="6083">
          <cell r="A6083">
            <v>31371301</v>
          </cell>
          <cell r="B6083" t="str">
            <v>Bloques porosos</v>
          </cell>
        </row>
        <row r="6084">
          <cell r="A6084">
            <v>31371302</v>
          </cell>
          <cell r="B6084" t="str">
            <v>Boquillas de zircón</v>
          </cell>
        </row>
        <row r="6085">
          <cell r="A6085">
            <v>31371401</v>
          </cell>
          <cell r="B6085" t="str">
            <v>Tejas de sílice</v>
          </cell>
        </row>
        <row r="6086">
          <cell r="A6086">
            <v>31381001</v>
          </cell>
          <cell r="B6086" t="str">
            <v>Piedra de la veta</v>
          </cell>
        </row>
        <row r="6087">
          <cell r="A6087">
            <v>31381002</v>
          </cell>
          <cell r="B6087" t="str">
            <v>imanes Alnico</v>
          </cell>
        </row>
        <row r="6088">
          <cell r="A6088">
            <v>31381003</v>
          </cell>
          <cell r="B6088" t="str">
            <v>Imanes de ferrita</v>
          </cell>
        </row>
        <row r="6089">
          <cell r="A6089">
            <v>31381004</v>
          </cell>
          <cell r="B6089" t="str">
            <v>Imanes de neodimio</v>
          </cell>
        </row>
        <row r="6090">
          <cell r="A6090">
            <v>31381005</v>
          </cell>
          <cell r="B6090" t="str">
            <v>Imanes de samario cobalto</v>
          </cell>
        </row>
        <row r="6091">
          <cell r="A6091">
            <v>32101502</v>
          </cell>
          <cell r="B6091" t="str">
            <v>Montajes de circuitos impresos (pca)</v>
          </cell>
        </row>
        <row r="6092">
          <cell r="A6092">
            <v>32101503</v>
          </cell>
          <cell r="B6092" t="str">
            <v>Conjuntos de circuitos mixtos</v>
          </cell>
        </row>
        <row r="6093">
          <cell r="A6093">
            <v>32101504</v>
          </cell>
          <cell r="B6093" t="str">
            <v>Ensamblajes de circuitos montados en superficie</v>
          </cell>
        </row>
        <row r="6094">
          <cell r="A6094">
            <v>32101505</v>
          </cell>
          <cell r="B6094" t="str">
            <v>Ensamblajes de circuitos electro plateados</v>
          </cell>
        </row>
        <row r="6095">
          <cell r="A6095">
            <v>32101506</v>
          </cell>
          <cell r="B6095" t="str">
            <v>Tarjetas de circuito de doble cara</v>
          </cell>
        </row>
        <row r="6096">
          <cell r="A6096">
            <v>32101507</v>
          </cell>
          <cell r="B6096" t="str">
            <v>Tarjetas de tablero de conectores de circuitos</v>
          </cell>
        </row>
        <row r="6097">
          <cell r="A6097">
            <v>32101508</v>
          </cell>
          <cell r="B6097" t="str">
            <v>Tarjetas de circuito multi capa</v>
          </cell>
        </row>
        <row r="6098">
          <cell r="A6098">
            <v>32101509</v>
          </cell>
          <cell r="B6098" t="str">
            <v>Tarjetas de circuito de una cara</v>
          </cell>
        </row>
        <row r="6099">
          <cell r="A6099">
            <v>32101510</v>
          </cell>
          <cell r="B6099" t="str">
            <v>Tablero de cables impreso</v>
          </cell>
        </row>
        <row r="6100">
          <cell r="A6100">
            <v>32101512</v>
          </cell>
          <cell r="B6100" t="str">
            <v>Demoduladores</v>
          </cell>
        </row>
        <row r="6101">
          <cell r="A6101">
            <v>32101513</v>
          </cell>
          <cell r="B6101" t="str">
            <v>Conjuntos de circuitos de aplicaciones específicas</v>
          </cell>
        </row>
        <row r="6102">
          <cell r="A6102">
            <v>32101514</v>
          </cell>
          <cell r="B6102" t="str">
            <v>Amplificadores</v>
          </cell>
        </row>
        <row r="6103">
          <cell r="A6103">
            <v>32101515</v>
          </cell>
          <cell r="B6103" t="str">
            <v>Atenuadores</v>
          </cell>
        </row>
        <row r="6104">
          <cell r="A6104">
            <v>32101516</v>
          </cell>
          <cell r="B6104" t="str">
            <v>Circuladores</v>
          </cell>
        </row>
        <row r="6105">
          <cell r="A6105">
            <v>32101517</v>
          </cell>
          <cell r="B6105" t="str">
            <v>Acopladores</v>
          </cell>
        </row>
        <row r="6106">
          <cell r="A6106">
            <v>32101518</v>
          </cell>
          <cell r="B6106" t="str">
            <v>Líneas de retardo</v>
          </cell>
        </row>
        <row r="6107">
          <cell r="A6107">
            <v>32101519</v>
          </cell>
          <cell r="B6107" t="str">
            <v>Detectores</v>
          </cell>
        </row>
        <row r="6108">
          <cell r="A6108">
            <v>32101520</v>
          </cell>
          <cell r="B6108" t="str">
            <v>Cargas simuladas</v>
          </cell>
        </row>
        <row r="6109">
          <cell r="A6109">
            <v>32101521</v>
          </cell>
          <cell r="B6109" t="str">
            <v>Filtros de radiofrecuencia (rf)</v>
          </cell>
        </row>
        <row r="6110">
          <cell r="A6110">
            <v>32101522</v>
          </cell>
          <cell r="B6110" t="str">
            <v>Aisladores</v>
          </cell>
        </row>
        <row r="6111">
          <cell r="A6111">
            <v>32101523</v>
          </cell>
          <cell r="B6111" t="str">
            <v>Mezcladores</v>
          </cell>
        </row>
        <row r="6112">
          <cell r="A6112">
            <v>32101524</v>
          </cell>
          <cell r="B6112" t="str">
            <v>Variadores de fase</v>
          </cell>
        </row>
        <row r="6113">
          <cell r="A6113">
            <v>32101525</v>
          </cell>
          <cell r="B6113" t="str">
            <v>Multiplexores</v>
          </cell>
        </row>
        <row r="6114">
          <cell r="A6114">
            <v>32101526</v>
          </cell>
          <cell r="B6114" t="str">
            <v>Amplificadores de tubos de onda</v>
          </cell>
        </row>
        <row r="6115">
          <cell r="A6115">
            <v>32101527</v>
          </cell>
          <cell r="B6115" t="str">
            <v>Terminaciones</v>
          </cell>
        </row>
        <row r="6116">
          <cell r="A6116">
            <v>32101528</v>
          </cell>
          <cell r="B6116" t="str">
            <v>Moduladores</v>
          </cell>
        </row>
        <row r="6117">
          <cell r="A6117">
            <v>32101601</v>
          </cell>
          <cell r="B6117" t="str">
            <v>Memoria de acceso aleatorio (ram)</v>
          </cell>
        </row>
        <row r="6118">
          <cell r="A6118">
            <v>32101602</v>
          </cell>
          <cell r="B6118" t="str">
            <v>Memoria ram dinámica (dram)</v>
          </cell>
        </row>
        <row r="6119">
          <cell r="A6119">
            <v>32101603</v>
          </cell>
          <cell r="B6119" t="str">
            <v>Memoria ram estática (sram)</v>
          </cell>
        </row>
        <row r="6120">
          <cell r="A6120">
            <v>32101604</v>
          </cell>
          <cell r="B6120" t="str">
            <v>Memoria rom programable (prom)</v>
          </cell>
        </row>
        <row r="6121">
          <cell r="A6121">
            <v>32101605</v>
          </cell>
          <cell r="B6121" t="str">
            <v>Memoria rom programable borrable (eprom)</v>
          </cell>
        </row>
        <row r="6122">
          <cell r="A6122">
            <v>32101606</v>
          </cell>
          <cell r="B6122" t="str">
            <v>Memoria rom programable borrable eléctricamente (eeprom)</v>
          </cell>
        </row>
        <row r="6123">
          <cell r="A6123">
            <v>32101607</v>
          </cell>
          <cell r="B6123" t="str">
            <v>Circuitos integrados monolíticos de memoria (mmic)</v>
          </cell>
        </row>
        <row r="6124">
          <cell r="A6124">
            <v>32101608</v>
          </cell>
          <cell r="B6124" t="str">
            <v>Memoria de sólo lectura (rom)</v>
          </cell>
        </row>
        <row r="6125">
          <cell r="A6125">
            <v>32101609</v>
          </cell>
          <cell r="B6125" t="str">
            <v>Circuitos integrados de aplicaciones específicas (asic)</v>
          </cell>
        </row>
        <row r="6126">
          <cell r="A6126">
            <v>32101611</v>
          </cell>
          <cell r="B6126" t="str">
            <v>Lógica de matriz programable (pal)</v>
          </cell>
        </row>
        <row r="6127">
          <cell r="A6127">
            <v>32101612</v>
          </cell>
          <cell r="B6127" t="str">
            <v>Lógica de matriz de puertas (gal)</v>
          </cell>
        </row>
        <row r="6128">
          <cell r="A6128">
            <v>32101613</v>
          </cell>
          <cell r="B6128" t="str">
            <v>Lógica transistor-transistor (ttl)</v>
          </cell>
        </row>
        <row r="6129">
          <cell r="A6129">
            <v>32101614</v>
          </cell>
          <cell r="B6129" t="str">
            <v>Lógica de emisor acoplado (ecl)</v>
          </cell>
        </row>
        <row r="6130">
          <cell r="A6130">
            <v>32101615</v>
          </cell>
          <cell r="B6130" t="str">
            <v>Tecnología mos bipolar (bimos)</v>
          </cell>
        </row>
        <row r="6131">
          <cell r="A6131">
            <v>32101616</v>
          </cell>
          <cell r="B6131" t="str">
            <v>Tecnología cmos bipolar (bicmos)</v>
          </cell>
        </row>
        <row r="6132">
          <cell r="A6132">
            <v>32101617</v>
          </cell>
          <cell r="B6132" t="str">
            <v>Tarjetas inteligentes</v>
          </cell>
        </row>
        <row r="6133">
          <cell r="A6133">
            <v>32101618</v>
          </cell>
          <cell r="B6133" t="str">
            <v>Circuitos integrados ordenados hacia arriba</v>
          </cell>
        </row>
        <row r="6134">
          <cell r="A6134">
            <v>32101619</v>
          </cell>
          <cell r="B6134" t="str">
            <v>Circuitos integrados lineales</v>
          </cell>
        </row>
        <row r="6135">
          <cell r="A6135">
            <v>32101620</v>
          </cell>
          <cell r="B6135" t="str">
            <v>Circuitos integrados digitales</v>
          </cell>
        </row>
        <row r="6136">
          <cell r="A6136">
            <v>32101621</v>
          </cell>
          <cell r="B6136" t="str">
            <v>Memoria dram síncrona (sdram)</v>
          </cell>
        </row>
        <row r="6137">
          <cell r="A6137">
            <v>32101622</v>
          </cell>
          <cell r="B6137" t="str">
            <v>Memoria flash</v>
          </cell>
        </row>
        <row r="6138">
          <cell r="A6138">
            <v>32101623</v>
          </cell>
          <cell r="B6138" t="str">
            <v>Memoria rdram (rambus)</v>
          </cell>
        </row>
        <row r="6139">
          <cell r="A6139">
            <v>32101624</v>
          </cell>
          <cell r="B6139" t="str">
            <v>Memoria sgram</v>
          </cell>
        </row>
        <row r="6140">
          <cell r="A6140">
            <v>32101625</v>
          </cell>
          <cell r="B6140" t="str">
            <v>Circuitos integrados de accionamiento o control por motor</v>
          </cell>
        </row>
        <row r="6141">
          <cell r="A6141">
            <v>32101626</v>
          </cell>
          <cell r="B6141" t="str">
            <v>Microprocesadores</v>
          </cell>
        </row>
        <row r="6142">
          <cell r="A6142">
            <v>32101627</v>
          </cell>
          <cell r="B6142" t="str">
            <v>Osciladores de reloj</v>
          </cell>
        </row>
        <row r="6143">
          <cell r="A6143">
            <v>32101628</v>
          </cell>
          <cell r="B6143" t="str">
            <v>Microcontroladores</v>
          </cell>
        </row>
        <row r="6144">
          <cell r="A6144">
            <v>32101629</v>
          </cell>
          <cell r="B6144" t="str">
            <v>Amplificadores operacionales</v>
          </cell>
        </row>
        <row r="6145">
          <cell r="A6145">
            <v>32101630</v>
          </cell>
          <cell r="B6145" t="str">
            <v>Circuitos integrados de regulador de tensión</v>
          </cell>
        </row>
        <row r="6146">
          <cell r="A6146">
            <v>32101631</v>
          </cell>
          <cell r="B6146" t="str">
            <v>Circuitos integrados de comparador de tensión</v>
          </cell>
        </row>
        <row r="6147">
          <cell r="A6147">
            <v>32101632</v>
          </cell>
          <cell r="B6147" t="str">
            <v>Circuitos integrados de temporizador</v>
          </cell>
        </row>
        <row r="6148">
          <cell r="A6148">
            <v>32101633</v>
          </cell>
          <cell r="B6148" t="str">
            <v>Puertas lógicas</v>
          </cell>
        </row>
        <row r="6149">
          <cell r="A6149">
            <v>32101634</v>
          </cell>
          <cell r="B6149" t="str">
            <v>Circuitos basculantes</v>
          </cell>
        </row>
        <row r="6150">
          <cell r="A6150">
            <v>32101635</v>
          </cell>
          <cell r="B6150" t="str">
            <v>Registros de desplazamiento</v>
          </cell>
        </row>
        <row r="6151">
          <cell r="A6151">
            <v>32101636</v>
          </cell>
          <cell r="B6151" t="str">
            <v>Procesador de señal digital (dsp)</v>
          </cell>
        </row>
        <row r="6152">
          <cell r="A6152">
            <v>32101637</v>
          </cell>
          <cell r="B6152" t="str">
            <v>Procesadores de red</v>
          </cell>
        </row>
        <row r="6153">
          <cell r="A6153">
            <v>32111501</v>
          </cell>
          <cell r="B6153" t="str">
            <v>Diodos de microondas</v>
          </cell>
        </row>
        <row r="6154">
          <cell r="A6154">
            <v>32111502</v>
          </cell>
          <cell r="B6154" t="str">
            <v>Diodos zener</v>
          </cell>
        </row>
        <row r="6155">
          <cell r="A6155">
            <v>32111503</v>
          </cell>
          <cell r="B6155" t="str">
            <v>Diodos emisores de luz (led)</v>
          </cell>
        </row>
        <row r="6156">
          <cell r="A6156">
            <v>32111504</v>
          </cell>
          <cell r="B6156" t="str">
            <v>Diodos schottky</v>
          </cell>
        </row>
        <row r="6157">
          <cell r="A6157">
            <v>32111505</v>
          </cell>
          <cell r="B6157" t="str">
            <v>Diodos con efecto túnel</v>
          </cell>
        </row>
        <row r="6158">
          <cell r="A6158">
            <v>32111506</v>
          </cell>
          <cell r="B6158" t="str">
            <v>Diodos fotosensibles</v>
          </cell>
        </row>
        <row r="6159">
          <cell r="A6159">
            <v>32111507</v>
          </cell>
          <cell r="B6159" t="str">
            <v>Diodos de capacitancia variable</v>
          </cell>
        </row>
        <row r="6160">
          <cell r="A6160">
            <v>32111508</v>
          </cell>
          <cell r="B6160" t="str">
            <v>Diodos solares</v>
          </cell>
        </row>
        <row r="6161">
          <cell r="A6161">
            <v>32111509</v>
          </cell>
          <cell r="B6161" t="str">
            <v>Diodos de energía</v>
          </cell>
        </row>
        <row r="6162">
          <cell r="A6162">
            <v>32111510</v>
          </cell>
          <cell r="B6162" t="str">
            <v>Diodos de radiofrecuencia (rf)</v>
          </cell>
        </row>
        <row r="6163">
          <cell r="A6163">
            <v>32111511</v>
          </cell>
          <cell r="B6163" t="str">
            <v>Diodos de señal pequeña</v>
          </cell>
        </row>
        <row r="6164">
          <cell r="A6164">
            <v>32111512</v>
          </cell>
          <cell r="B6164" t="str">
            <v>Diodo láser</v>
          </cell>
        </row>
        <row r="6165">
          <cell r="A6165">
            <v>32111601</v>
          </cell>
          <cell r="B6165" t="str">
            <v>Transistores fotosensibles</v>
          </cell>
        </row>
        <row r="6166">
          <cell r="A6166">
            <v>32111602</v>
          </cell>
          <cell r="B6166" t="str">
            <v>Transistor de efecto de campo (fet)</v>
          </cell>
        </row>
        <row r="6167">
          <cell r="A6167">
            <v>32111603</v>
          </cell>
          <cell r="B6167" t="str">
            <v>Transistores mos de efecto de campo (mosfet)</v>
          </cell>
        </row>
        <row r="6168">
          <cell r="A6168">
            <v>32111604</v>
          </cell>
          <cell r="B6168" t="str">
            <v>Chips de transistor</v>
          </cell>
        </row>
        <row r="6169">
          <cell r="A6169">
            <v>32111607</v>
          </cell>
          <cell r="B6169" t="str">
            <v>Transistores bipolares de radiofrecuencia (rf) o darlington</v>
          </cell>
        </row>
        <row r="6170">
          <cell r="A6170">
            <v>32111608</v>
          </cell>
          <cell r="B6170" t="str">
            <v>Transistores uniempalme</v>
          </cell>
        </row>
        <row r="6171">
          <cell r="A6171">
            <v>32111609</v>
          </cell>
          <cell r="B6171" t="str">
            <v>Transistores bipolares de puerta aislada (igbt)</v>
          </cell>
        </row>
        <row r="6172">
          <cell r="A6172">
            <v>32111610</v>
          </cell>
          <cell r="B6172" t="str">
            <v>Transistores de efecto de campo de unión (jfet)</v>
          </cell>
        </row>
        <row r="6173">
          <cell r="A6173">
            <v>32111611</v>
          </cell>
          <cell r="B6173" t="str">
            <v>Transistores bipolares de unión (bjt)</v>
          </cell>
        </row>
        <row r="6174">
          <cell r="A6174">
            <v>32111701</v>
          </cell>
          <cell r="B6174" t="str">
            <v>Células fotovoltaicas</v>
          </cell>
        </row>
        <row r="6175">
          <cell r="A6175">
            <v>32111702</v>
          </cell>
          <cell r="B6175" t="str">
            <v>Tiristores</v>
          </cell>
        </row>
        <row r="6176">
          <cell r="A6176">
            <v>32111703</v>
          </cell>
          <cell r="B6176" t="str">
            <v>Diacs</v>
          </cell>
        </row>
        <row r="6177">
          <cell r="A6177">
            <v>32111704</v>
          </cell>
          <cell r="B6177" t="str">
            <v>Triacs</v>
          </cell>
        </row>
        <row r="6178">
          <cell r="A6178">
            <v>32111705</v>
          </cell>
          <cell r="B6178" t="str">
            <v>Aisladores acoplados ópticos</v>
          </cell>
        </row>
        <row r="6179">
          <cell r="A6179">
            <v>32111706</v>
          </cell>
          <cell r="B6179" t="str">
            <v>Osciladores a cristal</v>
          </cell>
        </row>
        <row r="6180">
          <cell r="A6180">
            <v>32121501</v>
          </cell>
          <cell r="B6180" t="str">
            <v>Capacitores fijos</v>
          </cell>
        </row>
        <row r="6181">
          <cell r="A6181">
            <v>32121502</v>
          </cell>
          <cell r="B6181" t="str">
            <v>Capacitores o varactores variables</v>
          </cell>
        </row>
        <row r="6182">
          <cell r="A6182">
            <v>32121503</v>
          </cell>
          <cell r="B6182" t="str">
            <v>Capacitores ajustables pre - ajustados</v>
          </cell>
        </row>
        <row r="6183">
          <cell r="A6183">
            <v>32121504</v>
          </cell>
          <cell r="B6183" t="str">
            <v>Redes de capacitores</v>
          </cell>
        </row>
        <row r="6184">
          <cell r="A6184">
            <v>32121602</v>
          </cell>
          <cell r="B6184" t="str">
            <v>Resistores fusibles</v>
          </cell>
        </row>
        <row r="6185">
          <cell r="A6185">
            <v>32121603</v>
          </cell>
          <cell r="B6185" t="str">
            <v>Resistores o varistores variables</v>
          </cell>
        </row>
        <row r="6186">
          <cell r="A6186">
            <v>32121607</v>
          </cell>
          <cell r="B6186" t="str">
            <v>Redes de resistores</v>
          </cell>
        </row>
        <row r="6187">
          <cell r="A6187">
            <v>32121609</v>
          </cell>
          <cell r="B6187" t="str">
            <v>Resistores fijos</v>
          </cell>
        </row>
        <row r="6188">
          <cell r="A6188">
            <v>32121701</v>
          </cell>
          <cell r="B6188" t="str">
            <v>Rectificadores</v>
          </cell>
        </row>
        <row r="6189">
          <cell r="A6189">
            <v>32121702</v>
          </cell>
          <cell r="B6189" t="str">
            <v>Inductores</v>
          </cell>
        </row>
        <row r="6190">
          <cell r="A6190">
            <v>32121703</v>
          </cell>
          <cell r="B6190" t="str">
            <v>Ferritas</v>
          </cell>
        </row>
        <row r="6191">
          <cell r="A6191">
            <v>32121704</v>
          </cell>
          <cell r="B6191" t="str">
            <v>Convertidores estáticos</v>
          </cell>
        </row>
        <row r="6192">
          <cell r="A6192">
            <v>32121705</v>
          </cell>
          <cell r="B6192" t="str">
            <v>Inversores</v>
          </cell>
        </row>
        <row r="6193">
          <cell r="A6193">
            <v>32121706</v>
          </cell>
          <cell r="B6193" t="str">
            <v>Redes r/c de resistores o capacitores</v>
          </cell>
        </row>
        <row r="6194">
          <cell r="A6194">
            <v>32131001</v>
          </cell>
          <cell r="B6194" t="str">
            <v>Piletas térmicas</v>
          </cell>
        </row>
        <row r="6195">
          <cell r="A6195">
            <v>32131002</v>
          </cell>
          <cell r="B6195" t="str">
            <v>Matrices de semiconductor</v>
          </cell>
        </row>
        <row r="6196">
          <cell r="A6196">
            <v>32131003</v>
          </cell>
          <cell r="B6196" t="str">
            <v>Pastillas de semiconductor</v>
          </cell>
        </row>
        <row r="6197">
          <cell r="A6197">
            <v>32131005</v>
          </cell>
          <cell r="B6197" t="str">
            <v>Paquetes de circuitos integrados</v>
          </cell>
        </row>
        <row r="6198">
          <cell r="A6198">
            <v>32131006</v>
          </cell>
          <cell r="B6198" t="str">
            <v>Soportes o zócalos de circuito integrado</v>
          </cell>
        </row>
        <row r="6199">
          <cell r="A6199">
            <v>32131007</v>
          </cell>
          <cell r="B6199" t="str">
            <v>Soportes de componentes discretos</v>
          </cell>
        </row>
        <row r="6200">
          <cell r="A6200">
            <v>32131008</v>
          </cell>
          <cell r="B6200" t="str">
            <v>Compuestos disipadores de calor</v>
          </cell>
        </row>
        <row r="6201">
          <cell r="A6201">
            <v>32131009</v>
          </cell>
          <cell r="B6201" t="str">
            <v>Aisladores para disipadores de calor</v>
          </cell>
        </row>
        <row r="6202">
          <cell r="A6202">
            <v>32131010</v>
          </cell>
          <cell r="B6202" t="str">
            <v>Tarjetas sencillas de circuitos impresos</v>
          </cell>
        </row>
        <row r="6203">
          <cell r="A6203">
            <v>32131011</v>
          </cell>
          <cell r="B6203" t="str">
            <v>Cubiertas de circuitos integrados</v>
          </cell>
        </row>
        <row r="6204">
          <cell r="A6204">
            <v>32131012</v>
          </cell>
          <cell r="B6204" t="str">
            <v>Objetivos de erosión superficial</v>
          </cell>
        </row>
        <row r="6205">
          <cell r="A6205">
            <v>32141001</v>
          </cell>
          <cell r="B6205" t="str">
            <v>Tubos de rayos catódicos</v>
          </cell>
        </row>
        <row r="6206">
          <cell r="A6206">
            <v>32141002</v>
          </cell>
          <cell r="B6206" t="str">
            <v>Klistrones</v>
          </cell>
        </row>
        <row r="6207">
          <cell r="A6207">
            <v>32141003</v>
          </cell>
          <cell r="B6207" t="str">
            <v>Magnetrones</v>
          </cell>
        </row>
        <row r="6208">
          <cell r="A6208">
            <v>32141004</v>
          </cell>
          <cell r="B6208" t="str">
            <v>Tubos de ondas progresivas</v>
          </cell>
        </row>
        <row r="6209">
          <cell r="A6209">
            <v>32141005</v>
          </cell>
          <cell r="B6209" t="str">
            <v>Tubos de disco sellado</v>
          </cell>
        </row>
        <row r="6210">
          <cell r="A6210">
            <v>32141006</v>
          </cell>
          <cell r="B6210" t="str">
            <v>Resnatrones</v>
          </cell>
        </row>
        <row r="6211">
          <cell r="A6211">
            <v>32141007</v>
          </cell>
          <cell r="B6211" t="str">
            <v>Tiratrones</v>
          </cell>
        </row>
        <row r="6212">
          <cell r="A6212">
            <v>32141008</v>
          </cell>
          <cell r="B6212" t="str">
            <v>Ignitrones</v>
          </cell>
        </row>
        <row r="6213">
          <cell r="A6213">
            <v>32141009</v>
          </cell>
          <cell r="B6213" t="str">
            <v>Tubos fotoeléctricos</v>
          </cell>
        </row>
        <row r="6214">
          <cell r="A6214">
            <v>32141010</v>
          </cell>
          <cell r="B6214" t="str">
            <v>Tubos fotomultiplicadores</v>
          </cell>
        </row>
        <row r="6215">
          <cell r="A6215">
            <v>32141011</v>
          </cell>
          <cell r="B6215" t="str">
            <v>Tubos receptores de televisión o cámara</v>
          </cell>
        </row>
        <row r="6216">
          <cell r="A6216">
            <v>32141012</v>
          </cell>
          <cell r="B6216" t="str">
            <v>Tubo de diodo</v>
          </cell>
        </row>
        <row r="6217">
          <cell r="A6217">
            <v>32141013</v>
          </cell>
          <cell r="B6217" t="str">
            <v>Tubo de tríodo</v>
          </cell>
        </row>
        <row r="6218">
          <cell r="A6218">
            <v>32141014</v>
          </cell>
          <cell r="B6218" t="str">
            <v>Tubos de tetrodo</v>
          </cell>
        </row>
        <row r="6219">
          <cell r="A6219">
            <v>32141015</v>
          </cell>
          <cell r="B6219" t="str">
            <v>Tubos de pentodo</v>
          </cell>
        </row>
        <row r="6220">
          <cell r="A6220">
            <v>32141016</v>
          </cell>
          <cell r="B6220" t="str">
            <v>Tubos múltiples</v>
          </cell>
        </row>
        <row r="6221">
          <cell r="A6221">
            <v>32141101</v>
          </cell>
          <cell r="B6221" t="str">
            <v>Cátodos o emisores</v>
          </cell>
        </row>
        <row r="6222">
          <cell r="A6222">
            <v>32141102</v>
          </cell>
          <cell r="B6222" t="str">
            <v>Elementos de ánodo</v>
          </cell>
        </row>
        <row r="6223">
          <cell r="A6223">
            <v>32141103</v>
          </cell>
          <cell r="B6223" t="str">
            <v>Elementos de rejilla</v>
          </cell>
        </row>
        <row r="6224">
          <cell r="A6224">
            <v>32141104</v>
          </cell>
          <cell r="B6224" t="str">
            <v>Elementos deflectores</v>
          </cell>
        </row>
        <row r="6225">
          <cell r="A6225">
            <v>32141105</v>
          </cell>
          <cell r="B6225" t="str">
            <v>Obturadores o fundas de tubo</v>
          </cell>
        </row>
        <row r="6226">
          <cell r="A6226">
            <v>32141106</v>
          </cell>
          <cell r="B6226" t="str">
            <v>Bases de tubo</v>
          </cell>
        </row>
        <row r="6227">
          <cell r="A6227">
            <v>32141107</v>
          </cell>
          <cell r="B6227" t="str">
            <v>Zócalos de tubo</v>
          </cell>
        </row>
        <row r="6228">
          <cell r="A6228">
            <v>32141108</v>
          </cell>
          <cell r="B6228" t="str">
            <v>Clavijas de electrodo</v>
          </cell>
        </row>
        <row r="6229">
          <cell r="A6229">
            <v>32141109</v>
          </cell>
          <cell r="B6229" t="str">
            <v>Portaelectrodos</v>
          </cell>
        </row>
        <row r="6230">
          <cell r="A6230">
            <v>39101601</v>
          </cell>
          <cell r="B6230" t="str">
            <v>Lámparas halógenas</v>
          </cell>
        </row>
        <row r="6231">
          <cell r="A6231">
            <v>39101602</v>
          </cell>
          <cell r="B6231" t="str">
            <v>Lámparas médicas</v>
          </cell>
        </row>
        <row r="6232">
          <cell r="A6232">
            <v>39101603</v>
          </cell>
          <cell r="B6232" t="str">
            <v>Lámparas solares</v>
          </cell>
        </row>
        <row r="6233">
          <cell r="A6233">
            <v>39101604</v>
          </cell>
          <cell r="B6233" t="str">
            <v>Lámparas de alcohol</v>
          </cell>
        </row>
        <row r="6234">
          <cell r="A6234">
            <v>39101605</v>
          </cell>
          <cell r="B6234" t="str">
            <v>Lámparas fluorescentes</v>
          </cell>
        </row>
        <row r="6235">
          <cell r="A6235">
            <v>39101606</v>
          </cell>
          <cell r="B6235" t="str">
            <v>Lámparas de arco</v>
          </cell>
        </row>
        <row r="6236">
          <cell r="A6236">
            <v>39101608</v>
          </cell>
          <cell r="B6236" t="str">
            <v>Luz asómbrica o scialytica de operación</v>
          </cell>
        </row>
        <row r="6237">
          <cell r="A6237">
            <v>39101609</v>
          </cell>
          <cell r="B6237" t="str">
            <v>Lámparas de escenario o estudio</v>
          </cell>
        </row>
        <row r="6238">
          <cell r="A6238">
            <v>39101610</v>
          </cell>
          <cell r="B6238" t="str">
            <v>Lámparas de filamento</v>
          </cell>
        </row>
        <row r="6239">
          <cell r="A6239">
            <v>39101612</v>
          </cell>
          <cell r="B6239" t="str">
            <v>Lámparas incandescentes</v>
          </cell>
        </row>
        <row r="6240">
          <cell r="A6240">
            <v>39101613</v>
          </cell>
          <cell r="B6240" t="str">
            <v>Lámparas infrarrojas</v>
          </cell>
        </row>
        <row r="6241">
          <cell r="A6241">
            <v>39101614</v>
          </cell>
          <cell r="B6241" t="str">
            <v>Lámparas de haluro- metálico</v>
          </cell>
        </row>
        <row r="6242">
          <cell r="A6242">
            <v>39101615</v>
          </cell>
          <cell r="B6242" t="str">
            <v>Lámparas de vapor de mercurio</v>
          </cell>
        </row>
        <row r="6243">
          <cell r="A6243">
            <v>39101616</v>
          </cell>
          <cell r="B6243" t="str">
            <v>Lámparas de rayos ultravioleta (uv)</v>
          </cell>
        </row>
        <row r="6244">
          <cell r="A6244">
            <v>39101617</v>
          </cell>
          <cell r="B6244" t="str">
            <v>Lámparas de sodio de alta presión hid</v>
          </cell>
        </row>
        <row r="6245">
          <cell r="A6245">
            <v>39101618</v>
          </cell>
          <cell r="B6245" t="str">
            <v>Lámparas de neón</v>
          </cell>
        </row>
        <row r="6246">
          <cell r="A6246">
            <v>39101701</v>
          </cell>
          <cell r="B6246" t="str">
            <v>Tubos fluorescentes</v>
          </cell>
        </row>
        <row r="6247">
          <cell r="A6247">
            <v>39101801</v>
          </cell>
          <cell r="B6247" t="str">
            <v>Filamento de lámpara</v>
          </cell>
        </row>
        <row r="6248">
          <cell r="A6248">
            <v>39111501</v>
          </cell>
          <cell r="B6248" t="str">
            <v>Artefactos fluorescentes</v>
          </cell>
        </row>
        <row r="6249">
          <cell r="A6249">
            <v>39111503</v>
          </cell>
          <cell r="B6249" t="str">
            <v>Dispositivos de pared</v>
          </cell>
        </row>
        <row r="6250">
          <cell r="A6250">
            <v>39111504</v>
          </cell>
          <cell r="B6250" t="str">
            <v>Sistemas de iluminación de escenario o estudio</v>
          </cell>
        </row>
        <row r="6251">
          <cell r="A6251">
            <v>39111505</v>
          </cell>
          <cell r="B6251" t="str">
            <v>Iluminación empotrada</v>
          </cell>
        </row>
        <row r="6252">
          <cell r="A6252">
            <v>39111506</v>
          </cell>
          <cell r="B6252" t="str">
            <v>Arañas de luces</v>
          </cell>
        </row>
        <row r="6253">
          <cell r="A6253">
            <v>39111507</v>
          </cell>
          <cell r="B6253" t="str">
            <v>Artefactos de escritorio</v>
          </cell>
        </row>
        <row r="6254">
          <cell r="A6254">
            <v>39111508</v>
          </cell>
          <cell r="B6254" t="str">
            <v>Alumbrado de pista</v>
          </cell>
        </row>
        <row r="6255">
          <cell r="A6255">
            <v>39111509</v>
          </cell>
          <cell r="B6255" t="str">
            <v>Lámparas de pie</v>
          </cell>
        </row>
        <row r="6256">
          <cell r="A6256">
            <v>39111510</v>
          </cell>
          <cell r="B6256" t="str">
            <v>Lámparas de mesa</v>
          </cell>
        </row>
        <row r="6257">
          <cell r="A6257">
            <v>39111512</v>
          </cell>
          <cell r="B6257" t="str">
            <v>Luces de banco de laboratorio</v>
          </cell>
        </row>
        <row r="6258">
          <cell r="A6258">
            <v>39111513</v>
          </cell>
          <cell r="B6258" t="str">
            <v>Iluminación solar interior</v>
          </cell>
        </row>
        <row r="6259">
          <cell r="A6259">
            <v>39111514</v>
          </cell>
          <cell r="B6259" t="str">
            <v>Luces de árboles</v>
          </cell>
        </row>
        <row r="6260">
          <cell r="A6260">
            <v>39111515</v>
          </cell>
          <cell r="B6260" t="str">
            <v>Artefactos para lámpara proyectada hacia abajo</v>
          </cell>
        </row>
        <row r="6261">
          <cell r="A6261">
            <v>39111516</v>
          </cell>
          <cell r="B6261" t="str">
            <v>Aparatos para alumbrado de tareas</v>
          </cell>
        </row>
        <row r="6262">
          <cell r="A6262">
            <v>39111517</v>
          </cell>
          <cell r="B6262" t="str">
            <v>Velas de Cera</v>
          </cell>
        </row>
        <row r="6263">
          <cell r="A6263">
            <v>39111518</v>
          </cell>
          <cell r="B6263" t="str">
            <v>Luz de mano o de extensión</v>
          </cell>
        </row>
        <row r="6264">
          <cell r="A6264">
            <v>39111519</v>
          </cell>
          <cell r="B6264" t="str">
            <v>Portavelas</v>
          </cell>
        </row>
        <row r="6265">
          <cell r="A6265">
            <v>39111520</v>
          </cell>
          <cell r="B6265" t="str">
            <v>Artefactos de alumbrado halógeno</v>
          </cell>
        </row>
        <row r="6266">
          <cell r="A6266">
            <v>39111521</v>
          </cell>
          <cell r="B6266" t="str">
            <v>Plafones</v>
          </cell>
        </row>
        <row r="6267">
          <cell r="A6267">
            <v>39111603</v>
          </cell>
          <cell r="B6267" t="str">
            <v>Alumbrado de la vía pública</v>
          </cell>
        </row>
        <row r="6268">
          <cell r="A6268">
            <v>39111605</v>
          </cell>
          <cell r="B6268" t="str">
            <v>Iluminación paisajística</v>
          </cell>
        </row>
        <row r="6269">
          <cell r="A6269">
            <v>39111606</v>
          </cell>
          <cell r="B6269" t="str">
            <v>Alumbrado submarino</v>
          </cell>
        </row>
        <row r="6270">
          <cell r="A6270">
            <v>39111608</v>
          </cell>
          <cell r="B6270" t="str">
            <v>Alumbrado de zonas residenciales</v>
          </cell>
        </row>
        <row r="6271">
          <cell r="A6271">
            <v>39111609</v>
          </cell>
          <cell r="B6271" t="str">
            <v>Linternas de queroseno, propano o butano</v>
          </cell>
        </row>
        <row r="6272">
          <cell r="A6272">
            <v>39111702</v>
          </cell>
          <cell r="B6272" t="str">
            <v>Lámparas portátiles</v>
          </cell>
        </row>
        <row r="6273">
          <cell r="A6273">
            <v>39111703</v>
          </cell>
          <cell r="B6273" t="str">
            <v>Luces de tormenta</v>
          </cell>
        </row>
        <row r="6274">
          <cell r="A6274">
            <v>39111704</v>
          </cell>
          <cell r="B6274" t="str">
            <v>Luces proyectantes</v>
          </cell>
        </row>
        <row r="6275">
          <cell r="A6275">
            <v>39111705</v>
          </cell>
          <cell r="B6275" t="str">
            <v>Barras fluorescentes o de iluminación</v>
          </cell>
        </row>
        <row r="6276">
          <cell r="A6276">
            <v>39111706</v>
          </cell>
          <cell r="B6276" t="str">
            <v>Luces de emergencia o estroboscópicas (licuadoras)</v>
          </cell>
        </row>
        <row r="6277">
          <cell r="A6277">
            <v>39111801</v>
          </cell>
          <cell r="B6277" t="str">
            <v>Balastos de lámparas</v>
          </cell>
        </row>
        <row r="6278">
          <cell r="A6278">
            <v>39111802</v>
          </cell>
          <cell r="B6278" t="str">
            <v>Cubiertas de lámpara</v>
          </cell>
        </row>
        <row r="6279">
          <cell r="A6279">
            <v>39111803</v>
          </cell>
          <cell r="B6279" t="str">
            <v>Enchufes de lámparas</v>
          </cell>
        </row>
        <row r="6280">
          <cell r="A6280">
            <v>39111804</v>
          </cell>
          <cell r="B6280" t="str">
            <v>Casquillos de lámparas</v>
          </cell>
        </row>
        <row r="6281">
          <cell r="A6281">
            <v>39111806</v>
          </cell>
          <cell r="B6281" t="str">
            <v>Cajas de iluminación</v>
          </cell>
        </row>
        <row r="6282">
          <cell r="A6282">
            <v>39111808</v>
          </cell>
          <cell r="B6282" t="str">
            <v>Parrillas</v>
          </cell>
        </row>
        <row r="6283">
          <cell r="A6283">
            <v>39111809</v>
          </cell>
          <cell r="B6283" t="str">
            <v>Filtros acondicionadores de luz</v>
          </cell>
        </row>
        <row r="6284">
          <cell r="A6284">
            <v>39111810</v>
          </cell>
          <cell r="B6284" t="str">
            <v>Interruptor de lámpara</v>
          </cell>
        </row>
        <row r="6285">
          <cell r="A6285">
            <v>39111811</v>
          </cell>
          <cell r="B6285" t="str">
            <v>Líneas férreas electrificadas</v>
          </cell>
        </row>
        <row r="6286">
          <cell r="A6286">
            <v>39111812</v>
          </cell>
          <cell r="B6286" t="str">
            <v>Pantallas de lámparas</v>
          </cell>
        </row>
        <row r="6287">
          <cell r="A6287">
            <v>39111813</v>
          </cell>
          <cell r="B6287" t="str">
            <v>Brazos de lámparas</v>
          </cell>
        </row>
        <row r="6288">
          <cell r="A6288">
            <v>39111901</v>
          </cell>
          <cell r="B6288" t="str">
            <v>Señalización fluorescente de emplazamientos peligrosos</v>
          </cell>
        </row>
        <row r="6289">
          <cell r="A6289">
            <v>39111902</v>
          </cell>
          <cell r="B6289" t="str">
            <v>Señalización incandescente de emplazamientos peligrosos</v>
          </cell>
        </row>
        <row r="6290">
          <cell r="A6290">
            <v>39112001</v>
          </cell>
          <cell r="B6290" t="str">
            <v>Torre de luz</v>
          </cell>
        </row>
        <row r="6291">
          <cell r="A6291">
            <v>39112002</v>
          </cell>
          <cell r="B6291" t="str">
            <v>Carro de iluminación</v>
          </cell>
        </row>
        <row r="6292">
          <cell r="A6292">
            <v>39112003</v>
          </cell>
          <cell r="B6292" t="str">
            <v>Stand de iluminación</v>
          </cell>
        </row>
        <row r="6293">
          <cell r="A6293">
            <v>39121001</v>
          </cell>
          <cell r="B6293" t="str">
            <v>Transformadores de distribución de potencia</v>
          </cell>
        </row>
        <row r="6294">
          <cell r="A6294">
            <v>39121002</v>
          </cell>
          <cell r="B6294" t="str">
            <v>Transformadores de suministro de potencia</v>
          </cell>
        </row>
        <row r="6295">
          <cell r="A6295">
            <v>39121003</v>
          </cell>
          <cell r="B6295" t="str">
            <v>Transformadores de instrumentos</v>
          </cell>
        </row>
        <row r="6296">
          <cell r="A6296">
            <v>39121004</v>
          </cell>
          <cell r="B6296" t="str">
            <v>Unidades de suministro de energía</v>
          </cell>
        </row>
        <row r="6297">
          <cell r="A6297">
            <v>39121006</v>
          </cell>
          <cell r="B6297" t="str">
            <v>Adaptadores o inversores de potencia</v>
          </cell>
        </row>
        <row r="6298">
          <cell r="A6298">
            <v>39121007</v>
          </cell>
          <cell r="B6298" t="str">
            <v>Conversores de frecuencia</v>
          </cell>
        </row>
        <row r="6299">
          <cell r="A6299">
            <v>39121008</v>
          </cell>
          <cell r="B6299" t="str">
            <v>Conversores de señales</v>
          </cell>
        </row>
        <row r="6300">
          <cell r="A6300">
            <v>39121009</v>
          </cell>
          <cell r="B6300" t="str">
            <v>Reguladores eléctricos o de potencia</v>
          </cell>
        </row>
        <row r="6301">
          <cell r="A6301">
            <v>39121010</v>
          </cell>
          <cell r="B6301" t="str">
            <v>Bobinas magnéticas</v>
          </cell>
        </row>
        <row r="6302">
          <cell r="A6302">
            <v>39121011</v>
          </cell>
          <cell r="B6302" t="str">
            <v>Fuentes ininterrumpibles de potencia</v>
          </cell>
        </row>
        <row r="6303">
          <cell r="A6303">
            <v>39121012</v>
          </cell>
          <cell r="B6303" t="str">
            <v>Estrangulador</v>
          </cell>
        </row>
        <row r="6304">
          <cell r="A6304">
            <v>39121013</v>
          </cell>
          <cell r="B6304" t="str">
            <v>Convertidores rotativos eléctricos</v>
          </cell>
        </row>
        <row r="6305">
          <cell r="A6305">
            <v>39121014</v>
          </cell>
          <cell r="B6305" t="str">
            <v>Bancos de capacitores</v>
          </cell>
        </row>
        <row r="6306">
          <cell r="A6306">
            <v>39121015</v>
          </cell>
          <cell r="B6306" t="str">
            <v>Reactores</v>
          </cell>
        </row>
        <row r="6307">
          <cell r="A6307">
            <v>39121016</v>
          </cell>
          <cell r="B6307" t="str">
            <v>Anillos colectores</v>
          </cell>
        </row>
        <row r="6308">
          <cell r="A6308">
            <v>39121017</v>
          </cell>
          <cell r="B6308" t="str">
            <v>Unidades de distribución de alimentación (pdus)</v>
          </cell>
        </row>
        <row r="6309">
          <cell r="A6309">
            <v>39121018</v>
          </cell>
          <cell r="B6309" t="str">
            <v>Barreras de seguridad intrínseca</v>
          </cell>
        </row>
        <row r="6310">
          <cell r="A6310">
            <v>39121019</v>
          </cell>
          <cell r="B6310" t="str">
            <v>Dispositivos de acoplamiento por inducción</v>
          </cell>
        </row>
        <row r="6311">
          <cell r="A6311">
            <v>39121020</v>
          </cell>
          <cell r="B6311" t="str">
            <v>Acondicionadores de señal</v>
          </cell>
        </row>
        <row r="6312">
          <cell r="A6312">
            <v>39121101</v>
          </cell>
          <cell r="B6312" t="str">
            <v>Centros de carga</v>
          </cell>
        </row>
        <row r="6313">
          <cell r="A6313">
            <v>39121102</v>
          </cell>
          <cell r="B6313" t="str">
            <v>Tomas o centros de medidores</v>
          </cell>
        </row>
        <row r="6314">
          <cell r="A6314">
            <v>39121103</v>
          </cell>
          <cell r="B6314" t="str">
            <v>Paneles</v>
          </cell>
        </row>
        <row r="6315">
          <cell r="A6315">
            <v>39121104</v>
          </cell>
          <cell r="B6315" t="str">
            <v>Centros de control de motor</v>
          </cell>
        </row>
        <row r="6316">
          <cell r="A6316">
            <v>39121105</v>
          </cell>
          <cell r="B6316" t="str">
            <v>Sistemas de conmutadores</v>
          </cell>
        </row>
        <row r="6317">
          <cell r="A6317">
            <v>39121106</v>
          </cell>
          <cell r="B6317" t="str">
            <v>Sistemas de control o vigilancia de potencia</v>
          </cell>
        </row>
        <row r="6318">
          <cell r="A6318">
            <v>39121107</v>
          </cell>
          <cell r="B6318" t="str">
            <v>Sistemas de control de iluminación</v>
          </cell>
        </row>
        <row r="6319">
          <cell r="A6319">
            <v>39121108</v>
          </cell>
          <cell r="B6319" t="str">
            <v>Accesorios del panel de control o distribución</v>
          </cell>
        </row>
        <row r="6320">
          <cell r="A6320">
            <v>39121109</v>
          </cell>
          <cell r="B6320" t="str">
            <v>Transformadores de transmisión</v>
          </cell>
        </row>
        <row r="6321">
          <cell r="A6321">
            <v>39121201</v>
          </cell>
          <cell r="B6321" t="str">
            <v>Escalerillas portacables</v>
          </cell>
        </row>
        <row r="6322">
          <cell r="A6322">
            <v>39121202</v>
          </cell>
          <cell r="B6322" t="str">
            <v>Canalización eléctrica</v>
          </cell>
        </row>
        <row r="6323">
          <cell r="A6323">
            <v>39121203</v>
          </cell>
          <cell r="B6323" t="str">
            <v>Conductos eléctricos</v>
          </cell>
        </row>
        <row r="6324">
          <cell r="A6324">
            <v>39121204</v>
          </cell>
          <cell r="B6324" t="str">
            <v>Cables aéreos</v>
          </cell>
        </row>
        <row r="6325">
          <cell r="A6325">
            <v>39121205</v>
          </cell>
          <cell r="B6325" t="str">
            <v>Canaletas para cables</v>
          </cell>
        </row>
        <row r="6326">
          <cell r="A6326">
            <v>39121206</v>
          </cell>
          <cell r="B6326" t="str">
            <v>Cerramientos de barras colectoras</v>
          </cell>
        </row>
        <row r="6327">
          <cell r="A6327">
            <v>39121207</v>
          </cell>
          <cell r="B6327" t="str">
            <v>Conductos para cables</v>
          </cell>
        </row>
        <row r="6328">
          <cell r="A6328">
            <v>39121301</v>
          </cell>
          <cell r="B6328" t="str">
            <v>Cerramientos del panel de control o distribución</v>
          </cell>
        </row>
        <row r="6329">
          <cell r="A6329">
            <v>39121302</v>
          </cell>
          <cell r="B6329" t="str">
            <v>Placas o cubiertas de cerramiento</v>
          </cell>
        </row>
        <row r="6330">
          <cell r="A6330">
            <v>39121303</v>
          </cell>
          <cell r="B6330" t="str">
            <v>Cajas eléctricas</v>
          </cell>
        </row>
        <row r="6331">
          <cell r="A6331">
            <v>39121304</v>
          </cell>
          <cell r="B6331" t="str">
            <v>Cubiertas de cajas eléctricas</v>
          </cell>
        </row>
        <row r="6332">
          <cell r="A6332">
            <v>39121305</v>
          </cell>
          <cell r="B6332" t="str">
            <v>Cajas a prueba de intemperie</v>
          </cell>
        </row>
        <row r="6333">
          <cell r="A6333">
            <v>39121306</v>
          </cell>
          <cell r="B6333" t="str">
            <v>Cajas de conmutadores</v>
          </cell>
        </row>
        <row r="6334">
          <cell r="A6334">
            <v>39121307</v>
          </cell>
          <cell r="B6334" t="str">
            <v>Cajas de suelo</v>
          </cell>
        </row>
        <row r="6335">
          <cell r="A6335">
            <v>39121308</v>
          </cell>
          <cell r="B6335" t="str">
            <v>Cajas de toma de corriente</v>
          </cell>
        </row>
        <row r="6336">
          <cell r="A6336">
            <v>39121309</v>
          </cell>
          <cell r="B6336" t="str">
            <v>Cajas eléctricas especiales</v>
          </cell>
        </row>
        <row r="6337">
          <cell r="A6337">
            <v>39121310</v>
          </cell>
          <cell r="B6337" t="str">
            <v>Cajas de uso general</v>
          </cell>
        </row>
        <row r="6338">
          <cell r="A6338">
            <v>39121311</v>
          </cell>
          <cell r="B6338" t="str">
            <v>Accesorios eléctricos</v>
          </cell>
        </row>
        <row r="6339">
          <cell r="A6339">
            <v>39121312</v>
          </cell>
          <cell r="B6339" t="str">
            <v>Bujes eléctricos</v>
          </cell>
        </row>
        <row r="6340">
          <cell r="A6340">
            <v>39121313</v>
          </cell>
          <cell r="B6340" t="str">
            <v>Bridas de techo</v>
          </cell>
        </row>
        <row r="6341">
          <cell r="A6341">
            <v>39121402</v>
          </cell>
          <cell r="B6341" t="str">
            <v>Enchufes eléctricos</v>
          </cell>
        </row>
        <row r="6342">
          <cell r="A6342">
            <v>39121403</v>
          </cell>
          <cell r="B6342" t="str">
            <v>Enchufe de bloqueo</v>
          </cell>
        </row>
        <row r="6343">
          <cell r="A6343">
            <v>39121404</v>
          </cell>
          <cell r="B6343" t="str">
            <v>Manguitos eléctricos</v>
          </cell>
        </row>
        <row r="6344">
          <cell r="A6344">
            <v>39121405</v>
          </cell>
          <cell r="B6344" t="str">
            <v>Terminales de cable o alambre</v>
          </cell>
        </row>
        <row r="6345">
          <cell r="A6345">
            <v>39121406</v>
          </cell>
          <cell r="B6345" t="str">
            <v>Receptáculos eléctricos</v>
          </cell>
        </row>
        <row r="6346">
          <cell r="A6346">
            <v>39121407</v>
          </cell>
          <cell r="B6346" t="str">
            <v>Strips de conexiones</v>
          </cell>
        </row>
        <row r="6347">
          <cell r="A6347">
            <v>39121408</v>
          </cell>
          <cell r="B6347" t="str">
            <v>Conexiones mecánicas</v>
          </cell>
        </row>
        <row r="6348">
          <cell r="A6348">
            <v>39121409</v>
          </cell>
          <cell r="B6348" t="str">
            <v>Conectores de cables eléctricos</v>
          </cell>
        </row>
        <row r="6349">
          <cell r="A6349">
            <v>39121410</v>
          </cell>
          <cell r="B6349" t="str">
            <v>Bloques de terminales</v>
          </cell>
        </row>
        <row r="6350">
          <cell r="A6350">
            <v>39121411</v>
          </cell>
          <cell r="B6350" t="str">
            <v>Cajas de Bornes para fusibles</v>
          </cell>
        </row>
        <row r="6351">
          <cell r="A6351">
            <v>39121412</v>
          </cell>
          <cell r="B6351" t="str">
            <v>Conectores de soporte posterior</v>
          </cell>
        </row>
        <row r="6352">
          <cell r="A6352">
            <v>39121413</v>
          </cell>
          <cell r="B6352" t="str">
            <v>Conectores circulares</v>
          </cell>
        </row>
        <row r="6353">
          <cell r="A6353">
            <v>39121414</v>
          </cell>
          <cell r="B6353" t="str">
            <v>Conectores coaxiales</v>
          </cell>
        </row>
        <row r="6354">
          <cell r="A6354">
            <v>39121415</v>
          </cell>
          <cell r="B6354" t="str">
            <v>Conectores planos</v>
          </cell>
        </row>
        <row r="6355">
          <cell r="A6355">
            <v>39121416</v>
          </cell>
          <cell r="B6355" t="str">
            <v>Tapas de conectores eléctricos</v>
          </cell>
        </row>
        <row r="6356">
          <cell r="A6356">
            <v>39121419</v>
          </cell>
          <cell r="B6356" t="str">
            <v>Conexiones flexibles</v>
          </cell>
        </row>
        <row r="6357">
          <cell r="A6357">
            <v>39121420</v>
          </cell>
          <cell r="B6357" t="str">
            <v>Conectores herméticos</v>
          </cell>
        </row>
        <row r="6358">
          <cell r="A6358">
            <v>39121421</v>
          </cell>
          <cell r="B6358" t="str">
            <v>Ensambles de conectores</v>
          </cell>
        </row>
        <row r="6359">
          <cell r="A6359">
            <v>39121422</v>
          </cell>
          <cell r="B6359" t="str">
            <v>Acoplamientos mecánicos</v>
          </cell>
        </row>
        <row r="6360">
          <cell r="A6360">
            <v>39121423</v>
          </cell>
          <cell r="B6360" t="str">
            <v>Conectores de mandíbula de resorte</v>
          </cell>
        </row>
        <row r="6361">
          <cell r="A6361">
            <v>39121424</v>
          </cell>
          <cell r="B6361" t="str">
            <v>Tapas del bloque de terminales</v>
          </cell>
        </row>
        <row r="6362">
          <cell r="A6362">
            <v>39121425</v>
          </cell>
          <cell r="B6362" t="str">
            <v>Separador de tablero de terminales</v>
          </cell>
        </row>
        <row r="6363">
          <cell r="A6363">
            <v>39121426</v>
          </cell>
          <cell r="B6363" t="str">
            <v>Puente de conexión</v>
          </cell>
        </row>
        <row r="6364">
          <cell r="A6364">
            <v>39121427</v>
          </cell>
          <cell r="B6364" t="str">
            <v>Bobinadoras de cable</v>
          </cell>
        </row>
        <row r="6365">
          <cell r="A6365">
            <v>39121428</v>
          </cell>
          <cell r="B6365" t="str">
            <v>Bobinadoras eléctricas</v>
          </cell>
        </row>
        <row r="6366">
          <cell r="A6366">
            <v>39121429</v>
          </cell>
          <cell r="B6366" t="str">
            <v>Conector de fibra óptica</v>
          </cell>
        </row>
        <row r="6367">
          <cell r="A6367">
            <v>39121430</v>
          </cell>
          <cell r="B6367" t="str">
            <v>Sujetafusibles</v>
          </cell>
        </row>
        <row r="6368">
          <cell r="A6368">
            <v>39121431</v>
          </cell>
          <cell r="B6368" t="str">
            <v>Conectores estancos de cables</v>
          </cell>
        </row>
        <row r="6369">
          <cell r="A6369">
            <v>39121432</v>
          </cell>
          <cell r="B6369" t="str">
            <v>Terminales eléctricos</v>
          </cell>
        </row>
        <row r="6370">
          <cell r="A6370">
            <v>39121433</v>
          </cell>
          <cell r="B6370" t="str">
            <v>Conectores de radiofrecuencia (rf)</v>
          </cell>
        </row>
        <row r="6371">
          <cell r="A6371">
            <v>39121434</v>
          </cell>
          <cell r="B6371" t="str">
            <v>Conectores de tubos metálicos eléctricos (emt)</v>
          </cell>
        </row>
        <row r="6372">
          <cell r="A6372">
            <v>39121435</v>
          </cell>
          <cell r="B6372" t="str">
            <v>Hilos o cables de conexión</v>
          </cell>
        </row>
        <row r="6373">
          <cell r="A6373">
            <v>39121436</v>
          </cell>
          <cell r="B6373" t="str">
            <v>Electrodos</v>
          </cell>
        </row>
        <row r="6374">
          <cell r="A6374">
            <v>39121437</v>
          </cell>
          <cell r="B6374" t="str">
            <v>Patines de toma de corriente</v>
          </cell>
        </row>
        <row r="6375">
          <cell r="A6375">
            <v>39121501</v>
          </cell>
          <cell r="B6375" t="str">
            <v>Interruptores de seguridad</v>
          </cell>
        </row>
        <row r="6376">
          <cell r="A6376">
            <v>39121502</v>
          </cell>
          <cell r="B6376" t="str">
            <v>Conmutadores reductores</v>
          </cell>
        </row>
        <row r="6377">
          <cell r="A6377">
            <v>39121503</v>
          </cell>
          <cell r="B6377" t="str">
            <v>Conmutadores de tambor</v>
          </cell>
        </row>
        <row r="6378">
          <cell r="A6378">
            <v>39121504</v>
          </cell>
          <cell r="B6378" t="str">
            <v>Interruptores de tiempos</v>
          </cell>
        </row>
        <row r="6379">
          <cell r="A6379">
            <v>39121505</v>
          </cell>
          <cell r="B6379" t="str">
            <v>Interruptores de resorte</v>
          </cell>
        </row>
        <row r="6380">
          <cell r="A6380">
            <v>39121506</v>
          </cell>
          <cell r="B6380" t="str">
            <v>Interruptores automáticos por caída de presión</v>
          </cell>
        </row>
        <row r="6381">
          <cell r="A6381">
            <v>39121507</v>
          </cell>
          <cell r="B6381" t="str">
            <v>Interruptores de volquete</v>
          </cell>
        </row>
        <row r="6382">
          <cell r="A6382">
            <v>39121508</v>
          </cell>
          <cell r="B6382" t="str">
            <v>Conmutadores de botón deslizante</v>
          </cell>
        </row>
        <row r="6383">
          <cell r="A6383">
            <v>39121509</v>
          </cell>
          <cell r="B6383" t="str">
            <v>Interruptores de límite</v>
          </cell>
        </row>
        <row r="6384">
          <cell r="A6384">
            <v>39121510</v>
          </cell>
          <cell r="B6384" t="str">
            <v>Interruptores de combinadores</v>
          </cell>
        </row>
        <row r="6385">
          <cell r="A6385">
            <v>39121511</v>
          </cell>
          <cell r="B6385" t="str">
            <v>Interruptores variables</v>
          </cell>
        </row>
        <row r="6386">
          <cell r="A6386">
            <v>39121512</v>
          </cell>
          <cell r="B6386" t="str">
            <v>Interruptores pulsadores</v>
          </cell>
        </row>
        <row r="6387">
          <cell r="A6387">
            <v>39121513</v>
          </cell>
          <cell r="B6387" t="str">
            <v>Conmutadores rotatorios</v>
          </cell>
        </row>
        <row r="6388">
          <cell r="A6388">
            <v>39121514</v>
          </cell>
          <cell r="B6388" t="str">
            <v>Relés de potencia</v>
          </cell>
        </row>
        <row r="6389">
          <cell r="A6389">
            <v>39121515</v>
          </cell>
          <cell r="B6389" t="str">
            <v>Relés universales</v>
          </cell>
        </row>
        <row r="6390">
          <cell r="A6390">
            <v>39121516</v>
          </cell>
          <cell r="B6390" t="str">
            <v>Relés de clavija bipolar</v>
          </cell>
        </row>
        <row r="6391">
          <cell r="A6391">
            <v>39121517</v>
          </cell>
          <cell r="B6391" t="str">
            <v>Relés de voltaje alterno</v>
          </cell>
        </row>
        <row r="6392">
          <cell r="A6392">
            <v>39121518</v>
          </cell>
          <cell r="B6392" t="str">
            <v>Relés de mercurio</v>
          </cell>
        </row>
        <row r="6393">
          <cell r="A6393">
            <v>39121519</v>
          </cell>
          <cell r="B6393" t="str">
            <v>Relés de acción diferida</v>
          </cell>
        </row>
        <row r="6394">
          <cell r="A6394">
            <v>39121520</v>
          </cell>
          <cell r="B6394" t="str">
            <v>Relés de sobrecarga</v>
          </cell>
        </row>
        <row r="6395">
          <cell r="A6395">
            <v>39121521</v>
          </cell>
          <cell r="B6395" t="str">
            <v>Controles de motor de arranque</v>
          </cell>
        </row>
        <row r="6396">
          <cell r="A6396">
            <v>39121522</v>
          </cell>
          <cell r="B6396" t="str">
            <v>Contactos eléctricos</v>
          </cell>
        </row>
        <row r="6397">
          <cell r="A6397">
            <v>39121523</v>
          </cell>
          <cell r="B6397" t="str">
            <v>Temporizadores</v>
          </cell>
        </row>
        <row r="6398">
          <cell r="A6398">
            <v>39121524</v>
          </cell>
          <cell r="B6398" t="str">
            <v>Fotocontroles</v>
          </cell>
        </row>
        <row r="6399">
          <cell r="A6399">
            <v>39121525</v>
          </cell>
          <cell r="B6399" t="str">
            <v>Interruptores infusibles</v>
          </cell>
        </row>
        <row r="6400">
          <cell r="A6400">
            <v>39121527</v>
          </cell>
          <cell r="B6400" t="str">
            <v>Encodificadores</v>
          </cell>
        </row>
        <row r="6401">
          <cell r="A6401">
            <v>39121528</v>
          </cell>
          <cell r="B6401" t="str">
            <v>Sensores fotoeléctricos</v>
          </cell>
        </row>
        <row r="6402">
          <cell r="A6402">
            <v>39121529</v>
          </cell>
          <cell r="B6402" t="str">
            <v>Contactores</v>
          </cell>
        </row>
        <row r="6403">
          <cell r="A6403">
            <v>39121531</v>
          </cell>
          <cell r="B6403" t="str">
            <v>Interruptores de flotador o de nivel</v>
          </cell>
        </row>
        <row r="6404">
          <cell r="A6404">
            <v>39121532</v>
          </cell>
          <cell r="B6404" t="str">
            <v>Interruptores de radiofrecuencia (RF)</v>
          </cell>
        </row>
        <row r="6405">
          <cell r="A6405">
            <v>39121533</v>
          </cell>
          <cell r="B6405" t="str">
            <v>Piezas de interruptor y accesorios</v>
          </cell>
        </row>
        <row r="6406">
          <cell r="A6406">
            <v>39121534</v>
          </cell>
          <cell r="B6406" t="str">
            <v>Luces indicadoras o indicadores luminosos</v>
          </cell>
        </row>
        <row r="6407">
          <cell r="A6407">
            <v>39121535</v>
          </cell>
          <cell r="B6407" t="str">
            <v>Relés de control</v>
          </cell>
        </row>
        <row r="6408">
          <cell r="A6408">
            <v>39121536</v>
          </cell>
          <cell r="B6408" t="str">
            <v>Relés de interrupción de fase</v>
          </cell>
        </row>
        <row r="6409">
          <cell r="A6409">
            <v>39121537</v>
          </cell>
          <cell r="B6409" t="str">
            <v>Conmutadores de pedal</v>
          </cell>
        </row>
        <row r="6410">
          <cell r="A6410">
            <v>39121538</v>
          </cell>
          <cell r="B6410" t="str">
            <v>Conmutadores de flujo</v>
          </cell>
        </row>
        <row r="6411">
          <cell r="A6411">
            <v>39121539</v>
          </cell>
          <cell r="B6411" t="str">
            <v>Conmutadores de llave</v>
          </cell>
        </row>
        <row r="6412">
          <cell r="A6412">
            <v>39121540</v>
          </cell>
          <cell r="B6412" t="str">
            <v>Interruptores de mercurio</v>
          </cell>
        </row>
        <row r="6413">
          <cell r="A6413">
            <v>39121541</v>
          </cell>
          <cell r="B6413" t="str">
            <v>Conmutadores basculantes</v>
          </cell>
        </row>
        <row r="6414">
          <cell r="A6414">
            <v>39121542</v>
          </cell>
          <cell r="B6414" t="str">
            <v>Relés de estado sólido</v>
          </cell>
        </row>
        <row r="6415">
          <cell r="A6415">
            <v>39121543</v>
          </cell>
          <cell r="B6415" t="str">
            <v>Módulo de relés múltiples o de placa de relés</v>
          </cell>
        </row>
        <row r="6416">
          <cell r="A6416">
            <v>39121544</v>
          </cell>
          <cell r="B6416" t="str">
            <v>Piezas de luces indicadoras o accesorios</v>
          </cell>
        </row>
        <row r="6417">
          <cell r="A6417">
            <v>39121545</v>
          </cell>
          <cell r="B6417" t="str">
            <v>Paradas de emergencia</v>
          </cell>
        </row>
        <row r="6418">
          <cell r="A6418">
            <v>39121546</v>
          </cell>
          <cell r="B6418" t="str">
            <v>Controles o conmutadores de palanca de control</v>
          </cell>
        </row>
        <row r="6419">
          <cell r="A6419">
            <v>39121547</v>
          </cell>
          <cell r="B6419" t="str">
            <v>Soportes o zócalos de relés</v>
          </cell>
        </row>
        <row r="6420">
          <cell r="A6420">
            <v>39121548</v>
          </cell>
          <cell r="B6420" t="str">
            <v>Conmutadores de vacío</v>
          </cell>
        </row>
        <row r="6421">
          <cell r="A6421">
            <v>39121549</v>
          </cell>
          <cell r="B6421" t="str">
            <v>Termostato</v>
          </cell>
        </row>
        <row r="6422">
          <cell r="A6422">
            <v>39121550</v>
          </cell>
          <cell r="B6422" t="str">
            <v>Conmutadores de proximidad</v>
          </cell>
        </row>
        <row r="6423">
          <cell r="A6423">
            <v>39121551</v>
          </cell>
          <cell r="B6423" t="str">
            <v>Piezas de reflector</v>
          </cell>
        </row>
        <row r="6424">
          <cell r="A6424">
            <v>39121601</v>
          </cell>
          <cell r="B6424" t="str">
            <v>Breakers de circuito</v>
          </cell>
        </row>
        <row r="6425">
          <cell r="A6425">
            <v>39121602</v>
          </cell>
          <cell r="B6425" t="str">
            <v>Breakers de circuito magnético</v>
          </cell>
        </row>
        <row r="6426">
          <cell r="A6426">
            <v>39121603</v>
          </cell>
          <cell r="B6426" t="str">
            <v>Micro disyuntores</v>
          </cell>
        </row>
        <row r="6427">
          <cell r="A6427">
            <v>39121604</v>
          </cell>
          <cell r="B6427" t="str">
            <v>Fusibles de retardo</v>
          </cell>
        </row>
        <row r="6428">
          <cell r="A6428">
            <v>39121605</v>
          </cell>
          <cell r="B6428" t="str">
            <v>Fusibles de tapón</v>
          </cell>
        </row>
        <row r="6429">
          <cell r="A6429">
            <v>39121606</v>
          </cell>
          <cell r="B6429" t="str">
            <v>Fusibles de cartucho</v>
          </cell>
        </row>
        <row r="6430">
          <cell r="A6430">
            <v>39121607</v>
          </cell>
          <cell r="B6430" t="str">
            <v>Fusibles de cuerpo de vidrio</v>
          </cell>
        </row>
        <row r="6431">
          <cell r="A6431">
            <v>39121608</v>
          </cell>
          <cell r="B6431" t="str">
            <v>Fusibles de clase</v>
          </cell>
        </row>
        <row r="6432">
          <cell r="A6432">
            <v>39121609</v>
          </cell>
          <cell r="B6432" t="str">
            <v>Microfusibles</v>
          </cell>
        </row>
        <row r="6433">
          <cell r="A6433">
            <v>39121610</v>
          </cell>
          <cell r="B6433" t="str">
            <v>Supresor de ondas</v>
          </cell>
        </row>
        <row r="6434">
          <cell r="A6434">
            <v>39121611</v>
          </cell>
          <cell r="B6434" t="str">
            <v>Fusibles de cerámicas</v>
          </cell>
        </row>
        <row r="6435">
          <cell r="A6435">
            <v>39121612</v>
          </cell>
          <cell r="B6435" t="str">
            <v>Fusibles de cuchilla</v>
          </cell>
        </row>
        <row r="6436">
          <cell r="A6436">
            <v>39121613</v>
          </cell>
          <cell r="B6436" t="str">
            <v>Conjuntos o dispositivos de polo a tierra</v>
          </cell>
        </row>
        <row r="6437">
          <cell r="A6437">
            <v>39121614</v>
          </cell>
          <cell r="B6437" t="str">
            <v>Disyuntores de pérdida a tierra</v>
          </cell>
        </row>
        <row r="6438">
          <cell r="A6438">
            <v>39121615</v>
          </cell>
          <cell r="B6438" t="str">
            <v>Breakers de circuito de aire</v>
          </cell>
        </row>
        <row r="6439">
          <cell r="A6439">
            <v>39121616</v>
          </cell>
          <cell r="B6439" t="str">
            <v>Breakers de circuito de caja moldeada</v>
          </cell>
        </row>
        <row r="6440">
          <cell r="A6440">
            <v>39121617</v>
          </cell>
          <cell r="B6440" t="str">
            <v>Piezas de fusible o accesorios</v>
          </cell>
        </row>
        <row r="6441">
          <cell r="A6441">
            <v>39121618</v>
          </cell>
          <cell r="B6441" t="str">
            <v>Alambre para fusible</v>
          </cell>
        </row>
        <row r="6442">
          <cell r="A6442">
            <v>39121619</v>
          </cell>
          <cell r="B6442" t="str">
            <v>Fusibles tipo botella</v>
          </cell>
        </row>
        <row r="6443">
          <cell r="A6443">
            <v>39121701</v>
          </cell>
          <cell r="B6443" t="str">
            <v>Soportes eléctricos</v>
          </cell>
        </row>
        <row r="6444">
          <cell r="A6444">
            <v>39121702</v>
          </cell>
          <cell r="B6444" t="str">
            <v>Clips para cables</v>
          </cell>
        </row>
        <row r="6445">
          <cell r="A6445">
            <v>39121703</v>
          </cell>
          <cell r="B6445" t="str">
            <v>Enlaces de cables</v>
          </cell>
        </row>
        <row r="6446">
          <cell r="A6446">
            <v>39121704</v>
          </cell>
          <cell r="B6446" t="str">
            <v>Placas de pared</v>
          </cell>
        </row>
        <row r="6447">
          <cell r="A6447">
            <v>39121705</v>
          </cell>
          <cell r="B6447" t="str">
            <v>Grapas para cables</v>
          </cell>
        </row>
        <row r="6448">
          <cell r="A6448">
            <v>39121706</v>
          </cell>
          <cell r="B6448" t="str">
            <v>Bujes de transformadores</v>
          </cell>
        </row>
        <row r="6449">
          <cell r="A6449">
            <v>39121707</v>
          </cell>
          <cell r="B6449" t="str">
            <v>Clavos de tabla de arneses</v>
          </cell>
        </row>
        <row r="6450">
          <cell r="A6450">
            <v>39121708</v>
          </cell>
          <cell r="B6450" t="str">
            <v>Riel din</v>
          </cell>
        </row>
        <row r="6451">
          <cell r="A6451">
            <v>39121709</v>
          </cell>
          <cell r="B6451" t="str">
            <v>Atadura de mango</v>
          </cell>
        </row>
        <row r="6452">
          <cell r="A6452">
            <v>39121710</v>
          </cell>
          <cell r="B6452" t="str">
            <v>Receptáculo multiplicador eléctrico</v>
          </cell>
        </row>
        <row r="6453">
          <cell r="A6453">
            <v>39121711</v>
          </cell>
          <cell r="B6453" t="str">
            <v>Entubación</v>
          </cell>
        </row>
        <row r="6454">
          <cell r="A6454">
            <v>39121712</v>
          </cell>
          <cell r="B6454" t="str">
            <v>Finales</v>
          </cell>
        </row>
        <row r="6455">
          <cell r="A6455">
            <v>39121713</v>
          </cell>
          <cell r="B6455" t="str">
            <v>Cubierta de la bobina</v>
          </cell>
        </row>
        <row r="6456">
          <cell r="A6456">
            <v>39121714</v>
          </cell>
          <cell r="B6456" t="str">
            <v>Encintado de los pasahilos</v>
          </cell>
        </row>
        <row r="6457">
          <cell r="A6457">
            <v>39121715</v>
          </cell>
          <cell r="B6457" t="str">
            <v>Tubos corrugados para cableado posterior</v>
          </cell>
        </row>
        <row r="6458">
          <cell r="A6458">
            <v>39121716</v>
          </cell>
          <cell r="B6458" t="str">
            <v>Manga trenzada extensible</v>
          </cell>
        </row>
        <row r="6459">
          <cell r="A6459">
            <v>39121717</v>
          </cell>
          <cell r="B6459" t="str">
            <v>Montaje de fijador de cable</v>
          </cell>
        </row>
        <row r="6460">
          <cell r="A6460">
            <v>39121718</v>
          </cell>
          <cell r="B6460" t="str">
            <v>Kits de empalme de cables</v>
          </cell>
        </row>
        <row r="6461">
          <cell r="A6461">
            <v>39121719</v>
          </cell>
          <cell r="B6461" t="str">
            <v>Protectores</v>
          </cell>
        </row>
        <row r="6462">
          <cell r="A6462">
            <v>39121720</v>
          </cell>
          <cell r="B6462" t="str">
            <v>Asas de transformadores</v>
          </cell>
        </row>
        <row r="6463">
          <cell r="A6463">
            <v>39121721</v>
          </cell>
          <cell r="B6463" t="str">
            <v>Aislantes eléctricos</v>
          </cell>
        </row>
        <row r="6464">
          <cell r="A6464">
            <v>40101501</v>
          </cell>
          <cell r="B6464" t="str">
            <v>Colectores de aire</v>
          </cell>
        </row>
        <row r="6465">
          <cell r="A6465">
            <v>40101502</v>
          </cell>
          <cell r="B6465" t="str">
            <v>Extractores de aire</v>
          </cell>
        </row>
        <row r="6466">
          <cell r="A6466">
            <v>40101503</v>
          </cell>
          <cell r="B6466" t="str">
            <v>Rejilla de ventilación</v>
          </cell>
        </row>
        <row r="6467">
          <cell r="A6467">
            <v>40101504</v>
          </cell>
          <cell r="B6467" t="str">
            <v>Compuertas de ventilación</v>
          </cell>
        </row>
        <row r="6468">
          <cell r="A6468">
            <v>40101505</v>
          </cell>
          <cell r="B6468" t="str">
            <v>Difusores de aire</v>
          </cell>
        </row>
        <row r="6469">
          <cell r="A6469">
            <v>40101506</v>
          </cell>
          <cell r="B6469" t="str">
            <v>Tubos de ventilación</v>
          </cell>
        </row>
        <row r="6470">
          <cell r="A6470">
            <v>40101601</v>
          </cell>
          <cell r="B6470" t="str">
            <v>Secadores</v>
          </cell>
        </row>
        <row r="6471">
          <cell r="A6471">
            <v>40101602</v>
          </cell>
          <cell r="B6471" t="str">
            <v>Circuladores de aire</v>
          </cell>
        </row>
        <row r="6472">
          <cell r="A6472">
            <v>40101603</v>
          </cell>
          <cell r="B6472" t="str">
            <v>Impulsores</v>
          </cell>
        </row>
        <row r="6473">
          <cell r="A6473">
            <v>40101604</v>
          </cell>
          <cell r="B6473" t="str">
            <v>Ventiladores</v>
          </cell>
        </row>
        <row r="6474">
          <cell r="A6474">
            <v>40101605</v>
          </cell>
          <cell r="B6474" t="str">
            <v>Protectores o sus accesorios para ventiladores</v>
          </cell>
        </row>
        <row r="6475">
          <cell r="A6475">
            <v>40101701</v>
          </cell>
          <cell r="B6475" t="str">
            <v>Aires acondicionados</v>
          </cell>
        </row>
        <row r="6476">
          <cell r="A6476">
            <v>40101702</v>
          </cell>
          <cell r="B6476" t="str">
            <v>Intercambiadores de enfriado</v>
          </cell>
        </row>
        <row r="6477">
          <cell r="A6477">
            <v>40101703</v>
          </cell>
          <cell r="B6477" t="str">
            <v>Enfriadores de evaporación</v>
          </cell>
        </row>
        <row r="6478">
          <cell r="A6478">
            <v>40101704</v>
          </cell>
          <cell r="B6478" t="str">
            <v>Unidades de condensación</v>
          </cell>
        </row>
        <row r="6479">
          <cell r="A6479">
            <v>40101705</v>
          </cell>
          <cell r="B6479" t="str">
            <v>Ensamblajes de tubos capilares</v>
          </cell>
        </row>
        <row r="6480">
          <cell r="A6480">
            <v>40101706</v>
          </cell>
          <cell r="B6480" t="str">
            <v>Obturadores de aire acondicionado</v>
          </cell>
        </row>
        <row r="6481">
          <cell r="A6481">
            <v>40101707</v>
          </cell>
          <cell r="B6481" t="str">
            <v>Accesorios para torres de enfriamiento</v>
          </cell>
        </row>
        <row r="6482">
          <cell r="A6482">
            <v>40101801</v>
          </cell>
          <cell r="B6482" t="str">
            <v>Radiadores</v>
          </cell>
        </row>
        <row r="6483">
          <cell r="A6483">
            <v>40101802</v>
          </cell>
          <cell r="B6483" t="str">
            <v>Intercambiadores de calor</v>
          </cell>
        </row>
        <row r="6484">
          <cell r="A6484">
            <v>40101803</v>
          </cell>
          <cell r="B6484" t="str">
            <v>Chimeneas de leña</v>
          </cell>
        </row>
        <row r="6485">
          <cell r="A6485">
            <v>40101805</v>
          </cell>
          <cell r="B6485" t="str">
            <v>Calefacción</v>
          </cell>
        </row>
        <row r="6486">
          <cell r="A6486">
            <v>40101806</v>
          </cell>
          <cell r="B6486" t="str">
            <v>Bombas de calor</v>
          </cell>
        </row>
        <row r="6487">
          <cell r="A6487">
            <v>40101807</v>
          </cell>
          <cell r="B6487" t="str">
            <v>Unidades de calefacción solar</v>
          </cell>
        </row>
        <row r="6488">
          <cell r="A6488">
            <v>40101808</v>
          </cell>
          <cell r="B6488" t="str">
            <v>Estufas de calefacción</v>
          </cell>
        </row>
        <row r="6489">
          <cell r="A6489">
            <v>40101809</v>
          </cell>
          <cell r="B6489" t="str">
            <v>Calentadores de circulación</v>
          </cell>
        </row>
        <row r="6490">
          <cell r="A6490">
            <v>40101810</v>
          </cell>
          <cell r="B6490" t="str">
            <v>Calentadores de conductos de bobina</v>
          </cell>
        </row>
        <row r="6491">
          <cell r="A6491">
            <v>40101811</v>
          </cell>
          <cell r="B6491" t="str">
            <v>Calentadores de convección</v>
          </cell>
        </row>
        <row r="6492">
          <cell r="A6492">
            <v>40101812</v>
          </cell>
          <cell r="B6492" t="str">
            <v>Intercambiadores divididos</v>
          </cell>
        </row>
        <row r="6493">
          <cell r="A6493">
            <v>40101813</v>
          </cell>
          <cell r="B6493" t="str">
            <v>Intercambiadores de doble división</v>
          </cell>
        </row>
        <row r="6494">
          <cell r="A6494">
            <v>40101814</v>
          </cell>
          <cell r="B6494" t="str">
            <v>Calentadores de aletas tubulares</v>
          </cell>
        </row>
        <row r="6495">
          <cell r="A6495">
            <v>40101815</v>
          </cell>
          <cell r="B6495" t="str">
            <v>Calentadores de inmersión</v>
          </cell>
        </row>
        <row r="6496">
          <cell r="A6496">
            <v>40101816</v>
          </cell>
          <cell r="B6496" t="str">
            <v>Intercambiadores de teteras</v>
          </cell>
        </row>
        <row r="6497">
          <cell r="A6497">
            <v>40101817</v>
          </cell>
          <cell r="B6497" t="str">
            <v>Intercambiadores de una vía</v>
          </cell>
        </row>
        <row r="6498">
          <cell r="A6498">
            <v>40101818</v>
          </cell>
          <cell r="B6498" t="str">
            <v>Calentadores de procesamiento de aire</v>
          </cell>
        </row>
        <row r="6499">
          <cell r="A6499">
            <v>40101819</v>
          </cell>
          <cell r="B6499" t="str">
            <v>Calentadores de espacio</v>
          </cell>
        </row>
        <row r="6500">
          <cell r="A6500">
            <v>40101820</v>
          </cell>
          <cell r="B6500" t="str">
            <v>Intercambiadores divididos</v>
          </cell>
        </row>
        <row r="6501">
          <cell r="A6501">
            <v>40101821</v>
          </cell>
          <cell r="B6501" t="str">
            <v>Calentadores de banda</v>
          </cell>
        </row>
        <row r="6502">
          <cell r="A6502">
            <v>40101822</v>
          </cell>
          <cell r="B6502" t="str">
            <v>Calentadores tubulares</v>
          </cell>
        </row>
        <row r="6503">
          <cell r="A6503">
            <v>40101823</v>
          </cell>
          <cell r="B6503" t="str">
            <v>Intercambiadores de dos vías</v>
          </cell>
        </row>
        <row r="6504">
          <cell r="A6504">
            <v>40101824</v>
          </cell>
          <cell r="B6504" t="str">
            <v>Calentador de cuarzo</v>
          </cell>
        </row>
        <row r="6505">
          <cell r="A6505">
            <v>40101825</v>
          </cell>
          <cell r="B6505" t="str">
            <v>Calentadores de agua para uso doméstico</v>
          </cell>
        </row>
        <row r="6506">
          <cell r="A6506">
            <v>40101826</v>
          </cell>
          <cell r="B6506" t="str">
            <v>Calentadores de agua comerciales</v>
          </cell>
        </row>
        <row r="6507">
          <cell r="A6507">
            <v>40101827</v>
          </cell>
          <cell r="B6507" t="str">
            <v>Calentadores de fibra cerámica</v>
          </cell>
        </row>
        <row r="6508">
          <cell r="A6508">
            <v>40101828</v>
          </cell>
          <cell r="B6508" t="str">
            <v>Calentadores de cartucho</v>
          </cell>
        </row>
        <row r="6509">
          <cell r="A6509">
            <v>40101829</v>
          </cell>
          <cell r="B6509" t="str">
            <v>Calentadores de tiro</v>
          </cell>
        </row>
        <row r="6510">
          <cell r="A6510">
            <v>40101830</v>
          </cell>
          <cell r="B6510" t="str">
            <v>Elementos de calefacción</v>
          </cell>
        </row>
        <row r="6511">
          <cell r="A6511">
            <v>40101831</v>
          </cell>
          <cell r="B6511" t="str">
            <v>Calentadores de inducción</v>
          </cell>
        </row>
        <row r="6512">
          <cell r="A6512">
            <v>40101832</v>
          </cell>
          <cell r="B6512" t="str">
            <v>Puertas para equipos de calefacción</v>
          </cell>
        </row>
        <row r="6513">
          <cell r="A6513">
            <v>40101833</v>
          </cell>
          <cell r="B6513" t="str">
            <v>Encendedor para calderas o calentadores</v>
          </cell>
        </row>
        <row r="6514">
          <cell r="A6514">
            <v>40101834</v>
          </cell>
          <cell r="B6514" t="str">
            <v>Quemadores (fogones)</v>
          </cell>
        </row>
        <row r="6515">
          <cell r="A6515">
            <v>40101901</v>
          </cell>
          <cell r="B6515" t="str">
            <v>Vaporizadores</v>
          </cell>
        </row>
        <row r="6516">
          <cell r="A6516">
            <v>40101902</v>
          </cell>
          <cell r="B6516" t="str">
            <v>Deshumidificadores</v>
          </cell>
        </row>
        <row r="6517">
          <cell r="A6517">
            <v>40101903</v>
          </cell>
          <cell r="B6517" t="str">
            <v>Humidificadores</v>
          </cell>
        </row>
        <row r="6518">
          <cell r="A6518">
            <v>40102001</v>
          </cell>
          <cell r="B6518" t="str">
            <v>Quemadores de tubo radiante</v>
          </cell>
        </row>
        <row r="6519">
          <cell r="A6519">
            <v>40102002</v>
          </cell>
          <cell r="B6519" t="str">
            <v>Quemadores de tubo de agua</v>
          </cell>
        </row>
        <row r="6520">
          <cell r="A6520">
            <v>40102003</v>
          </cell>
          <cell r="B6520" t="str">
            <v>Quemadores eléctricos</v>
          </cell>
        </row>
        <row r="6521">
          <cell r="A6521">
            <v>40102004</v>
          </cell>
          <cell r="B6521" t="str">
            <v>Quemadores operados con gas natural</v>
          </cell>
        </row>
        <row r="6522">
          <cell r="A6522">
            <v>40102005</v>
          </cell>
          <cell r="B6522" t="str">
            <v>Quemadores operados con gas propano</v>
          </cell>
        </row>
        <row r="6523">
          <cell r="A6523">
            <v>40141602</v>
          </cell>
          <cell r="B6523" t="str">
            <v>Válvulas de aguja</v>
          </cell>
        </row>
        <row r="6524">
          <cell r="A6524">
            <v>40141603</v>
          </cell>
          <cell r="B6524" t="str">
            <v>Válvulas neumáticas</v>
          </cell>
        </row>
        <row r="6525">
          <cell r="A6525">
            <v>40141604</v>
          </cell>
          <cell r="B6525" t="str">
            <v>Válvulas de seguridad</v>
          </cell>
        </row>
        <row r="6526">
          <cell r="A6526">
            <v>40141605</v>
          </cell>
          <cell r="B6526" t="str">
            <v>Válvulas solenoides</v>
          </cell>
        </row>
        <row r="6527">
          <cell r="A6527">
            <v>40141606</v>
          </cell>
          <cell r="B6527" t="str">
            <v>Válvulas de relevo</v>
          </cell>
        </row>
        <row r="6528">
          <cell r="A6528">
            <v>40141607</v>
          </cell>
          <cell r="B6528" t="str">
            <v>Válvulas de bola</v>
          </cell>
        </row>
        <row r="6529">
          <cell r="A6529">
            <v>40141608</v>
          </cell>
          <cell r="B6529" t="str">
            <v>Válvulas hidráulicas</v>
          </cell>
        </row>
        <row r="6530">
          <cell r="A6530">
            <v>40141609</v>
          </cell>
          <cell r="B6530" t="str">
            <v>Válvulas de control</v>
          </cell>
        </row>
        <row r="6531">
          <cell r="A6531">
            <v>40141610</v>
          </cell>
          <cell r="B6531" t="str">
            <v>Válvulas de flotación</v>
          </cell>
        </row>
        <row r="6532">
          <cell r="A6532">
            <v>40141611</v>
          </cell>
          <cell r="B6532" t="str">
            <v>Válvulas de globo</v>
          </cell>
        </row>
        <row r="6533">
          <cell r="A6533">
            <v>40141612</v>
          </cell>
          <cell r="B6533" t="str">
            <v>Válvulas de expansión</v>
          </cell>
        </row>
        <row r="6534">
          <cell r="A6534">
            <v>40141613</v>
          </cell>
          <cell r="B6534" t="str">
            <v>Válvulas de compuerta</v>
          </cell>
        </row>
        <row r="6535">
          <cell r="A6535">
            <v>40141615</v>
          </cell>
          <cell r="B6535" t="str">
            <v>Válvulas de lengüeta</v>
          </cell>
        </row>
        <row r="6536">
          <cell r="A6536">
            <v>40141616</v>
          </cell>
          <cell r="B6536" t="str">
            <v>Partes o accesorios para válvulas</v>
          </cell>
        </row>
        <row r="6537">
          <cell r="A6537">
            <v>40141617</v>
          </cell>
          <cell r="B6537" t="str">
            <v>Válvulas esféricas de ángulo</v>
          </cell>
        </row>
        <row r="6538">
          <cell r="A6538">
            <v>40141618</v>
          </cell>
          <cell r="B6538" t="str">
            <v>Válvulas de seguridad de bola</v>
          </cell>
        </row>
        <row r="6539">
          <cell r="A6539">
            <v>40141619</v>
          </cell>
          <cell r="B6539" t="str">
            <v>Válvulas de mariposa con diseño de casquillo</v>
          </cell>
        </row>
        <row r="6540">
          <cell r="A6540">
            <v>40141620</v>
          </cell>
          <cell r="B6540" t="str">
            <v>Válvulas de mariposa con diseño de disco</v>
          </cell>
        </row>
        <row r="6541">
          <cell r="A6541">
            <v>40141621</v>
          </cell>
          <cell r="B6541" t="str">
            <v>Válvulas de diafragma</v>
          </cell>
        </row>
        <row r="6542">
          <cell r="A6542">
            <v>40141622</v>
          </cell>
          <cell r="B6542" t="str">
            <v>Válvulas de seguridad en línea</v>
          </cell>
        </row>
        <row r="6543">
          <cell r="A6543">
            <v>40141623</v>
          </cell>
          <cell r="B6543" t="str">
            <v>Válvulas tipo compuerta</v>
          </cell>
        </row>
        <row r="6544">
          <cell r="A6544">
            <v>40141624</v>
          </cell>
          <cell r="B6544" t="str">
            <v>Válvulas con pistones lubricados</v>
          </cell>
        </row>
        <row r="6545">
          <cell r="A6545">
            <v>40141625</v>
          </cell>
          <cell r="B6545" t="str">
            <v>Válvulas purgadoras de sedimentos (barro o lodo)</v>
          </cell>
        </row>
        <row r="6546">
          <cell r="A6546">
            <v>40141626</v>
          </cell>
          <cell r="B6546" t="str">
            <v>Válvulas con pistón no lubricado</v>
          </cell>
        </row>
        <row r="6547">
          <cell r="A6547">
            <v>40141627</v>
          </cell>
          <cell r="B6547" t="str">
            <v>Válvulas de orificio</v>
          </cell>
        </row>
        <row r="6548">
          <cell r="A6548">
            <v>40141628</v>
          </cell>
          <cell r="B6548" t="str">
            <v>Válvulas piloto</v>
          </cell>
        </row>
        <row r="6549">
          <cell r="A6549">
            <v>40141629</v>
          </cell>
          <cell r="B6549" t="str">
            <v>Válvulas de pinzamiento</v>
          </cell>
        </row>
        <row r="6550">
          <cell r="A6550">
            <v>40141630</v>
          </cell>
          <cell r="B6550" t="str">
            <v>Válvulas de seguridad de pistón</v>
          </cell>
        </row>
        <row r="6551">
          <cell r="A6551">
            <v>40141631</v>
          </cell>
          <cell r="B6551" t="str">
            <v>Válvulas de bombeo</v>
          </cell>
        </row>
        <row r="6552">
          <cell r="A6552">
            <v>40141632</v>
          </cell>
          <cell r="B6552" t="str">
            <v>Válvulas de monitoreo</v>
          </cell>
        </row>
        <row r="6553">
          <cell r="A6553">
            <v>40141633</v>
          </cell>
          <cell r="B6553" t="str">
            <v>Válvulas deslizantes</v>
          </cell>
        </row>
        <row r="6554">
          <cell r="A6554">
            <v>40141634</v>
          </cell>
          <cell r="B6554" t="str">
            <v>Válvulas de control de rotación</v>
          </cell>
        </row>
        <row r="6555">
          <cell r="A6555">
            <v>40141635</v>
          </cell>
          <cell r="B6555" t="str">
            <v>Válvulas de turbina</v>
          </cell>
        </row>
        <row r="6556">
          <cell r="A6556">
            <v>40141636</v>
          </cell>
          <cell r="B6556" t="str">
            <v>Kits de válvulas</v>
          </cell>
        </row>
        <row r="6557">
          <cell r="A6557">
            <v>40141637</v>
          </cell>
          <cell r="B6557" t="str">
            <v>Válvulas de control de disco</v>
          </cell>
        </row>
        <row r="6558">
          <cell r="A6558">
            <v>40141638</v>
          </cell>
          <cell r="B6558" t="str">
            <v>Válvulas alternadoras</v>
          </cell>
        </row>
        <row r="6559">
          <cell r="A6559">
            <v>40141701</v>
          </cell>
          <cell r="B6559" t="str">
            <v>Desagües</v>
          </cell>
        </row>
        <row r="6560">
          <cell r="A6560">
            <v>40141702</v>
          </cell>
          <cell r="B6560" t="str">
            <v>Grifos</v>
          </cell>
        </row>
        <row r="6561">
          <cell r="A6561">
            <v>40141703</v>
          </cell>
          <cell r="B6561" t="str">
            <v>Boquillas de ducha</v>
          </cell>
        </row>
        <row r="6562">
          <cell r="A6562">
            <v>40141704</v>
          </cell>
          <cell r="B6562" t="str">
            <v>Espigas</v>
          </cell>
        </row>
        <row r="6563">
          <cell r="A6563">
            <v>40141705</v>
          </cell>
          <cell r="B6563" t="str">
            <v>Caños</v>
          </cell>
        </row>
        <row r="6564">
          <cell r="A6564">
            <v>40141716</v>
          </cell>
          <cell r="B6564" t="str">
            <v>Sifones en P</v>
          </cell>
        </row>
        <row r="6565">
          <cell r="A6565">
            <v>40141719</v>
          </cell>
          <cell r="B6565" t="str">
            <v>Adaptadores para plomería</v>
          </cell>
        </row>
        <row r="6566">
          <cell r="A6566">
            <v>40141720</v>
          </cell>
          <cell r="B6566" t="str">
            <v>Conectores para plomería</v>
          </cell>
        </row>
        <row r="6567">
          <cell r="A6567">
            <v>40141725</v>
          </cell>
          <cell r="B6567" t="str">
            <v>Ganchos (soportes) para plomería</v>
          </cell>
        </row>
        <row r="6568">
          <cell r="A6568">
            <v>40141726</v>
          </cell>
          <cell r="B6568" t="str">
            <v>Hidrantes</v>
          </cell>
        </row>
        <row r="6569">
          <cell r="A6569">
            <v>40141727</v>
          </cell>
          <cell r="B6569" t="str">
            <v>Plomería de ventilación</v>
          </cell>
        </row>
        <row r="6570">
          <cell r="A6570">
            <v>40141731</v>
          </cell>
          <cell r="B6570" t="str">
            <v>Boquillas</v>
          </cell>
        </row>
        <row r="6571">
          <cell r="A6571">
            <v>40141732</v>
          </cell>
          <cell r="B6571" t="str">
            <v>Centradores (arañas) para plomería</v>
          </cell>
        </row>
        <row r="6572">
          <cell r="A6572">
            <v>40141734</v>
          </cell>
          <cell r="B6572" t="str">
            <v>Conectores para mangueras</v>
          </cell>
        </row>
        <row r="6573">
          <cell r="A6573">
            <v>40141735</v>
          </cell>
          <cell r="B6573" t="str">
            <v>Embudos</v>
          </cell>
        </row>
        <row r="6574">
          <cell r="A6574">
            <v>40141736</v>
          </cell>
          <cell r="B6574" t="str">
            <v>Graseras (de lubricación)</v>
          </cell>
        </row>
        <row r="6575">
          <cell r="A6575">
            <v>40141737</v>
          </cell>
          <cell r="B6575" t="str">
            <v>Diafragmas</v>
          </cell>
        </row>
        <row r="6576">
          <cell r="A6576">
            <v>40141738</v>
          </cell>
          <cell r="B6576" t="str">
            <v>Tapones de drenaje (de aceite)</v>
          </cell>
        </row>
        <row r="6577">
          <cell r="A6577">
            <v>40141739</v>
          </cell>
          <cell r="B6577" t="str">
            <v>Tapas de desagüe</v>
          </cell>
        </row>
        <row r="6578">
          <cell r="A6578">
            <v>40141740</v>
          </cell>
          <cell r="B6578" t="str">
            <v>Llave de la gasolina</v>
          </cell>
        </row>
        <row r="6579">
          <cell r="A6579">
            <v>40141741</v>
          </cell>
          <cell r="B6579" t="str">
            <v>Orificios de ajuste</v>
          </cell>
        </row>
        <row r="6580">
          <cell r="A6580">
            <v>40141742</v>
          </cell>
          <cell r="B6580" t="str">
            <v>Atomizadores</v>
          </cell>
        </row>
        <row r="6581">
          <cell r="A6581">
            <v>40141743</v>
          </cell>
          <cell r="B6581" t="str">
            <v>Puntas o capas de boquillas</v>
          </cell>
        </row>
        <row r="6582">
          <cell r="A6582">
            <v>40141744</v>
          </cell>
          <cell r="B6582" t="str">
            <v>Cuencos de drenaje</v>
          </cell>
        </row>
        <row r="6583">
          <cell r="A6583">
            <v>40141745</v>
          </cell>
          <cell r="B6583" t="str">
            <v>Fusibles de alta temperatura</v>
          </cell>
        </row>
        <row r="6584">
          <cell r="A6584">
            <v>40141746</v>
          </cell>
          <cell r="B6584" t="str">
            <v>Mirillas (indicadores de nivel)</v>
          </cell>
        </row>
        <row r="6585">
          <cell r="A6585">
            <v>40141901</v>
          </cell>
          <cell r="B6585" t="str">
            <v>Conductos flexibles</v>
          </cell>
        </row>
        <row r="6586">
          <cell r="A6586">
            <v>40141902</v>
          </cell>
          <cell r="B6586" t="str">
            <v>Conductos rígidos</v>
          </cell>
        </row>
        <row r="6587">
          <cell r="A6587">
            <v>40141903</v>
          </cell>
          <cell r="B6587" t="str">
            <v>Conductos o red de conductos de manganeso</v>
          </cell>
        </row>
        <row r="6588">
          <cell r="A6588">
            <v>40141904</v>
          </cell>
          <cell r="B6588" t="str">
            <v>Conductos o red de conductos de aleación ferrosa</v>
          </cell>
        </row>
        <row r="6589">
          <cell r="A6589">
            <v>40141905</v>
          </cell>
          <cell r="B6589" t="str">
            <v>Conductos o red de conductos de titanio</v>
          </cell>
        </row>
        <row r="6590">
          <cell r="A6590">
            <v>40141906</v>
          </cell>
          <cell r="B6590" t="str">
            <v>Conductos o red de conductos de latón</v>
          </cell>
        </row>
        <row r="6591">
          <cell r="A6591">
            <v>40141907</v>
          </cell>
          <cell r="B6591" t="str">
            <v>Conductos o red de conductos de latón</v>
          </cell>
        </row>
        <row r="6592">
          <cell r="A6592">
            <v>40141908</v>
          </cell>
          <cell r="B6592" t="str">
            <v>Conductos o red de conductos de plomo</v>
          </cell>
        </row>
        <row r="6593">
          <cell r="A6593">
            <v>40141909</v>
          </cell>
          <cell r="B6593" t="str">
            <v>Conductos o red de conductos de bronce</v>
          </cell>
        </row>
        <row r="6594">
          <cell r="A6594">
            <v>40141910</v>
          </cell>
          <cell r="B6594" t="str">
            <v>Conductos o red de conductos de zinc</v>
          </cell>
        </row>
        <row r="6595">
          <cell r="A6595">
            <v>40141911</v>
          </cell>
          <cell r="B6595" t="str">
            <v>Conductos o red de conductos de acero</v>
          </cell>
        </row>
        <row r="6596">
          <cell r="A6596">
            <v>40141912</v>
          </cell>
          <cell r="B6596" t="str">
            <v>Conductos o red de conductos de hierro</v>
          </cell>
        </row>
        <row r="6597">
          <cell r="A6597">
            <v>40141913</v>
          </cell>
          <cell r="B6597" t="str">
            <v>Conductos o red de conductos de cemento</v>
          </cell>
        </row>
        <row r="6598">
          <cell r="A6598">
            <v>40141914</v>
          </cell>
          <cell r="B6598" t="str">
            <v>Conductos o red de conductos de plástico</v>
          </cell>
        </row>
        <row r="6599">
          <cell r="A6599">
            <v>40141915</v>
          </cell>
          <cell r="B6599" t="str">
            <v>Conductos o red de conductos de caucho</v>
          </cell>
        </row>
        <row r="6600">
          <cell r="A6600">
            <v>40141916</v>
          </cell>
          <cell r="B6600" t="str">
            <v>Conductos o red de conductos de vidrio</v>
          </cell>
        </row>
        <row r="6601">
          <cell r="A6601">
            <v>40141917</v>
          </cell>
          <cell r="B6601" t="str">
            <v>Conductos o red de conductos de piedra</v>
          </cell>
        </row>
        <row r="6602">
          <cell r="A6602">
            <v>40141918</v>
          </cell>
          <cell r="B6602" t="str">
            <v>Conductos o red de conductos de aleación no ferrosa</v>
          </cell>
        </row>
        <row r="6603">
          <cell r="A6603">
            <v>40141919</v>
          </cell>
          <cell r="B6603" t="str">
            <v>Conductos o red de conductos de aluminio</v>
          </cell>
        </row>
        <row r="6604">
          <cell r="A6604">
            <v>40141920</v>
          </cell>
          <cell r="B6604" t="str">
            <v>Conductos o red de conductos de acero inoxidable</v>
          </cell>
        </row>
        <row r="6605">
          <cell r="A6605">
            <v>40141921</v>
          </cell>
          <cell r="B6605" t="str">
            <v>Conductos o red de conductos de metales preciosos</v>
          </cell>
        </row>
        <row r="6606">
          <cell r="A6606">
            <v>40141922</v>
          </cell>
          <cell r="B6606" t="str">
            <v>Conductos o red de conductos de cobre</v>
          </cell>
        </row>
        <row r="6607">
          <cell r="A6607">
            <v>40142001</v>
          </cell>
          <cell r="B6607" t="str">
            <v>Mangueras de ácido</v>
          </cell>
        </row>
        <row r="6608">
          <cell r="A6608">
            <v>40142002</v>
          </cell>
          <cell r="B6608" t="str">
            <v>Mangueras de aire</v>
          </cell>
        </row>
        <row r="6609">
          <cell r="A6609">
            <v>40142003</v>
          </cell>
          <cell r="B6609" t="str">
            <v>Mangueras de perforación</v>
          </cell>
        </row>
        <row r="6610">
          <cell r="A6610">
            <v>40142004</v>
          </cell>
          <cell r="B6610" t="str">
            <v>Mangueras marítimas</v>
          </cell>
        </row>
        <row r="6611">
          <cell r="A6611">
            <v>40142005</v>
          </cell>
          <cell r="B6611" t="str">
            <v>Mangueras para manipular material</v>
          </cell>
        </row>
        <row r="6612">
          <cell r="A6612">
            <v>40142006</v>
          </cell>
          <cell r="B6612" t="str">
            <v>Mangueras de aceite</v>
          </cell>
        </row>
        <row r="6613">
          <cell r="A6613">
            <v>40142007</v>
          </cell>
          <cell r="B6613" t="str">
            <v>Mangueras especiales</v>
          </cell>
        </row>
        <row r="6614">
          <cell r="A6614">
            <v>40142008</v>
          </cell>
          <cell r="B6614" t="str">
            <v>Mangueras de agua</v>
          </cell>
        </row>
        <row r="6615">
          <cell r="A6615">
            <v>40142009</v>
          </cell>
          <cell r="B6615" t="str">
            <v>Mangueras multipropósito de aire, agua y gas</v>
          </cell>
        </row>
        <row r="6616">
          <cell r="A6616">
            <v>40142010</v>
          </cell>
          <cell r="B6616" t="str">
            <v>Mangueras recubiertas de fluoropolímero</v>
          </cell>
        </row>
        <row r="6617">
          <cell r="A6617">
            <v>40142101</v>
          </cell>
          <cell r="B6617" t="str">
            <v>Tubería de acero al carbono</v>
          </cell>
        </row>
        <row r="6618">
          <cell r="A6618">
            <v>40142102</v>
          </cell>
          <cell r="B6618" t="str">
            <v>Tubería de hierro dúctil</v>
          </cell>
        </row>
        <row r="6619">
          <cell r="A6619">
            <v>40142103</v>
          </cell>
          <cell r="B6619" t="str">
            <v>Tubería de aleación de níquel alto</v>
          </cell>
        </row>
        <row r="6620">
          <cell r="A6620">
            <v>40142104</v>
          </cell>
          <cell r="B6620" t="str">
            <v>Tubería de acero de alto rendimiento</v>
          </cell>
        </row>
        <row r="6621">
          <cell r="A6621">
            <v>40142105</v>
          </cell>
          <cell r="B6621" t="str">
            <v>Tubería de aleación ferrosa</v>
          </cell>
        </row>
        <row r="6622">
          <cell r="A6622">
            <v>40142106</v>
          </cell>
          <cell r="B6622" t="str">
            <v>Tubería de aluminio</v>
          </cell>
        </row>
        <row r="6623">
          <cell r="A6623">
            <v>40142107</v>
          </cell>
          <cell r="B6623" t="str">
            <v>Tubería de latón</v>
          </cell>
        </row>
        <row r="6624">
          <cell r="A6624">
            <v>40142108</v>
          </cell>
          <cell r="B6624" t="str">
            <v>Tubería de bronce</v>
          </cell>
        </row>
        <row r="6625">
          <cell r="A6625">
            <v>40142109</v>
          </cell>
          <cell r="B6625" t="str">
            <v>Tubería de hormigón</v>
          </cell>
        </row>
        <row r="6626">
          <cell r="A6626">
            <v>40142110</v>
          </cell>
          <cell r="B6626" t="str">
            <v>Tubería de cobre</v>
          </cell>
        </row>
        <row r="6627">
          <cell r="A6627">
            <v>40142111</v>
          </cell>
          <cell r="B6627" t="str">
            <v>Tubería de hierro fundido</v>
          </cell>
        </row>
        <row r="6628">
          <cell r="A6628">
            <v>40142112</v>
          </cell>
          <cell r="B6628" t="str">
            <v>Tubería de plomo</v>
          </cell>
        </row>
        <row r="6629">
          <cell r="A6629">
            <v>40142113</v>
          </cell>
          <cell r="B6629" t="str">
            <v>Tubería de magnesio</v>
          </cell>
        </row>
        <row r="6630">
          <cell r="A6630">
            <v>40142114</v>
          </cell>
          <cell r="B6630" t="str">
            <v>Tubería de no ferroso</v>
          </cell>
        </row>
        <row r="6631">
          <cell r="A6631">
            <v>40142115</v>
          </cell>
          <cell r="B6631" t="str">
            <v>Tubería de plástico</v>
          </cell>
        </row>
        <row r="6632">
          <cell r="A6632">
            <v>40142116</v>
          </cell>
          <cell r="B6632" t="str">
            <v>Tubería de goma</v>
          </cell>
        </row>
        <row r="6633">
          <cell r="A6633">
            <v>40142117</v>
          </cell>
          <cell r="B6633" t="str">
            <v>Tubería de acero inoxidable</v>
          </cell>
        </row>
        <row r="6634">
          <cell r="A6634">
            <v>40142118</v>
          </cell>
          <cell r="B6634" t="str">
            <v>Tubería de hojalata</v>
          </cell>
        </row>
        <row r="6635">
          <cell r="A6635">
            <v>40142119</v>
          </cell>
          <cell r="B6635" t="str">
            <v>Tubería de titanio</v>
          </cell>
        </row>
        <row r="6636">
          <cell r="A6636">
            <v>40142120</v>
          </cell>
          <cell r="B6636" t="str">
            <v>Tubería de zinc</v>
          </cell>
        </row>
        <row r="6637">
          <cell r="A6637">
            <v>40142121</v>
          </cell>
          <cell r="B6637" t="str">
            <v>Carretes de manguera</v>
          </cell>
        </row>
        <row r="6638">
          <cell r="A6638">
            <v>40142122</v>
          </cell>
          <cell r="B6638" t="str">
            <v>Tubo de vidrio</v>
          </cell>
        </row>
        <row r="6639">
          <cell r="A6639">
            <v>40142201</v>
          </cell>
          <cell r="B6639" t="str">
            <v>Reguladores de gas</v>
          </cell>
        </row>
        <row r="6640">
          <cell r="A6640">
            <v>40142202</v>
          </cell>
          <cell r="B6640" t="str">
            <v>Reguladores de fluido</v>
          </cell>
        </row>
        <row r="6641">
          <cell r="A6641">
            <v>40142203</v>
          </cell>
          <cell r="B6641" t="str">
            <v>Kits de reparación de reguladores de fluido</v>
          </cell>
        </row>
        <row r="6642">
          <cell r="A6642">
            <v>40142301</v>
          </cell>
          <cell r="B6642" t="str">
            <v>Anillos de recubrimiento de ángulo de tubería</v>
          </cell>
        </row>
        <row r="6643">
          <cell r="A6643">
            <v>40142302</v>
          </cell>
          <cell r="B6643" t="str">
            <v>Salidas de ramal de tubería</v>
          </cell>
        </row>
        <row r="6644">
          <cell r="A6644">
            <v>40142303</v>
          </cell>
          <cell r="B6644" t="str">
            <v>Laterales de tubería</v>
          </cell>
        </row>
        <row r="6645">
          <cell r="A6645">
            <v>40142304</v>
          </cell>
          <cell r="B6645" t="str">
            <v>Injertos de tubería</v>
          </cell>
        </row>
        <row r="6646">
          <cell r="A6646">
            <v>40142305</v>
          </cell>
          <cell r="B6646" t="str">
            <v>Reductores de tubería</v>
          </cell>
        </row>
        <row r="6647">
          <cell r="A6647">
            <v>40142306</v>
          </cell>
          <cell r="B6647" t="str">
            <v>Asientos de tubería</v>
          </cell>
        </row>
        <row r="6648">
          <cell r="A6648">
            <v>40142307</v>
          </cell>
          <cell r="B6648" t="str">
            <v>Extremos cortos de tubería para soldar</v>
          </cell>
        </row>
        <row r="6649">
          <cell r="A6649">
            <v>40142308</v>
          </cell>
          <cell r="B6649" t="str">
            <v>Y o horquillas de tubería</v>
          </cell>
        </row>
        <row r="6650">
          <cell r="A6650">
            <v>40142309</v>
          </cell>
          <cell r="B6650" t="str">
            <v>Curva de tubería</v>
          </cell>
        </row>
        <row r="6651">
          <cell r="A6651">
            <v>40142310</v>
          </cell>
          <cell r="B6651" t="str">
            <v>Tapa de tubería</v>
          </cell>
        </row>
        <row r="6652">
          <cell r="A6652">
            <v>40142311</v>
          </cell>
          <cell r="B6652" t="str">
            <v>Medio acoplamiento de tubería</v>
          </cell>
        </row>
        <row r="6653">
          <cell r="A6653">
            <v>40142312</v>
          </cell>
          <cell r="B6653" t="str">
            <v>Conexión de expansión de tubería</v>
          </cell>
        </row>
        <row r="6654">
          <cell r="A6654">
            <v>40142313</v>
          </cell>
          <cell r="B6654" t="str">
            <v>Tapón de tubería</v>
          </cell>
        </row>
        <row r="6655">
          <cell r="A6655">
            <v>40142314</v>
          </cell>
          <cell r="B6655" t="str">
            <v>Buje de tubería</v>
          </cell>
        </row>
        <row r="6656">
          <cell r="A6656">
            <v>40142315</v>
          </cell>
          <cell r="B6656" t="str">
            <v>Acoplamientos de tubería</v>
          </cell>
        </row>
        <row r="6657">
          <cell r="A6657">
            <v>40142316</v>
          </cell>
          <cell r="B6657" t="str">
            <v>Injerto doble de tubería</v>
          </cell>
        </row>
        <row r="6658">
          <cell r="A6658">
            <v>40142317</v>
          </cell>
          <cell r="B6658" t="str">
            <v>Codo de tubería</v>
          </cell>
        </row>
        <row r="6659">
          <cell r="A6659">
            <v>40142318</v>
          </cell>
          <cell r="B6659" t="str">
            <v>Niples de tubería</v>
          </cell>
        </row>
        <row r="6660">
          <cell r="A6660">
            <v>40142319</v>
          </cell>
          <cell r="B6660" t="str">
            <v>Injertos de tubería</v>
          </cell>
        </row>
        <row r="6661">
          <cell r="A6661">
            <v>40142320</v>
          </cell>
          <cell r="B6661" t="str">
            <v>Uniones de tubería</v>
          </cell>
        </row>
        <row r="6662">
          <cell r="A6662">
            <v>40142321</v>
          </cell>
          <cell r="B6662" t="str">
            <v>Acoplamientos de reducción de tubería</v>
          </cell>
        </row>
        <row r="6663">
          <cell r="A6663">
            <v>40142322</v>
          </cell>
          <cell r="B6663" t="str">
            <v>Mordazas para reparar tubería</v>
          </cell>
        </row>
        <row r="6664">
          <cell r="A6664">
            <v>40142323</v>
          </cell>
          <cell r="B6664" t="str">
            <v>Disco de ruptura</v>
          </cell>
        </row>
        <row r="6665">
          <cell r="A6665">
            <v>40142324</v>
          </cell>
          <cell r="B6665" t="str">
            <v>Cajas de conexiones de tuberías</v>
          </cell>
        </row>
        <row r="6666">
          <cell r="A6666">
            <v>40142325</v>
          </cell>
          <cell r="B6666" t="str">
            <v>Deflectores de tubería</v>
          </cell>
        </row>
        <row r="6667">
          <cell r="A6667">
            <v>40142326</v>
          </cell>
          <cell r="B6667" t="str">
            <v>Separadores de tuberías</v>
          </cell>
        </row>
        <row r="6668">
          <cell r="A6668">
            <v>40142327</v>
          </cell>
          <cell r="B6668" t="str">
            <v>Juntas de rótula de tuberías</v>
          </cell>
        </row>
        <row r="6669">
          <cell r="A6669">
            <v>40142401</v>
          </cell>
          <cell r="B6669" t="str">
            <v>Bridas de amoníaco</v>
          </cell>
        </row>
        <row r="6670">
          <cell r="A6670">
            <v>40142402</v>
          </cell>
          <cell r="B6670" t="str">
            <v>Bridas de retención</v>
          </cell>
        </row>
        <row r="6671">
          <cell r="A6671">
            <v>40142403</v>
          </cell>
          <cell r="B6671" t="str">
            <v>Bridas ciegas</v>
          </cell>
        </row>
        <row r="6672">
          <cell r="A6672">
            <v>40142404</v>
          </cell>
          <cell r="B6672" t="str">
            <v>Bridas de junta de solapa</v>
          </cell>
        </row>
        <row r="6673">
          <cell r="A6673">
            <v>40142405</v>
          </cell>
          <cell r="B6673" t="str">
            <v>Bridas de casquillo largo para soldar</v>
          </cell>
        </row>
        <row r="6674">
          <cell r="A6674">
            <v>40142406</v>
          </cell>
          <cell r="B6674" t="str">
            <v>Bridas de orificio</v>
          </cell>
        </row>
        <row r="6675">
          <cell r="A6675">
            <v>40142407</v>
          </cell>
          <cell r="B6675" t="str">
            <v>Bridas de plato</v>
          </cell>
        </row>
        <row r="6676">
          <cell r="A6676">
            <v>40142408</v>
          </cell>
          <cell r="B6676" t="str">
            <v>Bridas de corrediza</v>
          </cell>
        </row>
        <row r="6677">
          <cell r="A6677">
            <v>40142409</v>
          </cell>
          <cell r="B6677" t="str">
            <v>Bridas de boquilla para soldar</v>
          </cell>
        </row>
        <row r="6678">
          <cell r="A6678">
            <v>40142410</v>
          </cell>
          <cell r="B6678" t="str">
            <v>Bridas ciegas de lentes</v>
          </cell>
        </row>
        <row r="6679">
          <cell r="A6679">
            <v>40142411</v>
          </cell>
          <cell r="B6679" t="str">
            <v>Bridas roscadas</v>
          </cell>
        </row>
        <row r="6680">
          <cell r="A6680">
            <v>40142412</v>
          </cell>
          <cell r="B6680" t="str">
            <v>Bridas de casquillo para soldar</v>
          </cell>
        </row>
        <row r="6681">
          <cell r="A6681">
            <v>40142413</v>
          </cell>
          <cell r="B6681" t="str">
            <v>Bridas de remate</v>
          </cell>
        </row>
        <row r="6682">
          <cell r="A6682">
            <v>40142414</v>
          </cell>
          <cell r="B6682" t="str">
            <v>Bridas reductoras</v>
          </cell>
        </row>
        <row r="6683">
          <cell r="A6683">
            <v>40142501</v>
          </cell>
          <cell r="B6683" t="str">
            <v>Filtros (coladores) de líquido</v>
          </cell>
        </row>
        <row r="6684">
          <cell r="A6684">
            <v>40142502</v>
          </cell>
          <cell r="B6684" t="str">
            <v>Trampas de líquido</v>
          </cell>
        </row>
        <row r="6685">
          <cell r="A6685">
            <v>40142503</v>
          </cell>
          <cell r="B6685" t="str">
            <v>Trampas de vapor</v>
          </cell>
        </row>
        <row r="6686">
          <cell r="A6686">
            <v>40142504</v>
          </cell>
          <cell r="B6686" t="str">
            <v>Filtros (coladores) de vapor</v>
          </cell>
        </row>
        <row r="6687">
          <cell r="A6687">
            <v>40142604</v>
          </cell>
          <cell r="B6687" t="str">
            <v>Codos de tubo</v>
          </cell>
        </row>
        <row r="6688">
          <cell r="A6688">
            <v>40142605</v>
          </cell>
          <cell r="B6688" t="str">
            <v>Piezas en T de tubo</v>
          </cell>
        </row>
        <row r="6689">
          <cell r="A6689">
            <v>40142606</v>
          </cell>
          <cell r="B6689" t="str">
            <v>Conexiones de tubo</v>
          </cell>
        </row>
        <row r="6690">
          <cell r="A6690">
            <v>40142607</v>
          </cell>
          <cell r="B6690" t="str">
            <v>Tapas de tubo</v>
          </cell>
        </row>
        <row r="6691">
          <cell r="A6691">
            <v>40142608</v>
          </cell>
          <cell r="B6691" t="str">
            <v>Boquillas acopladoras de tubo</v>
          </cell>
        </row>
        <row r="6692">
          <cell r="A6692">
            <v>40142609</v>
          </cell>
          <cell r="B6692" t="str">
            <v>Tapones de tubo</v>
          </cell>
        </row>
        <row r="6693">
          <cell r="A6693">
            <v>40142610</v>
          </cell>
          <cell r="B6693" t="str">
            <v>Acoplamientos de tubo</v>
          </cell>
        </row>
        <row r="6694">
          <cell r="A6694">
            <v>40142611</v>
          </cell>
          <cell r="B6694" t="str">
            <v>Pasantes de tubo</v>
          </cell>
        </row>
        <row r="6695">
          <cell r="A6695">
            <v>40142612</v>
          </cell>
          <cell r="B6695" t="str">
            <v>Adaptadores de tubo</v>
          </cell>
        </row>
        <row r="6696">
          <cell r="A6696">
            <v>40142613</v>
          </cell>
          <cell r="B6696" t="str">
            <v>Conectores de tubo</v>
          </cell>
        </row>
        <row r="6697">
          <cell r="A6697">
            <v>40142614</v>
          </cell>
          <cell r="B6697" t="str">
            <v>Cruces de tubo</v>
          </cell>
        </row>
        <row r="6698">
          <cell r="A6698">
            <v>40142615</v>
          </cell>
          <cell r="B6698" t="str">
            <v>Reductores de tubo</v>
          </cell>
        </row>
        <row r="6699">
          <cell r="A6699">
            <v>40151501</v>
          </cell>
          <cell r="B6699" t="str">
            <v>Bombas de aire</v>
          </cell>
        </row>
        <row r="6700">
          <cell r="A6700">
            <v>40151502</v>
          </cell>
          <cell r="B6700" t="str">
            <v>Bombas de vacío</v>
          </cell>
        </row>
        <row r="6701">
          <cell r="A6701">
            <v>40151503</v>
          </cell>
          <cell r="B6701" t="str">
            <v>Bombas centrífugas</v>
          </cell>
        </row>
        <row r="6702">
          <cell r="A6702">
            <v>40151504</v>
          </cell>
          <cell r="B6702" t="str">
            <v>Bombas de circulación</v>
          </cell>
        </row>
        <row r="6703">
          <cell r="A6703">
            <v>40151505</v>
          </cell>
          <cell r="B6703" t="str">
            <v>Bombas dosificadoras</v>
          </cell>
        </row>
        <row r="6704">
          <cell r="A6704">
            <v>40151506</v>
          </cell>
          <cell r="B6704" t="str">
            <v>Bombas de mano</v>
          </cell>
        </row>
        <row r="6705">
          <cell r="A6705">
            <v>40151507</v>
          </cell>
          <cell r="B6705" t="str">
            <v>Bombas de irrigación</v>
          </cell>
        </row>
        <row r="6706">
          <cell r="A6706">
            <v>40151508</v>
          </cell>
          <cell r="B6706" t="str">
            <v>Bombas de barro</v>
          </cell>
        </row>
        <row r="6707">
          <cell r="A6707">
            <v>40151509</v>
          </cell>
          <cell r="B6707" t="str">
            <v>Bombas recíprocas</v>
          </cell>
        </row>
        <row r="6708">
          <cell r="A6708">
            <v>40151510</v>
          </cell>
          <cell r="B6708" t="str">
            <v>Bombas de agua</v>
          </cell>
        </row>
        <row r="6709">
          <cell r="A6709">
            <v>40151511</v>
          </cell>
          <cell r="B6709" t="str">
            <v>Bombas para pozos</v>
          </cell>
        </row>
        <row r="6710">
          <cell r="A6710">
            <v>40151512</v>
          </cell>
          <cell r="B6710" t="str">
            <v>Bombas para sumideros</v>
          </cell>
        </row>
        <row r="6711">
          <cell r="A6711">
            <v>40151513</v>
          </cell>
          <cell r="B6711" t="str">
            <v>Bombas sumergibles</v>
          </cell>
        </row>
        <row r="6712">
          <cell r="A6712">
            <v>40151514</v>
          </cell>
          <cell r="B6712" t="str">
            <v>Bombas de vapor</v>
          </cell>
        </row>
        <row r="6713">
          <cell r="A6713">
            <v>40151515</v>
          </cell>
          <cell r="B6713" t="str">
            <v>Bombas solenoides</v>
          </cell>
        </row>
        <row r="6714">
          <cell r="A6714">
            <v>40151516</v>
          </cell>
          <cell r="B6714" t="str">
            <v>Bombas de corte</v>
          </cell>
        </row>
        <row r="6715">
          <cell r="A6715">
            <v>40151517</v>
          </cell>
          <cell r="B6715" t="str">
            <v>Bombas de alcantarillado</v>
          </cell>
        </row>
        <row r="6716">
          <cell r="A6716">
            <v>40151518</v>
          </cell>
          <cell r="B6716" t="str">
            <v>Bombas no selladas</v>
          </cell>
        </row>
        <row r="6717">
          <cell r="A6717">
            <v>40151519</v>
          </cell>
          <cell r="B6717" t="str">
            <v>Bombas sanitarias</v>
          </cell>
        </row>
        <row r="6718">
          <cell r="A6718">
            <v>40151520</v>
          </cell>
          <cell r="B6718" t="str">
            <v>Bombas de muestreo</v>
          </cell>
        </row>
        <row r="6719">
          <cell r="A6719">
            <v>40151521</v>
          </cell>
          <cell r="B6719" t="str">
            <v>Bombas giratorias</v>
          </cell>
        </row>
        <row r="6720">
          <cell r="A6720">
            <v>40151522</v>
          </cell>
          <cell r="B6720" t="str">
            <v>Bombas de osmosis inversa</v>
          </cell>
        </row>
        <row r="6721">
          <cell r="A6721">
            <v>40151523</v>
          </cell>
          <cell r="B6721" t="str">
            <v>Bombas de desplazamiento positivo</v>
          </cell>
        </row>
        <row r="6722">
          <cell r="A6722">
            <v>40151524</v>
          </cell>
          <cell r="B6722" t="str">
            <v>Bombas de aceite</v>
          </cell>
        </row>
        <row r="6723">
          <cell r="A6723">
            <v>40151525</v>
          </cell>
          <cell r="B6723" t="str">
            <v>Bombas de lodo</v>
          </cell>
        </row>
        <row r="6724">
          <cell r="A6724">
            <v>40151526</v>
          </cell>
          <cell r="B6724" t="str">
            <v>Bombas de turbina</v>
          </cell>
        </row>
        <row r="6725">
          <cell r="A6725">
            <v>40151527</v>
          </cell>
          <cell r="B6725" t="str">
            <v>Bombas de émbolo</v>
          </cell>
        </row>
        <row r="6726">
          <cell r="A6726">
            <v>40151528</v>
          </cell>
          <cell r="B6726" t="str">
            <v>Bombas oscilantes</v>
          </cell>
        </row>
        <row r="6727">
          <cell r="A6727">
            <v>40151529</v>
          </cell>
          <cell r="B6727" t="str">
            <v>Bombas de tambor</v>
          </cell>
        </row>
        <row r="6728">
          <cell r="A6728">
            <v>40151530</v>
          </cell>
          <cell r="B6728" t="str">
            <v>Bombas de dragado</v>
          </cell>
        </row>
        <row r="6729">
          <cell r="A6729">
            <v>40151531</v>
          </cell>
          <cell r="B6729" t="str">
            <v>Bombas para remover agua</v>
          </cell>
        </row>
        <row r="6730">
          <cell r="A6730">
            <v>40151532</v>
          </cell>
          <cell r="B6730" t="str">
            <v>Bombas de combustible</v>
          </cell>
        </row>
        <row r="6731">
          <cell r="A6731">
            <v>40151533</v>
          </cell>
          <cell r="B6731" t="str">
            <v>Bombas hidráulicas</v>
          </cell>
        </row>
        <row r="6732">
          <cell r="A6732">
            <v>40151534</v>
          </cell>
          <cell r="B6732" t="str">
            <v>Bombas criogénicas</v>
          </cell>
        </row>
        <row r="6733">
          <cell r="A6733">
            <v>40151546</v>
          </cell>
          <cell r="B6733" t="str">
            <v>Bombas de partición axial</v>
          </cell>
        </row>
        <row r="6734">
          <cell r="A6734">
            <v>40151547</v>
          </cell>
          <cell r="B6734" t="str">
            <v>Bombas de pozo profundo</v>
          </cell>
        </row>
        <row r="6735">
          <cell r="A6735">
            <v>40151548</v>
          </cell>
          <cell r="B6735" t="str">
            <v>Bombas de diafragma</v>
          </cell>
        </row>
        <row r="6736">
          <cell r="A6736">
            <v>40151549</v>
          </cell>
          <cell r="B6736" t="str">
            <v>Bombas de doble diafragma</v>
          </cell>
        </row>
        <row r="6737">
          <cell r="A6737">
            <v>40151550</v>
          </cell>
          <cell r="B6737" t="str">
            <v>Bombas dúplex</v>
          </cell>
        </row>
        <row r="6738">
          <cell r="A6738">
            <v>40151551</v>
          </cell>
          <cell r="B6738" t="str">
            <v>Bombas de engranaje</v>
          </cell>
        </row>
        <row r="6739">
          <cell r="A6739">
            <v>40151552</v>
          </cell>
          <cell r="B6739" t="str">
            <v>Bombas de metraje o inyección o proporcionales</v>
          </cell>
        </row>
        <row r="6740">
          <cell r="A6740">
            <v>40151553</v>
          </cell>
          <cell r="B6740" t="str">
            <v>Bombas de cavidad progresiva</v>
          </cell>
        </row>
        <row r="6741">
          <cell r="A6741">
            <v>40151554</v>
          </cell>
          <cell r="B6741" t="str">
            <v>Bombas de pistón</v>
          </cell>
        </row>
        <row r="6742">
          <cell r="A6742">
            <v>40151555</v>
          </cell>
          <cell r="B6742" t="str">
            <v>Bombas de resalte rotatorias</v>
          </cell>
        </row>
        <row r="6743">
          <cell r="A6743">
            <v>40151556</v>
          </cell>
          <cell r="B6743" t="str">
            <v>Bombas de leva rotatorias</v>
          </cell>
        </row>
        <row r="6744">
          <cell r="A6744">
            <v>40151557</v>
          </cell>
          <cell r="B6744" t="str">
            <v>Bombas de pistón rotatorias</v>
          </cell>
        </row>
        <row r="6745">
          <cell r="A6745">
            <v>40151558</v>
          </cell>
          <cell r="B6745" t="str">
            <v>Bombas de tuerca</v>
          </cell>
        </row>
        <row r="6746">
          <cell r="A6746">
            <v>40151559</v>
          </cell>
          <cell r="B6746" t="str">
            <v>Bombas simplex</v>
          </cell>
        </row>
        <row r="6747">
          <cell r="A6747">
            <v>40151560</v>
          </cell>
          <cell r="B6747" t="str">
            <v>Bombas de paleta deslizante</v>
          </cell>
        </row>
        <row r="6748">
          <cell r="A6748">
            <v>40151561</v>
          </cell>
          <cell r="B6748" t="str">
            <v>Bombas triplex</v>
          </cell>
        </row>
        <row r="6749">
          <cell r="A6749">
            <v>40151562</v>
          </cell>
          <cell r="B6749" t="str">
            <v>Bombas de tornillo</v>
          </cell>
        </row>
        <row r="6750">
          <cell r="A6750">
            <v>40151563</v>
          </cell>
          <cell r="B6750" t="str">
            <v>Sets de bombas contra incendio</v>
          </cell>
        </row>
        <row r="6751">
          <cell r="A6751">
            <v>40151564</v>
          </cell>
          <cell r="B6751" t="str">
            <v>Bombas químicas</v>
          </cell>
        </row>
        <row r="6752">
          <cell r="A6752">
            <v>40151601</v>
          </cell>
          <cell r="B6752" t="str">
            <v>Compresores de aire</v>
          </cell>
        </row>
        <row r="6753">
          <cell r="A6753">
            <v>40151602</v>
          </cell>
          <cell r="B6753" t="str">
            <v>Compresores de flujo axiales</v>
          </cell>
        </row>
        <row r="6754">
          <cell r="A6754">
            <v>40151603</v>
          </cell>
          <cell r="B6754" t="str">
            <v>Compresores de diafragma</v>
          </cell>
        </row>
        <row r="6755">
          <cell r="A6755">
            <v>40151604</v>
          </cell>
          <cell r="B6755" t="str">
            <v>Compresores de gas</v>
          </cell>
        </row>
        <row r="6756">
          <cell r="A6756">
            <v>40151605</v>
          </cell>
          <cell r="B6756" t="str">
            <v>Compresores de motor</v>
          </cell>
        </row>
        <row r="6757">
          <cell r="A6757">
            <v>40151606</v>
          </cell>
          <cell r="B6757" t="str">
            <v>Compresores recíprocos</v>
          </cell>
        </row>
        <row r="6758">
          <cell r="A6758">
            <v>40151607</v>
          </cell>
          <cell r="B6758" t="str">
            <v>Compresores refrigerantes</v>
          </cell>
        </row>
        <row r="6759">
          <cell r="A6759">
            <v>40151608</v>
          </cell>
          <cell r="B6759" t="str">
            <v>Compresores rotativos</v>
          </cell>
        </row>
        <row r="6760">
          <cell r="A6760">
            <v>40151609</v>
          </cell>
          <cell r="B6760" t="str">
            <v>Compresores de tuerca</v>
          </cell>
        </row>
        <row r="6761">
          <cell r="A6761">
            <v>40151610</v>
          </cell>
          <cell r="B6761" t="str">
            <v>Piezas de compresor o accesorios</v>
          </cell>
        </row>
        <row r="6762">
          <cell r="A6762">
            <v>40151611</v>
          </cell>
          <cell r="B6762" t="str">
            <v>Compresores de barril</v>
          </cell>
        </row>
        <row r="6763">
          <cell r="A6763">
            <v>40151612</v>
          </cell>
          <cell r="B6763" t="str">
            <v>Compresores centrífugos</v>
          </cell>
        </row>
        <row r="6764">
          <cell r="A6764">
            <v>40151613</v>
          </cell>
          <cell r="B6764" t="str">
            <v>Compresores de combinación</v>
          </cell>
        </row>
        <row r="6765">
          <cell r="A6765">
            <v>40151614</v>
          </cell>
          <cell r="B6765" t="str">
            <v>Compresores semi radiales</v>
          </cell>
        </row>
        <row r="6766">
          <cell r="A6766">
            <v>40151615</v>
          </cell>
          <cell r="B6766" t="str">
            <v>Turbo compresores</v>
          </cell>
        </row>
        <row r="6767">
          <cell r="A6767">
            <v>40151616</v>
          </cell>
          <cell r="B6767" t="str">
            <v>Kits de compresores</v>
          </cell>
        </row>
        <row r="6768">
          <cell r="A6768">
            <v>40151701</v>
          </cell>
          <cell r="B6768" t="str">
            <v>Carcasas para bombas</v>
          </cell>
        </row>
        <row r="6769">
          <cell r="A6769">
            <v>40151712</v>
          </cell>
          <cell r="B6769" t="str">
            <v>Empaques para bombas</v>
          </cell>
        </row>
        <row r="6770">
          <cell r="A6770">
            <v>40151713</v>
          </cell>
          <cell r="B6770" t="str">
            <v>Revestimientos para bombas</v>
          </cell>
        </row>
        <row r="6771">
          <cell r="A6771">
            <v>40151714</v>
          </cell>
          <cell r="B6771" t="str">
            <v>Barriles para bombas</v>
          </cell>
        </row>
        <row r="6772">
          <cell r="A6772">
            <v>40151715</v>
          </cell>
          <cell r="B6772" t="str">
            <v>Poleas para bombas</v>
          </cell>
        </row>
        <row r="6773">
          <cell r="A6773">
            <v>40151716</v>
          </cell>
          <cell r="B6773" t="str">
            <v>Cabezas para bombas</v>
          </cell>
        </row>
        <row r="6774">
          <cell r="A6774">
            <v>40151717</v>
          </cell>
          <cell r="B6774" t="str">
            <v>Discos para bombas</v>
          </cell>
        </row>
        <row r="6775">
          <cell r="A6775">
            <v>40151718</v>
          </cell>
          <cell r="B6775" t="str">
            <v>Partes de repuesto para bombas de lodo</v>
          </cell>
        </row>
        <row r="6776">
          <cell r="A6776">
            <v>40151719</v>
          </cell>
          <cell r="B6776" t="str">
            <v>Partes de repuesto para bombas de alcantarillado</v>
          </cell>
        </row>
        <row r="6777">
          <cell r="A6777">
            <v>40151720</v>
          </cell>
          <cell r="B6777" t="str">
            <v>Partes de repuesto para bombas sumergibles</v>
          </cell>
        </row>
        <row r="6778">
          <cell r="A6778">
            <v>40151721</v>
          </cell>
          <cell r="B6778" t="str">
            <v>Partes de repuesto para bombas de agua</v>
          </cell>
        </row>
        <row r="6779">
          <cell r="A6779">
            <v>40151722</v>
          </cell>
          <cell r="B6779" t="str">
            <v>Partes de repuesto para bombas de pozo</v>
          </cell>
        </row>
        <row r="6780">
          <cell r="A6780">
            <v>40151723</v>
          </cell>
          <cell r="B6780" t="str">
            <v>Partes de repuesto para bombas de sumidero</v>
          </cell>
        </row>
        <row r="6781">
          <cell r="A6781">
            <v>40151724</v>
          </cell>
          <cell r="B6781" t="str">
            <v>Partes de repuesto para bombas dosificadoras</v>
          </cell>
        </row>
        <row r="6782">
          <cell r="A6782">
            <v>40151725</v>
          </cell>
          <cell r="B6782" t="str">
            <v>Partes de repuesto para bombas centrífugas</v>
          </cell>
        </row>
        <row r="6783">
          <cell r="A6783">
            <v>40151726</v>
          </cell>
          <cell r="B6783" t="str">
            <v>Partes de repuesto para bombas de circulación</v>
          </cell>
        </row>
        <row r="6784">
          <cell r="A6784">
            <v>40151727</v>
          </cell>
          <cell r="B6784" t="str">
            <v>Partes de repuesto para bombas rotatorias</v>
          </cell>
        </row>
        <row r="6785">
          <cell r="A6785">
            <v>40151728</v>
          </cell>
          <cell r="B6785" t="str">
            <v>Kits de reparación de bombas</v>
          </cell>
        </row>
        <row r="6786">
          <cell r="A6786">
            <v>40161501</v>
          </cell>
          <cell r="B6786" t="str">
            <v>Filtros al vacío</v>
          </cell>
        </row>
        <row r="6787">
          <cell r="A6787">
            <v>40161502</v>
          </cell>
          <cell r="B6787" t="str">
            <v>Filtros de agua</v>
          </cell>
        </row>
        <row r="6788">
          <cell r="A6788">
            <v>40161503</v>
          </cell>
          <cell r="B6788" t="str">
            <v>Recolectores de polvo</v>
          </cell>
        </row>
        <row r="6789">
          <cell r="A6789">
            <v>40161504</v>
          </cell>
          <cell r="B6789" t="str">
            <v>Filtros de aceite</v>
          </cell>
        </row>
        <row r="6790">
          <cell r="A6790">
            <v>40161505</v>
          </cell>
          <cell r="B6790" t="str">
            <v>Filtros de aire</v>
          </cell>
        </row>
        <row r="6791">
          <cell r="A6791">
            <v>40161506</v>
          </cell>
          <cell r="B6791" t="str">
            <v>Maquinaria de filtrado</v>
          </cell>
        </row>
        <row r="6792">
          <cell r="A6792">
            <v>40161507</v>
          </cell>
          <cell r="B6792" t="str">
            <v>Membranas de filtrado</v>
          </cell>
        </row>
        <row r="6793">
          <cell r="A6793">
            <v>40161508</v>
          </cell>
          <cell r="B6793" t="str">
            <v>Filtros de bolsa</v>
          </cell>
        </row>
        <row r="6794">
          <cell r="A6794">
            <v>40161509</v>
          </cell>
          <cell r="B6794" t="str">
            <v>Filtros de absorción</v>
          </cell>
        </row>
        <row r="6795">
          <cell r="A6795">
            <v>40161511</v>
          </cell>
          <cell r="B6795" t="str">
            <v>Filtros coalescentes</v>
          </cell>
        </row>
        <row r="6796">
          <cell r="A6796">
            <v>40161512</v>
          </cell>
          <cell r="B6796" t="str">
            <v>Filtros electrónicos</v>
          </cell>
        </row>
        <row r="6797">
          <cell r="A6797">
            <v>40161513</v>
          </cell>
          <cell r="B6797" t="str">
            <v>Filtros de combustible</v>
          </cell>
        </row>
        <row r="6798">
          <cell r="A6798">
            <v>40161514</v>
          </cell>
          <cell r="B6798" t="str">
            <v>Filtros para tuberías de gas</v>
          </cell>
        </row>
        <row r="6799">
          <cell r="A6799">
            <v>40161515</v>
          </cell>
          <cell r="B6799" t="str">
            <v>Filtros hidráulicos</v>
          </cell>
        </row>
        <row r="6800">
          <cell r="A6800">
            <v>40161516</v>
          </cell>
          <cell r="B6800" t="str">
            <v>Filtros en línea</v>
          </cell>
        </row>
        <row r="6801">
          <cell r="A6801">
            <v>40161517</v>
          </cell>
          <cell r="B6801" t="str">
            <v>Filtros de luz</v>
          </cell>
        </row>
        <row r="6802">
          <cell r="A6802">
            <v>40161518</v>
          </cell>
          <cell r="B6802" t="str">
            <v>Filtros de microfibra</v>
          </cell>
        </row>
        <row r="6803">
          <cell r="A6803">
            <v>40161519</v>
          </cell>
          <cell r="B6803" t="str">
            <v>Filtros de panel</v>
          </cell>
        </row>
        <row r="6804">
          <cell r="A6804">
            <v>40161520</v>
          </cell>
          <cell r="B6804" t="str">
            <v>Filtros de aletas radiales</v>
          </cell>
        </row>
        <row r="6805">
          <cell r="A6805">
            <v>40161521</v>
          </cell>
          <cell r="B6805" t="str">
            <v>Bases para filtros</v>
          </cell>
        </row>
        <row r="6806">
          <cell r="A6806">
            <v>40161522</v>
          </cell>
          <cell r="B6806" t="str">
            <v>Aletas para filtros</v>
          </cell>
        </row>
        <row r="6807">
          <cell r="A6807">
            <v>40161524</v>
          </cell>
          <cell r="B6807" t="str">
            <v>Filtros de pintura</v>
          </cell>
        </row>
        <row r="6808">
          <cell r="A6808">
            <v>40161525</v>
          </cell>
          <cell r="B6808" t="str">
            <v>Contenedores para filtros</v>
          </cell>
        </row>
        <row r="6809">
          <cell r="A6809">
            <v>40161526</v>
          </cell>
          <cell r="B6809" t="str">
            <v>Retenedores o accesorios para filtros</v>
          </cell>
        </row>
        <row r="6810">
          <cell r="A6810">
            <v>40161527</v>
          </cell>
          <cell r="B6810" t="str">
            <v>Kits de reparación de filtros</v>
          </cell>
        </row>
        <row r="6811">
          <cell r="A6811">
            <v>40161601</v>
          </cell>
          <cell r="B6811" t="str">
            <v>Neutralizador (depurador) de aire</v>
          </cell>
        </row>
        <row r="6812">
          <cell r="A6812">
            <v>40161602</v>
          </cell>
          <cell r="B6812" t="str">
            <v>Limpiadores de aire</v>
          </cell>
        </row>
        <row r="6813">
          <cell r="A6813">
            <v>40161701</v>
          </cell>
          <cell r="B6813" t="str">
            <v>Centrífugas</v>
          </cell>
        </row>
        <row r="6814">
          <cell r="A6814">
            <v>40161702</v>
          </cell>
          <cell r="B6814" t="str">
            <v>Lavador húmedo</v>
          </cell>
        </row>
        <row r="6815">
          <cell r="A6815">
            <v>40161703</v>
          </cell>
          <cell r="B6815" t="str">
            <v>Eliminadores de niebla</v>
          </cell>
        </row>
        <row r="6816">
          <cell r="A6816">
            <v>40161704</v>
          </cell>
          <cell r="B6816" t="str">
            <v>Hidrociclones</v>
          </cell>
        </row>
        <row r="6817">
          <cell r="A6817">
            <v>40161801</v>
          </cell>
          <cell r="B6817" t="str">
            <v>Medios de textiles metálicos</v>
          </cell>
        </row>
        <row r="6818">
          <cell r="A6818">
            <v>40161802</v>
          </cell>
          <cell r="B6818" t="str">
            <v>Fieltros prensados</v>
          </cell>
        </row>
        <row r="6819">
          <cell r="A6819">
            <v>40161803</v>
          </cell>
          <cell r="B6819" t="str">
            <v>Papeles filtrantes</v>
          </cell>
        </row>
        <row r="6820">
          <cell r="A6820">
            <v>40161804</v>
          </cell>
          <cell r="B6820" t="str">
            <v>Ayudas filtrantes</v>
          </cell>
        </row>
        <row r="6821">
          <cell r="A6821">
            <v>40161805</v>
          </cell>
          <cell r="B6821" t="str">
            <v>Paño filtrante</v>
          </cell>
        </row>
        <row r="6822">
          <cell r="A6822">
            <v>40161806</v>
          </cell>
          <cell r="B6822" t="str">
            <v>Malla filtrante</v>
          </cell>
        </row>
        <row r="6823">
          <cell r="A6823">
            <v>41101502</v>
          </cell>
          <cell r="B6823" t="str">
            <v>Bolsas “stomachers”</v>
          </cell>
        </row>
        <row r="6824">
          <cell r="A6824">
            <v>41101503</v>
          </cell>
          <cell r="B6824" t="str">
            <v>Rociadores de laboratorio</v>
          </cell>
        </row>
        <row r="6825">
          <cell r="A6825">
            <v>41101504</v>
          </cell>
          <cell r="B6825" t="str">
            <v>Homogeneizadores</v>
          </cell>
        </row>
        <row r="6826">
          <cell r="A6826">
            <v>41101505</v>
          </cell>
          <cell r="B6826" t="str">
            <v>Celdas de presión francesas</v>
          </cell>
        </row>
        <row r="6827">
          <cell r="A6827">
            <v>41101515</v>
          </cell>
          <cell r="B6827" t="str">
            <v>Latas medidoras de líquido</v>
          </cell>
        </row>
        <row r="6828">
          <cell r="A6828">
            <v>41101516</v>
          </cell>
          <cell r="B6828" t="str">
            <v>Homogeneizadores dobles</v>
          </cell>
        </row>
        <row r="6829">
          <cell r="A6829">
            <v>41101518</v>
          </cell>
          <cell r="B6829" t="str">
            <v>Mezcladores o emulsificadores de laboratorio</v>
          </cell>
        </row>
        <row r="6830">
          <cell r="A6830">
            <v>41101701</v>
          </cell>
          <cell r="B6830" t="str">
            <v>Molinos de laboratorio</v>
          </cell>
        </row>
        <row r="6831">
          <cell r="A6831">
            <v>41101702</v>
          </cell>
          <cell r="B6831" t="str">
            <v>Pilones y morteros</v>
          </cell>
        </row>
        <row r="6832">
          <cell r="A6832">
            <v>41101703</v>
          </cell>
          <cell r="B6832" t="str">
            <v>Moledoras de tejidos</v>
          </cell>
        </row>
        <row r="6833">
          <cell r="A6833">
            <v>41101705</v>
          </cell>
          <cell r="B6833" t="str">
            <v>Trituradoras o pulverizadoras de laboratorio</v>
          </cell>
        </row>
        <row r="6834">
          <cell r="A6834">
            <v>41101706</v>
          </cell>
          <cell r="B6834" t="str">
            <v>Desintegradores de laboratorio</v>
          </cell>
        </row>
        <row r="6835">
          <cell r="A6835">
            <v>41101707</v>
          </cell>
          <cell r="B6835" t="str">
            <v>Prensas de laboratorio</v>
          </cell>
        </row>
        <row r="6836">
          <cell r="A6836">
            <v>41101801</v>
          </cell>
          <cell r="B6836" t="str">
            <v>Pistolas de electrones</v>
          </cell>
        </row>
        <row r="6837">
          <cell r="A6837">
            <v>41101802</v>
          </cell>
          <cell r="B6837" t="str">
            <v>Generadores de rayos x</v>
          </cell>
        </row>
        <row r="6838">
          <cell r="A6838">
            <v>41101803</v>
          </cell>
          <cell r="B6838" t="str">
            <v>Coulómetros</v>
          </cell>
        </row>
        <row r="6839">
          <cell r="A6839">
            <v>41101804</v>
          </cell>
          <cell r="B6839" t="str">
            <v>Electroscopios</v>
          </cell>
        </row>
        <row r="6840">
          <cell r="A6840">
            <v>41101805</v>
          </cell>
          <cell r="B6840" t="str">
            <v>Flujómetros</v>
          </cell>
        </row>
        <row r="6841">
          <cell r="A6841">
            <v>41101806</v>
          </cell>
          <cell r="B6841" t="str">
            <v>Magnetómetros</v>
          </cell>
        </row>
        <row r="6842">
          <cell r="A6842">
            <v>41101807</v>
          </cell>
          <cell r="B6842" t="str">
            <v>Aparatos de difracción de electrones</v>
          </cell>
        </row>
        <row r="6843">
          <cell r="A6843">
            <v>41101808</v>
          </cell>
          <cell r="B6843" t="str">
            <v>Aparatos de difracción de neutrones</v>
          </cell>
        </row>
        <row r="6844">
          <cell r="A6844">
            <v>41101809</v>
          </cell>
          <cell r="B6844" t="str">
            <v>Aparatos de difracción óptica</v>
          </cell>
        </row>
        <row r="6845">
          <cell r="A6845">
            <v>41101810</v>
          </cell>
          <cell r="B6845" t="str">
            <v>Difractómetros</v>
          </cell>
        </row>
        <row r="6846">
          <cell r="A6846">
            <v>41101901</v>
          </cell>
          <cell r="B6846" t="str">
            <v>Fuentes de iones</v>
          </cell>
        </row>
        <row r="6847">
          <cell r="A6847">
            <v>41101902</v>
          </cell>
          <cell r="B6847" t="str">
            <v>Aparatos de intercambio de iones</v>
          </cell>
        </row>
        <row r="6848">
          <cell r="A6848">
            <v>41101903</v>
          </cell>
          <cell r="B6848" t="str">
            <v>Equipos de implantación de iones</v>
          </cell>
        </row>
        <row r="6849">
          <cell r="A6849">
            <v>41102401</v>
          </cell>
          <cell r="B6849" t="str">
            <v>Quemadores de gas</v>
          </cell>
        </row>
        <row r="6850">
          <cell r="A6850">
            <v>41102402</v>
          </cell>
          <cell r="B6850" t="str">
            <v>Quemadores de alcohol</v>
          </cell>
        </row>
        <row r="6851">
          <cell r="A6851">
            <v>41102403</v>
          </cell>
          <cell r="B6851" t="str">
            <v>Incineradores de laboratorio</v>
          </cell>
        </row>
        <row r="6852">
          <cell r="A6852">
            <v>41102404</v>
          </cell>
          <cell r="B6852" t="str">
            <v>Calentadores de laboratorio</v>
          </cell>
        </row>
        <row r="6853">
          <cell r="A6853">
            <v>41102405</v>
          </cell>
          <cell r="B6853" t="str">
            <v>Revestimientos o cintas calentadoras</v>
          </cell>
        </row>
        <row r="6854">
          <cell r="A6854">
            <v>41102406</v>
          </cell>
          <cell r="B6854" t="str">
            <v>Hornillas eléctricas de laboratorio</v>
          </cell>
        </row>
        <row r="6855">
          <cell r="A6855">
            <v>41102407</v>
          </cell>
          <cell r="B6855" t="str">
            <v>Gabinetes calentadores</v>
          </cell>
        </row>
        <row r="6856">
          <cell r="A6856">
            <v>41102410</v>
          </cell>
          <cell r="B6856" t="str">
            <v>Secadoras infrarrojas</v>
          </cell>
        </row>
        <row r="6857">
          <cell r="A6857">
            <v>41102412</v>
          </cell>
          <cell r="B6857" t="str">
            <v>Secadores de aire caliente</v>
          </cell>
        </row>
        <row r="6858">
          <cell r="A6858">
            <v>41102421</v>
          </cell>
          <cell r="B6858" t="str">
            <v>Cámaras de reciclaje de temperatura o recicladores térmicos</v>
          </cell>
        </row>
        <row r="6859">
          <cell r="A6859">
            <v>41102422</v>
          </cell>
          <cell r="B6859" t="str">
            <v>Baños secos o bloques calentadores</v>
          </cell>
        </row>
        <row r="6860">
          <cell r="A6860">
            <v>41102423</v>
          </cell>
          <cell r="B6860" t="str">
            <v>Hornillas eléctricas agitadoras</v>
          </cell>
        </row>
        <row r="6861">
          <cell r="A6861">
            <v>41102424</v>
          </cell>
          <cell r="B6861" t="str">
            <v>Calentadores de deslizamiento</v>
          </cell>
        </row>
        <row r="6862">
          <cell r="A6862">
            <v>41102425</v>
          </cell>
          <cell r="B6862" t="str">
            <v>Secadores de deslizamiento</v>
          </cell>
        </row>
        <row r="6863">
          <cell r="A6863">
            <v>41102426</v>
          </cell>
          <cell r="B6863" t="str">
            <v>Equipos o accesorios para calentar o secar</v>
          </cell>
        </row>
        <row r="6864">
          <cell r="A6864">
            <v>41102501</v>
          </cell>
          <cell r="B6864" t="str">
            <v>Contenedores de insectos para laboratorio</v>
          </cell>
        </row>
        <row r="6865">
          <cell r="A6865">
            <v>41102502</v>
          </cell>
          <cell r="B6865" t="str">
            <v>Instalaciones de crianza para entomología</v>
          </cell>
        </row>
        <row r="6866">
          <cell r="A6866">
            <v>41102503</v>
          </cell>
          <cell r="B6866" t="str">
            <v>Textiles o redes para entomología</v>
          </cell>
        </row>
        <row r="6867">
          <cell r="A6867">
            <v>41102504</v>
          </cell>
          <cell r="B6867" t="str">
            <v>Equipo de entomología para clavar especímenes</v>
          </cell>
        </row>
        <row r="6868">
          <cell r="A6868">
            <v>41102505</v>
          </cell>
          <cell r="B6868" t="str">
            <v>Materiales de ensamblaje para entomología</v>
          </cell>
        </row>
        <row r="6869">
          <cell r="A6869">
            <v>41102506</v>
          </cell>
          <cell r="B6869" t="str">
            <v>Bandejas de entomología</v>
          </cell>
        </row>
        <row r="6870">
          <cell r="A6870">
            <v>41102507</v>
          </cell>
          <cell r="B6870" t="str">
            <v>Equipo para recolectar especímenes de entomología</v>
          </cell>
        </row>
        <row r="6871">
          <cell r="A6871">
            <v>41102508</v>
          </cell>
          <cell r="B6871" t="str">
            <v>Aspiradoras para entomología</v>
          </cell>
        </row>
        <row r="6872">
          <cell r="A6872">
            <v>41102509</v>
          </cell>
          <cell r="B6872" t="str">
            <v>Cucharones para entomología</v>
          </cell>
        </row>
        <row r="6873">
          <cell r="A6873">
            <v>41102510</v>
          </cell>
          <cell r="B6873" t="str">
            <v>Mono copas para entomología</v>
          </cell>
        </row>
        <row r="6874">
          <cell r="A6874">
            <v>41102511</v>
          </cell>
          <cell r="B6874" t="str">
            <v>Trampas pegajosas para entomología</v>
          </cell>
        </row>
        <row r="6875">
          <cell r="A6875">
            <v>41102512</v>
          </cell>
          <cell r="B6875" t="str">
            <v>Kits de pruebas para insectos</v>
          </cell>
        </row>
        <row r="6876">
          <cell r="A6876">
            <v>41102513</v>
          </cell>
          <cell r="B6876" t="str">
            <v>Unidades de despliegue para entomología</v>
          </cell>
        </row>
        <row r="6877">
          <cell r="A6877">
            <v>41102601</v>
          </cell>
          <cell r="B6877" t="str">
            <v>Jaulas para animales pequeños para laboratorio</v>
          </cell>
        </row>
        <row r="6878">
          <cell r="A6878">
            <v>41102602</v>
          </cell>
          <cell r="B6878" t="str">
            <v>Equipo de acuarios</v>
          </cell>
        </row>
        <row r="6879">
          <cell r="A6879">
            <v>41102603</v>
          </cell>
          <cell r="B6879" t="str">
            <v>Suministros para identificación de animales</v>
          </cell>
        </row>
        <row r="6880">
          <cell r="A6880">
            <v>41102604</v>
          </cell>
          <cell r="B6880" t="str">
            <v>Dispositivos para atrapar animales</v>
          </cell>
        </row>
        <row r="6881">
          <cell r="A6881">
            <v>41102605</v>
          </cell>
          <cell r="B6881" t="str">
            <v>Sistemas de aireación de peces</v>
          </cell>
        </row>
        <row r="6882">
          <cell r="A6882">
            <v>41102606</v>
          </cell>
          <cell r="B6882" t="str">
            <v>Restricciones o arneses para animales para laboratorio</v>
          </cell>
        </row>
        <row r="6883">
          <cell r="A6883">
            <v>41102607</v>
          </cell>
          <cell r="B6883" t="str">
            <v>Agujas para alimentar animales</v>
          </cell>
        </row>
        <row r="6884">
          <cell r="A6884">
            <v>41102608</v>
          </cell>
          <cell r="B6884" t="str">
            <v>Equipos para pruebas de animales</v>
          </cell>
        </row>
        <row r="6885">
          <cell r="A6885">
            <v>41102701</v>
          </cell>
          <cell r="B6885" t="str">
            <v>Modelos de enrejados de cristal</v>
          </cell>
        </row>
        <row r="6886">
          <cell r="A6886">
            <v>41102702</v>
          </cell>
          <cell r="B6886" t="str">
            <v>Ensamblajes de cristales centellantes</v>
          </cell>
        </row>
        <row r="6887">
          <cell r="A6887">
            <v>41102703</v>
          </cell>
          <cell r="B6887" t="str">
            <v>Equipo de dispersión de luz</v>
          </cell>
        </row>
        <row r="6888">
          <cell r="A6888">
            <v>41102704</v>
          </cell>
          <cell r="B6888" t="str">
            <v>Equipo de difracción de rayos x</v>
          </cell>
        </row>
        <row r="6889">
          <cell r="A6889">
            <v>41102705</v>
          </cell>
          <cell r="B6889" t="str">
            <v>Cristalizadores</v>
          </cell>
        </row>
        <row r="6890">
          <cell r="A6890">
            <v>41102706</v>
          </cell>
          <cell r="B6890" t="str">
            <v>Equipo de crecimiento de cristal</v>
          </cell>
        </row>
        <row r="6891">
          <cell r="A6891">
            <v>41102901</v>
          </cell>
          <cell r="B6891" t="str">
            <v>Estaciones de incrustación de tejidos</v>
          </cell>
        </row>
        <row r="6892">
          <cell r="A6892">
            <v>41102902</v>
          </cell>
          <cell r="B6892" t="str">
            <v>Moldes de incrustación</v>
          </cell>
        </row>
        <row r="6893">
          <cell r="A6893">
            <v>41102903</v>
          </cell>
          <cell r="B6893" t="str">
            <v>Cápsulas de incrustación</v>
          </cell>
        </row>
        <row r="6894">
          <cell r="A6894">
            <v>41102904</v>
          </cell>
          <cell r="B6894" t="str">
            <v>Compuestos de incrustación</v>
          </cell>
        </row>
        <row r="6895">
          <cell r="A6895">
            <v>41102905</v>
          </cell>
          <cell r="B6895" t="str">
            <v>Aparatos de teñido histológico</v>
          </cell>
        </row>
        <row r="6896">
          <cell r="A6896">
            <v>41102909</v>
          </cell>
          <cell r="B6896" t="str">
            <v>Procesadores de tejidos</v>
          </cell>
        </row>
        <row r="6897">
          <cell r="A6897">
            <v>41102910</v>
          </cell>
          <cell r="B6897" t="str">
            <v>Aparatos de cultivo de tejidos</v>
          </cell>
        </row>
        <row r="6898">
          <cell r="A6898">
            <v>41102911</v>
          </cell>
          <cell r="B6898" t="str">
            <v>Cuchillos o sujeta cuchillos o cuchillas histológicos</v>
          </cell>
        </row>
        <row r="6899">
          <cell r="A6899">
            <v>41102912</v>
          </cell>
          <cell r="B6899" t="str">
            <v>Cuchillos marcadores de vidrio histológicos</v>
          </cell>
        </row>
        <row r="6900">
          <cell r="A6900">
            <v>41102913</v>
          </cell>
          <cell r="B6900" t="str">
            <v>Afiladores o correas o compuestos histológicos</v>
          </cell>
        </row>
        <row r="6901">
          <cell r="A6901">
            <v>41102914</v>
          </cell>
          <cell r="B6901" t="str">
            <v>Desintegradores ultrasónicos</v>
          </cell>
        </row>
        <row r="6902">
          <cell r="A6902">
            <v>41102915</v>
          </cell>
          <cell r="B6902" t="str">
            <v>Estaciones de muestreo y disección histológica</v>
          </cell>
        </row>
        <row r="6903">
          <cell r="A6903">
            <v>41102916</v>
          </cell>
          <cell r="B6903" t="str">
            <v>Micrótomos</v>
          </cell>
        </row>
        <row r="6904">
          <cell r="A6904">
            <v>41102917</v>
          </cell>
          <cell r="B6904" t="str">
            <v>Cuchillas para micrótomos</v>
          </cell>
        </row>
        <row r="6905">
          <cell r="A6905">
            <v>41102918</v>
          </cell>
          <cell r="B6905" t="str">
            <v>Forros deslizantes para laboratorio</v>
          </cell>
        </row>
        <row r="6906">
          <cell r="A6906">
            <v>41102919</v>
          </cell>
          <cell r="B6906" t="str">
            <v>Recicladores de solventes</v>
          </cell>
        </row>
        <row r="6907">
          <cell r="A6907">
            <v>41102920</v>
          </cell>
          <cell r="B6907" t="str">
            <v>Casetes para tejidos para histología</v>
          </cell>
        </row>
        <row r="6908">
          <cell r="A6908">
            <v>41102921</v>
          </cell>
          <cell r="B6908" t="str">
            <v>Parafina para histología</v>
          </cell>
        </row>
        <row r="6909">
          <cell r="A6909">
            <v>41102922</v>
          </cell>
          <cell r="B6909" t="str">
            <v>Equipo de forros deslizantes automatizado</v>
          </cell>
        </row>
        <row r="6910">
          <cell r="A6910">
            <v>41103001</v>
          </cell>
          <cell r="B6910" t="str">
            <v>Sondas planas enfriadoras refrigeradas</v>
          </cell>
        </row>
        <row r="6911">
          <cell r="A6911">
            <v>41103003</v>
          </cell>
          <cell r="B6911" t="str">
            <v>Criostatos</v>
          </cell>
        </row>
        <row r="6912">
          <cell r="A6912">
            <v>41103004</v>
          </cell>
          <cell r="B6912" t="str">
            <v>Hornos de circulación por ventilador</v>
          </cell>
        </row>
        <row r="6913">
          <cell r="A6913">
            <v>41103005</v>
          </cell>
          <cell r="B6913" t="str">
            <v>Gabinetes o congeladores ultra fríos o ultra bajos independientes</v>
          </cell>
        </row>
        <row r="6914">
          <cell r="A6914">
            <v>41103006</v>
          </cell>
          <cell r="B6914" t="str">
            <v>Congeladores criogénicos o de nitrógeno líquido</v>
          </cell>
        </row>
        <row r="6915">
          <cell r="A6915">
            <v>41103007</v>
          </cell>
          <cell r="B6915" t="str">
            <v>Unidades de enfriamiento o circuladores de agua fría</v>
          </cell>
        </row>
        <row r="6916">
          <cell r="A6916">
            <v>41103008</v>
          </cell>
          <cell r="B6916" t="str">
            <v>Módulos enfriadores refrigerados</v>
          </cell>
        </row>
        <row r="6917">
          <cell r="A6917">
            <v>41103010</v>
          </cell>
          <cell r="B6917" t="str">
            <v>Refrigeradores para bancos de sangre</v>
          </cell>
        </row>
        <row r="6918">
          <cell r="A6918">
            <v>41103011</v>
          </cell>
          <cell r="B6918" t="str">
            <v>Refrigeradores para propósitos generales o neveras congeladores</v>
          </cell>
        </row>
        <row r="6919">
          <cell r="A6919">
            <v>41103012</v>
          </cell>
          <cell r="B6919" t="str">
            <v>Refrigeradores o neveras congeladores para almacenar material inflamable</v>
          </cell>
        </row>
        <row r="6920">
          <cell r="A6920">
            <v>41103013</v>
          </cell>
          <cell r="B6920" t="str">
            <v>Refrigeradores o neveras congeladores a prueba de explosiones</v>
          </cell>
        </row>
        <row r="6921">
          <cell r="A6921">
            <v>41103014</v>
          </cell>
          <cell r="B6921" t="str">
            <v>Refrigeradores de cromatografía</v>
          </cell>
        </row>
        <row r="6922">
          <cell r="A6922">
            <v>41103015</v>
          </cell>
          <cell r="B6922" t="str">
            <v>Congeladores para bancos de sangre</v>
          </cell>
        </row>
        <row r="6923">
          <cell r="A6923">
            <v>41103017</v>
          </cell>
          <cell r="B6923" t="str">
            <v>Congeladores para almacenar material inflamable</v>
          </cell>
        </row>
        <row r="6924">
          <cell r="A6924">
            <v>41103019</v>
          </cell>
          <cell r="B6924" t="str">
            <v>Congeladores para almacenar plasma</v>
          </cell>
        </row>
        <row r="6925">
          <cell r="A6925">
            <v>41103020</v>
          </cell>
          <cell r="B6925" t="str">
            <v>Congeladores de cofre ultra fríos o ultra bajos</v>
          </cell>
        </row>
        <row r="6926">
          <cell r="A6926">
            <v>41103021</v>
          </cell>
          <cell r="B6926" t="str">
            <v>Congeladores planos para laboratorio</v>
          </cell>
        </row>
        <row r="6927">
          <cell r="A6927">
            <v>41103022</v>
          </cell>
          <cell r="B6927" t="str">
            <v>Transporte o almacenamiento frío</v>
          </cell>
        </row>
        <row r="6928">
          <cell r="A6928">
            <v>41103023</v>
          </cell>
          <cell r="B6928" t="str">
            <v>Enfriadores para laboratorio</v>
          </cell>
        </row>
        <row r="6929">
          <cell r="A6929">
            <v>41103024</v>
          </cell>
          <cell r="B6929" t="str">
            <v>Trampas frías</v>
          </cell>
        </row>
        <row r="6930">
          <cell r="A6930">
            <v>41103025</v>
          </cell>
          <cell r="B6930" t="str">
            <v>Accesorios para equipos enfriadores de laboratorio</v>
          </cell>
        </row>
        <row r="6931">
          <cell r="A6931">
            <v>41103201</v>
          </cell>
          <cell r="B6931" t="str">
            <v>Lavadoras de ingeniería química</v>
          </cell>
        </row>
        <row r="6932">
          <cell r="A6932">
            <v>41103202</v>
          </cell>
          <cell r="B6932" t="str">
            <v>Máquinas lavadoras para laboratorio</v>
          </cell>
        </row>
        <row r="6933">
          <cell r="A6933">
            <v>41103203</v>
          </cell>
          <cell r="B6933" t="str">
            <v>Lavadoras de pipetas</v>
          </cell>
        </row>
        <row r="6934">
          <cell r="A6934">
            <v>41103205</v>
          </cell>
          <cell r="B6934" t="str">
            <v>Estantes o accesorios para máquinas lavadoras</v>
          </cell>
        </row>
        <row r="6935">
          <cell r="A6935">
            <v>41103206</v>
          </cell>
          <cell r="B6935" t="str">
            <v>Detergentes de lavado para laboratorios</v>
          </cell>
        </row>
        <row r="6936">
          <cell r="A6936">
            <v>41103207</v>
          </cell>
          <cell r="B6936" t="str">
            <v>Lavadoras de micro placas</v>
          </cell>
        </row>
        <row r="6937">
          <cell r="A6937">
            <v>41103208</v>
          </cell>
          <cell r="B6937" t="str">
            <v>Lavadoras de celdas de bancos de sangre</v>
          </cell>
        </row>
        <row r="6938">
          <cell r="A6938">
            <v>41103209</v>
          </cell>
          <cell r="B6938" t="str">
            <v>Botellas de lavado de laboratorios</v>
          </cell>
        </row>
        <row r="6939">
          <cell r="A6939">
            <v>41103210</v>
          </cell>
          <cell r="B6939" t="str">
            <v>Esterilizadores uv ultravioleta para laboratorios</v>
          </cell>
        </row>
        <row r="6940">
          <cell r="A6940">
            <v>41103301</v>
          </cell>
          <cell r="B6940" t="str">
            <v>Contadores centellantes líquidos</v>
          </cell>
        </row>
        <row r="6941">
          <cell r="A6941">
            <v>41103302</v>
          </cell>
          <cell r="B6941" t="str">
            <v>Hidrómetros ácidos de batería</v>
          </cell>
        </row>
        <row r="6942">
          <cell r="A6942">
            <v>41103303</v>
          </cell>
          <cell r="B6942" t="str">
            <v>Densitómetros</v>
          </cell>
        </row>
        <row r="6943">
          <cell r="A6943">
            <v>41103305</v>
          </cell>
          <cell r="B6943" t="str">
            <v>Equipos de alto vacío</v>
          </cell>
        </row>
        <row r="6944">
          <cell r="A6944">
            <v>41103306</v>
          </cell>
          <cell r="B6944" t="str">
            <v>Equipos de vacío neumático</v>
          </cell>
        </row>
        <row r="6945">
          <cell r="A6945">
            <v>41103307</v>
          </cell>
          <cell r="B6945" t="str">
            <v>Equipos de vacío o vapor de mercurio</v>
          </cell>
        </row>
        <row r="6946">
          <cell r="A6946">
            <v>41103308</v>
          </cell>
          <cell r="B6946" t="str">
            <v>Aparatos de combustión de alto vacío</v>
          </cell>
        </row>
        <row r="6947">
          <cell r="A6947">
            <v>41103309</v>
          </cell>
          <cell r="B6947" t="str">
            <v>Equipos de análisis de inyección de flujo</v>
          </cell>
        </row>
        <row r="6948">
          <cell r="A6948">
            <v>41103310</v>
          </cell>
          <cell r="B6948" t="str">
            <v>Instrumentos para medir la concentración de gas o vapor</v>
          </cell>
        </row>
        <row r="6949">
          <cell r="A6949">
            <v>41103311</v>
          </cell>
          <cell r="B6949" t="str">
            <v>Manómetros</v>
          </cell>
        </row>
        <row r="6950">
          <cell r="A6950">
            <v>41103312</v>
          </cell>
          <cell r="B6950" t="str">
            <v>Viscosímetros</v>
          </cell>
        </row>
        <row r="6951">
          <cell r="A6951">
            <v>41103313</v>
          </cell>
          <cell r="B6951" t="str">
            <v>Indicadores de profundidad</v>
          </cell>
        </row>
        <row r="6952">
          <cell r="A6952">
            <v>41103314</v>
          </cell>
          <cell r="B6952" t="str">
            <v>Aparatos de estimación de estructura microscópica</v>
          </cell>
        </row>
        <row r="6953">
          <cell r="A6953">
            <v>41103315</v>
          </cell>
          <cell r="B6953" t="str">
            <v>Aparatos de estimación de fuerza de una solución</v>
          </cell>
        </row>
        <row r="6954">
          <cell r="A6954">
            <v>41103316</v>
          </cell>
          <cell r="B6954" t="str">
            <v>Picnómetros</v>
          </cell>
        </row>
        <row r="6955">
          <cell r="A6955">
            <v>41103317</v>
          </cell>
          <cell r="B6955" t="str">
            <v>Instrumentos para medir la tensión de la superficie</v>
          </cell>
        </row>
        <row r="6956">
          <cell r="A6956">
            <v>41103318</v>
          </cell>
          <cell r="B6956" t="str">
            <v>Densitómetro nuclear</v>
          </cell>
        </row>
        <row r="6957">
          <cell r="A6957">
            <v>41103401</v>
          </cell>
          <cell r="B6957" t="str">
            <v>Pantallas de control de contaminación</v>
          </cell>
        </row>
        <row r="6958">
          <cell r="A6958">
            <v>41103403</v>
          </cell>
          <cell r="B6958" t="str">
            <v>Equipos de control de aire microbiológico</v>
          </cell>
        </row>
        <row r="6959">
          <cell r="A6959">
            <v>41103406</v>
          </cell>
          <cell r="B6959" t="str">
            <v>Cajas de guantes de aislamiento</v>
          </cell>
        </row>
        <row r="6960">
          <cell r="A6960">
            <v>41103407</v>
          </cell>
          <cell r="B6960" t="str">
            <v>Cámara anaeróbica</v>
          </cell>
        </row>
        <row r="6961">
          <cell r="A6961">
            <v>41103408</v>
          </cell>
          <cell r="B6961" t="str">
            <v>Alcance refrigerado para cámaras ambientales o de cultivo</v>
          </cell>
        </row>
        <row r="6962">
          <cell r="A6962">
            <v>41103409</v>
          </cell>
          <cell r="B6962" t="str">
            <v>Alcance caliente para cámaras ambientales o de cultivo</v>
          </cell>
        </row>
        <row r="6963">
          <cell r="A6963">
            <v>41103410</v>
          </cell>
          <cell r="B6963" t="str">
            <v>Alcance refrigerado y caliente para cámaras ambientales y de cultivo</v>
          </cell>
        </row>
        <row r="6964">
          <cell r="A6964">
            <v>41103411</v>
          </cell>
          <cell r="B6964" t="str">
            <v>Camino refrigerado para cámaras ambientales o de cultivo</v>
          </cell>
        </row>
        <row r="6965">
          <cell r="A6965">
            <v>41103412</v>
          </cell>
          <cell r="B6965" t="str">
            <v>Camino caliente para cámaras ambientales o de cultivo</v>
          </cell>
        </row>
        <row r="6966">
          <cell r="A6966">
            <v>41103413</v>
          </cell>
          <cell r="B6966" t="str">
            <v>Camino refrigerado y caliente para cámaras ambientales o de cultivo</v>
          </cell>
        </row>
        <row r="6967">
          <cell r="A6967">
            <v>41103414</v>
          </cell>
          <cell r="B6967" t="str">
            <v>Accesorios para equipos acondicionadores de ambiente para laboratorios</v>
          </cell>
        </row>
        <row r="6968">
          <cell r="A6968">
            <v>41103415</v>
          </cell>
          <cell r="B6968" t="str">
            <v>Bancos limpios</v>
          </cell>
        </row>
        <row r="6969">
          <cell r="A6969">
            <v>41103501</v>
          </cell>
          <cell r="B6969" t="str">
            <v>Ebullómetro</v>
          </cell>
        </row>
        <row r="6970">
          <cell r="A6970">
            <v>41103502</v>
          </cell>
          <cell r="B6970" t="str">
            <v>Caperuzas o cajones para gases</v>
          </cell>
        </row>
        <row r="6971">
          <cell r="A6971">
            <v>41103504</v>
          </cell>
          <cell r="B6971" t="str">
            <v>Gabinetes o estaciones para flujo laminar</v>
          </cell>
        </row>
        <row r="6972">
          <cell r="A6972">
            <v>41103506</v>
          </cell>
          <cell r="B6972" t="str">
            <v>Cerramientos pcr</v>
          </cell>
        </row>
        <row r="6973">
          <cell r="A6973">
            <v>41103507</v>
          </cell>
          <cell r="B6973" t="str">
            <v>Cerramientos hepa filtrados</v>
          </cell>
        </row>
        <row r="6974">
          <cell r="A6974">
            <v>41103508</v>
          </cell>
          <cell r="B6974" t="str">
            <v>Cerramientos carbono filtrados</v>
          </cell>
        </row>
        <row r="6975">
          <cell r="A6975">
            <v>41103509</v>
          </cell>
          <cell r="B6975" t="str">
            <v>Estropajos para laboratorio</v>
          </cell>
        </row>
        <row r="6976">
          <cell r="A6976">
            <v>41103510</v>
          </cell>
          <cell r="B6976" t="str">
            <v>Secadores para laboratorio</v>
          </cell>
        </row>
        <row r="6977">
          <cell r="A6977">
            <v>41103511</v>
          </cell>
          <cell r="B6977" t="str">
            <v>Accesorios de cerramiento para laboratorio</v>
          </cell>
        </row>
        <row r="6978">
          <cell r="A6978">
            <v>41103512</v>
          </cell>
          <cell r="B6978" t="str">
            <v>Eliminadores de estática</v>
          </cell>
        </row>
        <row r="6979">
          <cell r="A6979">
            <v>41103513</v>
          </cell>
          <cell r="B6979" t="str">
            <v>Cerramientos para cultivo de tejidos</v>
          </cell>
        </row>
        <row r="6980">
          <cell r="A6980">
            <v>41103701</v>
          </cell>
          <cell r="B6980" t="str">
            <v>Baños de circulación</v>
          </cell>
        </row>
        <row r="6981">
          <cell r="A6981">
            <v>41103702</v>
          </cell>
          <cell r="B6981" t="str">
            <v>Baños termostáticos</v>
          </cell>
        </row>
        <row r="6982">
          <cell r="A6982">
            <v>41103703</v>
          </cell>
          <cell r="B6982" t="str">
            <v>Baños múltiples</v>
          </cell>
        </row>
        <row r="6983">
          <cell r="A6983">
            <v>41103704</v>
          </cell>
          <cell r="B6983" t="str">
            <v>Baños biológicos</v>
          </cell>
        </row>
        <row r="6984">
          <cell r="A6984">
            <v>41103705</v>
          </cell>
          <cell r="B6984" t="str">
            <v>Baños para órganos</v>
          </cell>
        </row>
        <row r="6985">
          <cell r="A6985">
            <v>41103706</v>
          </cell>
          <cell r="B6985" t="str">
            <v>Baños de agua</v>
          </cell>
        </row>
        <row r="6986">
          <cell r="A6986">
            <v>41103707</v>
          </cell>
          <cell r="B6986" t="str">
            <v>Baños de aceite</v>
          </cell>
        </row>
        <row r="6987">
          <cell r="A6987">
            <v>41103708</v>
          </cell>
          <cell r="B6987" t="str">
            <v>Baños de arena</v>
          </cell>
        </row>
        <row r="6988">
          <cell r="A6988">
            <v>41103709</v>
          </cell>
          <cell r="B6988" t="str">
            <v>Baños refrigerados</v>
          </cell>
        </row>
        <row r="6989">
          <cell r="A6989">
            <v>41103710</v>
          </cell>
          <cell r="B6989" t="str">
            <v>Baños de agua de agitación orbital</v>
          </cell>
        </row>
        <row r="6990">
          <cell r="A6990">
            <v>41103711</v>
          </cell>
          <cell r="B6990" t="str">
            <v>Baños de agua de agitación recíproca</v>
          </cell>
        </row>
        <row r="6991">
          <cell r="A6991">
            <v>41103712</v>
          </cell>
          <cell r="B6991" t="str">
            <v>Circuladores de inmersión</v>
          </cell>
        </row>
        <row r="6992">
          <cell r="A6992">
            <v>41103713</v>
          </cell>
          <cell r="B6992" t="str">
            <v>Baños de viscosidad</v>
          </cell>
        </row>
        <row r="6993">
          <cell r="A6993">
            <v>41103714</v>
          </cell>
          <cell r="B6993" t="str">
            <v>Baños de flotación de tejidos</v>
          </cell>
        </row>
        <row r="6994">
          <cell r="A6994">
            <v>41103715</v>
          </cell>
          <cell r="B6994" t="str">
            <v>Accesorios o suministros para baños de laboratorio</v>
          </cell>
        </row>
        <row r="6995">
          <cell r="A6995">
            <v>41103801</v>
          </cell>
          <cell r="B6995" t="str">
            <v>Mezcladores de laboratorio</v>
          </cell>
        </row>
        <row r="6996">
          <cell r="A6996">
            <v>41103802</v>
          </cell>
          <cell r="B6996" t="str">
            <v>Mezcladores de rodillo</v>
          </cell>
        </row>
        <row r="6997">
          <cell r="A6997">
            <v>41103803</v>
          </cell>
          <cell r="B6997" t="str">
            <v>Mesas para revolver</v>
          </cell>
        </row>
        <row r="6998">
          <cell r="A6998">
            <v>41103804</v>
          </cell>
          <cell r="B6998" t="str">
            <v>Equipo multi banco o de floculación</v>
          </cell>
        </row>
        <row r="6999">
          <cell r="A6999">
            <v>41103805</v>
          </cell>
          <cell r="B6999" t="str">
            <v>Vibradores para laboratorio</v>
          </cell>
        </row>
        <row r="7000">
          <cell r="A7000">
            <v>41103806</v>
          </cell>
          <cell r="B7000" t="str">
            <v>Agitador magnético</v>
          </cell>
        </row>
        <row r="7001">
          <cell r="A7001">
            <v>41103807</v>
          </cell>
          <cell r="B7001" t="str">
            <v>Mezcladores de toque para laboratorio</v>
          </cell>
        </row>
        <row r="7002">
          <cell r="A7002">
            <v>41103808</v>
          </cell>
          <cell r="B7002" t="str">
            <v>Mezcladores de plaqueta</v>
          </cell>
        </row>
        <row r="7003">
          <cell r="A7003">
            <v>41103809</v>
          </cell>
          <cell r="B7003" t="str">
            <v>Mezcladores químicos o de hematología</v>
          </cell>
        </row>
        <row r="7004">
          <cell r="A7004">
            <v>41103810</v>
          </cell>
          <cell r="B7004" t="str">
            <v>Agitadores de techo</v>
          </cell>
        </row>
        <row r="7005">
          <cell r="A7005">
            <v>41103811</v>
          </cell>
          <cell r="B7005" t="str">
            <v>Sacudidores orbitales</v>
          </cell>
        </row>
        <row r="7006">
          <cell r="A7006">
            <v>41103812</v>
          </cell>
          <cell r="B7006" t="str">
            <v>Sacudidores recíprocos</v>
          </cell>
        </row>
        <row r="7007">
          <cell r="A7007">
            <v>41103813</v>
          </cell>
          <cell r="B7007" t="str">
            <v>Sacudidores de rotación</v>
          </cell>
        </row>
        <row r="7008">
          <cell r="A7008">
            <v>41103814</v>
          </cell>
          <cell r="B7008" t="str">
            <v>Mezcladores de vértice</v>
          </cell>
        </row>
        <row r="7009">
          <cell r="A7009">
            <v>41103815</v>
          </cell>
          <cell r="B7009" t="str">
            <v>Rotadores de tubos</v>
          </cell>
        </row>
        <row r="7010">
          <cell r="A7010">
            <v>41103816</v>
          </cell>
          <cell r="B7010" t="str">
            <v>Accesorios o aditamentos para mezcladores o sacudidores</v>
          </cell>
        </row>
        <row r="7011">
          <cell r="A7011">
            <v>41103901</v>
          </cell>
          <cell r="B7011" t="str">
            <v>Micro centrífugas</v>
          </cell>
        </row>
        <row r="7012">
          <cell r="A7012">
            <v>41103902</v>
          </cell>
          <cell r="B7012" t="str">
            <v>Micro centrífugas refrigeradas</v>
          </cell>
        </row>
        <row r="7013">
          <cell r="A7013">
            <v>41103903</v>
          </cell>
          <cell r="B7013" t="str">
            <v>Centrífugas de mesa</v>
          </cell>
        </row>
        <row r="7014">
          <cell r="A7014">
            <v>41103904</v>
          </cell>
          <cell r="B7014" t="str">
            <v>Centrífugas de mesa refrigeradas</v>
          </cell>
        </row>
        <row r="7015">
          <cell r="A7015">
            <v>41103905</v>
          </cell>
          <cell r="B7015" t="str">
            <v>Centrífugas de piso</v>
          </cell>
        </row>
        <row r="7016">
          <cell r="A7016">
            <v>41103906</v>
          </cell>
          <cell r="B7016" t="str">
            <v>Centrífugas de piso refrigeradas</v>
          </cell>
        </row>
        <row r="7017">
          <cell r="A7017">
            <v>41103907</v>
          </cell>
          <cell r="B7017" t="str">
            <v>Ultra centrífugas</v>
          </cell>
        </row>
        <row r="7018">
          <cell r="A7018">
            <v>41103908</v>
          </cell>
          <cell r="B7018" t="str">
            <v>Centrífugas de vacío</v>
          </cell>
        </row>
        <row r="7019">
          <cell r="A7019">
            <v>41103909</v>
          </cell>
          <cell r="B7019" t="str">
            <v>Rotores de centrífugas</v>
          </cell>
        </row>
        <row r="7020">
          <cell r="A7020">
            <v>41103910</v>
          </cell>
          <cell r="B7020" t="str">
            <v>Baldes centrífugos</v>
          </cell>
        </row>
        <row r="7021">
          <cell r="A7021">
            <v>41103911</v>
          </cell>
          <cell r="B7021" t="str">
            <v>Adaptadores para centrífugas</v>
          </cell>
        </row>
        <row r="7022">
          <cell r="A7022">
            <v>41103912</v>
          </cell>
          <cell r="B7022" t="str">
            <v>Cepillos para centrífugas</v>
          </cell>
        </row>
        <row r="7023">
          <cell r="A7023">
            <v>41103913</v>
          </cell>
          <cell r="B7023" t="str">
            <v>Accesorios para centrífugas de laboratorio</v>
          </cell>
        </row>
        <row r="7024">
          <cell r="A7024">
            <v>41104001</v>
          </cell>
          <cell r="B7024" t="str">
            <v>Cambiadores de muestras</v>
          </cell>
        </row>
        <row r="7025">
          <cell r="A7025">
            <v>41104002</v>
          </cell>
          <cell r="B7025" t="str">
            <v>Oxidante de muestras</v>
          </cell>
        </row>
        <row r="7026">
          <cell r="A7026">
            <v>41104003</v>
          </cell>
          <cell r="B7026" t="str">
            <v>Línea de preparación de muestras</v>
          </cell>
        </row>
        <row r="7027">
          <cell r="A7027">
            <v>41104004</v>
          </cell>
          <cell r="B7027" t="str">
            <v>Bombas de preparación de muestras</v>
          </cell>
        </row>
        <row r="7028">
          <cell r="A7028">
            <v>41104005</v>
          </cell>
          <cell r="B7028" t="str">
            <v>Achicadores para laboratorio</v>
          </cell>
        </row>
        <row r="7029">
          <cell r="A7029">
            <v>41104006</v>
          </cell>
          <cell r="B7029" t="str">
            <v>Coliwasas (muestreadores de desechos líquidos de compostaje)</v>
          </cell>
        </row>
        <row r="7030">
          <cell r="A7030">
            <v>41104007</v>
          </cell>
          <cell r="B7030" t="str">
            <v>Muestreadores de agua</v>
          </cell>
        </row>
        <row r="7031">
          <cell r="A7031">
            <v>41104008</v>
          </cell>
          <cell r="B7031" t="str">
            <v>Muestreadores o colectores de aire</v>
          </cell>
        </row>
        <row r="7032">
          <cell r="A7032">
            <v>41104009</v>
          </cell>
          <cell r="B7032" t="str">
            <v>Bombas muestreadoras de aire</v>
          </cell>
        </row>
        <row r="7033">
          <cell r="A7033">
            <v>41104010</v>
          </cell>
          <cell r="B7033" t="str">
            <v>Kits de reactivos para usar con muestreadores de aire</v>
          </cell>
        </row>
        <row r="7034">
          <cell r="A7034">
            <v>41104011</v>
          </cell>
          <cell r="B7034" t="str">
            <v>Filtros u otras partes de repuesto para muestreadores</v>
          </cell>
        </row>
        <row r="7035">
          <cell r="A7035">
            <v>41104012</v>
          </cell>
          <cell r="B7035" t="str">
            <v>Recogedores o frascos para polvo</v>
          </cell>
        </row>
        <row r="7036">
          <cell r="A7036">
            <v>41104013</v>
          </cell>
          <cell r="B7036" t="str">
            <v>Muestreadores de dióxido de sulfuro o de humo</v>
          </cell>
        </row>
        <row r="7037">
          <cell r="A7037">
            <v>41104014</v>
          </cell>
          <cell r="B7037" t="str">
            <v>Aplicadores de muestras</v>
          </cell>
        </row>
        <row r="7038">
          <cell r="A7038">
            <v>41104015</v>
          </cell>
          <cell r="B7038" t="str">
            <v>Equipo de análisis de muestras de plantas</v>
          </cell>
        </row>
        <row r="7039">
          <cell r="A7039">
            <v>41104016</v>
          </cell>
          <cell r="B7039" t="str">
            <v>Muestreadores de polución de aire</v>
          </cell>
        </row>
        <row r="7040">
          <cell r="A7040">
            <v>41104017</v>
          </cell>
          <cell r="B7040" t="str">
            <v>Contenedores para muestras</v>
          </cell>
        </row>
        <row r="7041">
          <cell r="A7041">
            <v>41104018</v>
          </cell>
          <cell r="B7041" t="str">
            <v>Preparaciones para extracción de fase sólida</v>
          </cell>
        </row>
        <row r="7042">
          <cell r="A7042">
            <v>41104019</v>
          </cell>
          <cell r="B7042" t="str">
            <v>Colectores de muestras</v>
          </cell>
        </row>
        <row r="7043">
          <cell r="A7043">
            <v>41104020</v>
          </cell>
          <cell r="B7043" t="str">
            <v>Bandeja de flujo de elemento calcino</v>
          </cell>
        </row>
        <row r="7044">
          <cell r="A7044">
            <v>41104101</v>
          </cell>
          <cell r="B7044" t="str">
            <v>Sobres o empaques para especímenes o láminas de muestras</v>
          </cell>
        </row>
        <row r="7045">
          <cell r="A7045">
            <v>41104102</v>
          </cell>
          <cell r="B7045" t="str">
            <v>Lancetas</v>
          </cell>
        </row>
        <row r="7046">
          <cell r="A7046">
            <v>41104103</v>
          </cell>
          <cell r="B7046" t="str">
            <v>Calentadores de pivote</v>
          </cell>
        </row>
        <row r="7047">
          <cell r="A7047">
            <v>41104104</v>
          </cell>
          <cell r="B7047" t="str">
            <v>Torniquetes</v>
          </cell>
        </row>
        <row r="7048">
          <cell r="A7048">
            <v>41104105</v>
          </cell>
          <cell r="B7048" t="str">
            <v>Bolsas para recolectar o transportar especímenes</v>
          </cell>
        </row>
        <row r="7049">
          <cell r="A7049">
            <v>41104106</v>
          </cell>
          <cell r="B7049" t="str">
            <v>Bandejas o accesorios de flebotomía</v>
          </cell>
        </row>
        <row r="7050">
          <cell r="A7050">
            <v>41104107</v>
          </cell>
          <cell r="B7050" t="str">
            <v>Tubos de recolección o contenedores de sangre al vacío</v>
          </cell>
        </row>
        <row r="7051">
          <cell r="A7051">
            <v>41104108</v>
          </cell>
          <cell r="B7051" t="str">
            <v>Tubos de recolección o contenedores de sangre no al vacío</v>
          </cell>
        </row>
        <row r="7052">
          <cell r="A7052">
            <v>41104109</v>
          </cell>
          <cell r="B7052" t="str">
            <v>Bolsas de recolección de unidades de sangre</v>
          </cell>
        </row>
        <row r="7053">
          <cell r="A7053">
            <v>41104110</v>
          </cell>
          <cell r="B7053" t="str">
            <v>Botellas de cultivo de sangre</v>
          </cell>
        </row>
        <row r="7054">
          <cell r="A7054">
            <v>41104111</v>
          </cell>
          <cell r="B7054" t="str">
            <v>Kits o contenedores de recolección de citologías</v>
          </cell>
        </row>
        <row r="7055">
          <cell r="A7055">
            <v>41104112</v>
          </cell>
          <cell r="B7055" t="str">
            <v>Contenedores de recolección de orina</v>
          </cell>
        </row>
        <row r="7056">
          <cell r="A7056">
            <v>41104114</v>
          </cell>
          <cell r="B7056" t="str">
            <v>Contenedores de recolección frepp sepp</v>
          </cell>
        </row>
        <row r="7057">
          <cell r="A7057">
            <v>41104115</v>
          </cell>
          <cell r="B7057" t="str">
            <v>Contenedores de recolección de filtro de suero</v>
          </cell>
        </row>
        <row r="7058">
          <cell r="A7058">
            <v>41104116</v>
          </cell>
          <cell r="B7058" t="str">
            <v>Contenedores de recolección o transporte de frotis</v>
          </cell>
        </row>
        <row r="7059">
          <cell r="A7059">
            <v>41104117</v>
          </cell>
          <cell r="B7059" t="str">
            <v>Porta especímenes</v>
          </cell>
        </row>
        <row r="7060">
          <cell r="A7060">
            <v>41104118</v>
          </cell>
          <cell r="B7060" t="str">
            <v>Contenedor de recolección de especímenes</v>
          </cell>
        </row>
        <row r="7061">
          <cell r="A7061">
            <v>41104119</v>
          </cell>
          <cell r="B7061" t="str">
            <v>Contenedores de recolección de tejido óseo</v>
          </cell>
        </row>
        <row r="7062">
          <cell r="A7062">
            <v>41104120</v>
          </cell>
          <cell r="B7062" t="str">
            <v>Tubos de tasa de sedimentación</v>
          </cell>
        </row>
        <row r="7063">
          <cell r="A7063">
            <v>41104121</v>
          </cell>
          <cell r="B7063" t="str">
            <v>Contenedores con medio químico para recolección de heces</v>
          </cell>
        </row>
        <row r="7064">
          <cell r="A7064">
            <v>41104122</v>
          </cell>
          <cell r="B7064" t="str">
            <v>Contenedores sin medio químico para recolección de heces</v>
          </cell>
        </row>
        <row r="7065">
          <cell r="A7065">
            <v>41104123</v>
          </cell>
          <cell r="B7065" t="str">
            <v>Aparatos o contenedores para recolección de esputos</v>
          </cell>
        </row>
        <row r="7066">
          <cell r="A7066">
            <v>41104124</v>
          </cell>
          <cell r="B7066" t="str">
            <v>Bandejas de biopsia de médula de hueso para laboratorio</v>
          </cell>
        </row>
        <row r="7067">
          <cell r="A7067">
            <v>41104201</v>
          </cell>
          <cell r="B7067" t="str">
            <v>Reactivos de purificación del agua</v>
          </cell>
        </row>
        <row r="7068">
          <cell r="A7068">
            <v>41104202</v>
          </cell>
          <cell r="B7068" t="str">
            <v>Equipos de deionización o desmineralización</v>
          </cell>
        </row>
        <row r="7069">
          <cell r="A7069">
            <v>41104203</v>
          </cell>
          <cell r="B7069" t="str">
            <v>Equipos de intercambio de base</v>
          </cell>
        </row>
        <row r="7070">
          <cell r="A7070">
            <v>41104204</v>
          </cell>
          <cell r="B7070" t="str">
            <v>Equipos de ósmosis inversa</v>
          </cell>
        </row>
        <row r="7071">
          <cell r="A7071">
            <v>41104205</v>
          </cell>
          <cell r="B7071" t="str">
            <v>Unidades ultra violeta de purificación de agua</v>
          </cell>
        </row>
        <row r="7072">
          <cell r="A7072">
            <v>41104206</v>
          </cell>
          <cell r="B7072" t="str">
            <v>Sistemas de agua ultra pura</v>
          </cell>
        </row>
        <row r="7073">
          <cell r="A7073">
            <v>41104207</v>
          </cell>
          <cell r="B7073" t="str">
            <v>Sistemas de análisis de agua</v>
          </cell>
        </row>
        <row r="7074">
          <cell r="A7074">
            <v>41104208</v>
          </cell>
          <cell r="B7074" t="str">
            <v>Deshidratadores</v>
          </cell>
        </row>
        <row r="7075">
          <cell r="A7075">
            <v>41104209</v>
          </cell>
          <cell r="B7075" t="str">
            <v>Desoxidantes</v>
          </cell>
        </row>
        <row r="7076">
          <cell r="A7076">
            <v>41104210</v>
          </cell>
          <cell r="B7076" t="str">
            <v>Disolventes</v>
          </cell>
        </row>
        <row r="7077">
          <cell r="A7077">
            <v>41104211</v>
          </cell>
          <cell r="B7077" t="str">
            <v>Suavizantes</v>
          </cell>
        </row>
        <row r="7078">
          <cell r="A7078">
            <v>41104212</v>
          </cell>
          <cell r="B7078" t="str">
            <v>Cartuchos de filtración de agua</v>
          </cell>
        </row>
        <row r="7079">
          <cell r="A7079">
            <v>41104301</v>
          </cell>
          <cell r="B7079" t="str">
            <v>Unidades de fermentación estándar</v>
          </cell>
        </row>
        <row r="7080">
          <cell r="A7080">
            <v>41104302</v>
          </cell>
          <cell r="B7080" t="str">
            <v>Aparatos de cultivo continuo</v>
          </cell>
        </row>
        <row r="7081">
          <cell r="A7081">
            <v>41104303</v>
          </cell>
          <cell r="B7081" t="str">
            <v>Jarros o accesorios anaeróbicos</v>
          </cell>
        </row>
        <row r="7082">
          <cell r="A7082">
            <v>41104304</v>
          </cell>
          <cell r="B7082" t="str">
            <v>Sistemas digestivos</v>
          </cell>
        </row>
        <row r="7083">
          <cell r="A7083">
            <v>41104305</v>
          </cell>
          <cell r="B7083" t="str">
            <v>Condensadores (espesantes)</v>
          </cell>
        </row>
        <row r="7084">
          <cell r="A7084">
            <v>41104306</v>
          </cell>
          <cell r="B7084" t="str">
            <v>Equipos para cultivos in vitro</v>
          </cell>
        </row>
        <row r="7085">
          <cell r="A7085">
            <v>41104307</v>
          </cell>
          <cell r="B7085" t="str">
            <v>Equipos para fermentación microbiológica</v>
          </cell>
        </row>
        <row r="7086">
          <cell r="A7086">
            <v>41104308</v>
          </cell>
          <cell r="B7086" t="str">
            <v>Sistemas o suministros para cultivos ambientales anaeróbicos</v>
          </cell>
        </row>
        <row r="7087">
          <cell r="A7087">
            <v>41104401</v>
          </cell>
          <cell r="B7087" t="str">
            <v>Incubadoras para uso general de convección de gravedad</v>
          </cell>
        </row>
        <row r="7088">
          <cell r="A7088">
            <v>41104402</v>
          </cell>
          <cell r="B7088" t="str">
            <v>Incubadoras de uso general de aire forzado o convección mecánica</v>
          </cell>
        </row>
        <row r="7089">
          <cell r="A7089">
            <v>41104403</v>
          </cell>
          <cell r="B7089" t="str">
            <v>Incubadoras para cultivo de tejidos</v>
          </cell>
        </row>
        <row r="7090">
          <cell r="A7090">
            <v>41104404</v>
          </cell>
          <cell r="B7090" t="str">
            <v>Incubadoras de demanda de oxígeno biológico bod enfriadas</v>
          </cell>
        </row>
        <row r="7091">
          <cell r="A7091">
            <v>41104405</v>
          </cell>
          <cell r="B7091" t="str">
            <v>Incubadoras de agitación</v>
          </cell>
        </row>
        <row r="7092">
          <cell r="A7092">
            <v>41104406</v>
          </cell>
          <cell r="B7092" t="str">
            <v>Incubadoras planas</v>
          </cell>
        </row>
        <row r="7093">
          <cell r="A7093">
            <v>41104407</v>
          </cell>
          <cell r="B7093" t="str">
            <v>Incubadoras de cámara única de dióxido de carbono recubierta de agua</v>
          </cell>
        </row>
        <row r="7094">
          <cell r="A7094">
            <v>41104408</v>
          </cell>
          <cell r="B7094" t="str">
            <v>Incubadoras de cámara dual de dióxido de carbono recubierta de agua</v>
          </cell>
        </row>
        <row r="7095">
          <cell r="A7095">
            <v>41104409</v>
          </cell>
          <cell r="B7095" t="str">
            <v>Incubadoras de cámara única de dióxido de carbono recubierta de agua con control de humedad</v>
          </cell>
        </row>
        <row r="7096">
          <cell r="A7096">
            <v>41104410</v>
          </cell>
          <cell r="B7096" t="str">
            <v>Incubadoras de cámara dual de dióxido de carbono recubierta de agua con control de humedad</v>
          </cell>
        </row>
        <row r="7097">
          <cell r="A7097">
            <v>41104411</v>
          </cell>
          <cell r="B7097" t="str">
            <v>Incubadoras de cámara única de dióxido de carbono de pared seca</v>
          </cell>
        </row>
        <row r="7098">
          <cell r="A7098">
            <v>41104412</v>
          </cell>
          <cell r="B7098" t="str">
            <v>Incubadoras de cámara dual de dióxido de carbono de pared seca</v>
          </cell>
        </row>
        <row r="7099">
          <cell r="A7099">
            <v>41104413</v>
          </cell>
          <cell r="B7099" t="str">
            <v>Incubadoras de cámara única de dióxido de carbono de pared seca con control de humedad</v>
          </cell>
        </row>
        <row r="7100">
          <cell r="A7100">
            <v>41104414</v>
          </cell>
          <cell r="B7100" t="str">
            <v>Incubadoras de cámara dual de dióxido de carbono de pared seca con control de humedad</v>
          </cell>
        </row>
        <row r="7101">
          <cell r="A7101">
            <v>41104415</v>
          </cell>
          <cell r="B7101" t="str">
            <v>Incubadoras de cámara única de tres gases recubierta de agua</v>
          </cell>
        </row>
        <row r="7102">
          <cell r="A7102">
            <v>41104416</v>
          </cell>
          <cell r="B7102" t="str">
            <v>Incubadoras de cámara dual de tres gases recubierta de agua</v>
          </cell>
        </row>
        <row r="7103">
          <cell r="A7103">
            <v>41104417</v>
          </cell>
          <cell r="B7103" t="str">
            <v>Incubadoras de cámara única de tres gases recubierta de agua con control de humedad</v>
          </cell>
        </row>
        <row r="7104">
          <cell r="A7104">
            <v>41104418</v>
          </cell>
          <cell r="B7104" t="str">
            <v>Incubadoras de cámara dual de tres gases recubierta de agua con control de humedad</v>
          </cell>
        </row>
        <row r="7105">
          <cell r="A7105">
            <v>41104419</v>
          </cell>
          <cell r="B7105" t="str">
            <v>Incubadoras de cámara única de tres gases de pared seca</v>
          </cell>
        </row>
        <row r="7106">
          <cell r="A7106">
            <v>41104420</v>
          </cell>
          <cell r="B7106" t="str">
            <v>Incubadoras de cámara dual de tres gases de pared seca</v>
          </cell>
        </row>
        <row r="7107">
          <cell r="A7107">
            <v>41104421</v>
          </cell>
          <cell r="B7107" t="str">
            <v>Incubadoras de cámara única de tres gases de pared seca con control de humedad</v>
          </cell>
        </row>
        <row r="7108">
          <cell r="A7108">
            <v>41104422</v>
          </cell>
          <cell r="B7108" t="str">
            <v>Incubadoras de cámara dual de tres gases de pared seca con control de humedad</v>
          </cell>
        </row>
        <row r="7109">
          <cell r="A7109">
            <v>41104423</v>
          </cell>
          <cell r="B7109" t="str">
            <v>Incubadoras refrigeradas</v>
          </cell>
        </row>
        <row r="7110">
          <cell r="A7110">
            <v>41104424</v>
          </cell>
          <cell r="B7110" t="str">
            <v>Accesorios para incubadoras</v>
          </cell>
        </row>
        <row r="7111">
          <cell r="A7111">
            <v>41104501</v>
          </cell>
          <cell r="B7111" t="str">
            <v>Hornos de convección mecánica para laboratorio</v>
          </cell>
        </row>
        <row r="7112">
          <cell r="A7112">
            <v>41104502</v>
          </cell>
          <cell r="B7112" t="str">
            <v>Hornos de convección de gravedad</v>
          </cell>
        </row>
        <row r="7113">
          <cell r="A7113">
            <v>41104503</v>
          </cell>
          <cell r="B7113" t="str">
            <v>Hornos de envejecimiento</v>
          </cell>
        </row>
        <row r="7114">
          <cell r="A7114">
            <v>41104504</v>
          </cell>
          <cell r="B7114" t="str">
            <v>Hornos de limpieza de espacio</v>
          </cell>
        </row>
        <row r="7115">
          <cell r="A7115">
            <v>41104505</v>
          </cell>
          <cell r="B7115" t="str">
            <v>Recipientes de cuarzo para horno para laboratorio</v>
          </cell>
        </row>
        <row r="7116">
          <cell r="A7116">
            <v>41104506</v>
          </cell>
          <cell r="B7116" t="str">
            <v>Hornos de seguridad para laboratorios</v>
          </cell>
        </row>
        <row r="7117">
          <cell r="A7117">
            <v>41104507</v>
          </cell>
          <cell r="B7117" t="str">
            <v>Hornos microondas para laboratorio</v>
          </cell>
        </row>
        <row r="7118">
          <cell r="A7118">
            <v>41104508</v>
          </cell>
          <cell r="B7118" t="str">
            <v>Secadoras de inducción</v>
          </cell>
        </row>
        <row r="7119">
          <cell r="A7119">
            <v>41104509</v>
          </cell>
          <cell r="B7119" t="str">
            <v>Hornos al vacío</v>
          </cell>
        </row>
        <row r="7120">
          <cell r="A7120">
            <v>41104510</v>
          </cell>
          <cell r="B7120" t="str">
            <v>Hornos o gabinetes secadores</v>
          </cell>
        </row>
        <row r="7121">
          <cell r="A7121">
            <v>41104511</v>
          </cell>
          <cell r="B7121" t="str">
            <v>Hornos o incubadoras de hibridación</v>
          </cell>
        </row>
        <row r="7122">
          <cell r="A7122">
            <v>41104512</v>
          </cell>
          <cell r="B7122" t="str">
            <v>Accesorios para hornos de laboratorio</v>
          </cell>
        </row>
        <row r="7123">
          <cell r="A7123">
            <v>41104601</v>
          </cell>
          <cell r="B7123" t="str">
            <v>Hornos de caja para laboratorio</v>
          </cell>
        </row>
        <row r="7124">
          <cell r="A7124">
            <v>41104602</v>
          </cell>
          <cell r="B7124" t="str">
            <v>Hornos de caja programables</v>
          </cell>
        </row>
        <row r="7125">
          <cell r="A7125">
            <v>41104603</v>
          </cell>
          <cell r="B7125" t="str">
            <v>Hornos de tubo</v>
          </cell>
        </row>
        <row r="7126">
          <cell r="A7126">
            <v>41104604</v>
          </cell>
          <cell r="B7126" t="str">
            <v>Hornos de tubo programables</v>
          </cell>
        </row>
        <row r="7127">
          <cell r="A7127">
            <v>41104605</v>
          </cell>
          <cell r="B7127" t="str">
            <v>Hornos de crisol</v>
          </cell>
        </row>
        <row r="7128">
          <cell r="A7128">
            <v>41104606</v>
          </cell>
          <cell r="B7128" t="str">
            <v>Hornos de crisol programables</v>
          </cell>
        </row>
        <row r="7129">
          <cell r="A7129">
            <v>41104607</v>
          </cell>
          <cell r="B7129" t="str">
            <v>Consola de control de calderas</v>
          </cell>
        </row>
        <row r="7130">
          <cell r="A7130">
            <v>41104608</v>
          </cell>
          <cell r="B7130" t="str">
            <v>Consola de control de calderas programables</v>
          </cell>
        </row>
        <row r="7131">
          <cell r="A7131">
            <v>41104609</v>
          </cell>
          <cell r="B7131" t="str">
            <v>Hornos de seguridad para laboratorio</v>
          </cell>
        </row>
        <row r="7132">
          <cell r="A7132">
            <v>41104610</v>
          </cell>
          <cell r="B7132" t="str">
            <v>Crisoles para hornos de laboratorio</v>
          </cell>
        </row>
        <row r="7133">
          <cell r="A7133">
            <v>41104611</v>
          </cell>
          <cell r="B7133" t="str">
            <v>Aislamiento de repuesto para calderas de laboratorio</v>
          </cell>
        </row>
        <row r="7134">
          <cell r="A7134">
            <v>41104612</v>
          </cell>
          <cell r="B7134" t="str">
            <v>Accesorios para calderas de laboratorio</v>
          </cell>
        </row>
        <row r="7135">
          <cell r="A7135">
            <v>41104701</v>
          </cell>
          <cell r="B7135" t="str">
            <v>Secadores de congelación o liofolizantes</v>
          </cell>
        </row>
        <row r="7136">
          <cell r="A7136">
            <v>41104702</v>
          </cell>
          <cell r="B7136" t="str">
            <v>Cristalería para secadores de congelación</v>
          </cell>
        </row>
        <row r="7137">
          <cell r="A7137">
            <v>41104703</v>
          </cell>
          <cell r="B7137" t="str">
            <v>Secadores de bandeja</v>
          </cell>
        </row>
        <row r="7138">
          <cell r="A7138">
            <v>41104704</v>
          </cell>
          <cell r="B7138" t="str">
            <v>Accesorios para secadores de congelación o liofolizantes</v>
          </cell>
        </row>
        <row r="7139">
          <cell r="A7139">
            <v>41104801</v>
          </cell>
          <cell r="B7139" t="str">
            <v>Unidades de redomas o retortas</v>
          </cell>
        </row>
        <row r="7140">
          <cell r="A7140">
            <v>41104802</v>
          </cell>
          <cell r="B7140" t="str">
            <v>Unidades de bi destilación</v>
          </cell>
        </row>
        <row r="7141">
          <cell r="A7141">
            <v>41104803</v>
          </cell>
          <cell r="B7141" t="str">
            <v>Evaporadores para laboratorio</v>
          </cell>
        </row>
        <row r="7142">
          <cell r="A7142">
            <v>41104804</v>
          </cell>
          <cell r="B7142" t="str">
            <v>Evaporadores de vacío o rotatorios</v>
          </cell>
        </row>
        <row r="7143">
          <cell r="A7143">
            <v>41104805</v>
          </cell>
          <cell r="B7143" t="str">
            <v>Evaporadores de purga de nitrógeno</v>
          </cell>
        </row>
        <row r="7144">
          <cell r="A7144">
            <v>41104806</v>
          </cell>
          <cell r="B7144" t="str">
            <v>Equipo de extracción para laboratorios</v>
          </cell>
        </row>
        <row r="7145">
          <cell r="A7145">
            <v>41104807</v>
          </cell>
          <cell r="B7145" t="str">
            <v>Extractores de grasa</v>
          </cell>
        </row>
        <row r="7146">
          <cell r="A7146">
            <v>41104808</v>
          </cell>
          <cell r="B7146" t="str">
            <v>Extractores de fibra cruda</v>
          </cell>
        </row>
        <row r="7147">
          <cell r="A7147">
            <v>41104809</v>
          </cell>
          <cell r="B7147" t="str">
            <v>Unidad de análisis de sedimentación</v>
          </cell>
        </row>
        <row r="7148">
          <cell r="A7148">
            <v>41104810</v>
          </cell>
          <cell r="B7148" t="str">
            <v>Aparatos de fraccionamiento</v>
          </cell>
        </row>
        <row r="7149">
          <cell r="A7149">
            <v>41104811</v>
          </cell>
          <cell r="B7149" t="str">
            <v>Fraccionadores de densidad gradiente</v>
          </cell>
        </row>
        <row r="7150">
          <cell r="A7150">
            <v>41104812</v>
          </cell>
          <cell r="B7150" t="str">
            <v>Pipetas o columnas o accesorios de destilación</v>
          </cell>
        </row>
        <row r="7151">
          <cell r="A7151">
            <v>41104813</v>
          </cell>
          <cell r="B7151" t="str">
            <v>Componentes de reflujo</v>
          </cell>
        </row>
        <row r="7152">
          <cell r="A7152">
            <v>41104814</v>
          </cell>
          <cell r="B7152" t="str">
            <v>Condensadores intercambiadores de calor para laboratorio</v>
          </cell>
        </row>
        <row r="7153">
          <cell r="A7153">
            <v>41104815</v>
          </cell>
          <cell r="B7153" t="str">
            <v>Aparatos “kjeldahl” para la determinación de nitrógeno</v>
          </cell>
        </row>
        <row r="7154">
          <cell r="A7154">
            <v>41104816</v>
          </cell>
          <cell r="B7154" t="str">
            <v>Concentradores centrífugos o de vacío</v>
          </cell>
        </row>
        <row r="7155">
          <cell r="A7155">
            <v>41104817</v>
          </cell>
          <cell r="B7155" t="str">
            <v>Casquillos de extracción</v>
          </cell>
        </row>
        <row r="7156">
          <cell r="A7156">
            <v>41104901</v>
          </cell>
          <cell r="B7156" t="str">
            <v>Filtros de línea para laboratorio</v>
          </cell>
        </row>
        <row r="7157">
          <cell r="A7157">
            <v>41104902</v>
          </cell>
          <cell r="B7157" t="str">
            <v>Equipos de filtración de gel</v>
          </cell>
        </row>
        <row r="7158">
          <cell r="A7158">
            <v>41104903</v>
          </cell>
          <cell r="B7158" t="str">
            <v>Equipos de ultra filtración</v>
          </cell>
        </row>
        <row r="7159">
          <cell r="A7159">
            <v>41104904</v>
          </cell>
          <cell r="B7159" t="str">
            <v>Filtros de células aglomeradas</v>
          </cell>
        </row>
        <row r="7160">
          <cell r="A7160">
            <v>41104905</v>
          </cell>
          <cell r="B7160" t="str">
            <v>Equipos de filtración de canal angosto</v>
          </cell>
        </row>
        <row r="7161">
          <cell r="A7161">
            <v>41104906</v>
          </cell>
          <cell r="B7161" t="str">
            <v>Equipos de filtración de ósmosis inversa</v>
          </cell>
        </row>
        <row r="7162">
          <cell r="A7162">
            <v>41104907</v>
          </cell>
          <cell r="B7162" t="str">
            <v>Equipos de filtración molecular</v>
          </cell>
        </row>
        <row r="7163">
          <cell r="A7163">
            <v>41104908</v>
          </cell>
          <cell r="B7163" t="str">
            <v>Elementos de filtración de cartucho para laboratorios</v>
          </cell>
        </row>
        <row r="7164">
          <cell r="A7164">
            <v>41104909</v>
          </cell>
          <cell r="B7164" t="str">
            <v>Sujeta filtros o ciclones para laboratorios</v>
          </cell>
        </row>
        <row r="7165">
          <cell r="A7165">
            <v>41104910</v>
          </cell>
          <cell r="B7165" t="str">
            <v>Filtros multi hoja o de prensa para laboratorios</v>
          </cell>
        </row>
        <row r="7166">
          <cell r="A7166">
            <v>41104911</v>
          </cell>
          <cell r="B7166" t="str">
            <v>Sistemas de filtración de aire para laboratorios</v>
          </cell>
        </row>
        <row r="7167">
          <cell r="A7167">
            <v>41104912</v>
          </cell>
          <cell r="B7167" t="str">
            <v>Filtro de prensas de fluido</v>
          </cell>
        </row>
        <row r="7168">
          <cell r="A7168">
            <v>41104913</v>
          </cell>
          <cell r="B7168" t="str">
            <v>Filtros de bio separación</v>
          </cell>
        </row>
        <row r="7169">
          <cell r="A7169">
            <v>41104914</v>
          </cell>
          <cell r="B7169" t="str">
            <v>Tazas o botellas de filtración</v>
          </cell>
        </row>
        <row r="7170">
          <cell r="A7170">
            <v>41104915</v>
          </cell>
          <cell r="B7170" t="str">
            <v>Filtros de cápsulas</v>
          </cell>
        </row>
        <row r="7171">
          <cell r="A7171">
            <v>41104916</v>
          </cell>
          <cell r="B7171" t="str">
            <v>Filtros centrífugos</v>
          </cell>
        </row>
        <row r="7172">
          <cell r="A7172">
            <v>41104917</v>
          </cell>
          <cell r="B7172" t="str">
            <v>Filtros ambientales para laboratorio</v>
          </cell>
        </row>
        <row r="7173">
          <cell r="A7173">
            <v>41104918</v>
          </cell>
          <cell r="B7173" t="str">
            <v>Filtros de vidrio para laboratorio</v>
          </cell>
        </row>
        <row r="7174">
          <cell r="A7174">
            <v>41104919</v>
          </cell>
          <cell r="B7174" t="str">
            <v>Filtros hepa para laboratorio</v>
          </cell>
        </row>
        <row r="7175">
          <cell r="A7175">
            <v>41104920</v>
          </cell>
          <cell r="B7175" t="str">
            <v>Filtros de hibridación</v>
          </cell>
        </row>
        <row r="7176">
          <cell r="A7176">
            <v>41104921</v>
          </cell>
          <cell r="B7176" t="str">
            <v>Filtros de membrana para laboratorio</v>
          </cell>
        </row>
        <row r="7177">
          <cell r="A7177">
            <v>41104922</v>
          </cell>
          <cell r="B7177" t="str">
            <v>Filtros de jeringa</v>
          </cell>
        </row>
        <row r="7178">
          <cell r="A7178">
            <v>41104923</v>
          </cell>
          <cell r="B7178" t="str">
            <v>Filtros de plato multipocillo</v>
          </cell>
        </row>
        <row r="7179">
          <cell r="A7179">
            <v>41104924</v>
          </cell>
          <cell r="B7179" t="str">
            <v>Filtros de microbiología</v>
          </cell>
        </row>
        <row r="7180">
          <cell r="A7180">
            <v>41104925</v>
          </cell>
          <cell r="B7180" t="str">
            <v>Hardware de filtración o accesorios para laboratorio</v>
          </cell>
        </row>
        <row r="7181">
          <cell r="A7181">
            <v>41104926</v>
          </cell>
          <cell r="B7181" t="str">
            <v>Filtro de cama de sílice</v>
          </cell>
        </row>
        <row r="7182">
          <cell r="A7182">
            <v>41104927</v>
          </cell>
          <cell r="B7182" t="str">
            <v>Pantallas de soporte para filtros</v>
          </cell>
        </row>
        <row r="7183">
          <cell r="A7183">
            <v>41104928</v>
          </cell>
          <cell r="B7183" t="str">
            <v>Receptor de botellas para laboratorio</v>
          </cell>
        </row>
        <row r="7184">
          <cell r="A7184">
            <v>41104929</v>
          </cell>
          <cell r="B7184" t="str">
            <v>Papeles filtrantes para laboratorio</v>
          </cell>
        </row>
        <row r="7185">
          <cell r="A7185">
            <v>41105001</v>
          </cell>
          <cell r="B7185" t="str">
            <v>Separadores para laboratorio</v>
          </cell>
        </row>
        <row r="7186">
          <cell r="A7186">
            <v>41105002</v>
          </cell>
          <cell r="B7186" t="str">
            <v>Equipo de tamizaje para laboratorio</v>
          </cell>
        </row>
        <row r="7187">
          <cell r="A7187">
            <v>41105003</v>
          </cell>
          <cell r="B7187" t="str">
            <v>Cernidores de prueba</v>
          </cell>
        </row>
        <row r="7188">
          <cell r="A7188">
            <v>41105101</v>
          </cell>
          <cell r="B7188" t="str">
            <v>Bombas de vacío para laboratorio</v>
          </cell>
        </row>
        <row r="7189">
          <cell r="A7189">
            <v>41105102</v>
          </cell>
          <cell r="B7189" t="str">
            <v>Bombas peristálticas</v>
          </cell>
        </row>
        <row r="7190">
          <cell r="A7190">
            <v>41105103</v>
          </cell>
          <cell r="B7190" t="str">
            <v>Bombas centrífugas para laboratorio</v>
          </cell>
        </row>
        <row r="7191">
          <cell r="A7191">
            <v>41105104</v>
          </cell>
          <cell r="B7191" t="str">
            <v>Bombas de jeringa</v>
          </cell>
        </row>
        <row r="7192">
          <cell r="A7192">
            <v>41105105</v>
          </cell>
          <cell r="B7192" t="str">
            <v>Bombas de medición</v>
          </cell>
        </row>
        <row r="7193">
          <cell r="A7193">
            <v>41105106</v>
          </cell>
          <cell r="B7193" t="str">
            <v>Bombas de cromatografía</v>
          </cell>
        </row>
        <row r="7194">
          <cell r="A7194">
            <v>41105107</v>
          </cell>
          <cell r="B7194" t="str">
            <v>Bombas de tambor para laboratorio</v>
          </cell>
        </row>
        <row r="7195">
          <cell r="A7195">
            <v>41105108</v>
          </cell>
          <cell r="B7195" t="str">
            <v>Tubos de uso general para laboratorio</v>
          </cell>
        </row>
        <row r="7196">
          <cell r="A7196">
            <v>41105109</v>
          </cell>
          <cell r="B7196" t="str">
            <v>Bombas de aleta rotativa</v>
          </cell>
        </row>
        <row r="7197">
          <cell r="A7197">
            <v>41105201</v>
          </cell>
          <cell r="B7197" t="str">
            <v>Equipo para teñir muestras de histología o citología</v>
          </cell>
        </row>
        <row r="7198">
          <cell r="A7198">
            <v>41105202</v>
          </cell>
          <cell r="B7198" t="str">
            <v>Equipo para teñir muestras de hematología</v>
          </cell>
        </row>
        <row r="7199">
          <cell r="A7199">
            <v>41105203</v>
          </cell>
          <cell r="B7199" t="str">
            <v>Equipo para teñir muestras de microbiología</v>
          </cell>
        </row>
        <row r="7200">
          <cell r="A7200">
            <v>41105204</v>
          </cell>
          <cell r="B7200" t="str">
            <v>Accesorios para equipos para teñir muestras de laboratorio</v>
          </cell>
        </row>
        <row r="7201">
          <cell r="A7201">
            <v>41105205</v>
          </cell>
          <cell r="B7201" t="str">
            <v>Equipo para preparar micro muestras</v>
          </cell>
        </row>
        <row r="7202">
          <cell r="A7202">
            <v>41105301</v>
          </cell>
          <cell r="B7202" t="str">
            <v>Cajas de gel</v>
          </cell>
        </row>
        <row r="7203">
          <cell r="A7203">
            <v>41105302</v>
          </cell>
          <cell r="B7203" t="str">
            <v>Secadores de gel</v>
          </cell>
        </row>
        <row r="7204">
          <cell r="A7204">
            <v>41105303</v>
          </cell>
          <cell r="B7204" t="str">
            <v>Suministros para el sistema de energía de electroforesis</v>
          </cell>
        </row>
        <row r="7205">
          <cell r="A7205">
            <v>41105304</v>
          </cell>
          <cell r="B7205" t="str">
            <v>Transiluminadores</v>
          </cell>
        </row>
        <row r="7206">
          <cell r="A7206">
            <v>41105305</v>
          </cell>
          <cell r="B7206" t="str">
            <v>Accesorios para el sistema de electroforesis</v>
          </cell>
        </row>
        <row r="7207">
          <cell r="A7207">
            <v>41105307</v>
          </cell>
          <cell r="B7207" t="str">
            <v>Instrumental para electroforesis capilar</v>
          </cell>
        </row>
        <row r="7208">
          <cell r="A7208">
            <v>41105308</v>
          </cell>
          <cell r="B7208" t="str">
            <v>Capilares o cartuchos</v>
          </cell>
        </row>
        <row r="7209">
          <cell r="A7209">
            <v>41105309</v>
          </cell>
          <cell r="B7209" t="str">
            <v>Kits o reactivos para electroforesis capilar</v>
          </cell>
        </row>
        <row r="7210">
          <cell r="A7210">
            <v>41105310</v>
          </cell>
          <cell r="B7210" t="str">
            <v>Accesorios para bloquear o transferir</v>
          </cell>
        </row>
        <row r="7211">
          <cell r="A7211">
            <v>41105311</v>
          </cell>
          <cell r="B7211" t="str">
            <v>Aparatos para bloquear o transferir</v>
          </cell>
        </row>
        <row r="7212">
          <cell r="A7212">
            <v>41105312</v>
          </cell>
          <cell r="B7212" t="str">
            <v>Peinillas o platos o espaciadores o bandejas</v>
          </cell>
        </row>
        <row r="7213">
          <cell r="A7213">
            <v>41105313</v>
          </cell>
          <cell r="B7213" t="str">
            <v>Casetes de detección o accesorios relacionados</v>
          </cell>
        </row>
        <row r="7214">
          <cell r="A7214">
            <v>41105314</v>
          </cell>
          <cell r="B7214" t="str">
            <v>Sistemas de documentación de gel</v>
          </cell>
        </row>
        <row r="7215">
          <cell r="A7215">
            <v>41105315</v>
          </cell>
          <cell r="B7215" t="str">
            <v>Accesorios de documentación de gel</v>
          </cell>
        </row>
        <row r="7216">
          <cell r="A7216">
            <v>41105316</v>
          </cell>
          <cell r="B7216" t="str">
            <v>Entrecruzadores ultravioleta</v>
          </cell>
        </row>
        <row r="7217">
          <cell r="A7217">
            <v>41105317</v>
          </cell>
          <cell r="B7217" t="str">
            <v>Reactivos para preparar geles de agarosa</v>
          </cell>
        </row>
        <row r="7218">
          <cell r="A7218">
            <v>41105318</v>
          </cell>
          <cell r="B7218" t="str">
            <v>Geles de agarosa prefabricados</v>
          </cell>
        </row>
        <row r="7219">
          <cell r="A7219">
            <v>41105319</v>
          </cell>
          <cell r="B7219" t="str">
            <v>Reactivos para preparar gel poliacrilamida</v>
          </cell>
        </row>
        <row r="7220">
          <cell r="A7220">
            <v>41105320</v>
          </cell>
          <cell r="B7220" t="str">
            <v>Geles de poliacrilamida pre fabricados</v>
          </cell>
        </row>
        <row r="7221">
          <cell r="A7221">
            <v>41105321</v>
          </cell>
          <cell r="B7221" t="str">
            <v>Tintura para geles ácido nucleicos</v>
          </cell>
        </row>
        <row r="7222">
          <cell r="A7222">
            <v>41105322</v>
          </cell>
          <cell r="B7222" t="str">
            <v>Tintura para geles poliacrilamidas</v>
          </cell>
        </row>
        <row r="7223">
          <cell r="A7223">
            <v>41105323</v>
          </cell>
          <cell r="B7223" t="str">
            <v>Zonas o soluciones prefabricadas para electroforesis</v>
          </cell>
        </row>
        <row r="7224">
          <cell r="A7224">
            <v>41105324</v>
          </cell>
          <cell r="B7224" t="str">
            <v>Sondas para ácido desoxirribonucleico dna o ácido ribonucleico rna</v>
          </cell>
        </row>
        <row r="7225">
          <cell r="A7225">
            <v>41105325</v>
          </cell>
          <cell r="B7225" t="str">
            <v>Placas micropocillo para hibridación de ácido desoxirribonucleico dna o ácido ribonucleico rna</v>
          </cell>
        </row>
        <row r="7226">
          <cell r="A7226">
            <v>41105326</v>
          </cell>
          <cell r="B7226" t="str">
            <v>Agentes reactivos o zonas para hibridación</v>
          </cell>
        </row>
        <row r="7227">
          <cell r="A7227">
            <v>41105327</v>
          </cell>
          <cell r="B7227" t="str">
            <v>Nucleótidos u oligómeros conjugados</v>
          </cell>
        </row>
        <row r="7228">
          <cell r="A7228">
            <v>41105328</v>
          </cell>
          <cell r="B7228" t="str">
            <v>Northern blot o southern blot o western blot prefabricadas</v>
          </cell>
        </row>
        <row r="7229">
          <cell r="A7229">
            <v>41105329</v>
          </cell>
          <cell r="B7229" t="str">
            <v>Agentes bloqueadores</v>
          </cell>
        </row>
        <row r="7230">
          <cell r="A7230">
            <v>41105330</v>
          </cell>
          <cell r="B7230" t="str">
            <v>Proteínas de control o lisados celulares o lisados de tejidos</v>
          </cell>
        </row>
        <row r="7231">
          <cell r="A7231">
            <v>41105331</v>
          </cell>
          <cell r="B7231" t="str">
            <v>Reactivos o kits o sustratos de detección quimio fluorescente de proteínas</v>
          </cell>
        </row>
        <row r="7232">
          <cell r="A7232">
            <v>41105332</v>
          </cell>
          <cell r="B7232" t="str">
            <v>Reactivos o kits o sustratos de detección quimio luminiscente de proteínas</v>
          </cell>
        </row>
        <row r="7233">
          <cell r="A7233">
            <v>41105333</v>
          </cell>
          <cell r="B7233" t="str">
            <v>Reactivos o kits o sustratos de detección cromogénica de proteínas</v>
          </cell>
        </row>
        <row r="7234">
          <cell r="A7234">
            <v>41105334</v>
          </cell>
          <cell r="B7234" t="str">
            <v>Marcadores de cuantificación de ácido desoxirribonucleico dna</v>
          </cell>
        </row>
        <row r="7235">
          <cell r="A7235">
            <v>41105335</v>
          </cell>
          <cell r="B7235" t="str">
            <v>Marcadores de tamaño o estándares de ácido desoxirribonucleico dna</v>
          </cell>
        </row>
        <row r="7236">
          <cell r="A7236">
            <v>41105336</v>
          </cell>
          <cell r="B7236" t="str">
            <v>Marcadores de foco isoeléctrico ief</v>
          </cell>
        </row>
        <row r="7237">
          <cell r="A7237">
            <v>41105337</v>
          </cell>
          <cell r="B7237" t="str">
            <v>Marcadores de electroforesis de proteína</v>
          </cell>
        </row>
        <row r="7238">
          <cell r="A7238">
            <v>41105338</v>
          </cell>
          <cell r="B7238" t="str">
            <v>Marcadores o estándares de ácido ribonucleico rna</v>
          </cell>
        </row>
        <row r="7239">
          <cell r="A7239">
            <v>41105339</v>
          </cell>
          <cell r="B7239" t="str">
            <v>Membranas de transferencia por adsorción</v>
          </cell>
        </row>
        <row r="7240">
          <cell r="A7240">
            <v>41105501</v>
          </cell>
          <cell r="B7240" t="str">
            <v>Kits de extracción de gel o limpiadores de ácido desoxirribonucleico dna</v>
          </cell>
        </row>
        <row r="7241">
          <cell r="A7241">
            <v>41105502</v>
          </cell>
          <cell r="B7241" t="str">
            <v>Kits para extrae ácido desoxirribonucleico dna de alimentos</v>
          </cell>
        </row>
        <row r="7242">
          <cell r="A7242">
            <v>41105503</v>
          </cell>
          <cell r="B7242" t="str">
            <v>Sistemas de electro elución</v>
          </cell>
        </row>
        <row r="7243">
          <cell r="A7243">
            <v>41105504</v>
          </cell>
          <cell r="B7243" t="str">
            <v>Kits de purificación de ácido desoxirribonucleico dna genómico</v>
          </cell>
        </row>
        <row r="7244">
          <cell r="A7244">
            <v>41105505</v>
          </cell>
          <cell r="B7244" t="str">
            <v>Sistemas de selección de alto rendimiento hts en purificación de ácido nucleico</v>
          </cell>
        </row>
        <row r="7245">
          <cell r="A7245">
            <v>41105506</v>
          </cell>
          <cell r="B7245" t="str">
            <v>Kits para purificación de ácido ribonucleico mensajero mrna</v>
          </cell>
        </row>
        <row r="7246">
          <cell r="A7246">
            <v>41105507</v>
          </cell>
          <cell r="B7246" t="str">
            <v>Glóbulos magnéticos para aislar ácido nucleico</v>
          </cell>
        </row>
        <row r="7247">
          <cell r="A7247">
            <v>41105508</v>
          </cell>
          <cell r="B7247" t="str">
            <v>Co-precipitantes de ácidos nucleicos</v>
          </cell>
        </row>
        <row r="7248">
          <cell r="A7248">
            <v>41105509</v>
          </cell>
          <cell r="B7248" t="str">
            <v>Kits de cuantificación de ácidos nucleicos</v>
          </cell>
        </row>
        <row r="7249">
          <cell r="A7249">
            <v>41105510</v>
          </cell>
          <cell r="B7249" t="str">
            <v>Kits de purificación de fagos de ácido desoxirribonucleico dna</v>
          </cell>
        </row>
        <row r="7250">
          <cell r="A7250">
            <v>41105511</v>
          </cell>
          <cell r="B7250" t="str">
            <v>Kits para extracción de plásmidos de ácido desoxirribonucleico dna de la levadura</v>
          </cell>
        </row>
        <row r="7251">
          <cell r="A7251">
            <v>41105512</v>
          </cell>
          <cell r="B7251" t="str">
            <v>Kit de purificación de plásmidos o cósmidos o cromosomas bacterianos artificiales bac</v>
          </cell>
        </row>
        <row r="7252">
          <cell r="A7252">
            <v>41105513</v>
          </cell>
          <cell r="B7252" t="str">
            <v>Kits de purificación de ácido nucleico etiquetado</v>
          </cell>
        </row>
        <row r="7253">
          <cell r="A7253">
            <v>41105514</v>
          </cell>
          <cell r="B7253" t="str">
            <v>Reactivos para extracción o precipitación o re suspensión de ácido nucleico</v>
          </cell>
        </row>
        <row r="7254">
          <cell r="A7254">
            <v>41105515</v>
          </cell>
          <cell r="B7254" t="str">
            <v>Materiales de estabilización o limpieza de ácido ribonucleico</v>
          </cell>
        </row>
        <row r="7255">
          <cell r="A7255">
            <v>41105516</v>
          </cell>
          <cell r="B7255" t="str">
            <v>Kits de extracción de gel de ácido ribonucleico rna</v>
          </cell>
        </row>
        <row r="7256">
          <cell r="A7256">
            <v>41105517</v>
          </cell>
          <cell r="B7256" t="str">
            <v>Kits para extracción de ácido nucleico de células o tejidos de plantas</v>
          </cell>
        </row>
        <row r="7257">
          <cell r="A7257">
            <v>41105518</v>
          </cell>
          <cell r="B7257" t="str">
            <v>Kits de purificación de ácido ribonucleico rna total</v>
          </cell>
        </row>
        <row r="7258">
          <cell r="A7258">
            <v>41105519</v>
          </cell>
          <cell r="B7258" t="str">
            <v>Kits de purificación de ácido desoxirribonucleico dna viral</v>
          </cell>
        </row>
        <row r="7259">
          <cell r="A7259">
            <v>41105520</v>
          </cell>
          <cell r="B7259" t="str">
            <v>Kits de purificación de ácido ribonucleico viral</v>
          </cell>
        </row>
        <row r="7260">
          <cell r="A7260">
            <v>41105601</v>
          </cell>
          <cell r="B7260" t="str">
            <v>Kits o enzimas para secuenciación</v>
          </cell>
        </row>
        <row r="7261">
          <cell r="A7261">
            <v>41105701</v>
          </cell>
          <cell r="B7261" t="str">
            <v>Acido nucleico inmovilizado en membranas de vidrio o nylon</v>
          </cell>
        </row>
        <row r="7262">
          <cell r="A7262">
            <v>41105801</v>
          </cell>
          <cell r="B7262" t="str">
            <v>Conjugados o derivados oligoméricos</v>
          </cell>
        </row>
        <row r="7263">
          <cell r="A7263">
            <v>41105802</v>
          </cell>
          <cell r="B7263" t="str">
            <v>Ribonucleotidos</v>
          </cell>
        </row>
        <row r="7264">
          <cell r="A7264">
            <v>41105803</v>
          </cell>
          <cell r="B7264" t="str">
            <v>Sistemas o kits de transcripción o traducción</v>
          </cell>
        </row>
        <row r="7265">
          <cell r="A7265">
            <v>41105804</v>
          </cell>
          <cell r="B7265" t="str">
            <v>Accesorios de etiquetado de traducción</v>
          </cell>
        </row>
        <row r="7266">
          <cell r="A7266">
            <v>41105901</v>
          </cell>
          <cell r="B7266" t="str">
            <v>Tejidos animales o fluidos corporales</v>
          </cell>
        </row>
        <row r="7267">
          <cell r="A7267">
            <v>41105902</v>
          </cell>
          <cell r="B7267" t="str">
            <v>Muestrarios de ácido desoxirribonucleico dna complementario</v>
          </cell>
        </row>
        <row r="7268">
          <cell r="A7268">
            <v>41105903</v>
          </cell>
          <cell r="B7268" t="str">
            <v>Kits de síntesis de ácido desoxirribonucleico dna complementario</v>
          </cell>
        </row>
        <row r="7269">
          <cell r="A7269">
            <v>41105904</v>
          </cell>
          <cell r="B7269" t="str">
            <v>Muestrarios genómicos</v>
          </cell>
        </row>
        <row r="7270">
          <cell r="A7270">
            <v>41105905</v>
          </cell>
          <cell r="B7270" t="str">
            <v>Kits de construcción de muestrarios</v>
          </cell>
        </row>
        <row r="7271">
          <cell r="A7271">
            <v>41105906</v>
          </cell>
          <cell r="B7271" t="str">
            <v>Muestrarios de despliegue de proteínas o péptidos</v>
          </cell>
        </row>
        <row r="7272">
          <cell r="A7272">
            <v>41105907</v>
          </cell>
          <cell r="B7272" t="str">
            <v>Dos muestrarios o sistemas de dos híbridos</v>
          </cell>
        </row>
        <row r="7273">
          <cell r="A7273">
            <v>41105908</v>
          </cell>
          <cell r="B7273" t="str">
            <v>Kits de empaques virales</v>
          </cell>
        </row>
        <row r="7274">
          <cell r="A7274">
            <v>41106001</v>
          </cell>
          <cell r="B7274" t="str">
            <v>Materiales de detección de ácido nucleico quimio fluorescente</v>
          </cell>
        </row>
        <row r="7275">
          <cell r="A7275">
            <v>41106002</v>
          </cell>
          <cell r="B7275" t="str">
            <v>Materiales de detección de ácido nucleico quimio luminiscente</v>
          </cell>
        </row>
        <row r="7276">
          <cell r="A7276">
            <v>41106003</v>
          </cell>
          <cell r="B7276" t="str">
            <v>Materiales de detección nucleicos y cromogénicos</v>
          </cell>
        </row>
        <row r="7277">
          <cell r="A7277">
            <v>41106004</v>
          </cell>
          <cell r="B7277" t="str">
            <v>Kits de etiquetado no radiactivos de ácido nucleico</v>
          </cell>
        </row>
        <row r="7278">
          <cell r="A7278">
            <v>41106005</v>
          </cell>
          <cell r="B7278" t="str">
            <v>Kits de etiquetado radiactivos de ácido nucleico</v>
          </cell>
        </row>
        <row r="7279">
          <cell r="A7279">
            <v>41106006</v>
          </cell>
          <cell r="B7279" t="str">
            <v>Radio nucleótidos o nucleosidos</v>
          </cell>
        </row>
        <row r="7280">
          <cell r="A7280">
            <v>41106101</v>
          </cell>
          <cell r="B7280" t="str">
            <v>Kits citogenéticos</v>
          </cell>
        </row>
        <row r="7281">
          <cell r="A7281">
            <v>41106102</v>
          </cell>
          <cell r="B7281" t="str">
            <v>Kits de kits de exhibición o sustracción diferenciales</v>
          </cell>
        </row>
        <row r="7282">
          <cell r="A7282">
            <v>41106103</v>
          </cell>
          <cell r="B7282" t="str">
            <v>Kits de tipificación de ácido desoxirribonucleico dna</v>
          </cell>
        </row>
        <row r="7283">
          <cell r="A7283">
            <v>41106104</v>
          </cell>
          <cell r="B7283" t="str">
            <v>Pruebas de protección nucleasa</v>
          </cell>
        </row>
        <row r="7284">
          <cell r="A7284">
            <v>41106201</v>
          </cell>
          <cell r="B7284" t="str">
            <v>Antimicóticos</v>
          </cell>
        </row>
        <row r="7285">
          <cell r="A7285">
            <v>41106202</v>
          </cell>
          <cell r="B7285" t="str">
            <v>Celdas competentes de bacterias</v>
          </cell>
        </row>
        <row r="7286">
          <cell r="A7286">
            <v>41106203</v>
          </cell>
          <cell r="B7286" t="str">
            <v>Kits de transformación de bacterias</v>
          </cell>
        </row>
        <row r="7287">
          <cell r="A7287">
            <v>41106204</v>
          </cell>
          <cell r="B7287" t="str">
            <v>Medio agar embotellado o en bandas para bacterias</v>
          </cell>
        </row>
        <row r="7288">
          <cell r="A7288">
            <v>41106205</v>
          </cell>
          <cell r="B7288" t="str">
            <v>Mezclas de suplemento brent para levadura</v>
          </cell>
        </row>
        <row r="7289">
          <cell r="A7289">
            <v>41106206</v>
          </cell>
          <cell r="B7289" t="str">
            <v>Mezclas de suplemento completo para levadura</v>
          </cell>
        </row>
        <row r="7290">
          <cell r="A7290">
            <v>41106207</v>
          </cell>
          <cell r="B7290" t="str">
            <v>Medio discoide dictiostelium</v>
          </cell>
        </row>
        <row r="7291">
          <cell r="A7291">
            <v>41106208</v>
          </cell>
          <cell r="B7291" t="str">
            <v>Cubetas de electroporación</v>
          </cell>
        </row>
        <row r="7292">
          <cell r="A7292">
            <v>41106209</v>
          </cell>
          <cell r="B7292" t="str">
            <v>Mezclas de suplemento hollenberg para levaduras</v>
          </cell>
        </row>
        <row r="7293">
          <cell r="A7293">
            <v>41106210</v>
          </cell>
          <cell r="B7293" t="str">
            <v>Medios o suplementos para schizosaccharomyces pombe (levadura de fisión)</v>
          </cell>
        </row>
        <row r="7294">
          <cell r="A7294">
            <v>41106211</v>
          </cell>
          <cell r="B7294" t="str">
            <v>Ingredientes o aditivos de medio para schizosaccharomyces pombe</v>
          </cell>
        </row>
        <row r="7295">
          <cell r="A7295">
            <v>41106212</v>
          </cell>
          <cell r="B7295" t="str">
            <v>Ingredientes o aditivos de medio para bacterias</v>
          </cell>
        </row>
        <row r="7296">
          <cell r="A7296">
            <v>41106213</v>
          </cell>
          <cell r="B7296" t="str">
            <v>Medio seco premezclado</v>
          </cell>
        </row>
        <row r="7297">
          <cell r="A7297">
            <v>41106214</v>
          </cell>
          <cell r="B7297" t="str">
            <v>Reactivos para preparar bacterias competentes</v>
          </cell>
        </row>
        <row r="7298">
          <cell r="A7298">
            <v>41106215</v>
          </cell>
          <cell r="B7298" t="str">
            <v>Reactivos para preparar levadura competente</v>
          </cell>
        </row>
        <row r="7299">
          <cell r="A7299">
            <v>41106216</v>
          </cell>
          <cell r="B7299" t="str">
            <v>Medios ricos para levadura</v>
          </cell>
        </row>
        <row r="7300">
          <cell r="A7300">
            <v>41106217</v>
          </cell>
          <cell r="B7300" t="str">
            <v>Platos especiales para bacterias</v>
          </cell>
        </row>
        <row r="7301">
          <cell r="A7301">
            <v>41106218</v>
          </cell>
          <cell r="B7301" t="str">
            <v>Medio seco premezclado especializado</v>
          </cell>
        </row>
        <row r="7302">
          <cell r="A7302">
            <v>41106219</v>
          </cell>
          <cell r="B7302" t="str">
            <v>Mezclas suplementarias completas sintéticas para levadura</v>
          </cell>
        </row>
        <row r="7303">
          <cell r="A7303">
            <v>41106220</v>
          </cell>
          <cell r="B7303" t="str">
            <v>Medio sintético para levadura</v>
          </cell>
        </row>
        <row r="7304">
          <cell r="A7304">
            <v>41106221</v>
          </cell>
          <cell r="B7304" t="str">
            <v>Células competentes para levadura</v>
          </cell>
        </row>
        <row r="7305">
          <cell r="A7305">
            <v>41106222</v>
          </cell>
          <cell r="B7305" t="str">
            <v>Kits de transformación de levadura</v>
          </cell>
        </row>
        <row r="7306">
          <cell r="A7306">
            <v>41106223</v>
          </cell>
          <cell r="B7306" t="str">
            <v>Bases de nitrógeno para levadura ynb o variantes de bases de nitrógeno para levaduras ynb</v>
          </cell>
        </row>
        <row r="7307">
          <cell r="A7307">
            <v>41106301</v>
          </cell>
          <cell r="B7307" t="str">
            <v>Trifosfatos deoxinucleotidos dntps</v>
          </cell>
        </row>
        <row r="7308">
          <cell r="A7308">
            <v>41106302</v>
          </cell>
          <cell r="B7308" t="str">
            <v>Kits de reacción en cadena polimerasa específica para genes</v>
          </cell>
        </row>
        <row r="7309">
          <cell r="A7309">
            <v>41106303</v>
          </cell>
          <cell r="B7309" t="str">
            <v>Kits de purificación de reacción en cadena de polimerasa</v>
          </cell>
        </row>
        <row r="7310">
          <cell r="A7310">
            <v>41106304</v>
          </cell>
          <cell r="B7310" t="str">
            <v>Kits para cuantificación de ácido ribonucleico mensajero mrna mediante reacción en cadena de polimerasa pcr</v>
          </cell>
        </row>
        <row r="7311">
          <cell r="A7311">
            <v>41106305</v>
          </cell>
          <cell r="B7311" t="str">
            <v>Nucleótidos</v>
          </cell>
        </row>
        <row r="7312">
          <cell r="A7312">
            <v>41106306</v>
          </cell>
          <cell r="B7312" t="str">
            <v>Tapones para reacción en cadena de polimerasa pcr</v>
          </cell>
        </row>
        <row r="7313">
          <cell r="A7313">
            <v>41106307</v>
          </cell>
          <cell r="B7313" t="str">
            <v>Productos para optimizar la reacción en cadena de polimerasa pcr</v>
          </cell>
        </row>
        <row r="7314">
          <cell r="A7314">
            <v>41106308</v>
          </cell>
          <cell r="B7314" t="str">
            <v>Base para reacción en cadena de polimerasa pcr o reacción en cadena de polimerasa transcripta inversa rt pcr</v>
          </cell>
        </row>
        <row r="7315">
          <cell r="A7315">
            <v>41106309</v>
          </cell>
          <cell r="B7315" t="str">
            <v>Ácido desoxirribonucleico complementario cdna pre-preparado</v>
          </cell>
        </row>
        <row r="7316">
          <cell r="A7316">
            <v>41106310</v>
          </cell>
          <cell r="B7316" t="str">
            <v>Ácido desoxirribonucleico adn genómico purificado</v>
          </cell>
        </row>
        <row r="7317">
          <cell r="A7317">
            <v>41106311</v>
          </cell>
          <cell r="B7317" t="str">
            <v>Ácidos ribonucleicos rna purificados</v>
          </cell>
        </row>
        <row r="7318">
          <cell r="A7318">
            <v>41106312</v>
          </cell>
          <cell r="B7318" t="str">
            <v>Productos de tecnología de rápida amplificación o terminaciones de ácido desoxirribonucleico complementario race</v>
          </cell>
        </row>
        <row r="7319">
          <cell r="A7319">
            <v>41106313</v>
          </cell>
          <cell r="B7319" t="str">
            <v>Kits de reacción en cadena de polimerasa transcriptasa inversa rt pcr</v>
          </cell>
        </row>
        <row r="7320">
          <cell r="A7320">
            <v>41106314</v>
          </cell>
          <cell r="B7320" t="str">
            <v>Kits o polimerasas de ácido desoxirribonucleico dna termoestable</v>
          </cell>
        </row>
        <row r="7321">
          <cell r="A7321">
            <v>41106401</v>
          </cell>
          <cell r="B7321" t="str">
            <v>Adaptadores o enlazadores</v>
          </cell>
        </row>
        <row r="7322">
          <cell r="A7322">
            <v>41106402</v>
          </cell>
          <cell r="B7322" t="str">
            <v>Bases misceláneas</v>
          </cell>
        </row>
        <row r="7323">
          <cell r="A7323">
            <v>41106403</v>
          </cell>
          <cell r="B7323" t="str">
            <v>Bases de secuenciación</v>
          </cell>
        </row>
        <row r="7324">
          <cell r="A7324">
            <v>41106501</v>
          </cell>
          <cell r="B7324" t="str">
            <v>Kits de expresión bacteriana</v>
          </cell>
        </row>
        <row r="7325">
          <cell r="A7325">
            <v>41106502</v>
          </cell>
          <cell r="B7325" t="str">
            <v>Reactivos de transfección eucariótica</v>
          </cell>
        </row>
        <row r="7326">
          <cell r="A7326">
            <v>41106503</v>
          </cell>
          <cell r="B7326" t="str">
            <v>Inductores o reguladores</v>
          </cell>
        </row>
        <row r="7327">
          <cell r="A7327">
            <v>41106504</v>
          </cell>
          <cell r="B7327" t="str">
            <v>Células de insectos</v>
          </cell>
        </row>
        <row r="7328">
          <cell r="A7328">
            <v>41106505</v>
          </cell>
          <cell r="B7328" t="str">
            <v>Kits de expresión de insectos</v>
          </cell>
        </row>
        <row r="7329">
          <cell r="A7329">
            <v>41106506</v>
          </cell>
          <cell r="B7329" t="str">
            <v>Medio para insectos</v>
          </cell>
        </row>
        <row r="7330">
          <cell r="A7330">
            <v>41106507</v>
          </cell>
          <cell r="B7330" t="str">
            <v>Reactivos o suplementos para medio para insectos</v>
          </cell>
        </row>
        <row r="7331">
          <cell r="A7331">
            <v>41106508</v>
          </cell>
          <cell r="B7331" t="str">
            <v>Kits de expresión celular mamífera</v>
          </cell>
        </row>
        <row r="7332">
          <cell r="A7332">
            <v>41106509</v>
          </cell>
          <cell r="B7332" t="str">
            <v>Células mamíferas</v>
          </cell>
        </row>
        <row r="7333">
          <cell r="A7333">
            <v>41106510</v>
          </cell>
          <cell r="B7333" t="str">
            <v>Kits para extracción de proteína de células o tejidos de mamíferos</v>
          </cell>
        </row>
        <row r="7334">
          <cell r="A7334">
            <v>41106511</v>
          </cell>
          <cell r="B7334" t="str">
            <v>Kits para extracción de proteína de bacterias</v>
          </cell>
        </row>
        <row r="7335">
          <cell r="A7335">
            <v>41106512</v>
          </cell>
          <cell r="B7335" t="str">
            <v>Kits para extracción de proteína de levadura</v>
          </cell>
        </row>
        <row r="7336">
          <cell r="A7336">
            <v>41106513</v>
          </cell>
          <cell r="B7336" t="str">
            <v>Reportero de ensayo genético</v>
          </cell>
        </row>
        <row r="7337">
          <cell r="A7337">
            <v>41106514</v>
          </cell>
          <cell r="B7337" t="str">
            <v>Líneas celulares mamíferas estables</v>
          </cell>
        </row>
        <row r="7338">
          <cell r="A7338">
            <v>41106515</v>
          </cell>
          <cell r="B7338" t="str">
            <v>Kits de expresión de levadura</v>
          </cell>
        </row>
        <row r="7339">
          <cell r="A7339">
            <v>41106601</v>
          </cell>
          <cell r="B7339" t="str">
            <v>Vectores enfocados a cromosomas</v>
          </cell>
        </row>
        <row r="7340">
          <cell r="A7340">
            <v>41106602</v>
          </cell>
          <cell r="B7340" t="str">
            <v>Vectores enfocados a expresión bacteriana</v>
          </cell>
        </row>
        <row r="7341">
          <cell r="A7341">
            <v>41106603</v>
          </cell>
          <cell r="B7341" t="str">
            <v>Vectores de casete</v>
          </cell>
        </row>
        <row r="7342">
          <cell r="A7342">
            <v>41106604</v>
          </cell>
          <cell r="B7342" t="str">
            <v>Despliegue de mapas o secuencias vectoriales</v>
          </cell>
        </row>
        <row r="7343">
          <cell r="A7343">
            <v>41106605</v>
          </cell>
          <cell r="B7343" t="str">
            <v>Mapas o secuencias de reportero de vector enzimático</v>
          </cell>
        </row>
        <row r="7344">
          <cell r="A7344">
            <v>41106606</v>
          </cell>
          <cell r="B7344" t="str">
            <v>Vectores de expresión de ácido desoxirribonucleico complementario cdna</v>
          </cell>
        </row>
        <row r="7345">
          <cell r="A7345">
            <v>41106607</v>
          </cell>
          <cell r="B7345" t="str">
            <v>Mapas o secuencias de vectores proteínicos fluorescentes</v>
          </cell>
        </row>
        <row r="7346">
          <cell r="A7346">
            <v>41106608</v>
          </cell>
          <cell r="B7346" t="str">
            <v>Vectores de fusión</v>
          </cell>
        </row>
        <row r="7347">
          <cell r="A7347">
            <v>41106609</v>
          </cell>
          <cell r="B7347" t="str">
            <v>Vectores enfocados a genes</v>
          </cell>
        </row>
        <row r="7348">
          <cell r="A7348">
            <v>41106610</v>
          </cell>
          <cell r="B7348" t="str">
            <v>Vectores de clonación general</v>
          </cell>
        </row>
        <row r="7349">
          <cell r="A7349">
            <v>41106611</v>
          </cell>
          <cell r="B7349" t="str">
            <v>Vectores o kits de sistemas hídricos</v>
          </cell>
        </row>
        <row r="7350">
          <cell r="A7350">
            <v>41106612</v>
          </cell>
          <cell r="B7350" t="str">
            <v>Vectores de expresión de insectos</v>
          </cell>
        </row>
        <row r="7351">
          <cell r="A7351">
            <v>41106613</v>
          </cell>
          <cell r="B7351" t="str">
            <v>Vectores de construcción de muestrarios</v>
          </cell>
        </row>
        <row r="7352">
          <cell r="A7352">
            <v>41106614</v>
          </cell>
          <cell r="B7352" t="str">
            <v>Vectores de expresión celular de mamíferos</v>
          </cell>
        </row>
        <row r="7353">
          <cell r="A7353">
            <v>41106615</v>
          </cell>
          <cell r="B7353" t="str">
            <v>Kits o vectores de clonación de reacción en cadena de polimerasa pcr</v>
          </cell>
        </row>
        <row r="7354">
          <cell r="A7354">
            <v>41106616</v>
          </cell>
          <cell r="B7354" t="str">
            <v>Ácido desoxirribonucleico dna fágico o viral</v>
          </cell>
        </row>
        <row r="7355">
          <cell r="A7355">
            <v>41106617</v>
          </cell>
          <cell r="B7355" t="str">
            <v>Kits o vectores de muta génesis plásmida</v>
          </cell>
        </row>
        <row r="7356">
          <cell r="A7356">
            <v>41106618</v>
          </cell>
          <cell r="B7356" t="str">
            <v>Productos de expresión o clonación de recombinación mediada</v>
          </cell>
        </row>
        <row r="7357">
          <cell r="A7357">
            <v>41106619</v>
          </cell>
          <cell r="B7357" t="str">
            <v>Vectores de secuenciación</v>
          </cell>
        </row>
        <row r="7358">
          <cell r="A7358">
            <v>41106620</v>
          </cell>
          <cell r="B7358" t="str">
            <v>Mapas o secuencias de reporteros de vectores por señal de transducción</v>
          </cell>
        </row>
        <row r="7359">
          <cell r="A7359">
            <v>41106621</v>
          </cell>
          <cell r="B7359" t="str">
            <v>Kits o vectores de expresión de virus mediado</v>
          </cell>
        </row>
        <row r="7360">
          <cell r="A7360">
            <v>41106622</v>
          </cell>
          <cell r="B7360" t="str">
            <v>Vectores de expresión de levadura</v>
          </cell>
        </row>
        <row r="7361">
          <cell r="A7361">
            <v>41111501</v>
          </cell>
          <cell r="B7361" t="str">
            <v>Balanzas de carga superior electrónicos</v>
          </cell>
        </row>
        <row r="7362">
          <cell r="A7362">
            <v>41111502</v>
          </cell>
          <cell r="B7362" t="str">
            <v>Balanzas de laboratorio</v>
          </cell>
        </row>
        <row r="7363">
          <cell r="A7363">
            <v>41111503</v>
          </cell>
          <cell r="B7363" t="str">
            <v>Balanzas mecánicas</v>
          </cell>
        </row>
        <row r="7364">
          <cell r="A7364">
            <v>41111504</v>
          </cell>
          <cell r="B7364" t="str">
            <v>Balanzas de resorte tensor</v>
          </cell>
        </row>
        <row r="7365">
          <cell r="A7365">
            <v>41111505</v>
          </cell>
          <cell r="B7365" t="str">
            <v>Pesas de calibración o sets de pesas</v>
          </cell>
        </row>
        <row r="7366">
          <cell r="A7366">
            <v>41111506</v>
          </cell>
          <cell r="B7366" t="str">
            <v>Básculas para pesar animales</v>
          </cell>
        </row>
        <row r="7367">
          <cell r="A7367">
            <v>41111507</v>
          </cell>
          <cell r="B7367" t="str">
            <v>Básculas de mesa</v>
          </cell>
        </row>
        <row r="7368">
          <cell r="A7368">
            <v>41111508</v>
          </cell>
          <cell r="B7368" t="str">
            <v>Básculas para medir el peso corporal</v>
          </cell>
        </row>
        <row r="7369">
          <cell r="A7369">
            <v>41111509</v>
          </cell>
          <cell r="B7369" t="str">
            <v>Básculas de piso o de plataforma</v>
          </cell>
        </row>
        <row r="7370">
          <cell r="A7370">
            <v>41111510</v>
          </cell>
          <cell r="B7370" t="str">
            <v>Básculas postales</v>
          </cell>
        </row>
        <row r="7371">
          <cell r="A7371">
            <v>41111511</v>
          </cell>
          <cell r="B7371" t="str">
            <v>Básculas de camión o riel</v>
          </cell>
        </row>
        <row r="7372">
          <cell r="A7372">
            <v>41111512</v>
          </cell>
          <cell r="B7372" t="str">
            <v>Balanzas de triple haz</v>
          </cell>
        </row>
        <row r="7373">
          <cell r="A7373">
            <v>41111513</v>
          </cell>
          <cell r="B7373" t="str">
            <v>Balanzas de humedad</v>
          </cell>
        </row>
        <row r="7374">
          <cell r="A7374">
            <v>41111515</v>
          </cell>
          <cell r="B7374" t="str">
            <v>Contenedores o tazones o barcos o papeles para pesar</v>
          </cell>
        </row>
        <row r="7375">
          <cell r="A7375">
            <v>41111516</v>
          </cell>
          <cell r="B7375" t="str">
            <v>Accesorios para instrumentos de medición de peso</v>
          </cell>
        </row>
        <row r="7376">
          <cell r="A7376">
            <v>41111517</v>
          </cell>
          <cell r="B7376" t="str">
            <v>Balanzas analíticas</v>
          </cell>
        </row>
        <row r="7377">
          <cell r="A7377">
            <v>41111601</v>
          </cell>
          <cell r="B7377" t="str">
            <v>Micrómetros</v>
          </cell>
        </row>
        <row r="7378">
          <cell r="A7378">
            <v>41111602</v>
          </cell>
          <cell r="B7378" t="str">
            <v>Podómetros</v>
          </cell>
        </row>
        <row r="7379">
          <cell r="A7379">
            <v>41111603</v>
          </cell>
          <cell r="B7379" t="str">
            <v>Telémetros o buscadores de rango</v>
          </cell>
        </row>
        <row r="7380">
          <cell r="A7380">
            <v>41111604</v>
          </cell>
          <cell r="B7380" t="str">
            <v>Reglas</v>
          </cell>
        </row>
        <row r="7381">
          <cell r="A7381">
            <v>41111605</v>
          </cell>
          <cell r="B7381" t="str">
            <v>Medidoras de tensión</v>
          </cell>
        </row>
        <row r="7382">
          <cell r="A7382">
            <v>41111606</v>
          </cell>
          <cell r="B7382" t="str">
            <v>Telurómetros</v>
          </cell>
        </row>
        <row r="7383">
          <cell r="A7383">
            <v>41111607</v>
          </cell>
          <cell r="B7383" t="str">
            <v>Medidores o contadores de roscas</v>
          </cell>
        </row>
        <row r="7384">
          <cell r="A7384">
            <v>41111613</v>
          </cell>
          <cell r="B7384" t="str">
            <v>Metros de distancia</v>
          </cell>
        </row>
        <row r="7385">
          <cell r="A7385">
            <v>41111614</v>
          </cell>
          <cell r="B7385" t="str">
            <v>Medidores de altura</v>
          </cell>
        </row>
        <row r="7386">
          <cell r="A7386">
            <v>41111615</v>
          </cell>
          <cell r="B7386" t="str">
            <v>Sistemas láser de medición</v>
          </cell>
        </row>
        <row r="7387">
          <cell r="A7387">
            <v>41111616</v>
          </cell>
          <cell r="B7387" t="str">
            <v>Ruedas medidoras para distancias</v>
          </cell>
        </row>
        <row r="7388">
          <cell r="A7388">
            <v>41111617</v>
          </cell>
          <cell r="B7388" t="str">
            <v>Medidor de espesores</v>
          </cell>
        </row>
        <row r="7389">
          <cell r="A7389">
            <v>41111618</v>
          </cell>
          <cell r="B7389" t="str">
            <v>Set de bloques de patrón longitudinal</v>
          </cell>
        </row>
        <row r="7390">
          <cell r="A7390">
            <v>41111619</v>
          </cell>
          <cell r="B7390" t="str">
            <v>Calibrador go nogo</v>
          </cell>
        </row>
        <row r="7391">
          <cell r="A7391">
            <v>41111620</v>
          </cell>
          <cell r="B7391" t="str">
            <v>Cuña de etalón</v>
          </cell>
        </row>
        <row r="7392">
          <cell r="A7392">
            <v>41111621</v>
          </cell>
          <cell r="B7392" t="str">
            <v>Calibradores</v>
          </cell>
        </row>
        <row r="7393">
          <cell r="A7393">
            <v>41111622</v>
          </cell>
          <cell r="B7393" t="str">
            <v>Calibradores micrómetros</v>
          </cell>
        </row>
        <row r="7394">
          <cell r="A7394">
            <v>41111623</v>
          </cell>
          <cell r="B7394" t="str">
            <v>Dispositivos de medición de grosor</v>
          </cell>
        </row>
        <row r="7395">
          <cell r="A7395">
            <v>41111701</v>
          </cell>
          <cell r="B7395" t="str">
            <v>Microscopios iónicos</v>
          </cell>
        </row>
        <row r="7396">
          <cell r="A7396">
            <v>41111702</v>
          </cell>
          <cell r="B7396" t="str">
            <v>Microscopios monoculares</v>
          </cell>
        </row>
        <row r="7397">
          <cell r="A7397">
            <v>41111703</v>
          </cell>
          <cell r="B7397" t="str">
            <v>Microscopios de disección de luz o de estéreo</v>
          </cell>
        </row>
        <row r="7398">
          <cell r="A7398">
            <v>41111704</v>
          </cell>
          <cell r="B7398" t="str">
            <v>Iluminadores para microscopios</v>
          </cell>
        </row>
        <row r="7399">
          <cell r="A7399">
            <v>41111705</v>
          </cell>
          <cell r="B7399" t="str">
            <v>Objetivos para microscopios</v>
          </cell>
        </row>
        <row r="7400">
          <cell r="A7400">
            <v>41111706</v>
          </cell>
          <cell r="B7400" t="str">
            <v>Elementos de sujeción de fotos para microscopios</v>
          </cell>
        </row>
        <row r="7401">
          <cell r="A7401">
            <v>41111707</v>
          </cell>
          <cell r="B7401" t="str">
            <v>Proyectores de perfil</v>
          </cell>
        </row>
        <row r="7402">
          <cell r="A7402">
            <v>41111708</v>
          </cell>
          <cell r="B7402" t="str">
            <v>Elementos de sujeción de video para microscopios</v>
          </cell>
        </row>
        <row r="7403">
          <cell r="A7403">
            <v>41111709</v>
          </cell>
          <cell r="B7403" t="str">
            <v>Microscopios compuestos de luz binocular</v>
          </cell>
        </row>
        <row r="7404">
          <cell r="A7404">
            <v>41111710</v>
          </cell>
          <cell r="B7404" t="str">
            <v>Combinación de microscopios de luz y electrones</v>
          </cell>
        </row>
        <row r="7405">
          <cell r="A7405">
            <v>41111711</v>
          </cell>
          <cell r="B7405" t="str">
            <v>Microscopios de electrones</v>
          </cell>
        </row>
        <row r="7406">
          <cell r="A7406">
            <v>41111712</v>
          </cell>
          <cell r="B7406" t="str">
            <v>Microscopios invertidos</v>
          </cell>
        </row>
        <row r="7407">
          <cell r="A7407">
            <v>41111713</v>
          </cell>
          <cell r="B7407" t="str">
            <v>Magnificadores</v>
          </cell>
        </row>
        <row r="7408">
          <cell r="A7408">
            <v>41111714</v>
          </cell>
          <cell r="B7408" t="str">
            <v>Lupas</v>
          </cell>
        </row>
        <row r="7409">
          <cell r="A7409">
            <v>41111715</v>
          </cell>
          <cell r="B7409" t="str">
            <v>Telescopios</v>
          </cell>
        </row>
        <row r="7410">
          <cell r="A7410">
            <v>41111716</v>
          </cell>
          <cell r="B7410" t="str">
            <v>Equipos de inspección boroscópica</v>
          </cell>
        </row>
        <row r="7411">
          <cell r="A7411">
            <v>41111717</v>
          </cell>
          <cell r="B7411" t="str">
            <v>Binoculares</v>
          </cell>
        </row>
        <row r="7412">
          <cell r="A7412">
            <v>41111718</v>
          </cell>
          <cell r="B7412" t="str">
            <v>Microscopios metalúrgicos</v>
          </cell>
        </row>
        <row r="7413">
          <cell r="A7413">
            <v>41111719</v>
          </cell>
          <cell r="B7413" t="str">
            <v>Microscopios de campo oscuro</v>
          </cell>
        </row>
        <row r="7414">
          <cell r="A7414">
            <v>41111720</v>
          </cell>
          <cell r="B7414" t="str">
            <v>Microscopios de escáner de electrones</v>
          </cell>
        </row>
        <row r="7415">
          <cell r="A7415">
            <v>41111721</v>
          </cell>
          <cell r="B7415" t="str">
            <v>Microscopios de transmisión de electrones</v>
          </cell>
        </row>
        <row r="7416">
          <cell r="A7416">
            <v>41111722</v>
          </cell>
          <cell r="B7416" t="str">
            <v>Microscopios fluorescentes</v>
          </cell>
        </row>
        <row r="7417">
          <cell r="A7417">
            <v>41111723</v>
          </cell>
          <cell r="B7417" t="str">
            <v>Microscopios de escáner de luz, disco giratorio o escáner de láser</v>
          </cell>
        </row>
        <row r="7418">
          <cell r="A7418">
            <v>41111724</v>
          </cell>
          <cell r="B7418" t="str">
            <v>Microscopios de escáner de sonda</v>
          </cell>
        </row>
        <row r="7419">
          <cell r="A7419">
            <v>41111725</v>
          </cell>
          <cell r="B7419" t="str">
            <v>Microscopios de polarización</v>
          </cell>
        </row>
        <row r="7420">
          <cell r="A7420">
            <v>41111726</v>
          </cell>
          <cell r="B7420" t="str">
            <v>Microscopios acústicos</v>
          </cell>
        </row>
        <row r="7421">
          <cell r="A7421">
            <v>41111727</v>
          </cell>
          <cell r="B7421" t="str">
            <v>Microscopios de proyección</v>
          </cell>
        </row>
        <row r="7422">
          <cell r="A7422">
            <v>41111728</v>
          </cell>
          <cell r="B7422" t="str">
            <v>Microscopios de campo ancho</v>
          </cell>
        </row>
        <row r="7423">
          <cell r="A7423">
            <v>41111729</v>
          </cell>
          <cell r="B7423" t="str">
            <v>Microscopios oculares</v>
          </cell>
        </row>
        <row r="7424">
          <cell r="A7424">
            <v>41111730</v>
          </cell>
          <cell r="B7424" t="str">
            <v>Condensadores de microscopios</v>
          </cell>
        </row>
        <row r="7425">
          <cell r="A7425">
            <v>41111731</v>
          </cell>
          <cell r="B7425" t="str">
            <v>Colectores de microscopios</v>
          </cell>
        </row>
        <row r="7426">
          <cell r="A7426">
            <v>41111733</v>
          </cell>
          <cell r="B7426" t="str">
            <v>Tubos de microscopios</v>
          </cell>
        </row>
        <row r="7427">
          <cell r="A7427">
            <v>41111734</v>
          </cell>
          <cell r="B7427" t="str">
            <v>Microscopios de fases</v>
          </cell>
        </row>
        <row r="7428">
          <cell r="A7428">
            <v>41111735</v>
          </cell>
          <cell r="B7428" t="str">
            <v>Microscopios de fases automáticos</v>
          </cell>
        </row>
        <row r="7429">
          <cell r="A7429">
            <v>41111736</v>
          </cell>
          <cell r="B7429" t="str">
            <v>Cubiertas para microscopios</v>
          </cell>
        </row>
        <row r="7430">
          <cell r="A7430">
            <v>41111737</v>
          </cell>
          <cell r="B7430" t="str">
            <v>Videoscopios</v>
          </cell>
        </row>
        <row r="7431">
          <cell r="A7431">
            <v>41111738</v>
          </cell>
          <cell r="B7431" t="str">
            <v>Fibroscopios</v>
          </cell>
        </row>
        <row r="7432">
          <cell r="A7432">
            <v>41111739</v>
          </cell>
          <cell r="B7432" t="str">
            <v>Bombillos de repuesto para microscopios de laboratorio</v>
          </cell>
        </row>
        <row r="7433">
          <cell r="A7433">
            <v>41111801</v>
          </cell>
          <cell r="B7433" t="str">
            <v>Equipo de examen de corriente parásita</v>
          </cell>
        </row>
        <row r="7434">
          <cell r="A7434">
            <v>41111802</v>
          </cell>
          <cell r="B7434" t="str">
            <v>Equipo de examen de penetración líquida</v>
          </cell>
        </row>
        <row r="7435">
          <cell r="A7435">
            <v>41111803</v>
          </cell>
          <cell r="B7435" t="str">
            <v>Equipo de examen de partículas magnéticas</v>
          </cell>
        </row>
        <row r="7436">
          <cell r="A7436">
            <v>41111804</v>
          </cell>
          <cell r="B7436" t="str">
            <v>Equipo de examen ultrasónico</v>
          </cell>
        </row>
        <row r="7437">
          <cell r="A7437">
            <v>41111805</v>
          </cell>
          <cell r="B7437" t="str">
            <v>Equipo de examen de radiografía co 60</v>
          </cell>
        </row>
        <row r="7438">
          <cell r="A7438">
            <v>41111806</v>
          </cell>
          <cell r="B7438" t="str">
            <v>Equipo de examen de radiografía cs 137</v>
          </cell>
        </row>
        <row r="7439">
          <cell r="A7439">
            <v>41111807</v>
          </cell>
          <cell r="B7439" t="str">
            <v>Equipo de examen de radiografía ir 192</v>
          </cell>
        </row>
        <row r="7440">
          <cell r="A7440">
            <v>41111808</v>
          </cell>
          <cell r="B7440" t="str">
            <v>Equipo de examen de radiografía de rayos x</v>
          </cell>
        </row>
        <row r="7441">
          <cell r="A7441">
            <v>41111809</v>
          </cell>
          <cell r="B7441" t="str">
            <v>Equipo de prueba de goteo</v>
          </cell>
        </row>
        <row r="7442">
          <cell r="A7442">
            <v>41111901</v>
          </cell>
          <cell r="B7442" t="str">
            <v>Contadores</v>
          </cell>
        </row>
        <row r="7443">
          <cell r="A7443">
            <v>41111902</v>
          </cell>
          <cell r="B7443" t="str">
            <v>Contadores electrónicos</v>
          </cell>
        </row>
        <row r="7444">
          <cell r="A7444">
            <v>41111903</v>
          </cell>
          <cell r="B7444" t="str">
            <v>Detectores de metales</v>
          </cell>
        </row>
        <row r="7445">
          <cell r="A7445">
            <v>41111904</v>
          </cell>
          <cell r="B7445" t="str">
            <v>Columnas electrónicas</v>
          </cell>
        </row>
        <row r="7446">
          <cell r="A7446">
            <v>41111905</v>
          </cell>
          <cell r="B7446" t="str">
            <v>Sondas de medición electrónicas</v>
          </cell>
        </row>
        <row r="7447">
          <cell r="A7447">
            <v>41111906</v>
          </cell>
          <cell r="B7447" t="str">
            <v>Grabadoras de tablas</v>
          </cell>
        </row>
        <row r="7448">
          <cell r="A7448">
            <v>41111907</v>
          </cell>
          <cell r="B7448" t="str">
            <v>Grabadoras de lectura digital</v>
          </cell>
        </row>
        <row r="7449">
          <cell r="A7449">
            <v>41111908</v>
          </cell>
          <cell r="B7449" t="str">
            <v>Grabadoras gráficas</v>
          </cell>
        </row>
        <row r="7450">
          <cell r="A7450">
            <v>41111909</v>
          </cell>
          <cell r="B7450" t="str">
            <v>Grabadoras de cintas magnéticas</v>
          </cell>
        </row>
        <row r="7451">
          <cell r="A7451">
            <v>41111910</v>
          </cell>
          <cell r="B7451" t="str">
            <v>Grabadoras multifunción</v>
          </cell>
        </row>
        <row r="7452">
          <cell r="A7452">
            <v>41111911</v>
          </cell>
          <cell r="B7452" t="str">
            <v>Grabadoras oscilo gráficas</v>
          </cell>
        </row>
        <row r="7453">
          <cell r="A7453">
            <v>41111912</v>
          </cell>
          <cell r="B7453" t="str">
            <v>Grabadoras sicológicas</v>
          </cell>
        </row>
        <row r="7454">
          <cell r="A7454">
            <v>41111913</v>
          </cell>
          <cell r="B7454" t="str">
            <v>Grabadoras de punta de trazado</v>
          </cell>
        </row>
        <row r="7455">
          <cell r="A7455">
            <v>41111914</v>
          </cell>
          <cell r="B7455" t="str">
            <v>Servo grabadoras</v>
          </cell>
        </row>
        <row r="7456">
          <cell r="A7456">
            <v>41111915</v>
          </cell>
          <cell r="B7456" t="str">
            <v>Sensores bi metálicos</v>
          </cell>
        </row>
        <row r="7457">
          <cell r="A7457">
            <v>41111916</v>
          </cell>
          <cell r="B7457" t="str">
            <v>Sensores de no contacto</v>
          </cell>
        </row>
        <row r="7458">
          <cell r="A7458">
            <v>41111917</v>
          </cell>
          <cell r="B7458" t="str">
            <v>Probadores digitales</v>
          </cell>
        </row>
        <row r="7459">
          <cell r="A7459">
            <v>41111918</v>
          </cell>
          <cell r="B7459" t="str">
            <v>Instruments giroscópicos</v>
          </cell>
        </row>
        <row r="7460">
          <cell r="A7460">
            <v>41111919</v>
          </cell>
          <cell r="B7460" t="str">
            <v>Aparatos de detección para objetos no metálicos</v>
          </cell>
        </row>
        <row r="7461">
          <cell r="A7461">
            <v>41111920</v>
          </cell>
          <cell r="B7461" t="str">
            <v>Máquinas de medición de coordenadas cmm</v>
          </cell>
        </row>
        <row r="7462">
          <cell r="A7462">
            <v>41111921</v>
          </cell>
          <cell r="B7462" t="str">
            <v>Sensores de velocidad</v>
          </cell>
        </row>
        <row r="7463">
          <cell r="A7463">
            <v>41111922</v>
          </cell>
          <cell r="B7463" t="str">
            <v>Sensores de fallas de lámparas</v>
          </cell>
        </row>
        <row r="7464">
          <cell r="A7464">
            <v>41111923</v>
          </cell>
          <cell r="B7464" t="str">
            <v>Sensor de pistones pre-arranque</v>
          </cell>
        </row>
        <row r="7465">
          <cell r="A7465">
            <v>41111924</v>
          </cell>
          <cell r="B7465" t="str">
            <v>Sensores de oxígeno</v>
          </cell>
        </row>
        <row r="7466">
          <cell r="A7466">
            <v>41111926</v>
          </cell>
          <cell r="B7466" t="str">
            <v>Sensores de proximidad</v>
          </cell>
        </row>
        <row r="7467">
          <cell r="A7467">
            <v>41111927</v>
          </cell>
          <cell r="B7467" t="str">
            <v>Sensores de presión</v>
          </cell>
        </row>
        <row r="7468">
          <cell r="A7468">
            <v>41111928</v>
          </cell>
          <cell r="B7468" t="str">
            <v>Sensores de corriente</v>
          </cell>
        </row>
        <row r="7469">
          <cell r="A7469">
            <v>41111929</v>
          </cell>
          <cell r="B7469" t="str">
            <v>Detectores de radiación</v>
          </cell>
        </row>
        <row r="7470">
          <cell r="A7470">
            <v>41111930</v>
          </cell>
          <cell r="B7470" t="str">
            <v>Sensores de corriente eléctrica</v>
          </cell>
        </row>
        <row r="7471">
          <cell r="A7471">
            <v>41111931</v>
          </cell>
          <cell r="B7471" t="str">
            <v>Sensores de flujo</v>
          </cell>
        </row>
        <row r="7472">
          <cell r="A7472">
            <v>41111932</v>
          </cell>
          <cell r="B7472" t="str">
            <v>Detectores de escape de líquidos</v>
          </cell>
        </row>
        <row r="7473">
          <cell r="A7473">
            <v>41111933</v>
          </cell>
          <cell r="B7473" t="str">
            <v>Sensores de carga eléctrica</v>
          </cell>
        </row>
        <row r="7474">
          <cell r="A7474">
            <v>41111934</v>
          </cell>
          <cell r="B7474" t="str">
            <v>Sensores de fuerza o de torsión</v>
          </cell>
        </row>
        <row r="7475">
          <cell r="A7475">
            <v>41111935</v>
          </cell>
          <cell r="B7475" t="str">
            <v>Sensores de inclinación</v>
          </cell>
        </row>
        <row r="7476">
          <cell r="A7476">
            <v>41111936</v>
          </cell>
          <cell r="B7476" t="str">
            <v>Sensores de imagen de semiconductor de óxido de metal complementario cmos</v>
          </cell>
        </row>
        <row r="7477">
          <cell r="A7477">
            <v>41111937</v>
          </cell>
          <cell r="B7477" t="str">
            <v>Sensores giratorios de posición</v>
          </cell>
        </row>
        <row r="7478">
          <cell r="A7478">
            <v>41111938</v>
          </cell>
          <cell r="B7478" t="str">
            <v>Sensores o transmisores de nivel</v>
          </cell>
        </row>
        <row r="7479">
          <cell r="A7479">
            <v>41111939</v>
          </cell>
          <cell r="B7479" t="str">
            <v>Sensores acústicos</v>
          </cell>
        </row>
        <row r="7480">
          <cell r="A7480">
            <v>41111940</v>
          </cell>
          <cell r="B7480" t="str">
            <v>Sensores de color</v>
          </cell>
        </row>
        <row r="7481">
          <cell r="A7481">
            <v>41111941</v>
          </cell>
          <cell r="B7481" t="str">
            <v>Sensores olfativos</v>
          </cell>
        </row>
        <row r="7482">
          <cell r="A7482">
            <v>41111942</v>
          </cell>
          <cell r="B7482" t="str">
            <v>Sensores de opacidad o polvo o visibilidad</v>
          </cell>
        </row>
        <row r="7483">
          <cell r="A7483">
            <v>41111943</v>
          </cell>
          <cell r="B7483" t="str">
            <v>Sensores de resistencia o conductividad eléctrica</v>
          </cell>
        </row>
        <row r="7484">
          <cell r="A7484">
            <v>41111944</v>
          </cell>
          <cell r="B7484" t="str">
            <v>Sensores de admisión eléctricos</v>
          </cell>
        </row>
        <row r="7485">
          <cell r="A7485">
            <v>41111945</v>
          </cell>
          <cell r="B7485" t="str">
            <v>Sensores de posición linear</v>
          </cell>
        </row>
        <row r="7486">
          <cell r="A7486">
            <v>41111946</v>
          </cell>
          <cell r="B7486" t="str">
            <v>Sensores de inductancia eléctrica</v>
          </cell>
        </row>
        <row r="7487">
          <cell r="A7487">
            <v>41111947</v>
          </cell>
          <cell r="B7487" t="str">
            <v>Esferos de registro de tablas</v>
          </cell>
        </row>
        <row r="7488">
          <cell r="A7488">
            <v>41111948</v>
          </cell>
          <cell r="B7488" t="str">
            <v>Contadores de células diferenciales hematológicas manuales o electrónicos</v>
          </cell>
        </row>
        <row r="7489">
          <cell r="A7489">
            <v>41112101</v>
          </cell>
          <cell r="B7489" t="str">
            <v>Cristales piezoeléctricos</v>
          </cell>
        </row>
        <row r="7490">
          <cell r="A7490">
            <v>41112103</v>
          </cell>
          <cell r="B7490" t="str">
            <v>Sensores de fibra</v>
          </cell>
        </row>
        <row r="7491">
          <cell r="A7491">
            <v>41112104</v>
          </cell>
          <cell r="B7491" t="str">
            <v>Transductores de audio</v>
          </cell>
        </row>
        <row r="7492">
          <cell r="A7492">
            <v>41112105</v>
          </cell>
          <cell r="B7492" t="str">
            <v>Transmisores de temperatura</v>
          </cell>
        </row>
        <row r="7493">
          <cell r="A7493">
            <v>41112106</v>
          </cell>
          <cell r="B7493" t="str">
            <v>Transmisores de humedad</v>
          </cell>
        </row>
        <row r="7494">
          <cell r="A7494">
            <v>41112107</v>
          </cell>
          <cell r="B7494" t="str">
            <v>Transductores electro neumáticos</v>
          </cell>
        </row>
        <row r="7495">
          <cell r="A7495">
            <v>41112108</v>
          </cell>
          <cell r="B7495" t="str">
            <v>Celdas de carga</v>
          </cell>
        </row>
        <row r="7496">
          <cell r="A7496">
            <v>41112201</v>
          </cell>
          <cell r="B7496" t="str">
            <v>Calorímetros</v>
          </cell>
        </row>
        <row r="7497">
          <cell r="A7497">
            <v>41112202</v>
          </cell>
          <cell r="B7497" t="str">
            <v>Equipos de rastreo de calor</v>
          </cell>
        </row>
        <row r="7498">
          <cell r="A7498">
            <v>41112203</v>
          </cell>
          <cell r="B7498" t="str">
            <v>Grabadoras de punto de fusión</v>
          </cell>
        </row>
        <row r="7499">
          <cell r="A7499">
            <v>41112204</v>
          </cell>
          <cell r="B7499" t="str">
            <v>Pirómetros</v>
          </cell>
        </row>
        <row r="7500">
          <cell r="A7500">
            <v>41112205</v>
          </cell>
          <cell r="B7500" t="str">
            <v>Reguladores de temperatura</v>
          </cell>
        </row>
        <row r="7501">
          <cell r="A7501">
            <v>41112206</v>
          </cell>
          <cell r="B7501" t="str">
            <v>Termo cúpulas</v>
          </cell>
        </row>
        <row r="7502">
          <cell r="A7502">
            <v>41112207</v>
          </cell>
          <cell r="B7502" t="str">
            <v>Termógrafos</v>
          </cell>
        </row>
        <row r="7503">
          <cell r="A7503">
            <v>41112209</v>
          </cell>
          <cell r="B7503" t="str">
            <v>Termostatos</v>
          </cell>
        </row>
        <row r="7504">
          <cell r="A7504">
            <v>41112210</v>
          </cell>
          <cell r="B7504" t="str">
            <v>Termómetros de lectura remota</v>
          </cell>
        </row>
        <row r="7505">
          <cell r="A7505">
            <v>41112211</v>
          </cell>
          <cell r="B7505" t="str">
            <v>Termómetros de resistencia</v>
          </cell>
        </row>
        <row r="7506">
          <cell r="A7506">
            <v>41112212</v>
          </cell>
          <cell r="B7506" t="str">
            <v>Termómetros de superficie</v>
          </cell>
        </row>
        <row r="7507">
          <cell r="A7507">
            <v>41112213</v>
          </cell>
          <cell r="B7507" t="str">
            <v>Termómetros de mano</v>
          </cell>
        </row>
        <row r="7508">
          <cell r="A7508">
            <v>41112214</v>
          </cell>
          <cell r="B7508" t="str">
            <v>Controles de temperatura criogénicos</v>
          </cell>
        </row>
        <row r="7509">
          <cell r="A7509">
            <v>41112215</v>
          </cell>
          <cell r="B7509" t="str">
            <v>Controladores de temperatura humidificadores</v>
          </cell>
        </row>
        <row r="7510">
          <cell r="A7510">
            <v>41112216</v>
          </cell>
          <cell r="B7510" t="str">
            <v>Termopozos</v>
          </cell>
        </row>
        <row r="7511">
          <cell r="A7511">
            <v>41112217</v>
          </cell>
          <cell r="B7511" t="str">
            <v>Termo cabezas</v>
          </cell>
        </row>
        <row r="7512">
          <cell r="A7512">
            <v>41112218</v>
          </cell>
          <cell r="B7512" t="str">
            <v>Termistores</v>
          </cell>
        </row>
        <row r="7513">
          <cell r="A7513">
            <v>41112219</v>
          </cell>
          <cell r="B7513" t="str">
            <v>Sondas termopares</v>
          </cell>
        </row>
        <row r="7514">
          <cell r="A7514">
            <v>41112220</v>
          </cell>
          <cell r="B7514" t="str">
            <v>Termómetros de refrigerador o congelador de laboratorio</v>
          </cell>
        </row>
        <row r="7515">
          <cell r="A7515">
            <v>41112221</v>
          </cell>
          <cell r="B7515" t="str">
            <v>Termómetros de incubadora de laboratorio</v>
          </cell>
        </row>
        <row r="7516">
          <cell r="A7516">
            <v>41112301</v>
          </cell>
          <cell r="B7516" t="str">
            <v>Higrómetros</v>
          </cell>
        </row>
        <row r="7517">
          <cell r="A7517">
            <v>41112302</v>
          </cell>
          <cell r="B7517" t="str">
            <v>Sicrómetros</v>
          </cell>
        </row>
        <row r="7518">
          <cell r="A7518">
            <v>41112303</v>
          </cell>
          <cell r="B7518" t="str">
            <v>Probadores de humedad de temperatura</v>
          </cell>
        </row>
        <row r="7519">
          <cell r="A7519">
            <v>41112304</v>
          </cell>
          <cell r="B7519" t="str">
            <v>Medidores de rocío</v>
          </cell>
        </row>
        <row r="7520">
          <cell r="A7520">
            <v>41112401</v>
          </cell>
          <cell r="B7520" t="str">
            <v>Indicadores de profundidad</v>
          </cell>
        </row>
        <row r="7521">
          <cell r="A7521">
            <v>41112402</v>
          </cell>
          <cell r="B7521" t="str">
            <v>Manostatos</v>
          </cell>
        </row>
        <row r="7522">
          <cell r="A7522">
            <v>41112403</v>
          </cell>
          <cell r="B7522" t="str">
            <v>Indicadores de presión</v>
          </cell>
        </row>
        <row r="7523">
          <cell r="A7523">
            <v>41112404</v>
          </cell>
          <cell r="B7523" t="str">
            <v>Reguladores de presión</v>
          </cell>
        </row>
        <row r="7524">
          <cell r="A7524">
            <v>41112405</v>
          </cell>
          <cell r="B7524" t="str">
            <v>Grabadoras de presión o de vacío</v>
          </cell>
        </row>
        <row r="7525">
          <cell r="A7525">
            <v>41112406</v>
          </cell>
          <cell r="B7525" t="str">
            <v>Indicadores de vacío</v>
          </cell>
        </row>
        <row r="7526">
          <cell r="A7526">
            <v>41112407</v>
          </cell>
          <cell r="B7526" t="str">
            <v>Instrumentos o controles de nivel de líquido</v>
          </cell>
        </row>
        <row r="7527">
          <cell r="A7527">
            <v>41112408</v>
          </cell>
          <cell r="B7527" t="str">
            <v>Intensificadores de presión</v>
          </cell>
        </row>
        <row r="7528">
          <cell r="A7528">
            <v>41112409</v>
          </cell>
          <cell r="B7528" t="str">
            <v>Escáneres de presión</v>
          </cell>
        </row>
        <row r="7529">
          <cell r="A7529">
            <v>41112410</v>
          </cell>
          <cell r="B7529" t="str">
            <v>Transmisores de presión</v>
          </cell>
        </row>
        <row r="7530">
          <cell r="A7530">
            <v>41112411</v>
          </cell>
          <cell r="B7530" t="str">
            <v>Controladores de presión</v>
          </cell>
        </row>
        <row r="7531">
          <cell r="A7531">
            <v>41112501</v>
          </cell>
          <cell r="B7531" t="str">
            <v>Flujómetros</v>
          </cell>
        </row>
        <row r="7532">
          <cell r="A7532">
            <v>41112502</v>
          </cell>
          <cell r="B7532" t="str">
            <v>Reómetros</v>
          </cell>
        </row>
        <row r="7533">
          <cell r="A7533">
            <v>41112503</v>
          </cell>
          <cell r="B7533" t="str">
            <v>Rotámetros</v>
          </cell>
        </row>
        <row r="7534">
          <cell r="A7534">
            <v>41112504</v>
          </cell>
          <cell r="B7534" t="str">
            <v>Medidores de agua</v>
          </cell>
        </row>
        <row r="7535">
          <cell r="A7535">
            <v>41112505</v>
          </cell>
          <cell r="B7535" t="str">
            <v>Repuestos para medidores de agua</v>
          </cell>
        </row>
        <row r="7536">
          <cell r="A7536">
            <v>41112506</v>
          </cell>
          <cell r="B7536" t="str">
            <v>Venturis</v>
          </cell>
        </row>
        <row r="7537">
          <cell r="A7537">
            <v>41112508</v>
          </cell>
          <cell r="B7537" t="str">
            <v>Indicadores de gas</v>
          </cell>
        </row>
        <row r="7538">
          <cell r="A7538">
            <v>41112509</v>
          </cell>
          <cell r="B7538" t="str">
            <v>Monitores de temperatura y velocidad del aire</v>
          </cell>
        </row>
        <row r="7539">
          <cell r="A7539">
            <v>41112510</v>
          </cell>
          <cell r="B7539" t="str">
            <v>Indicadores visuales de flujo</v>
          </cell>
        </row>
        <row r="7540">
          <cell r="A7540">
            <v>41112511</v>
          </cell>
          <cell r="B7540" t="str">
            <v>Ventanas para visualizar el flujo</v>
          </cell>
        </row>
        <row r="7541">
          <cell r="A7541">
            <v>41112512</v>
          </cell>
          <cell r="B7541" t="str">
            <v>Computadores o totalizadores de flujo</v>
          </cell>
        </row>
        <row r="7542">
          <cell r="A7542">
            <v>41112513</v>
          </cell>
          <cell r="B7542" t="str">
            <v>Plato de orificio</v>
          </cell>
        </row>
        <row r="7543">
          <cell r="A7543">
            <v>41112514</v>
          </cell>
          <cell r="B7543" t="str">
            <v>Indicadores de aceite</v>
          </cell>
        </row>
        <row r="7544">
          <cell r="A7544">
            <v>41112516</v>
          </cell>
          <cell r="B7544" t="str">
            <v>Transmisores de flujo</v>
          </cell>
        </row>
        <row r="7545">
          <cell r="A7545">
            <v>41112601</v>
          </cell>
          <cell r="B7545" t="str">
            <v>Kits de prueba de frotis manual</v>
          </cell>
        </row>
        <row r="7546">
          <cell r="A7546">
            <v>41112602</v>
          </cell>
          <cell r="B7546" t="str">
            <v>Kits de prueba de frotis automático</v>
          </cell>
        </row>
        <row r="7547">
          <cell r="A7547">
            <v>41112701</v>
          </cell>
          <cell r="B7547" t="str">
            <v>Analizadores de grano</v>
          </cell>
        </row>
        <row r="7548">
          <cell r="A7548">
            <v>41112702</v>
          </cell>
          <cell r="B7548" t="str">
            <v>Contadores de semillas</v>
          </cell>
        </row>
        <row r="7549">
          <cell r="A7549">
            <v>41112704</v>
          </cell>
          <cell r="B7549" t="str">
            <v>Analizadores de alimentación</v>
          </cell>
        </row>
        <row r="7550">
          <cell r="A7550">
            <v>41112801</v>
          </cell>
          <cell r="B7550" t="str">
            <v>Velocímetros</v>
          </cell>
        </row>
        <row r="7551">
          <cell r="A7551">
            <v>41112802</v>
          </cell>
          <cell r="B7551" t="str">
            <v>Tacómetros</v>
          </cell>
        </row>
        <row r="7552">
          <cell r="A7552">
            <v>41112803</v>
          </cell>
          <cell r="B7552" t="str">
            <v>Discos para tacómetros</v>
          </cell>
        </row>
        <row r="7553">
          <cell r="A7553">
            <v>41112901</v>
          </cell>
          <cell r="B7553" t="str">
            <v>Compases para encontrar la dirección</v>
          </cell>
        </row>
        <row r="7554">
          <cell r="A7554">
            <v>41112902</v>
          </cell>
          <cell r="B7554" t="str">
            <v>Instrumentos de navegación por radio</v>
          </cell>
        </row>
        <row r="7555">
          <cell r="A7555">
            <v>41112903</v>
          </cell>
          <cell r="B7555" t="str">
            <v>Sextantes</v>
          </cell>
        </row>
        <row r="7556">
          <cell r="A7556">
            <v>41112904</v>
          </cell>
          <cell r="B7556" t="str">
            <v>Dispositivos de control complejo</v>
          </cell>
        </row>
        <row r="7557">
          <cell r="A7557">
            <v>41113001</v>
          </cell>
          <cell r="B7557" t="str">
            <v>Controladores de analizador digital</v>
          </cell>
        </row>
        <row r="7558">
          <cell r="A7558">
            <v>41113002</v>
          </cell>
          <cell r="B7558" t="str">
            <v>Analizadores de bioluminiscencia o quimioluminiscencia</v>
          </cell>
        </row>
        <row r="7559">
          <cell r="A7559">
            <v>41113003</v>
          </cell>
          <cell r="B7559" t="str">
            <v>Analizadores de electro gravimetría</v>
          </cell>
        </row>
        <row r="7560">
          <cell r="A7560">
            <v>41113004</v>
          </cell>
          <cell r="B7560" t="str">
            <v>Analizadores de ionización de la llama</v>
          </cell>
        </row>
        <row r="7561">
          <cell r="A7561">
            <v>41113005</v>
          </cell>
          <cell r="B7561" t="str">
            <v>Analizadores de iones</v>
          </cell>
        </row>
        <row r="7562">
          <cell r="A7562">
            <v>41113006</v>
          </cell>
          <cell r="B7562" t="str">
            <v>Analizadores de radiometría</v>
          </cell>
        </row>
        <row r="7563">
          <cell r="A7563">
            <v>41113007</v>
          </cell>
          <cell r="B7563" t="str">
            <v>Analizadores de acceso aleatorio</v>
          </cell>
        </row>
        <row r="7564">
          <cell r="A7564">
            <v>41113008</v>
          </cell>
          <cell r="B7564" t="str">
            <v>Analizadores de cintigrafía</v>
          </cell>
        </row>
        <row r="7565">
          <cell r="A7565">
            <v>41113009</v>
          </cell>
          <cell r="B7565" t="str">
            <v>Analizadores térmicos diferenciales</v>
          </cell>
        </row>
        <row r="7566">
          <cell r="A7566">
            <v>41113010</v>
          </cell>
          <cell r="B7566" t="str">
            <v>Analizadores térmicos de gravimetría</v>
          </cell>
        </row>
        <row r="7567">
          <cell r="A7567">
            <v>41113023</v>
          </cell>
          <cell r="B7567" t="str">
            <v>Equipo de partición de geles</v>
          </cell>
        </row>
        <row r="7568">
          <cell r="A7568">
            <v>41113024</v>
          </cell>
          <cell r="B7568" t="str">
            <v>Hidrómetros</v>
          </cell>
        </row>
        <row r="7569">
          <cell r="A7569">
            <v>41113025</v>
          </cell>
          <cell r="B7569" t="str">
            <v>Monocromadores</v>
          </cell>
        </row>
        <row r="7570">
          <cell r="A7570">
            <v>41113026</v>
          </cell>
          <cell r="B7570" t="str">
            <v>Nefelómetros</v>
          </cell>
        </row>
        <row r="7571">
          <cell r="A7571">
            <v>41113027</v>
          </cell>
          <cell r="B7571" t="str">
            <v>Osmómetros</v>
          </cell>
        </row>
        <row r="7572">
          <cell r="A7572">
            <v>41113029</v>
          </cell>
          <cell r="B7572" t="str">
            <v>Polarógrafos</v>
          </cell>
        </row>
        <row r="7573">
          <cell r="A7573">
            <v>41113030</v>
          </cell>
          <cell r="B7573" t="str">
            <v>Escáner radiocromatográfico</v>
          </cell>
        </row>
        <row r="7574">
          <cell r="A7574">
            <v>41113031</v>
          </cell>
          <cell r="B7574" t="str">
            <v>Sacarímetros</v>
          </cell>
        </row>
        <row r="7575">
          <cell r="A7575">
            <v>41113033</v>
          </cell>
          <cell r="B7575" t="str">
            <v>Volúmetros</v>
          </cell>
        </row>
        <row r="7576">
          <cell r="A7576">
            <v>41113034</v>
          </cell>
          <cell r="B7576" t="str">
            <v>Tiras o papeles para prueba de ph</v>
          </cell>
        </row>
        <row r="7577">
          <cell r="A7577">
            <v>41113035</v>
          </cell>
          <cell r="B7577" t="str">
            <v>Tiras o papeles para pruebas químicas</v>
          </cell>
        </row>
        <row r="7578">
          <cell r="A7578">
            <v>41113036</v>
          </cell>
          <cell r="B7578" t="str">
            <v>Micro placas</v>
          </cell>
        </row>
        <row r="7579">
          <cell r="A7579">
            <v>41113037</v>
          </cell>
          <cell r="B7579" t="str">
            <v>Lectores de micro placas</v>
          </cell>
        </row>
        <row r="7580">
          <cell r="A7580">
            <v>41113101</v>
          </cell>
          <cell r="B7580" t="str">
            <v>Analizadores de emisión exhaustiva de automóviles</v>
          </cell>
        </row>
        <row r="7581">
          <cell r="A7581">
            <v>41113102</v>
          </cell>
          <cell r="B7581" t="str">
            <v>Analizadores de combustión catalítica</v>
          </cell>
        </row>
        <row r="7582">
          <cell r="A7582">
            <v>41113103</v>
          </cell>
          <cell r="B7582" t="str">
            <v>Analizadores de absorción de gas químico</v>
          </cell>
        </row>
        <row r="7583">
          <cell r="A7583">
            <v>41113104</v>
          </cell>
          <cell r="B7583" t="str">
            <v>Explosímetros</v>
          </cell>
        </row>
        <row r="7584">
          <cell r="A7584">
            <v>41113105</v>
          </cell>
          <cell r="B7584" t="str">
            <v>Analizadores o detectores de hidrocarburos</v>
          </cell>
        </row>
        <row r="7585">
          <cell r="A7585">
            <v>41113106</v>
          </cell>
          <cell r="B7585" t="str">
            <v>Analizadores de absorción de infrarrojos o ultravioleta</v>
          </cell>
        </row>
        <row r="7586">
          <cell r="A7586">
            <v>41113107</v>
          </cell>
          <cell r="B7586" t="str">
            <v>Analizadores de gas nitrógeno</v>
          </cell>
        </row>
        <row r="7587">
          <cell r="A7587">
            <v>41113108</v>
          </cell>
          <cell r="B7587" t="str">
            <v>Analizadores de óxido de nitrógeno</v>
          </cell>
        </row>
        <row r="7588">
          <cell r="A7588">
            <v>41113109</v>
          </cell>
          <cell r="B7588" t="str">
            <v>Equipo orsat</v>
          </cell>
        </row>
        <row r="7589">
          <cell r="A7589">
            <v>41113110</v>
          </cell>
          <cell r="B7589" t="str">
            <v>Analizadores de gas de oxígeno</v>
          </cell>
        </row>
        <row r="7590">
          <cell r="A7590">
            <v>41113111</v>
          </cell>
          <cell r="B7590" t="str">
            <v>Analizadores de ozono</v>
          </cell>
        </row>
        <row r="7591">
          <cell r="A7591">
            <v>41113112</v>
          </cell>
          <cell r="B7591" t="str">
            <v>Analizadores de susceptibilidad paramagnética</v>
          </cell>
        </row>
        <row r="7592">
          <cell r="A7592">
            <v>41113113</v>
          </cell>
          <cell r="B7592" t="str">
            <v>Detectores o analizadores de dióxido de sulfuro</v>
          </cell>
        </row>
        <row r="7593">
          <cell r="A7593">
            <v>41113114</v>
          </cell>
          <cell r="B7593" t="str">
            <v>Analizadores de conductividad térmica</v>
          </cell>
        </row>
        <row r="7594">
          <cell r="A7594">
            <v>41113115</v>
          </cell>
          <cell r="B7594" t="str">
            <v>Detectores de radón</v>
          </cell>
        </row>
        <row r="7595">
          <cell r="A7595">
            <v>41113116</v>
          </cell>
          <cell r="B7595" t="str">
            <v>Tubos detectores de gas</v>
          </cell>
        </row>
        <row r="7596">
          <cell r="A7596">
            <v>41113117</v>
          </cell>
          <cell r="B7596" t="str">
            <v>Monitores simples de gas</v>
          </cell>
        </row>
        <row r="7597">
          <cell r="A7597">
            <v>41113118</v>
          </cell>
          <cell r="B7597" t="str">
            <v>Monitores múltiples de gas</v>
          </cell>
        </row>
        <row r="7598">
          <cell r="A7598">
            <v>41113119</v>
          </cell>
          <cell r="B7598" t="str">
            <v>Analizadores de dióxido de carbono disuelto</v>
          </cell>
        </row>
        <row r="7599">
          <cell r="A7599">
            <v>41113301</v>
          </cell>
          <cell r="B7599" t="str">
            <v>Analizadores ácidos o de base</v>
          </cell>
        </row>
        <row r="7600">
          <cell r="A7600">
            <v>41113302</v>
          </cell>
          <cell r="B7600" t="str">
            <v>Albuminómetros</v>
          </cell>
        </row>
        <row r="7601">
          <cell r="A7601">
            <v>41113304</v>
          </cell>
          <cell r="B7601" t="str">
            <v>Analizadores de bauxita</v>
          </cell>
        </row>
        <row r="7602">
          <cell r="A7602">
            <v>41113305</v>
          </cell>
          <cell r="B7602" t="str">
            <v>Analizadores de calcio</v>
          </cell>
        </row>
        <row r="7603">
          <cell r="A7603">
            <v>41113306</v>
          </cell>
          <cell r="B7603" t="str">
            <v>Analizadores de cloruro</v>
          </cell>
        </row>
        <row r="7604">
          <cell r="A7604">
            <v>41113308</v>
          </cell>
          <cell r="B7604" t="str">
            <v>Analizadores de electrolitos</v>
          </cell>
        </row>
        <row r="7605">
          <cell r="A7605">
            <v>41113309</v>
          </cell>
          <cell r="B7605" t="str">
            <v>Analizadores de enzimas</v>
          </cell>
        </row>
        <row r="7606">
          <cell r="A7606">
            <v>41113310</v>
          </cell>
          <cell r="B7606" t="str">
            <v>Analizadores de ácidos grasos</v>
          </cell>
        </row>
        <row r="7607">
          <cell r="A7607">
            <v>41113311</v>
          </cell>
          <cell r="B7607" t="str">
            <v>Lámpara detectora de haluro</v>
          </cell>
        </row>
        <row r="7608">
          <cell r="A7608">
            <v>41113312</v>
          </cell>
          <cell r="B7608" t="str">
            <v>Analizadores de lactato</v>
          </cell>
        </row>
        <row r="7609">
          <cell r="A7609">
            <v>41113313</v>
          </cell>
          <cell r="B7609" t="str">
            <v>Instrumentos de prueba de aceite mineral</v>
          </cell>
        </row>
        <row r="7610">
          <cell r="A7610">
            <v>41113314</v>
          </cell>
          <cell r="B7610" t="str">
            <v>Analizadores monitores de contenido de aceite</v>
          </cell>
        </row>
        <row r="7611">
          <cell r="A7611">
            <v>41113315</v>
          </cell>
          <cell r="B7611" t="str">
            <v>Analizadores de carbono orgánico</v>
          </cell>
        </row>
        <row r="7612">
          <cell r="A7612">
            <v>41113316</v>
          </cell>
          <cell r="B7612" t="str">
            <v>Equipo de prueba de petróleo</v>
          </cell>
        </row>
        <row r="7613">
          <cell r="A7613">
            <v>41113318</v>
          </cell>
          <cell r="B7613" t="str">
            <v>Analizadores de uranio</v>
          </cell>
        </row>
        <row r="7614">
          <cell r="A7614">
            <v>41113319</v>
          </cell>
          <cell r="B7614" t="str">
            <v>Analizadores de agua</v>
          </cell>
        </row>
        <row r="7615">
          <cell r="A7615">
            <v>41113320</v>
          </cell>
          <cell r="B7615" t="str">
            <v>Kit de prueba de aceite lubricante</v>
          </cell>
        </row>
        <row r="7616">
          <cell r="A7616">
            <v>41113321</v>
          </cell>
          <cell r="B7616" t="str">
            <v>Probador de pintura</v>
          </cell>
        </row>
        <row r="7617">
          <cell r="A7617">
            <v>41113322</v>
          </cell>
          <cell r="B7617" t="str">
            <v>Analizador de nitrógeno o nitrato o nitrito</v>
          </cell>
        </row>
        <row r="7618">
          <cell r="A7618">
            <v>41113323</v>
          </cell>
          <cell r="B7618" t="str">
            <v>Analizadores de azúcar</v>
          </cell>
        </row>
        <row r="7619">
          <cell r="A7619">
            <v>41113401</v>
          </cell>
          <cell r="B7619" t="str">
            <v>Contadores alfa</v>
          </cell>
        </row>
        <row r="7620">
          <cell r="A7620">
            <v>41113402</v>
          </cell>
          <cell r="B7620" t="str">
            <v>Contadores alfa beta</v>
          </cell>
        </row>
        <row r="7621">
          <cell r="A7621">
            <v>41113403</v>
          </cell>
          <cell r="B7621" t="str">
            <v>Contadores beta</v>
          </cell>
        </row>
        <row r="7622">
          <cell r="A7622">
            <v>41113404</v>
          </cell>
          <cell r="B7622" t="str">
            <v>Contadores beta gamma</v>
          </cell>
        </row>
        <row r="7623">
          <cell r="A7623">
            <v>41113405</v>
          </cell>
          <cell r="B7623" t="str">
            <v>Contadores gama</v>
          </cell>
        </row>
        <row r="7624">
          <cell r="A7624">
            <v>41113406</v>
          </cell>
          <cell r="B7624" t="str">
            <v>Medidores kvp</v>
          </cell>
        </row>
        <row r="7625">
          <cell r="A7625">
            <v>41113407</v>
          </cell>
          <cell r="B7625" t="str">
            <v>Micro analizadores de rayos x</v>
          </cell>
        </row>
        <row r="7626">
          <cell r="A7626">
            <v>41113601</v>
          </cell>
          <cell r="B7626" t="str">
            <v>Amperímetros</v>
          </cell>
        </row>
        <row r="7627">
          <cell r="A7627">
            <v>41113602</v>
          </cell>
          <cell r="B7627" t="str">
            <v>Medidores  de fase</v>
          </cell>
        </row>
        <row r="7628">
          <cell r="A7628">
            <v>41113603</v>
          </cell>
          <cell r="B7628" t="str">
            <v>Puentes de laboratorio</v>
          </cell>
        </row>
        <row r="7629">
          <cell r="A7629">
            <v>41113604</v>
          </cell>
          <cell r="B7629" t="str">
            <v>Medidores de capacitancia</v>
          </cell>
        </row>
        <row r="7630">
          <cell r="A7630">
            <v>41113605</v>
          </cell>
          <cell r="B7630" t="str">
            <v>Derivatógrafos de análisis térmico</v>
          </cell>
        </row>
        <row r="7631">
          <cell r="A7631">
            <v>41113606</v>
          </cell>
          <cell r="B7631" t="str">
            <v>Indicadores de monitoreo de congelamiento</v>
          </cell>
        </row>
        <row r="7632">
          <cell r="A7632">
            <v>41113607</v>
          </cell>
          <cell r="B7632" t="str">
            <v>Monitores de estrés de calor</v>
          </cell>
        </row>
        <row r="7633">
          <cell r="A7633">
            <v>41113608</v>
          </cell>
          <cell r="B7633" t="str">
            <v>Contadores de coincidencia o no coincidencia</v>
          </cell>
        </row>
        <row r="7634">
          <cell r="A7634">
            <v>41113611</v>
          </cell>
          <cell r="B7634" t="str">
            <v>Medidores de diafonía</v>
          </cell>
        </row>
        <row r="7635">
          <cell r="A7635">
            <v>41113612</v>
          </cell>
          <cell r="B7635" t="str">
            <v>Probadores de resistencia de la tierra</v>
          </cell>
        </row>
        <row r="7636">
          <cell r="A7636">
            <v>41113613</v>
          </cell>
          <cell r="B7636" t="str">
            <v>Grabadoras de valor eléctrico</v>
          </cell>
        </row>
        <row r="7637">
          <cell r="A7637">
            <v>41113614</v>
          </cell>
          <cell r="B7637" t="str">
            <v>Medidores de campo electromagnético</v>
          </cell>
        </row>
        <row r="7638">
          <cell r="A7638">
            <v>41113615</v>
          </cell>
          <cell r="B7638" t="str">
            <v>Electrómetros</v>
          </cell>
        </row>
        <row r="7639">
          <cell r="A7639">
            <v>41113616</v>
          </cell>
          <cell r="B7639" t="str">
            <v>Cargas electrónicas</v>
          </cell>
        </row>
        <row r="7640">
          <cell r="A7640">
            <v>41113617</v>
          </cell>
          <cell r="B7640" t="str">
            <v>Equipos de medición de la fuerza del campo</v>
          </cell>
        </row>
        <row r="7641">
          <cell r="A7641">
            <v>41113618</v>
          </cell>
          <cell r="B7641" t="str">
            <v>Instrumentos de medición de ganancia</v>
          </cell>
        </row>
        <row r="7642">
          <cell r="A7642">
            <v>41113619</v>
          </cell>
          <cell r="B7642" t="str">
            <v>Galvanómetros</v>
          </cell>
        </row>
        <row r="7643">
          <cell r="A7643">
            <v>41113620</v>
          </cell>
          <cell r="B7643" t="str">
            <v>Cable de detección de alto voltaje</v>
          </cell>
        </row>
        <row r="7644">
          <cell r="A7644">
            <v>41113621</v>
          </cell>
          <cell r="B7644" t="str">
            <v>Medidores de impedancia</v>
          </cell>
        </row>
        <row r="7645">
          <cell r="A7645">
            <v>41113622</v>
          </cell>
          <cell r="B7645" t="str">
            <v>Bobinas o cajas de inductancias calibradas</v>
          </cell>
        </row>
        <row r="7646">
          <cell r="A7646">
            <v>41113623</v>
          </cell>
          <cell r="B7646" t="str">
            <v>Medidores de resistencia al aislamiento</v>
          </cell>
        </row>
        <row r="7647">
          <cell r="A7647">
            <v>41113624</v>
          </cell>
          <cell r="B7647" t="str">
            <v>Medidores de aislamiento</v>
          </cell>
        </row>
        <row r="7648">
          <cell r="A7648">
            <v>41113625</v>
          </cell>
          <cell r="B7648" t="str">
            <v>Cámaras de ionización</v>
          </cell>
        </row>
        <row r="7649">
          <cell r="A7649">
            <v>41113626</v>
          </cell>
          <cell r="B7649" t="str">
            <v>Ionómetros</v>
          </cell>
        </row>
        <row r="7650">
          <cell r="A7650">
            <v>41113627</v>
          </cell>
          <cell r="B7650" t="str">
            <v>Medidores de circuito de línea a tierra</v>
          </cell>
        </row>
        <row r="7651">
          <cell r="A7651">
            <v>41113628</v>
          </cell>
          <cell r="B7651" t="str">
            <v>Megohmetros</v>
          </cell>
        </row>
        <row r="7652">
          <cell r="A7652">
            <v>41113629</v>
          </cell>
          <cell r="B7652" t="str">
            <v>Medidores de filtración de microondas</v>
          </cell>
        </row>
        <row r="7653">
          <cell r="A7653">
            <v>41113630</v>
          </cell>
          <cell r="B7653" t="str">
            <v>Multímetros</v>
          </cell>
        </row>
        <row r="7654">
          <cell r="A7654">
            <v>41113631</v>
          </cell>
          <cell r="B7654" t="str">
            <v>Ohmetros</v>
          </cell>
        </row>
        <row r="7655">
          <cell r="A7655">
            <v>41113632</v>
          </cell>
          <cell r="B7655" t="str">
            <v>Oscilógrafos</v>
          </cell>
        </row>
        <row r="7656">
          <cell r="A7656">
            <v>41113633</v>
          </cell>
          <cell r="B7656" t="str">
            <v>Potenciómetros</v>
          </cell>
        </row>
        <row r="7657">
          <cell r="A7657">
            <v>41113634</v>
          </cell>
          <cell r="B7657" t="str">
            <v>Medidores q</v>
          </cell>
        </row>
        <row r="7658">
          <cell r="A7658">
            <v>41113635</v>
          </cell>
          <cell r="B7658" t="str">
            <v>Equipo de medición de resistencia calibrada</v>
          </cell>
        </row>
        <row r="7659">
          <cell r="A7659">
            <v>41113636</v>
          </cell>
          <cell r="B7659" t="str">
            <v>Generadores de nivel</v>
          </cell>
        </row>
        <row r="7660">
          <cell r="A7660">
            <v>41113637</v>
          </cell>
          <cell r="B7660" t="str">
            <v>Medidores de voltaje o de corriente</v>
          </cell>
        </row>
        <row r="7661">
          <cell r="A7661">
            <v>41113638</v>
          </cell>
          <cell r="B7661" t="str">
            <v>Osciloscopios</v>
          </cell>
        </row>
        <row r="7662">
          <cell r="A7662">
            <v>41113639</v>
          </cell>
          <cell r="B7662" t="str">
            <v>Acelerómetros</v>
          </cell>
        </row>
        <row r="7663">
          <cell r="A7663">
            <v>41113640</v>
          </cell>
          <cell r="B7663" t="str">
            <v>Medidores de vatios</v>
          </cell>
        </row>
        <row r="7664">
          <cell r="A7664">
            <v>41113641</v>
          </cell>
          <cell r="B7664" t="str">
            <v>Probadores de circuitos gfi</v>
          </cell>
        </row>
        <row r="7665">
          <cell r="A7665">
            <v>41113642</v>
          </cell>
          <cell r="B7665" t="str">
            <v>Probador de circuitos</v>
          </cell>
        </row>
        <row r="7666">
          <cell r="A7666">
            <v>41113643</v>
          </cell>
          <cell r="B7666" t="str">
            <v>Medidores o registros de demanda</v>
          </cell>
        </row>
        <row r="7667">
          <cell r="A7667">
            <v>41113644</v>
          </cell>
          <cell r="B7667" t="str">
            <v>Trazador de circuitos</v>
          </cell>
        </row>
        <row r="7668">
          <cell r="A7668">
            <v>41113645</v>
          </cell>
          <cell r="B7668" t="str">
            <v>Dispositivos de filtración de tierra</v>
          </cell>
        </row>
        <row r="7669">
          <cell r="A7669">
            <v>41113646</v>
          </cell>
          <cell r="B7669" t="str">
            <v>Calibrador o simulador de temperatura</v>
          </cell>
        </row>
        <row r="7670">
          <cell r="A7670">
            <v>41113647</v>
          </cell>
          <cell r="B7670" t="str">
            <v>Calibrador o simulador de frecuencia</v>
          </cell>
        </row>
        <row r="7671">
          <cell r="A7671">
            <v>41113648</v>
          </cell>
          <cell r="B7671" t="str">
            <v>Voltiamperímetro empotrable</v>
          </cell>
        </row>
        <row r="7672">
          <cell r="A7672">
            <v>41113701</v>
          </cell>
          <cell r="B7672" t="str">
            <v>Probador de tubos de rayos catódicos</v>
          </cell>
        </row>
        <row r="7673">
          <cell r="A7673">
            <v>41113702</v>
          </cell>
          <cell r="B7673" t="str">
            <v>Comparadores</v>
          </cell>
        </row>
        <row r="7674">
          <cell r="A7674">
            <v>41113703</v>
          </cell>
          <cell r="B7674" t="str">
            <v>Acoplamiento direccional</v>
          </cell>
        </row>
        <row r="7675">
          <cell r="A7675">
            <v>41113704</v>
          </cell>
          <cell r="B7675" t="str">
            <v>Probadores de circuitos integrados</v>
          </cell>
        </row>
        <row r="7676">
          <cell r="A7676">
            <v>41113705</v>
          </cell>
          <cell r="B7676" t="str">
            <v>Probadores de estado lógico</v>
          </cell>
        </row>
        <row r="7677">
          <cell r="A7677">
            <v>41113706</v>
          </cell>
          <cell r="B7677" t="str">
            <v>Probadores de semiconductores</v>
          </cell>
        </row>
        <row r="7678">
          <cell r="A7678">
            <v>41113707</v>
          </cell>
          <cell r="B7678" t="str">
            <v>Probadores de circuitos de transistores</v>
          </cell>
        </row>
        <row r="7679">
          <cell r="A7679">
            <v>41113708</v>
          </cell>
          <cell r="B7679" t="str">
            <v>Medidores de energía</v>
          </cell>
        </row>
        <row r="7680">
          <cell r="A7680">
            <v>41113709</v>
          </cell>
          <cell r="B7680" t="str">
            <v>Medidores de modulación</v>
          </cell>
        </row>
        <row r="7681">
          <cell r="A7681">
            <v>41113710</v>
          </cell>
          <cell r="B7681" t="str">
            <v>Medidor de nivel</v>
          </cell>
        </row>
        <row r="7682">
          <cell r="A7682">
            <v>41113711</v>
          </cell>
          <cell r="B7682" t="str">
            <v>Analizadores de red</v>
          </cell>
        </row>
        <row r="7683">
          <cell r="A7683">
            <v>41113712</v>
          </cell>
          <cell r="B7683" t="str">
            <v>Probadores de cintas</v>
          </cell>
        </row>
        <row r="7684">
          <cell r="A7684">
            <v>41113713</v>
          </cell>
          <cell r="B7684" t="str">
            <v>Probadores de velocidad de la cinta</v>
          </cell>
        </row>
        <row r="7685">
          <cell r="A7685">
            <v>41113714</v>
          </cell>
          <cell r="B7685" t="str">
            <v>Diferenciador</v>
          </cell>
        </row>
        <row r="7686">
          <cell r="A7686">
            <v>41113715</v>
          </cell>
          <cell r="B7686" t="str">
            <v>Probadores de redes digitales de servicios integrados isdn</v>
          </cell>
        </row>
        <row r="7687">
          <cell r="A7687">
            <v>41113716</v>
          </cell>
          <cell r="B7687" t="str">
            <v>Localizadores de fallas de fibra óptica</v>
          </cell>
        </row>
        <row r="7688">
          <cell r="A7688">
            <v>41113717</v>
          </cell>
          <cell r="B7688" t="str">
            <v>Fuentes de prueba de fibra óptica</v>
          </cell>
        </row>
        <row r="7689">
          <cell r="A7689">
            <v>41113718</v>
          </cell>
          <cell r="B7689" t="str">
            <v>Analizadores de protocolo</v>
          </cell>
        </row>
        <row r="7690">
          <cell r="A7690">
            <v>41113801</v>
          </cell>
          <cell r="B7690" t="str">
            <v>Compases geológicos</v>
          </cell>
        </row>
        <row r="7691">
          <cell r="A7691">
            <v>41113802</v>
          </cell>
          <cell r="B7691" t="str">
            <v>Aparatos de prospección geológica</v>
          </cell>
        </row>
        <row r="7692">
          <cell r="A7692">
            <v>41113803</v>
          </cell>
          <cell r="B7692" t="str">
            <v>Instrumentos geofísicos electromagnéticos</v>
          </cell>
        </row>
        <row r="7693">
          <cell r="A7693">
            <v>41113804</v>
          </cell>
          <cell r="B7693" t="str">
            <v>Instrumentos geofísicos de gravedad</v>
          </cell>
        </row>
        <row r="7694">
          <cell r="A7694">
            <v>41113805</v>
          </cell>
          <cell r="B7694" t="str">
            <v>Instrumentos geofísicos de polarización inducida ip</v>
          </cell>
        </row>
        <row r="7695">
          <cell r="A7695">
            <v>41113806</v>
          </cell>
          <cell r="B7695" t="str">
            <v>Instrumentos geofísicos magnetómetros</v>
          </cell>
        </row>
        <row r="7696">
          <cell r="A7696">
            <v>41113807</v>
          </cell>
          <cell r="B7696" t="str">
            <v>Instrumentos geofísicos de resistividad</v>
          </cell>
        </row>
        <row r="7697">
          <cell r="A7697">
            <v>41113808</v>
          </cell>
          <cell r="B7697" t="str">
            <v>Gravímetros</v>
          </cell>
        </row>
        <row r="7698">
          <cell r="A7698">
            <v>41113901</v>
          </cell>
          <cell r="B7698" t="str">
            <v>Instrumentos de medición de perforación</v>
          </cell>
        </row>
        <row r="7699">
          <cell r="A7699">
            <v>41113902</v>
          </cell>
          <cell r="B7699" t="str">
            <v>Probadores de disolución o desintegración</v>
          </cell>
        </row>
        <row r="7700">
          <cell r="A7700">
            <v>41113903</v>
          </cell>
          <cell r="B7700" t="str">
            <v>Aparatos medidores del tamaño de partículas</v>
          </cell>
        </row>
        <row r="7701">
          <cell r="A7701">
            <v>41113904</v>
          </cell>
          <cell r="B7701" t="str">
            <v>Penetrómetros</v>
          </cell>
        </row>
        <row r="7702">
          <cell r="A7702">
            <v>41113905</v>
          </cell>
          <cell r="B7702" t="str">
            <v>Aparatos para probar permeabilidad</v>
          </cell>
        </row>
        <row r="7703">
          <cell r="A7703">
            <v>41113906</v>
          </cell>
          <cell r="B7703" t="str">
            <v>Aparatos para estimar permeabilidad o porosidad</v>
          </cell>
        </row>
        <row r="7704">
          <cell r="A7704">
            <v>41113907</v>
          </cell>
          <cell r="B7704" t="str">
            <v>Porosímetros</v>
          </cell>
        </row>
        <row r="7705">
          <cell r="A7705">
            <v>41113908</v>
          </cell>
          <cell r="B7705" t="str">
            <v>Aparatos para probar arena</v>
          </cell>
        </row>
        <row r="7706">
          <cell r="A7706">
            <v>41113909</v>
          </cell>
          <cell r="B7706" t="str">
            <v>Aparatos muestreadores del núcleo del suelo</v>
          </cell>
        </row>
        <row r="7707">
          <cell r="A7707">
            <v>41113910</v>
          </cell>
          <cell r="B7707" t="str">
            <v>Kits de probadores del suelo</v>
          </cell>
        </row>
        <row r="7708">
          <cell r="A7708">
            <v>41114001</v>
          </cell>
          <cell r="B7708" t="str">
            <v>Clinómetros</v>
          </cell>
        </row>
        <row r="7709">
          <cell r="A7709">
            <v>41114102</v>
          </cell>
          <cell r="B7709" t="str">
            <v>Simuladores de terremotos</v>
          </cell>
        </row>
        <row r="7710">
          <cell r="A7710">
            <v>41114103</v>
          </cell>
          <cell r="B7710" t="str">
            <v>Módulos de alarma sísmica</v>
          </cell>
        </row>
        <row r="7711">
          <cell r="A7711">
            <v>41114104</v>
          </cell>
          <cell r="B7711" t="str">
            <v>Amplificadores sísmicos</v>
          </cell>
        </row>
        <row r="7712">
          <cell r="A7712">
            <v>41114105</v>
          </cell>
          <cell r="B7712" t="str">
            <v>Aparatos sísmicos portátiles</v>
          </cell>
        </row>
        <row r="7713">
          <cell r="A7713">
            <v>41114106</v>
          </cell>
          <cell r="B7713" t="str">
            <v>Sismógrafos o grabadoras sísmicas</v>
          </cell>
        </row>
        <row r="7714">
          <cell r="A7714">
            <v>41114107</v>
          </cell>
          <cell r="B7714" t="str">
            <v>Sismómetros</v>
          </cell>
        </row>
        <row r="7715">
          <cell r="A7715">
            <v>41114108</v>
          </cell>
          <cell r="B7715" t="str">
            <v>Vibrómetros</v>
          </cell>
        </row>
        <row r="7716">
          <cell r="A7716">
            <v>41114201</v>
          </cell>
          <cell r="B7716" t="str">
            <v>Cintas medidoras</v>
          </cell>
        </row>
        <row r="7717">
          <cell r="A7717">
            <v>41114202</v>
          </cell>
          <cell r="B7717" t="str">
            <v>Varillas medidoras</v>
          </cell>
        </row>
        <row r="7718">
          <cell r="A7718">
            <v>41114203</v>
          </cell>
          <cell r="B7718" t="str">
            <v>Tablas medidoras</v>
          </cell>
        </row>
        <row r="7719">
          <cell r="A7719">
            <v>41114204</v>
          </cell>
          <cell r="B7719" t="str">
            <v>Teodolitos</v>
          </cell>
        </row>
        <row r="7720">
          <cell r="A7720">
            <v>41114205</v>
          </cell>
          <cell r="B7720" t="str">
            <v>Estacas de localización</v>
          </cell>
        </row>
        <row r="7721">
          <cell r="A7721">
            <v>41114206</v>
          </cell>
          <cell r="B7721" t="str">
            <v>Centro de localización</v>
          </cell>
        </row>
        <row r="7722">
          <cell r="A7722">
            <v>41114301</v>
          </cell>
          <cell r="B7722" t="str">
            <v>Medidores de corriente para corriente abierta</v>
          </cell>
        </row>
        <row r="7723">
          <cell r="A7723">
            <v>41114302</v>
          </cell>
          <cell r="B7723" t="str">
            <v>Instrumentos de acceso a pozos de agua</v>
          </cell>
        </row>
        <row r="7724">
          <cell r="A7724">
            <v>41114303</v>
          </cell>
          <cell r="B7724" t="str">
            <v>Grabadoras de nivel del agua en corrientes abiertas</v>
          </cell>
        </row>
        <row r="7725">
          <cell r="A7725">
            <v>41114401</v>
          </cell>
          <cell r="B7725" t="str">
            <v>Anemómetros</v>
          </cell>
        </row>
        <row r="7726">
          <cell r="A7726">
            <v>41114402</v>
          </cell>
          <cell r="B7726" t="str">
            <v>Barómetros</v>
          </cell>
        </row>
        <row r="7727">
          <cell r="A7727">
            <v>41114403</v>
          </cell>
          <cell r="B7727" t="str">
            <v>Grabadoras de precipitación o evaporación</v>
          </cell>
        </row>
        <row r="7728">
          <cell r="A7728">
            <v>41114404</v>
          </cell>
          <cell r="B7728" t="str">
            <v>Aparatos de radiosonda</v>
          </cell>
        </row>
        <row r="7729">
          <cell r="A7729">
            <v>41114405</v>
          </cell>
          <cell r="B7729" t="str">
            <v>Grabadoras de lluvia</v>
          </cell>
        </row>
        <row r="7730">
          <cell r="A7730">
            <v>41114406</v>
          </cell>
          <cell r="B7730" t="str">
            <v>Aparatos para observar la precipitación o evaporación en la superficie</v>
          </cell>
        </row>
        <row r="7731">
          <cell r="A7731">
            <v>41114407</v>
          </cell>
          <cell r="B7731" t="str">
            <v>Aparatos para observar la radiación solar en la superficie</v>
          </cell>
        </row>
        <row r="7732">
          <cell r="A7732">
            <v>41114408</v>
          </cell>
          <cell r="B7732" t="str">
            <v>Aparatos para observar la temperatura o humedad en la superficie</v>
          </cell>
        </row>
        <row r="7733">
          <cell r="A7733">
            <v>41114409</v>
          </cell>
          <cell r="B7733" t="str">
            <v>Aparatos para observar el viento en la superficie</v>
          </cell>
        </row>
        <row r="7734">
          <cell r="A7734">
            <v>41114410</v>
          </cell>
          <cell r="B7734" t="str">
            <v>Estaciones meteorológicas</v>
          </cell>
        </row>
        <row r="7735">
          <cell r="A7735">
            <v>41114411</v>
          </cell>
          <cell r="B7735" t="str">
            <v>Accesorios para instrumentos de meteorología</v>
          </cell>
        </row>
        <row r="7736">
          <cell r="A7736">
            <v>41114501</v>
          </cell>
          <cell r="B7736" t="str">
            <v>Dinamómetros</v>
          </cell>
        </row>
        <row r="7737">
          <cell r="A7737">
            <v>41114502</v>
          </cell>
          <cell r="B7737" t="str">
            <v>Elastómetros</v>
          </cell>
        </row>
        <row r="7738">
          <cell r="A7738">
            <v>41114503</v>
          </cell>
          <cell r="B7738" t="str">
            <v>Extensómetros</v>
          </cell>
        </row>
        <row r="7739">
          <cell r="A7739">
            <v>41114504</v>
          </cell>
          <cell r="B7739" t="str">
            <v>Instrumentos de medición de densidad</v>
          </cell>
        </row>
        <row r="7740">
          <cell r="A7740">
            <v>41114505</v>
          </cell>
          <cell r="B7740" t="str">
            <v>Instrumentos de prueba de redondez</v>
          </cell>
        </row>
        <row r="7741">
          <cell r="A7741">
            <v>41114506</v>
          </cell>
          <cell r="B7741" t="str">
            <v>Esferómetros</v>
          </cell>
        </row>
        <row r="7742">
          <cell r="A7742">
            <v>41114507</v>
          </cell>
          <cell r="B7742" t="str">
            <v>Maquinas de prueba de resortes</v>
          </cell>
        </row>
        <row r="7743">
          <cell r="A7743">
            <v>41114508</v>
          </cell>
          <cell r="B7743" t="str">
            <v>Probadores de superficie</v>
          </cell>
        </row>
        <row r="7744">
          <cell r="A7744">
            <v>41114509</v>
          </cell>
          <cell r="B7744" t="str">
            <v>Tensiómetros</v>
          </cell>
        </row>
        <row r="7745">
          <cell r="A7745">
            <v>41114510</v>
          </cell>
          <cell r="B7745" t="str">
            <v>Limitador de torsión</v>
          </cell>
        </row>
        <row r="7746">
          <cell r="A7746">
            <v>41114601</v>
          </cell>
          <cell r="B7746" t="str">
            <v>Probadores de abrasión</v>
          </cell>
        </row>
        <row r="7747">
          <cell r="A7747">
            <v>41114602</v>
          </cell>
          <cell r="B7747" t="str">
            <v>Probadores de compresión</v>
          </cell>
        </row>
        <row r="7748">
          <cell r="A7748">
            <v>41114603</v>
          </cell>
          <cell r="B7748" t="str">
            <v>Instrumentos para probar concreto o cemento</v>
          </cell>
        </row>
        <row r="7749">
          <cell r="A7749">
            <v>41114604</v>
          </cell>
          <cell r="B7749" t="str">
            <v>Probadores de corrosión</v>
          </cell>
        </row>
        <row r="7750">
          <cell r="A7750">
            <v>41114605</v>
          </cell>
          <cell r="B7750" t="str">
            <v>Detectores de grietas o corrosión</v>
          </cell>
        </row>
        <row r="7751">
          <cell r="A7751">
            <v>41114606</v>
          </cell>
          <cell r="B7751" t="str">
            <v>Probadores de fuga</v>
          </cell>
        </row>
        <row r="7752">
          <cell r="A7752">
            <v>41114607</v>
          </cell>
          <cell r="B7752" t="str">
            <v>Máquinas para probar ductilidad</v>
          </cell>
        </row>
        <row r="7753">
          <cell r="A7753">
            <v>41114608</v>
          </cell>
          <cell r="B7753" t="str">
            <v>Probadores de fatiga</v>
          </cell>
        </row>
        <row r="7754">
          <cell r="A7754">
            <v>41114609</v>
          </cell>
          <cell r="B7754" t="str">
            <v>Aparatos probadores de forja</v>
          </cell>
        </row>
        <row r="7755">
          <cell r="A7755">
            <v>41114610</v>
          </cell>
          <cell r="B7755" t="str">
            <v>Aparatos probadores de fundición</v>
          </cell>
        </row>
        <row r="7756">
          <cell r="A7756">
            <v>41114611</v>
          </cell>
          <cell r="B7756" t="str">
            <v>Probadores de dureza</v>
          </cell>
        </row>
        <row r="7757">
          <cell r="A7757">
            <v>41114612</v>
          </cell>
          <cell r="B7757" t="str">
            <v>Probadores de impacto</v>
          </cell>
        </row>
        <row r="7758">
          <cell r="A7758">
            <v>41114613</v>
          </cell>
          <cell r="B7758" t="str">
            <v>Marco de carga</v>
          </cell>
        </row>
        <row r="7759">
          <cell r="A7759">
            <v>41114614</v>
          </cell>
          <cell r="B7759" t="str">
            <v>Instrumentos para probar metales</v>
          </cell>
        </row>
        <row r="7760">
          <cell r="A7760">
            <v>41114615</v>
          </cell>
          <cell r="B7760" t="str">
            <v>Instrumentos probadores foto elásticos</v>
          </cell>
        </row>
        <row r="7761">
          <cell r="A7761">
            <v>41114616</v>
          </cell>
          <cell r="B7761" t="str">
            <v>Indicadores de resistencia al estrés</v>
          </cell>
        </row>
        <row r="7762">
          <cell r="A7762">
            <v>41114617</v>
          </cell>
          <cell r="B7762" t="str">
            <v>Probadores de relajación</v>
          </cell>
        </row>
        <row r="7763">
          <cell r="A7763">
            <v>41114618</v>
          </cell>
          <cell r="B7763" t="str">
            <v>Instrumentos de medición de rugosidad</v>
          </cell>
        </row>
        <row r="7764">
          <cell r="A7764">
            <v>41114619</v>
          </cell>
          <cell r="B7764" t="str">
            <v>Probadores de fuerza de corte</v>
          </cell>
        </row>
        <row r="7765">
          <cell r="A7765">
            <v>41114620</v>
          </cell>
          <cell r="B7765" t="str">
            <v>Aparatos para probar choque</v>
          </cell>
        </row>
        <row r="7766">
          <cell r="A7766">
            <v>41114621</v>
          </cell>
          <cell r="B7766" t="str">
            <v>Probadores de tensión</v>
          </cell>
        </row>
        <row r="7767">
          <cell r="A7767">
            <v>41114622</v>
          </cell>
          <cell r="B7767" t="str">
            <v>Probadores de torsión</v>
          </cell>
        </row>
        <row r="7768">
          <cell r="A7768">
            <v>41114623</v>
          </cell>
          <cell r="B7768" t="str">
            <v>Máquinas para pruebas de flexión o transversales</v>
          </cell>
        </row>
        <row r="7769">
          <cell r="A7769">
            <v>41114624</v>
          </cell>
          <cell r="B7769" t="str">
            <v>Probadores de vibración</v>
          </cell>
        </row>
        <row r="7770">
          <cell r="A7770">
            <v>41114625</v>
          </cell>
          <cell r="B7770" t="str">
            <v>Probadores de desgaste</v>
          </cell>
        </row>
        <row r="7771">
          <cell r="A7771">
            <v>41114626</v>
          </cell>
          <cell r="B7771" t="str">
            <v>Aparatos para probar soldaduras</v>
          </cell>
        </row>
        <row r="7772">
          <cell r="A7772">
            <v>41114701</v>
          </cell>
          <cell r="B7772" t="str">
            <v>Instrumentos de prueba de cartón</v>
          </cell>
        </row>
        <row r="7773">
          <cell r="A7773">
            <v>41114702</v>
          </cell>
          <cell r="B7773" t="str">
            <v>Probadores de resistencia de textiles</v>
          </cell>
        </row>
        <row r="7774">
          <cell r="A7774">
            <v>41114703</v>
          </cell>
          <cell r="B7774" t="str">
            <v>Instrumentos para probar cuero</v>
          </cell>
        </row>
        <row r="7775">
          <cell r="A7775">
            <v>41114704</v>
          </cell>
          <cell r="B7775" t="str">
            <v>Instrumentos para probar papel</v>
          </cell>
        </row>
        <row r="7776">
          <cell r="A7776">
            <v>41114705</v>
          </cell>
          <cell r="B7776" t="str">
            <v>Instrumentos para probar textiles</v>
          </cell>
        </row>
        <row r="7777">
          <cell r="A7777">
            <v>41114706</v>
          </cell>
          <cell r="B7777" t="str">
            <v>Instrumentos para probar madera</v>
          </cell>
        </row>
        <row r="7778">
          <cell r="A7778">
            <v>41114801</v>
          </cell>
          <cell r="B7778" t="str">
            <v>Instrumentos para probar cerámicas</v>
          </cell>
        </row>
        <row r="7779">
          <cell r="A7779">
            <v>41114802</v>
          </cell>
          <cell r="B7779" t="str">
            <v>Instrumentos para probar vidrio</v>
          </cell>
        </row>
        <row r="7780">
          <cell r="A7780">
            <v>41114803</v>
          </cell>
          <cell r="B7780" t="str">
            <v>Instrumentos para probar alfarería</v>
          </cell>
        </row>
        <row r="7781">
          <cell r="A7781">
            <v>41115101</v>
          </cell>
          <cell r="B7781" t="str">
            <v>Instrumentos para probar carbón</v>
          </cell>
        </row>
        <row r="7782">
          <cell r="A7782">
            <v>41115201</v>
          </cell>
          <cell r="B7782" t="str">
            <v>Sistemas de vigilancia basados en radar</v>
          </cell>
        </row>
        <row r="7783">
          <cell r="A7783">
            <v>41115202</v>
          </cell>
          <cell r="B7783" t="str">
            <v>Polarrotores (elementos centrales de la antena)</v>
          </cell>
        </row>
        <row r="7784">
          <cell r="A7784">
            <v>41115301</v>
          </cell>
          <cell r="B7784" t="str">
            <v>Medidores de absorción de luz</v>
          </cell>
        </row>
        <row r="7785">
          <cell r="A7785">
            <v>41115302</v>
          </cell>
          <cell r="B7785" t="str">
            <v>Cámaras anecóicas</v>
          </cell>
        </row>
        <row r="7786">
          <cell r="A7786">
            <v>41115303</v>
          </cell>
          <cell r="B7786" t="str">
            <v>Analizadores de frecuencia</v>
          </cell>
        </row>
        <row r="7787">
          <cell r="A7787">
            <v>41115304</v>
          </cell>
          <cell r="B7787" t="str">
            <v>Contadores o temporizadores o divisores de frecuencia</v>
          </cell>
        </row>
        <row r="7788">
          <cell r="A7788">
            <v>41115305</v>
          </cell>
          <cell r="B7788" t="str">
            <v>Medidores de frecuencia eléctrica</v>
          </cell>
        </row>
        <row r="7789">
          <cell r="A7789">
            <v>41115306</v>
          </cell>
          <cell r="B7789" t="str">
            <v>Interferómetros</v>
          </cell>
        </row>
        <row r="7790">
          <cell r="A7790">
            <v>41115307</v>
          </cell>
          <cell r="B7790" t="str">
            <v>Láseres</v>
          </cell>
        </row>
        <row r="7791">
          <cell r="A7791">
            <v>41115308</v>
          </cell>
          <cell r="B7791" t="str">
            <v>Medidores de luz</v>
          </cell>
        </row>
        <row r="7792">
          <cell r="A7792">
            <v>41115309</v>
          </cell>
          <cell r="B7792" t="str">
            <v>Luxómetros</v>
          </cell>
        </row>
        <row r="7793">
          <cell r="A7793">
            <v>41115310</v>
          </cell>
          <cell r="B7793" t="str">
            <v>Set de calibración óptica</v>
          </cell>
        </row>
        <row r="7794">
          <cell r="A7794">
            <v>41115311</v>
          </cell>
          <cell r="B7794" t="str">
            <v>Fotómetros</v>
          </cell>
        </row>
        <row r="7795">
          <cell r="A7795">
            <v>41115312</v>
          </cell>
          <cell r="B7795" t="str">
            <v>Polarímetros o refractómetros de mesa</v>
          </cell>
        </row>
        <row r="7796">
          <cell r="A7796">
            <v>41115313</v>
          </cell>
          <cell r="B7796" t="str">
            <v>Polarímetros o refractómetros manuales</v>
          </cell>
        </row>
        <row r="7797">
          <cell r="A7797">
            <v>41115314</v>
          </cell>
          <cell r="B7797" t="str">
            <v>Polarímetros</v>
          </cell>
        </row>
        <row r="7798">
          <cell r="A7798">
            <v>41115315</v>
          </cell>
          <cell r="B7798" t="str">
            <v>Polariscopios</v>
          </cell>
        </row>
        <row r="7799">
          <cell r="A7799">
            <v>41115316</v>
          </cell>
          <cell r="B7799" t="str">
            <v>Reflectómetros</v>
          </cell>
        </row>
        <row r="7800">
          <cell r="A7800">
            <v>41115317</v>
          </cell>
          <cell r="B7800" t="str">
            <v>Estroboscopios</v>
          </cell>
        </row>
        <row r="7801">
          <cell r="A7801">
            <v>41115318</v>
          </cell>
          <cell r="B7801" t="str">
            <v>Colorímetros</v>
          </cell>
        </row>
        <row r="7802">
          <cell r="A7802">
            <v>41115319</v>
          </cell>
          <cell r="B7802" t="str">
            <v>Lectores de tubo o disco</v>
          </cell>
        </row>
        <row r="7803">
          <cell r="A7803">
            <v>41115320</v>
          </cell>
          <cell r="B7803" t="str">
            <v>Generadores de señales</v>
          </cell>
        </row>
        <row r="7804">
          <cell r="A7804">
            <v>41115321</v>
          </cell>
          <cell r="B7804" t="str">
            <v>Imágenes infrarrojas</v>
          </cell>
        </row>
        <row r="7805">
          <cell r="A7805">
            <v>41115322</v>
          </cell>
          <cell r="B7805" t="str">
            <v>Analizadores de rayos láser</v>
          </cell>
        </row>
        <row r="7806">
          <cell r="A7806">
            <v>41115401</v>
          </cell>
          <cell r="B7806" t="str">
            <v>Espectrofluorímetros o fluorímetros</v>
          </cell>
        </row>
        <row r="7807">
          <cell r="A7807">
            <v>41115402</v>
          </cell>
          <cell r="B7807" t="str">
            <v>Espectrógrafos</v>
          </cell>
        </row>
        <row r="7808">
          <cell r="A7808">
            <v>41115403</v>
          </cell>
          <cell r="B7808" t="str">
            <v>Espectrómetros</v>
          </cell>
        </row>
        <row r="7809">
          <cell r="A7809">
            <v>41115404</v>
          </cell>
          <cell r="B7809" t="str">
            <v>Espectrómetros de masa</v>
          </cell>
        </row>
        <row r="7810">
          <cell r="A7810">
            <v>41115405</v>
          </cell>
          <cell r="B7810" t="str">
            <v>Espectrómetros de protón</v>
          </cell>
        </row>
        <row r="7811">
          <cell r="A7811">
            <v>41115406</v>
          </cell>
          <cell r="B7811" t="str">
            <v>Espectrofotómetros</v>
          </cell>
        </row>
        <row r="7812">
          <cell r="A7812">
            <v>41115407</v>
          </cell>
          <cell r="B7812" t="str">
            <v>Espectrómetros de absorción atómica aa</v>
          </cell>
        </row>
        <row r="7813">
          <cell r="A7813">
            <v>41115408</v>
          </cell>
          <cell r="B7813" t="str">
            <v>Espectrómetros infrarrojos</v>
          </cell>
        </row>
        <row r="7814">
          <cell r="A7814">
            <v>41115409</v>
          </cell>
          <cell r="B7814" t="str">
            <v>Espectrómetros de resonancia magnética nuclear nmr</v>
          </cell>
        </row>
        <row r="7815">
          <cell r="A7815">
            <v>41115410</v>
          </cell>
          <cell r="B7815" t="str">
            <v>Espectrómetros de resonancia magnética nuclear (NMR)</v>
          </cell>
        </row>
        <row r="7816">
          <cell r="A7816">
            <v>41115411</v>
          </cell>
          <cell r="B7816" t="str">
            <v>Espectrómetros de plasma acoplado inductivamente icp</v>
          </cell>
        </row>
        <row r="7817">
          <cell r="A7817">
            <v>41115501</v>
          </cell>
          <cell r="B7817" t="str">
            <v>Sonares</v>
          </cell>
        </row>
        <row r="7818">
          <cell r="A7818">
            <v>41115502</v>
          </cell>
          <cell r="B7818" t="str">
            <v>Sonómetros</v>
          </cell>
        </row>
        <row r="7819">
          <cell r="A7819">
            <v>41115503</v>
          </cell>
          <cell r="B7819" t="str">
            <v>Aparatos para medir el sonido o medidores de decibeles</v>
          </cell>
        </row>
        <row r="7820">
          <cell r="A7820">
            <v>41115504</v>
          </cell>
          <cell r="B7820" t="str">
            <v>Analizadores de velocidad del sonido</v>
          </cell>
        </row>
        <row r="7821">
          <cell r="A7821">
            <v>41115505</v>
          </cell>
          <cell r="B7821" t="str">
            <v>Cuartos para pruebas acústicas</v>
          </cell>
        </row>
        <row r="7822">
          <cell r="A7822">
            <v>41115601</v>
          </cell>
          <cell r="B7822" t="str">
            <v>Equipo de análisis volumétrico karl fischer</v>
          </cell>
        </row>
        <row r="7823">
          <cell r="A7823">
            <v>41115602</v>
          </cell>
          <cell r="B7823" t="str">
            <v>Equipo de análisis volumétrico</v>
          </cell>
        </row>
        <row r="7824">
          <cell r="A7824">
            <v>41115603</v>
          </cell>
          <cell r="B7824" t="str">
            <v>Medidores de ph</v>
          </cell>
        </row>
        <row r="7825">
          <cell r="A7825">
            <v>41115604</v>
          </cell>
          <cell r="B7825" t="str">
            <v>Electrodos de ph</v>
          </cell>
        </row>
        <row r="7826">
          <cell r="A7826">
            <v>41115605</v>
          </cell>
          <cell r="B7826" t="str">
            <v>Tiras para ensayos de pH</v>
          </cell>
        </row>
        <row r="7827">
          <cell r="A7827">
            <v>41115606</v>
          </cell>
          <cell r="B7827" t="str">
            <v>Medidores de electrodos selectivos de iones ise</v>
          </cell>
        </row>
        <row r="7828">
          <cell r="A7828">
            <v>41115607</v>
          </cell>
          <cell r="B7828" t="str">
            <v>Tiras de prueba de iones selectivos</v>
          </cell>
        </row>
        <row r="7829">
          <cell r="A7829">
            <v>41115608</v>
          </cell>
          <cell r="B7829" t="str">
            <v>Electrodos selectivos de iones</v>
          </cell>
        </row>
        <row r="7830">
          <cell r="A7830">
            <v>41115609</v>
          </cell>
          <cell r="B7830" t="str">
            <v>Medidores de conductividad</v>
          </cell>
        </row>
        <row r="7831">
          <cell r="A7831">
            <v>41115610</v>
          </cell>
          <cell r="B7831" t="str">
            <v>Celdas de conductividad</v>
          </cell>
        </row>
        <row r="7832">
          <cell r="A7832">
            <v>41115611</v>
          </cell>
          <cell r="B7832" t="str">
            <v>Medidores de oxígeno disuelto</v>
          </cell>
        </row>
        <row r="7833">
          <cell r="A7833">
            <v>41115612</v>
          </cell>
          <cell r="B7833" t="str">
            <v>Sondas de oxigeno disuelto</v>
          </cell>
        </row>
        <row r="7834">
          <cell r="A7834">
            <v>41115613</v>
          </cell>
          <cell r="B7834" t="str">
            <v>Medidor de salinidad</v>
          </cell>
        </row>
        <row r="7835">
          <cell r="A7835">
            <v>41115614</v>
          </cell>
          <cell r="B7835" t="str">
            <v>Transmisores de ph</v>
          </cell>
        </row>
        <row r="7836">
          <cell r="A7836">
            <v>41115701</v>
          </cell>
          <cell r="B7836" t="str">
            <v>Detectores cromatográficos</v>
          </cell>
        </row>
        <row r="7837">
          <cell r="A7837">
            <v>41115702</v>
          </cell>
          <cell r="B7837" t="str">
            <v>Escáneres cromatográficos</v>
          </cell>
        </row>
        <row r="7838">
          <cell r="A7838">
            <v>41115703</v>
          </cell>
          <cell r="B7838" t="str">
            <v>Gases cromatográficos</v>
          </cell>
        </row>
        <row r="7839">
          <cell r="A7839">
            <v>41115704</v>
          </cell>
          <cell r="B7839" t="str">
            <v>Iones cromatográficos</v>
          </cell>
        </row>
        <row r="7840">
          <cell r="A7840">
            <v>41115705</v>
          </cell>
          <cell r="B7840" t="str">
            <v>Cromatógrafos líquidos</v>
          </cell>
        </row>
        <row r="7841">
          <cell r="A7841">
            <v>41115706</v>
          </cell>
          <cell r="B7841" t="str">
            <v>Cromatógrafos de capa delgada</v>
          </cell>
        </row>
        <row r="7842">
          <cell r="A7842">
            <v>41115707</v>
          </cell>
          <cell r="B7842" t="str">
            <v>Cromatógrafos para cromatografía de líquido de alta presión</v>
          </cell>
        </row>
        <row r="7843">
          <cell r="A7843">
            <v>41115708</v>
          </cell>
          <cell r="B7843" t="str">
            <v>Cromatógrafos de capa delgada de alta presión tlc</v>
          </cell>
        </row>
        <row r="7844">
          <cell r="A7844">
            <v>41115709</v>
          </cell>
          <cell r="B7844" t="str">
            <v>Columnas para cromatografía líquida de alta presión hplc</v>
          </cell>
        </row>
        <row r="7845">
          <cell r="A7845">
            <v>41115710</v>
          </cell>
          <cell r="B7845" t="str">
            <v>Columnas para cromatografía de gas</v>
          </cell>
        </row>
        <row r="7846">
          <cell r="A7846">
            <v>41115711</v>
          </cell>
          <cell r="B7846" t="str">
            <v>Columnas para cromatografía líquida lc</v>
          </cell>
        </row>
        <row r="7847">
          <cell r="A7847">
            <v>41115712</v>
          </cell>
          <cell r="B7847" t="str">
            <v>Columnas para extracción de fase sólida spe</v>
          </cell>
        </row>
        <row r="7848">
          <cell r="A7848">
            <v>41115713</v>
          </cell>
          <cell r="B7848" t="str">
            <v>Tanques para cromatografía de capa delgada</v>
          </cell>
        </row>
        <row r="7849">
          <cell r="A7849">
            <v>41115714</v>
          </cell>
          <cell r="B7849" t="str">
            <v>Auto muestreadores</v>
          </cell>
        </row>
        <row r="7850">
          <cell r="A7850">
            <v>41115715</v>
          </cell>
          <cell r="B7850" t="str">
            <v>Inyectores</v>
          </cell>
        </row>
        <row r="7851">
          <cell r="A7851">
            <v>41115716</v>
          </cell>
          <cell r="B7851" t="str">
            <v>Accesorios para cromatografía líquida</v>
          </cell>
        </row>
        <row r="7852">
          <cell r="A7852">
            <v>41115717</v>
          </cell>
          <cell r="B7852" t="str">
            <v>Accesorios para cromatografía de gas</v>
          </cell>
        </row>
        <row r="7853">
          <cell r="A7853">
            <v>41115718</v>
          </cell>
          <cell r="B7853" t="str">
            <v>Inyector de paredes de membrana</v>
          </cell>
        </row>
        <row r="7854">
          <cell r="A7854">
            <v>41115719</v>
          </cell>
          <cell r="B7854" t="str">
            <v>Revestimientos para cromatografía de gas</v>
          </cell>
        </row>
        <row r="7855">
          <cell r="A7855">
            <v>41115720</v>
          </cell>
          <cell r="B7855" t="str">
            <v>Tubos para cromatografía</v>
          </cell>
        </row>
        <row r="7856">
          <cell r="A7856">
            <v>41115801</v>
          </cell>
          <cell r="B7856" t="str">
            <v>Analizadores de amino ácidos</v>
          </cell>
        </row>
        <row r="7857">
          <cell r="A7857">
            <v>41115802</v>
          </cell>
          <cell r="B7857" t="str">
            <v>Accesorios o suministros para analizadores de amino ácidos</v>
          </cell>
        </row>
        <row r="7858">
          <cell r="A7858">
            <v>41115803</v>
          </cell>
          <cell r="B7858" t="str">
            <v>Analizadores de bancos de sangre</v>
          </cell>
        </row>
        <row r="7859">
          <cell r="A7859">
            <v>41115804</v>
          </cell>
          <cell r="B7859" t="str">
            <v>Accesorios o suministros para analizadores de bancos de sangre</v>
          </cell>
        </row>
        <row r="7860">
          <cell r="A7860">
            <v>41115805</v>
          </cell>
          <cell r="B7860" t="str">
            <v>Analizadores de gas en la sangre</v>
          </cell>
        </row>
        <row r="7861">
          <cell r="A7861">
            <v>41115806</v>
          </cell>
          <cell r="B7861" t="str">
            <v>Accesorios o suministros para analizadores de gas en la sangre</v>
          </cell>
        </row>
        <row r="7862">
          <cell r="A7862">
            <v>41115807</v>
          </cell>
          <cell r="B7862" t="str">
            <v>Analizadores químicos</v>
          </cell>
        </row>
        <row r="7863">
          <cell r="A7863">
            <v>41115808</v>
          </cell>
          <cell r="B7863" t="str">
            <v>Accesorios o suministros para analizadores químico</v>
          </cell>
        </row>
        <row r="7864">
          <cell r="A7864">
            <v>41115809</v>
          </cell>
          <cell r="B7864" t="str">
            <v>Analizadores de coagulación</v>
          </cell>
        </row>
        <row r="7865">
          <cell r="A7865">
            <v>41115810</v>
          </cell>
          <cell r="B7865" t="str">
            <v>Accesorios o suministros para analizadores de coagulación</v>
          </cell>
        </row>
        <row r="7866">
          <cell r="A7866">
            <v>41115811</v>
          </cell>
          <cell r="B7866" t="str">
            <v>Analizadores de secuencia desoxirribonucleica</v>
          </cell>
        </row>
        <row r="7867">
          <cell r="A7867">
            <v>41115812</v>
          </cell>
          <cell r="B7867" t="str">
            <v>Accesorios o suministros para analizadores de secuencia desoxirribonucleica</v>
          </cell>
        </row>
        <row r="7868">
          <cell r="A7868">
            <v>41115813</v>
          </cell>
          <cell r="B7868" t="str">
            <v>Analizadores de toxicología</v>
          </cell>
        </row>
        <row r="7869">
          <cell r="A7869">
            <v>41115814</v>
          </cell>
          <cell r="B7869" t="str">
            <v>Accesorios o suministros para analizadores de toxicología</v>
          </cell>
        </row>
        <row r="7870">
          <cell r="A7870">
            <v>41115815</v>
          </cell>
          <cell r="B7870" t="str">
            <v>Analizadores de hematología</v>
          </cell>
        </row>
        <row r="7871">
          <cell r="A7871">
            <v>41115816</v>
          </cell>
          <cell r="B7871" t="str">
            <v>Accesorios o suministros para analizadores de hematología</v>
          </cell>
        </row>
        <row r="7872">
          <cell r="A7872">
            <v>41115817</v>
          </cell>
          <cell r="B7872" t="str">
            <v>Analizadores de histología</v>
          </cell>
        </row>
        <row r="7873">
          <cell r="A7873">
            <v>41115818</v>
          </cell>
          <cell r="B7873" t="str">
            <v>Accesorios o suministros para analizadores de histología</v>
          </cell>
        </row>
        <row r="7874">
          <cell r="A7874">
            <v>41115819</v>
          </cell>
          <cell r="B7874" t="str">
            <v>Analizadores de inmunología</v>
          </cell>
        </row>
        <row r="7875">
          <cell r="A7875">
            <v>41115820</v>
          </cell>
          <cell r="B7875" t="str">
            <v>Accesorios o suministros para analizadores de inmunología</v>
          </cell>
        </row>
        <row r="7876">
          <cell r="A7876">
            <v>41115821</v>
          </cell>
          <cell r="B7876" t="str">
            <v>Analizadores de microbiología</v>
          </cell>
        </row>
        <row r="7877">
          <cell r="A7877">
            <v>41115822</v>
          </cell>
          <cell r="B7877" t="str">
            <v>Accesorios o suministros para analizadores de microbiología</v>
          </cell>
        </row>
        <row r="7878">
          <cell r="A7878">
            <v>41115823</v>
          </cell>
          <cell r="B7878" t="str">
            <v>Analizadores de proteína</v>
          </cell>
        </row>
        <row r="7879">
          <cell r="A7879">
            <v>41115824</v>
          </cell>
          <cell r="B7879" t="str">
            <v>Accesorios o suministros para analizadores de proteína</v>
          </cell>
        </row>
        <row r="7880">
          <cell r="A7880">
            <v>41115825</v>
          </cell>
          <cell r="B7880" t="str">
            <v>Analizadores radio isotópicos</v>
          </cell>
        </row>
        <row r="7881">
          <cell r="A7881">
            <v>41115826</v>
          </cell>
          <cell r="B7881" t="str">
            <v>Accesorios o suministros para analizadores radio isotópicos</v>
          </cell>
        </row>
        <row r="7882">
          <cell r="A7882">
            <v>41115827</v>
          </cell>
          <cell r="B7882" t="str">
            <v>Analizadores de orina</v>
          </cell>
        </row>
        <row r="7883">
          <cell r="A7883">
            <v>41115828</v>
          </cell>
          <cell r="B7883" t="str">
            <v>Accesorios o suministros para analizadores de orina</v>
          </cell>
        </row>
        <row r="7884">
          <cell r="A7884">
            <v>41115829</v>
          </cell>
          <cell r="B7884" t="str">
            <v>Analizadores de productos cárnicos o lácteos</v>
          </cell>
        </row>
        <row r="7885">
          <cell r="A7885">
            <v>41115830</v>
          </cell>
          <cell r="B7885" t="str">
            <v>Analizadores de glucosa</v>
          </cell>
        </row>
        <row r="7886">
          <cell r="A7886">
            <v>41116001</v>
          </cell>
          <cell r="B7886" t="str">
            <v>Reactivos analizadores de amino ácidos</v>
          </cell>
        </row>
        <row r="7887">
          <cell r="A7887">
            <v>41116002</v>
          </cell>
          <cell r="B7887" t="str">
            <v>Reactivos analizadores de bancos de sangre</v>
          </cell>
        </row>
        <row r="7888">
          <cell r="A7888">
            <v>41116003</v>
          </cell>
          <cell r="B7888" t="str">
            <v>Reactivos analizadores de gas en la sangre</v>
          </cell>
        </row>
        <row r="7889">
          <cell r="A7889">
            <v>41116004</v>
          </cell>
          <cell r="B7889" t="str">
            <v>Reactivos analizadores de química</v>
          </cell>
        </row>
        <row r="7890">
          <cell r="A7890">
            <v>41116005</v>
          </cell>
          <cell r="B7890" t="str">
            <v>Reactivos analizadores de coagulación</v>
          </cell>
        </row>
        <row r="7891">
          <cell r="A7891">
            <v>41116006</v>
          </cell>
          <cell r="B7891" t="str">
            <v>Reactivos analizadores de secuencia de ácido desoxirribonucleico dna</v>
          </cell>
        </row>
        <row r="7892">
          <cell r="A7892">
            <v>41116007</v>
          </cell>
          <cell r="B7892" t="str">
            <v>Reactivos analizadores de toxicología</v>
          </cell>
        </row>
        <row r="7893">
          <cell r="A7893">
            <v>41116008</v>
          </cell>
          <cell r="B7893" t="str">
            <v>Reactivos analizadores de hematología</v>
          </cell>
        </row>
        <row r="7894">
          <cell r="A7894">
            <v>41116009</v>
          </cell>
          <cell r="B7894" t="str">
            <v>Reactivos analizadores de histología</v>
          </cell>
        </row>
        <row r="7895">
          <cell r="A7895">
            <v>41116010</v>
          </cell>
          <cell r="B7895" t="str">
            <v>Reactivos analizadores de inmunología</v>
          </cell>
        </row>
        <row r="7896">
          <cell r="A7896">
            <v>41116011</v>
          </cell>
          <cell r="B7896" t="str">
            <v>Reactivos analizadores de microbiología</v>
          </cell>
        </row>
        <row r="7897">
          <cell r="A7897">
            <v>41116012</v>
          </cell>
          <cell r="B7897" t="str">
            <v>Reactivos analizadores de proteínas</v>
          </cell>
        </row>
        <row r="7898">
          <cell r="A7898">
            <v>41116013</v>
          </cell>
          <cell r="B7898" t="str">
            <v>Reactivos analizadores radio isotópicos</v>
          </cell>
        </row>
        <row r="7899">
          <cell r="A7899">
            <v>41116014</v>
          </cell>
          <cell r="B7899" t="str">
            <v>Reactivos analizadores de análisis de orina</v>
          </cell>
        </row>
        <row r="7900">
          <cell r="A7900">
            <v>41116015</v>
          </cell>
          <cell r="B7900" t="str">
            <v>Reactivos o anticuerpos analizadores de citometría de flujo</v>
          </cell>
        </row>
        <row r="7901">
          <cell r="A7901">
            <v>41116101</v>
          </cell>
          <cell r="B7901" t="str">
            <v>Kits o suministros de prueba de bancos de sangre</v>
          </cell>
        </row>
        <row r="7902">
          <cell r="A7902">
            <v>41116102</v>
          </cell>
          <cell r="B7902" t="str">
            <v>Reactivos o soluciones de bancos de sangre</v>
          </cell>
        </row>
        <row r="7903">
          <cell r="A7903">
            <v>41116103</v>
          </cell>
          <cell r="B7903" t="str">
            <v>Controles de calidad o calibradores o estándares de bancos de sangre</v>
          </cell>
        </row>
        <row r="7904">
          <cell r="A7904">
            <v>41116104</v>
          </cell>
          <cell r="B7904" t="str">
            <v>Kits o suministros para pruebas químicas</v>
          </cell>
        </row>
        <row r="7905">
          <cell r="A7905">
            <v>41116105</v>
          </cell>
          <cell r="B7905" t="str">
            <v>Reactivos o soluciones químicas</v>
          </cell>
        </row>
        <row r="7906">
          <cell r="A7906">
            <v>41116106</v>
          </cell>
          <cell r="B7906" t="str">
            <v>Tiras de prueba o papel de prueba químico</v>
          </cell>
        </row>
        <row r="7907">
          <cell r="A7907">
            <v>41116107</v>
          </cell>
          <cell r="B7907" t="str">
            <v>Controles de calidad o calibradores o estándares químicos</v>
          </cell>
        </row>
        <row r="7908">
          <cell r="A7908">
            <v>41116108</v>
          </cell>
          <cell r="B7908" t="str">
            <v>Kits o suministros para pruebas de coagulación</v>
          </cell>
        </row>
        <row r="7909">
          <cell r="A7909">
            <v>41116109</v>
          </cell>
          <cell r="B7909" t="str">
            <v>Reactivos o soluciones de coagulación</v>
          </cell>
        </row>
        <row r="7910">
          <cell r="A7910">
            <v>41116110</v>
          </cell>
          <cell r="B7910" t="str">
            <v>Controles de calidad o calibradores o estándares de coagulación</v>
          </cell>
        </row>
        <row r="7911">
          <cell r="A7911">
            <v>41116111</v>
          </cell>
          <cell r="B7911" t="str">
            <v>Kits o suministros para pruebas de citología</v>
          </cell>
        </row>
        <row r="7912">
          <cell r="A7912">
            <v>41116112</v>
          </cell>
          <cell r="B7912" t="str">
            <v>Controles de calidad o calibradores o estándares de citología</v>
          </cell>
        </row>
        <row r="7913">
          <cell r="A7913">
            <v>41116113</v>
          </cell>
          <cell r="B7913" t="str">
            <v>Reactivos o soluciones o tinturas para citología</v>
          </cell>
        </row>
        <row r="7914">
          <cell r="A7914">
            <v>41116116</v>
          </cell>
          <cell r="B7914" t="str">
            <v>Kits o suministros para pruebas ambientales</v>
          </cell>
        </row>
        <row r="7915">
          <cell r="A7915">
            <v>41116117</v>
          </cell>
          <cell r="B7915" t="str">
            <v>Reactivos o soluciones o tinturas ambientales</v>
          </cell>
        </row>
        <row r="7916">
          <cell r="A7916">
            <v>41116118</v>
          </cell>
          <cell r="B7916" t="str">
            <v>Kits o suministros para pruebas de alimentos</v>
          </cell>
        </row>
        <row r="7917">
          <cell r="A7917">
            <v>41116119</v>
          </cell>
          <cell r="B7917" t="str">
            <v>Reactivos o soluciones o tinturas para kits de pruebas de alimentos</v>
          </cell>
        </row>
        <row r="7918">
          <cell r="A7918">
            <v>41116120</v>
          </cell>
          <cell r="B7918" t="str">
            <v>Kits o suministros para pruebas de hematología</v>
          </cell>
        </row>
        <row r="7919">
          <cell r="A7919">
            <v>41116121</v>
          </cell>
          <cell r="B7919" t="str">
            <v>Reactivos o soluciones o tinturas para hematología</v>
          </cell>
        </row>
        <row r="7920">
          <cell r="A7920">
            <v>41116122</v>
          </cell>
          <cell r="B7920" t="str">
            <v>Controles de calidad o calibradores o estándares para hematología</v>
          </cell>
        </row>
        <row r="7921">
          <cell r="A7921">
            <v>41116123</v>
          </cell>
          <cell r="B7921" t="str">
            <v>Kits o suministros para pruebas de histología</v>
          </cell>
        </row>
        <row r="7922">
          <cell r="A7922">
            <v>41116124</v>
          </cell>
          <cell r="B7922" t="str">
            <v>Reactivos o soluciones o tinturas para histología</v>
          </cell>
        </row>
        <row r="7923">
          <cell r="A7923">
            <v>41116125</v>
          </cell>
          <cell r="B7923" t="str">
            <v>Controles de calidad o calibradores o estándares para histología</v>
          </cell>
        </row>
        <row r="7924">
          <cell r="A7924">
            <v>41116126</v>
          </cell>
          <cell r="B7924" t="str">
            <v>Kits o suministros para pruebas de inmunología o serología</v>
          </cell>
        </row>
        <row r="7925">
          <cell r="A7925">
            <v>41116127</v>
          </cell>
          <cell r="B7925" t="str">
            <v>Reactivos o soluciones o tinturas para inmunología o serología</v>
          </cell>
        </row>
        <row r="7926">
          <cell r="A7926">
            <v>41116128</v>
          </cell>
          <cell r="B7926" t="str">
            <v>Controles de calidad o calibradores o estándares para inmunología o serología</v>
          </cell>
        </row>
        <row r="7927">
          <cell r="A7927">
            <v>41116129</v>
          </cell>
          <cell r="B7927" t="str">
            <v>Kits o suministros para pruebas de microbiología o bacteriología</v>
          </cell>
        </row>
        <row r="7928">
          <cell r="A7928">
            <v>41116130</v>
          </cell>
          <cell r="B7928" t="str">
            <v>Reactivos o soluciones o tinturas para microbiología o bacteriología</v>
          </cell>
        </row>
        <row r="7929">
          <cell r="A7929">
            <v>41116131</v>
          </cell>
          <cell r="B7929" t="str">
            <v>Discos o paneles de identificación o sensibilidad para microbiología o bacteriología</v>
          </cell>
        </row>
        <row r="7930">
          <cell r="A7930">
            <v>41116132</v>
          </cell>
          <cell r="B7930" t="str">
            <v>Controles de calidad o calibradores o estándares para microbiología o bacteriología</v>
          </cell>
        </row>
        <row r="7931">
          <cell r="A7931">
            <v>41116133</v>
          </cell>
          <cell r="B7931" t="str">
            <v>Kits o suministros para pruebas de biología molecular</v>
          </cell>
        </row>
        <row r="7932">
          <cell r="A7932">
            <v>41116134</v>
          </cell>
          <cell r="B7932" t="str">
            <v>Reactivos o soluciones o tinturas para biología molecular</v>
          </cell>
        </row>
        <row r="7933">
          <cell r="A7933">
            <v>41116135</v>
          </cell>
          <cell r="B7933" t="str">
            <v>Controles de calidad o calibradores o estándares para biología molecular</v>
          </cell>
        </row>
        <row r="7934">
          <cell r="A7934">
            <v>41116136</v>
          </cell>
          <cell r="B7934" t="str">
            <v>Kits o suministros para análisis de orina</v>
          </cell>
        </row>
        <row r="7935">
          <cell r="A7935">
            <v>41116137</v>
          </cell>
          <cell r="B7935" t="str">
            <v>Reactivos o soluciones o tinturas para análisis de orina</v>
          </cell>
        </row>
        <row r="7936">
          <cell r="A7936">
            <v>41116138</v>
          </cell>
          <cell r="B7936" t="str">
            <v>Tiras para análisis de orina</v>
          </cell>
        </row>
        <row r="7937">
          <cell r="A7937">
            <v>41116139</v>
          </cell>
          <cell r="B7937" t="str">
            <v>Controles de calidad o calibradores o estándares de análisis de orina</v>
          </cell>
        </row>
        <row r="7938">
          <cell r="A7938">
            <v>41116140</v>
          </cell>
          <cell r="B7938" t="str">
            <v>Kits o suministros para parasitología o micología</v>
          </cell>
        </row>
        <row r="7939">
          <cell r="A7939">
            <v>41116141</v>
          </cell>
          <cell r="B7939" t="str">
            <v>Reactivos o soluciones o tinturas para parasitología o micología</v>
          </cell>
        </row>
        <row r="7940">
          <cell r="A7940">
            <v>41116142</v>
          </cell>
          <cell r="B7940" t="str">
            <v>Medio para parasitología o micología</v>
          </cell>
        </row>
        <row r="7941">
          <cell r="A7941">
            <v>41116143</v>
          </cell>
          <cell r="B7941" t="str">
            <v>Controles de calidad o calibradores o estándares de parasitología o micología</v>
          </cell>
        </row>
        <row r="7942">
          <cell r="A7942">
            <v>41116144</v>
          </cell>
          <cell r="B7942" t="str">
            <v>Kits o suministros para pruebas de virología</v>
          </cell>
        </row>
        <row r="7943">
          <cell r="A7943">
            <v>41116145</v>
          </cell>
          <cell r="B7943" t="str">
            <v>Controles de calidad o calibradores o estándares para virología</v>
          </cell>
        </row>
        <row r="7944">
          <cell r="A7944">
            <v>41116146</v>
          </cell>
          <cell r="B7944" t="str">
            <v>Kits o suministros para pruebas de toxicología</v>
          </cell>
        </row>
        <row r="7945">
          <cell r="A7945">
            <v>41116147</v>
          </cell>
          <cell r="B7945" t="str">
            <v>Controles de calidad o calibradores o estándares para toxicología</v>
          </cell>
        </row>
        <row r="7946">
          <cell r="A7946">
            <v>41116148</v>
          </cell>
          <cell r="B7946" t="str">
            <v>Kits o suministros para pruebas de citometría de flujo</v>
          </cell>
        </row>
        <row r="7947">
          <cell r="A7947">
            <v>41116201</v>
          </cell>
          <cell r="B7947" t="str">
            <v>Monitores o medidores de glucosa</v>
          </cell>
        </row>
        <row r="7948">
          <cell r="A7948">
            <v>41116202</v>
          </cell>
          <cell r="B7948" t="str">
            <v>Monitores o medidores de colesterol</v>
          </cell>
        </row>
        <row r="7949">
          <cell r="A7949">
            <v>41116203</v>
          </cell>
          <cell r="B7949" t="str">
            <v>Accesorios para monitores o medidores</v>
          </cell>
        </row>
        <row r="7950">
          <cell r="A7950">
            <v>41116205</v>
          </cell>
          <cell r="B7950" t="str">
            <v>Kits de pruebas rápidas</v>
          </cell>
        </row>
        <row r="7951">
          <cell r="A7951">
            <v>41116301</v>
          </cell>
          <cell r="B7951" t="str">
            <v>Probadores de punto de inflamación</v>
          </cell>
        </row>
        <row r="7952">
          <cell r="A7952">
            <v>41116401</v>
          </cell>
          <cell r="B7952" t="str">
            <v>Martillos de impacto</v>
          </cell>
        </row>
        <row r="7953">
          <cell r="A7953">
            <v>41116501</v>
          </cell>
          <cell r="B7953" t="str">
            <v>Diales o kits de diales de medición</v>
          </cell>
        </row>
        <row r="7954">
          <cell r="A7954">
            <v>41121501</v>
          </cell>
          <cell r="B7954" t="str">
            <v>Sistemas de manipulación líquida automática o robótica</v>
          </cell>
        </row>
        <row r="7955">
          <cell r="A7955">
            <v>41121502</v>
          </cell>
          <cell r="B7955" t="str">
            <v>Diluidores de laboratorio</v>
          </cell>
        </row>
        <row r="7956">
          <cell r="A7956">
            <v>41121503</v>
          </cell>
          <cell r="B7956" t="str">
            <v>Pipeta de desplazamiento de aire multicanal manuales</v>
          </cell>
        </row>
        <row r="7957">
          <cell r="A7957">
            <v>41121504</v>
          </cell>
          <cell r="B7957" t="str">
            <v>Pipeta de desplazamiento de aire de un solo canal manuales</v>
          </cell>
        </row>
        <row r="7958">
          <cell r="A7958">
            <v>41121505</v>
          </cell>
          <cell r="B7958" t="str">
            <v>Pipeta de desplazamiento positivo de un solo canal manuales</v>
          </cell>
        </row>
        <row r="7959">
          <cell r="A7959">
            <v>41121506</v>
          </cell>
          <cell r="B7959" t="str">
            <v>Pipeta repetidoras de un solo canal manuales</v>
          </cell>
        </row>
        <row r="7960">
          <cell r="A7960">
            <v>41121507</v>
          </cell>
          <cell r="B7960" t="str">
            <v>Pipeta de un solo canal electrónicas</v>
          </cell>
        </row>
        <row r="7961">
          <cell r="A7961">
            <v>41121508</v>
          </cell>
          <cell r="B7961" t="str">
            <v>Pipeta multicanales electrónicas</v>
          </cell>
        </row>
        <row r="7962">
          <cell r="A7962">
            <v>41121509</v>
          </cell>
          <cell r="B7962" t="str">
            <v>Pipetas pasteur o de transferencia</v>
          </cell>
        </row>
        <row r="7963">
          <cell r="A7963">
            <v>41121510</v>
          </cell>
          <cell r="B7963" t="str">
            <v>Pipetas volumétricas</v>
          </cell>
        </row>
        <row r="7964">
          <cell r="A7964">
            <v>41121511</v>
          </cell>
          <cell r="B7964" t="str">
            <v>Pipetas serológicas</v>
          </cell>
        </row>
        <row r="7965">
          <cell r="A7965">
            <v>41121513</v>
          </cell>
          <cell r="B7965" t="str">
            <v>Pipetas de caída</v>
          </cell>
        </row>
        <row r="7966">
          <cell r="A7966">
            <v>41121514</v>
          </cell>
          <cell r="B7966" t="str">
            <v>Bombas de pipetas</v>
          </cell>
        </row>
        <row r="7967">
          <cell r="A7967">
            <v>41121515</v>
          </cell>
          <cell r="B7967" t="str">
            <v>Bombillos de pipetas</v>
          </cell>
        </row>
        <row r="7968">
          <cell r="A7968">
            <v>41121516</v>
          </cell>
          <cell r="B7968" t="str">
            <v>Dispensadores de tapas de botella</v>
          </cell>
        </row>
        <row r="7969">
          <cell r="A7969">
            <v>41121517</v>
          </cell>
          <cell r="B7969" t="str">
            <v>Insertos o accesorios para pipeteras</v>
          </cell>
        </row>
        <row r="7970">
          <cell r="A7970">
            <v>41121601</v>
          </cell>
          <cell r="B7970" t="str">
            <v>Filtro de boquilla de pipeta</v>
          </cell>
        </row>
        <row r="7971">
          <cell r="A7971">
            <v>41121602</v>
          </cell>
          <cell r="B7971" t="str">
            <v>Puntas de pipeta de barrera de aerosol</v>
          </cell>
        </row>
        <row r="7972">
          <cell r="A7972">
            <v>41121603</v>
          </cell>
          <cell r="B7972" t="str">
            <v>Puntas de pipeta de baja retención</v>
          </cell>
        </row>
        <row r="7973">
          <cell r="A7973">
            <v>41121604</v>
          </cell>
          <cell r="B7973" t="str">
            <v>Puntas de pipeta de referencia</v>
          </cell>
        </row>
        <row r="7974">
          <cell r="A7974">
            <v>41121605</v>
          </cell>
          <cell r="B7974" t="str">
            <v>Puntas de pipeta ultra micro</v>
          </cell>
        </row>
        <row r="7975">
          <cell r="A7975">
            <v>41121606</v>
          </cell>
          <cell r="B7975" t="str">
            <v>Puntas de pipeta de carga de gel</v>
          </cell>
        </row>
        <row r="7976">
          <cell r="A7976">
            <v>41121607</v>
          </cell>
          <cell r="B7976" t="str">
            <v>Puntas de pipeta universales</v>
          </cell>
        </row>
        <row r="7977">
          <cell r="A7977">
            <v>41121608</v>
          </cell>
          <cell r="B7977" t="str">
            <v>Puntas de pipeta robóticas</v>
          </cell>
        </row>
        <row r="7978">
          <cell r="A7978">
            <v>41121609</v>
          </cell>
          <cell r="B7978" t="str">
            <v>Puntas de pipeta de volumen variable</v>
          </cell>
        </row>
        <row r="7979">
          <cell r="A7979">
            <v>41121701</v>
          </cell>
          <cell r="B7979" t="str">
            <v>Tubos de ensayo general o multipropósito</v>
          </cell>
        </row>
        <row r="7980">
          <cell r="A7980">
            <v>41121702</v>
          </cell>
          <cell r="B7980" t="str">
            <v>Tubos micro centrífugos</v>
          </cell>
        </row>
        <row r="7981">
          <cell r="A7981">
            <v>41121703</v>
          </cell>
          <cell r="B7981" t="str">
            <v>Tubos centrífugos</v>
          </cell>
        </row>
        <row r="7982">
          <cell r="A7982">
            <v>41121704</v>
          </cell>
          <cell r="B7982" t="str">
            <v>Tubos criogénicos</v>
          </cell>
        </row>
        <row r="7983">
          <cell r="A7983">
            <v>41121705</v>
          </cell>
          <cell r="B7983" t="str">
            <v>Tubos de resonancia magnética nuclear nmr</v>
          </cell>
        </row>
        <row r="7984">
          <cell r="A7984">
            <v>41121706</v>
          </cell>
          <cell r="B7984" t="str">
            <v>Tubos de cultivo</v>
          </cell>
        </row>
        <row r="7985">
          <cell r="A7985">
            <v>41121707</v>
          </cell>
          <cell r="B7985" t="str">
            <v>Tubos de pruebas de separador</v>
          </cell>
        </row>
        <row r="7986">
          <cell r="A7986">
            <v>41121708</v>
          </cell>
          <cell r="B7986" t="str">
            <v>Tubos de pruebas de anti coagulación</v>
          </cell>
        </row>
        <row r="7987">
          <cell r="A7987">
            <v>41121709</v>
          </cell>
          <cell r="B7987" t="str">
            <v>Tubos capilares o hematocritos</v>
          </cell>
        </row>
        <row r="7988">
          <cell r="A7988">
            <v>41121710</v>
          </cell>
          <cell r="B7988" t="str">
            <v>Cierres o tapas para tubos de ensayo</v>
          </cell>
        </row>
        <row r="7989">
          <cell r="A7989">
            <v>41121711</v>
          </cell>
          <cell r="B7989" t="str">
            <v>Tubos o accesorios para pruebas de análisis de orina</v>
          </cell>
        </row>
        <row r="7990">
          <cell r="A7990">
            <v>41121801</v>
          </cell>
          <cell r="B7990" t="str">
            <v>Vasos de observación para laboratorio</v>
          </cell>
        </row>
        <row r="7991">
          <cell r="A7991">
            <v>41121802</v>
          </cell>
          <cell r="B7991" t="str">
            <v>Varillas para revolver para laboratorio</v>
          </cell>
        </row>
        <row r="7992">
          <cell r="A7992">
            <v>41121803</v>
          </cell>
          <cell r="B7992" t="str">
            <v>Vasos de precipitados para laboratorio</v>
          </cell>
        </row>
        <row r="7993">
          <cell r="A7993">
            <v>41121804</v>
          </cell>
          <cell r="B7993" t="str">
            <v>Redomas para laboratorio</v>
          </cell>
        </row>
        <row r="7994">
          <cell r="A7994">
            <v>41121805</v>
          </cell>
          <cell r="B7994" t="str">
            <v>Cilindros graduados para laboratorio</v>
          </cell>
        </row>
        <row r="7995">
          <cell r="A7995">
            <v>41121806</v>
          </cell>
          <cell r="B7995" t="str">
            <v>Frascos para laboratorio</v>
          </cell>
        </row>
        <row r="7996">
          <cell r="A7996">
            <v>41121807</v>
          </cell>
          <cell r="B7996" t="str">
            <v>Ampollas para laboratorio</v>
          </cell>
        </row>
        <row r="7997">
          <cell r="A7997">
            <v>41121808</v>
          </cell>
          <cell r="B7997" t="str">
            <v>Buretas para laboratorio</v>
          </cell>
        </row>
        <row r="7998">
          <cell r="A7998">
            <v>41121809</v>
          </cell>
          <cell r="B7998" t="str">
            <v>Embudos para laboratorio</v>
          </cell>
        </row>
        <row r="7999">
          <cell r="A7999">
            <v>41121810</v>
          </cell>
          <cell r="B7999" t="str">
            <v>Platos o frascos para tintura para laboratorio</v>
          </cell>
        </row>
        <row r="8000">
          <cell r="A8000">
            <v>41121811</v>
          </cell>
          <cell r="B8000" t="str">
            <v>Kits de micro química para laboratorio</v>
          </cell>
        </row>
        <row r="8001">
          <cell r="A8001">
            <v>41121812</v>
          </cell>
          <cell r="B8001" t="str">
            <v>Platos para laboratorio</v>
          </cell>
        </row>
        <row r="8002">
          <cell r="A8002">
            <v>41121813</v>
          </cell>
          <cell r="B8002" t="str">
            <v>Cubetas</v>
          </cell>
        </row>
        <row r="8003">
          <cell r="A8003">
            <v>41121814</v>
          </cell>
          <cell r="B8003" t="str">
            <v>Tapas o forros o forros deslizantes para laboratorio</v>
          </cell>
        </row>
        <row r="8004">
          <cell r="A8004">
            <v>41121815</v>
          </cell>
          <cell r="B8004" t="str">
            <v>Adaptadores o conectores o instalaciones para laboratorio</v>
          </cell>
        </row>
        <row r="8005">
          <cell r="A8005">
            <v>41122001</v>
          </cell>
          <cell r="B8005" t="str">
            <v>Jeringas de cromatografía</v>
          </cell>
        </row>
        <row r="8006">
          <cell r="A8006">
            <v>41122002</v>
          </cell>
          <cell r="B8006" t="str">
            <v>Agujas para jeringas de cromatografía</v>
          </cell>
        </row>
        <row r="8007">
          <cell r="A8007">
            <v>41122003</v>
          </cell>
          <cell r="B8007" t="str">
            <v>Adaptadores o accesorios para jeringa</v>
          </cell>
        </row>
        <row r="8008">
          <cell r="A8008">
            <v>41122004</v>
          </cell>
          <cell r="B8008" t="str">
            <v>Jeringas para muestras</v>
          </cell>
        </row>
        <row r="8009">
          <cell r="A8009">
            <v>41122101</v>
          </cell>
          <cell r="B8009" t="str">
            <v>Platos o placas petri</v>
          </cell>
        </row>
        <row r="8010">
          <cell r="A8010">
            <v>41122102</v>
          </cell>
          <cell r="B8010" t="str">
            <v>Platos multi pocillo</v>
          </cell>
        </row>
        <row r="8011">
          <cell r="A8011">
            <v>41122103</v>
          </cell>
          <cell r="B8011" t="str">
            <v>Espátulas de células</v>
          </cell>
        </row>
        <row r="8012">
          <cell r="A8012">
            <v>41122104</v>
          </cell>
          <cell r="B8012" t="str">
            <v>Frascos de cultivo de tejidos</v>
          </cell>
        </row>
        <row r="8013">
          <cell r="A8013">
            <v>41122105</v>
          </cell>
          <cell r="B8013" t="str">
            <v>Botellas de cultivo rotatorias</v>
          </cell>
        </row>
        <row r="8014">
          <cell r="A8014">
            <v>41122106</v>
          </cell>
          <cell r="B8014" t="str">
            <v>Dispositivos de inoculación</v>
          </cell>
        </row>
        <row r="8015">
          <cell r="A8015">
            <v>41122107</v>
          </cell>
          <cell r="B8015" t="str">
            <v>Platos o placas o insertos recubiertos para cultivo de tejidos</v>
          </cell>
        </row>
        <row r="8016">
          <cell r="A8016">
            <v>41122108</v>
          </cell>
          <cell r="B8016" t="str">
            <v>Presillos o agujas para inoculación microbiológica</v>
          </cell>
        </row>
        <row r="8017">
          <cell r="A8017">
            <v>41122109</v>
          </cell>
          <cell r="B8017" t="str">
            <v>Almohadilla de petri</v>
          </cell>
        </row>
        <row r="8018">
          <cell r="A8018">
            <v>41122110</v>
          </cell>
          <cell r="B8018" t="str">
            <v>Dispensador de almohadillas de petri</v>
          </cell>
        </row>
        <row r="8019">
          <cell r="A8019">
            <v>41122201</v>
          </cell>
          <cell r="B8019" t="str">
            <v>Crisoles de vidrio</v>
          </cell>
        </row>
        <row r="8020">
          <cell r="A8020">
            <v>41122202</v>
          </cell>
          <cell r="B8020" t="str">
            <v>Crisoles cerámicos</v>
          </cell>
        </row>
        <row r="8021">
          <cell r="A8021">
            <v>41122203</v>
          </cell>
          <cell r="B8021" t="str">
            <v>Crisoles de metal</v>
          </cell>
        </row>
        <row r="8022">
          <cell r="A8022">
            <v>41122301</v>
          </cell>
          <cell r="B8022" t="str">
            <v>Protectores o revestimientos de mesa de trabajo</v>
          </cell>
        </row>
        <row r="8023">
          <cell r="A8023">
            <v>41122401</v>
          </cell>
          <cell r="B8023" t="str">
            <v>Barras giratorias, barras para revolver o gotas para revolver magnéticas</v>
          </cell>
        </row>
        <row r="8024">
          <cell r="A8024">
            <v>41122402</v>
          </cell>
          <cell r="B8024" t="str">
            <v>Recuperadores magnéticos de barras giratorias o recuperadores de barras giratorias</v>
          </cell>
        </row>
        <row r="8025">
          <cell r="A8025">
            <v>41122403</v>
          </cell>
          <cell r="B8025" t="str">
            <v>Espátulas para laboratorio</v>
          </cell>
        </row>
        <row r="8026">
          <cell r="A8026">
            <v>41122404</v>
          </cell>
          <cell r="B8026" t="str">
            <v>Tenazas para laboratorio</v>
          </cell>
        </row>
        <row r="8027">
          <cell r="A8027">
            <v>41122405</v>
          </cell>
          <cell r="B8027" t="str">
            <v>Fórceps para laboratorio</v>
          </cell>
        </row>
        <row r="8028">
          <cell r="A8028">
            <v>41122406</v>
          </cell>
          <cell r="B8028" t="str">
            <v>Cuchillos para laboratorio</v>
          </cell>
        </row>
        <row r="8029">
          <cell r="A8029">
            <v>41122407</v>
          </cell>
          <cell r="B8029" t="str">
            <v>Escalpelos para laboratorio</v>
          </cell>
        </row>
        <row r="8030">
          <cell r="A8030">
            <v>41122408</v>
          </cell>
          <cell r="B8030" t="str">
            <v>Tijeras para laboratorio</v>
          </cell>
        </row>
        <row r="8031">
          <cell r="A8031">
            <v>41122409</v>
          </cell>
          <cell r="B8031" t="str">
            <v>Herramientas para laboratorio</v>
          </cell>
        </row>
        <row r="8032">
          <cell r="A8032">
            <v>41122410</v>
          </cell>
          <cell r="B8032" t="str">
            <v>Película sellante para laboratorio</v>
          </cell>
        </row>
        <row r="8033">
          <cell r="A8033">
            <v>41122411</v>
          </cell>
          <cell r="B8033" t="str">
            <v>Cronómetros o relojes para laboratorio</v>
          </cell>
        </row>
        <row r="8034">
          <cell r="A8034">
            <v>41122412</v>
          </cell>
          <cell r="B8034" t="str">
            <v>Sellantes de tubos para laboratorio</v>
          </cell>
        </row>
        <row r="8035">
          <cell r="A8035">
            <v>41122413</v>
          </cell>
          <cell r="B8035" t="str">
            <v>Pinzas para laboratorio</v>
          </cell>
        </row>
        <row r="8036">
          <cell r="A8036">
            <v>41122501</v>
          </cell>
          <cell r="B8036" t="str">
            <v>Corchos para laboratorio</v>
          </cell>
        </row>
        <row r="8037">
          <cell r="A8037">
            <v>41122502</v>
          </cell>
          <cell r="B8037" t="str">
            <v>Tapones para laboratorio</v>
          </cell>
        </row>
        <row r="8038">
          <cell r="A8038">
            <v>41122503</v>
          </cell>
          <cell r="B8038" t="str">
            <v>Porta corchos para laboratorio</v>
          </cell>
        </row>
        <row r="8039">
          <cell r="A8039">
            <v>41122601</v>
          </cell>
          <cell r="B8039" t="str">
            <v>Portaobjetos para microscopios</v>
          </cell>
        </row>
        <row r="8040">
          <cell r="A8040">
            <v>41122602</v>
          </cell>
          <cell r="B8040" t="str">
            <v>Portaobjetos de microscopio</v>
          </cell>
        </row>
        <row r="8041">
          <cell r="A8041">
            <v>41122603</v>
          </cell>
          <cell r="B8041" t="str">
            <v>Papel de lentes para microscopio</v>
          </cell>
        </row>
        <row r="8042">
          <cell r="A8042">
            <v>41122604</v>
          </cell>
          <cell r="B8042" t="str">
            <v>Hemocitómetros</v>
          </cell>
        </row>
        <row r="8043">
          <cell r="A8043">
            <v>41122605</v>
          </cell>
          <cell r="B8043" t="str">
            <v>Aceite de inmersión para microscopios</v>
          </cell>
        </row>
        <row r="8044">
          <cell r="A8044">
            <v>41122606</v>
          </cell>
          <cell r="B8044" t="str">
            <v>Dispensadores de portaobjetos para microscopio</v>
          </cell>
        </row>
        <row r="8045">
          <cell r="A8045">
            <v>41122701</v>
          </cell>
          <cell r="B8045" t="str">
            <v>Etiquetas para portaobjetos o especímenes</v>
          </cell>
        </row>
        <row r="8046">
          <cell r="A8046">
            <v>41122702</v>
          </cell>
          <cell r="B8046" t="str">
            <v>Cintas etiquetadoras</v>
          </cell>
        </row>
        <row r="8047">
          <cell r="A8047">
            <v>41122703</v>
          </cell>
          <cell r="B8047" t="str">
            <v>Cintas de seguridad</v>
          </cell>
        </row>
        <row r="8048">
          <cell r="A8048">
            <v>41122704</v>
          </cell>
          <cell r="B8048" t="str">
            <v>Cintas contra alteración</v>
          </cell>
        </row>
        <row r="8049">
          <cell r="A8049">
            <v>41122801</v>
          </cell>
          <cell r="B8049" t="str">
            <v>Estantes o soportes para pipetas</v>
          </cell>
        </row>
        <row r="8050">
          <cell r="A8050">
            <v>41122802</v>
          </cell>
          <cell r="B8050" t="str">
            <v>Estantes para portaobjetos de microscopios</v>
          </cell>
        </row>
        <row r="8051">
          <cell r="A8051">
            <v>41122803</v>
          </cell>
          <cell r="B8051" t="str">
            <v>Estantes o soportes para tubos para sedimentación</v>
          </cell>
        </row>
        <row r="8052">
          <cell r="A8052">
            <v>41122804</v>
          </cell>
          <cell r="B8052" t="str">
            <v>Estantes para tubos de ensayo</v>
          </cell>
        </row>
        <row r="8053">
          <cell r="A8053">
            <v>41122805</v>
          </cell>
          <cell r="B8053" t="str">
            <v>Estantes para secado</v>
          </cell>
        </row>
        <row r="8054">
          <cell r="A8054">
            <v>41122806</v>
          </cell>
          <cell r="B8054" t="str">
            <v>Estantes para unidades de criopreservación</v>
          </cell>
        </row>
        <row r="8055">
          <cell r="A8055">
            <v>41122807</v>
          </cell>
          <cell r="B8055" t="str">
            <v>Bandejas para disección</v>
          </cell>
        </row>
        <row r="8056">
          <cell r="A8056">
            <v>41122808</v>
          </cell>
          <cell r="B8056" t="str">
            <v>Bandejas para propósitos generales</v>
          </cell>
        </row>
        <row r="8057">
          <cell r="A8057">
            <v>41122809</v>
          </cell>
          <cell r="B8057" t="str">
            <v>Estantes para placas petri</v>
          </cell>
        </row>
        <row r="8058">
          <cell r="A8058">
            <v>41123001</v>
          </cell>
          <cell r="B8058" t="str">
            <v>Deshidratadores de frasco</v>
          </cell>
        </row>
        <row r="8059">
          <cell r="A8059">
            <v>41123002</v>
          </cell>
          <cell r="B8059" t="str">
            <v>Deshidratadores de gabinete</v>
          </cell>
        </row>
        <row r="8060">
          <cell r="A8060">
            <v>41123003</v>
          </cell>
          <cell r="B8060" t="str">
            <v>Desecantes</v>
          </cell>
        </row>
        <row r="8061">
          <cell r="A8061">
            <v>41123004</v>
          </cell>
          <cell r="B8061" t="str">
            <v>Deshidratadores de vacío</v>
          </cell>
        </row>
        <row r="8062">
          <cell r="A8062">
            <v>41123101</v>
          </cell>
          <cell r="B8062" t="str">
            <v>Tubos de diálisis</v>
          </cell>
        </row>
        <row r="8063">
          <cell r="A8063">
            <v>41123102</v>
          </cell>
          <cell r="B8063" t="str">
            <v>Pinzas de diálisis</v>
          </cell>
        </row>
        <row r="8064">
          <cell r="A8064">
            <v>41123201</v>
          </cell>
          <cell r="B8064" t="str">
            <v>Portaobjetos preparados preservados</v>
          </cell>
        </row>
        <row r="8065">
          <cell r="A8065">
            <v>41123202</v>
          </cell>
          <cell r="B8065" t="str">
            <v>Animales y organismos preservados</v>
          </cell>
        </row>
        <row r="8066">
          <cell r="A8066">
            <v>41123302</v>
          </cell>
          <cell r="B8066" t="str">
            <v>Cajas o folders para portaobjetos para microscopios</v>
          </cell>
        </row>
        <row r="8067">
          <cell r="A8067">
            <v>41123303</v>
          </cell>
          <cell r="B8067" t="str">
            <v>Gabinetes para portaobjetos para microscopios</v>
          </cell>
        </row>
        <row r="8068">
          <cell r="A8068">
            <v>41123304</v>
          </cell>
          <cell r="B8068" t="str">
            <v>Cajas de almacenamiento criogénicas</v>
          </cell>
        </row>
        <row r="8069">
          <cell r="A8069">
            <v>41123305</v>
          </cell>
          <cell r="B8069" t="str">
            <v>Gabinetes para casetes de tejidos o histología</v>
          </cell>
        </row>
        <row r="8070">
          <cell r="A8070">
            <v>41123401</v>
          </cell>
          <cell r="B8070" t="str">
            <v>Tazas dosificadoras</v>
          </cell>
        </row>
        <row r="8071">
          <cell r="A8071">
            <v>41123402</v>
          </cell>
          <cell r="B8071" t="str">
            <v>Cucharas dosificadoras</v>
          </cell>
        </row>
        <row r="8072">
          <cell r="A8072">
            <v>41123403</v>
          </cell>
          <cell r="B8072" t="str">
            <v>Goteros dosificadores</v>
          </cell>
        </row>
        <row r="8073">
          <cell r="A8073">
            <v>42121501</v>
          </cell>
          <cell r="B8073" t="str">
            <v>Probadores de presión sanguínea para uso veterinario</v>
          </cell>
        </row>
        <row r="8074">
          <cell r="A8074">
            <v>42121502</v>
          </cell>
          <cell r="B8074" t="str">
            <v>Probador quimiógrafo para uso veterinario</v>
          </cell>
        </row>
        <row r="8075">
          <cell r="A8075">
            <v>42121503</v>
          </cell>
          <cell r="B8075" t="str">
            <v>Probador pirogénico para uso veterinario</v>
          </cell>
        </row>
        <row r="8076">
          <cell r="A8076">
            <v>42121504</v>
          </cell>
          <cell r="B8076" t="str">
            <v>Equipo estereotóxico para uso veterinario</v>
          </cell>
        </row>
        <row r="8077">
          <cell r="A8077">
            <v>42121505</v>
          </cell>
          <cell r="B8077" t="str">
            <v>Electrocardiógrafo ecg para uso veterinario</v>
          </cell>
        </row>
        <row r="8078">
          <cell r="A8078">
            <v>42121506</v>
          </cell>
          <cell r="B8078" t="str">
            <v>Sets de instrumentos quirúrgicos para uso veterinario</v>
          </cell>
        </row>
        <row r="8079">
          <cell r="A8079">
            <v>42121507</v>
          </cell>
          <cell r="B8079" t="str">
            <v>Unidades o accesorios de inyección o succión para uso veterinario</v>
          </cell>
        </row>
        <row r="8080">
          <cell r="A8080">
            <v>42121508</v>
          </cell>
          <cell r="B8080" t="str">
            <v>Sets de botellas para uso veterinario</v>
          </cell>
        </row>
        <row r="8081">
          <cell r="A8081">
            <v>42121509</v>
          </cell>
          <cell r="B8081" t="str">
            <v>Termómetros clínicos para uso veterinario</v>
          </cell>
        </row>
        <row r="8082">
          <cell r="A8082">
            <v>42121510</v>
          </cell>
          <cell r="B8082" t="str">
            <v>Cajas de instrumentos o accesorios para uso veterinario</v>
          </cell>
        </row>
        <row r="8083">
          <cell r="A8083">
            <v>42121511</v>
          </cell>
          <cell r="B8083" t="str">
            <v>Estuches enrollables para instrumentos o accesorios de uso veterinario</v>
          </cell>
        </row>
        <row r="8084">
          <cell r="A8084">
            <v>42121512</v>
          </cell>
          <cell r="B8084" t="str">
            <v>Espéculos para uso veterinario</v>
          </cell>
        </row>
        <row r="8085">
          <cell r="A8085">
            <v>42121513</v>
          </cell>
          <cell r="B8085" t="str">
            <v>Instrumentos de castración para uso veterinario</v>
          </cell>
        </row>
        <row r="8086">
          <cell r="A8086">
            <v>42121514</v>
          </cell>
          <cell r="B8086" t="str">
            <v>Kits de fijación externa para uso veterinario</v>
          </cell>
        </row>
        <row r="8087">
          <cell r="A8087">
            <v>42121515</v>
          </cell>
          <cell r="B8087" t="str">
            <v>Limas o cortaúñas para uso veterinario</v>
          </cell>
        </row>
        <row r="8088">
          <cell r="A8088">
            <v>42121601</v>
          </cell>
          <cell r="B8088" t="str">
            <v>Productos gastrointestinales para uso veterinario</v>
          </cell>
        </row>
        <row r="8089">
          <cell r="A8089">
            <v>42121602</v>
          </cell>
          <cell r="B8089" t="str">
            <v>Productos para sangre o formación de sangre para uso veterinario</v>
          </cell>
        </row>
        <row r="8090">
          <cell r="A8090">
            <v>42121603</v>
          </cell>
          <cell r="B8090" t="str">
            <v>Productos para el sistema respiratorio para uso veterinario</v>
          </cell>
        </row>
        <row r="8091">
          <cell r="A8091">
            <v>42121604</v>
          </cell>
          <cell r="B8091" t="str">
            <v>Productos para el sistema musculo esquelético o nervioso para uso veterinario</v>
          </cell>
        </row>
        <row r="8092">
          <cell r="A8092">
            <v>42121605</v>
          </cell>
          <cell r="B8092" t="str">
            <v>Productos para el sistema cardiovascular para uso veterinario</v>
          </cell>
        </row>
        <row r="8093">
          <cell r="A8093">
            <v>42121606</v>
          </cell>
          <cell r="B8093" t="str">
            <v>Productos dermatológicos o anti protozoarios para uso veterinario</v>
          </cell>
        </row>
        <row r="8094">
          <cell r="A8094">
            <v>42121607</v>
          </cell>
          <cell r="B8094" t="str">
            <v>Productos para el sistema sexual genital urinario u hormonales para uso veterinario</v>
          </cell>
        </row>
        <row r="8095">
          <cell r="A8095">
            <v>42121608</v>
          </cell>
          <cell r="B8095" t="str">
            <v>Productos dentales para uso veterinario</v>
          </cell>
        </row>
        <row r="8096">
          <cell r="A8096">
            <v>42121701</v>
          </cell>
          <cell r="B8096" t="str">
            <v>Tablas quirúrgicas para uso veterinario</v>
          </cell>
        </row>
        <row r="8097">
          <cell r="A8097">
            <v>42121702</v>
          </cell>
          <cell r="B8097" t="str">
            <v>Armarios de almacenamiento para uso veterinario</v>
          </cell>
        </row>
        <row r="8098">
          <cell r="A8098">
            <v>42131501</v>
          </cell>
          <cell r="B8098" t="str">
            <v>Petos para pacientes</v>
          </cell>
        </row>
        <row r="8099">
          <cell r="A8099">
            <v>42131502</v>
          </cell>
          <cell r="B8099" t="str">
            <v>Gorras para pacientes</v>
          </cell>
        </row>
        <row r="8100">
          <cell r="A8100">
            <v>42131503</v>
          </cell>
          <cell r="B8100" t="str">
            <v>Capas de examen para pacientes</v>
          </cell>
        </row>
        <row r="8101">
          <cell r="A8101">
            <v>42131504</v>
          </cell>
          <cell r="B8101" t="str">
            <v>Batas para pacientes</v>
          </cell>
        </row>
        <row r="8102">
          <cell r="A8102">
            <v>42131505</v>
          </cell>
          <cell r="B8102" t="str">
            <v>Camisas o chalecos para pacientes bebés</v>
          </cell>
        </row>
        <row r="8103">
          <cell r="A8103">
            <v>42131506</v>
          </cell>
          <cell r="B8103" t="str">
            <v>Chaquetas para pacientes</v>
          </cell>
        </row>
        <row r="8104">
          <cell r="A8104">
            <v>42131507</v>
          </cell>
          <cell r="B8104" t="str">
            <v>Pantuflas para pacientes</v>
          </cell>
        </row>
        <row r="8105">
          <cell r="A8105">
            <v>42131508</v>
          </cell>
          <cell r="B8105" t="str">
            <v>Pijamas para pacientes</v>
          </cell>
        </row>
        <row r="8106">
          <cell r="A8106">
            <v>42131509</v>
          </cell>
          <cell r="B8106" t="str">
            <v>Batas de hospital</v>
          </cell>
        </row>
        <row r="8107">
          <cell r="A8107">
            <v>42131510</v>
          </cell>
          <cell r="B8107" t="str">
            <v>Pantalones para pacientes</v>
          </cell>
        </row>
        <row r="8108">
          <cell r="A8108">
            <v>42131601</v>
          </cell>
          <cell r="B8108" t="str">
            <v>Delantales o petos para personal médico</v>
          </cell>
        </row>
        <row r="8109">
          <cell r="A8109">
            <v>42131602</v>
          </cell>
          <cell r="B8109" t="str">
            <v>Cobertores de barba para personal médico</v>
          </cell>
        </row>
        <row r="8110">
          <cell r="A8110">
            <v>42131603</v>
          </cell>
          <cell r="B8110" t="str">
            <v>Blusas o blusones para personal médico</v>
          </cell>
        </row>
        <row r="8111">
          <cell r="A8111">
            <v>42131604</v>
          </cell>
          <cell r="B8111" t="str">
            <v>Gorro de quirófano para personal médico</v>
          </cell>
        </row>
        <row r="8112">
          <cell r="A8112">
            <v>42131605</v>
          </cell>
          <cell r="B8112" t="str">
            <v>Overoles para personal médico</v>
          </cell>
        </row>
        <row r="8113">
          <cell r="A8113">
            <v>42131606</v>
          </cell>
          <cell r="B8113" t="str">
            <v>Máscaras quirúrgicas o de aislamiento para personal médico</v>
          </cell>
        </row>
        <row r="8114">
          <cell r="A8114">
            <v>42131607</v>
          </cell>
          <cell r="B8114" t="str">
            <v>Chaquetas o batas para personal médico</v>
          </cell>
        </row>
        <row r="8115">
          <cell r="A8115">
            <v>42131608</v>
          </cell>
          <cell r="B8115" t="str">
            <v>Vestidos para cirugía para personal médico</v>
          </cell>
        </row>
        <row r="8116">
          <cell r="A8116">
            <v>42131609</v>
          </cell>
          <cell r="B8116" t="str">
            <v>Cubiertas para zapatos para personal médico</v>
          </cell>
        </row>
        <row r="8117">
          <cell r="A8117">
            <v>42131610</v>
          </cell>
          <cell r="B8117" t="str">
            <v>Protección de mangas para personal médico</v>
          </cell>
        </row>
        <row r="8118">
          <cell r="A8118">
            <v>42131611</v>
          </cell>
          <cell r="B8118" t="str">
            <v>Gorros o capuchas para cirujano</v>
          </cell>
        </row>
        <row r="8119">
          <cell r="A8119">
            <v>42131612</v>
          </cell>
          <cell r="B8119" t="str">
            <v>Batas de aislamiento para personal médico</v>
          </cell>
        </row>
        <row r="8120">
          <cell r="A8120">
            <v>42131613</v>
          </cell>
          <cell r="B8120" t="str">
            <v>Protectores de ojos o visores para personal médico</v>
          </cell>
        </row>
        <row r="8121">
          <cell r="A8121">
            <v>42131701</v>
          </cell>
          <cell r="B8121" t="str">
            <v>Cortinas de cirugía</v>
          </cell>
        </row>
        <row r="8122">
          <cell r="A8122">
            <v>42131702</v>
          </cell>
          <cell r="B8122" t="str">
            <v>Batas de cirugía</v>
          </cell>
        </row>
        <row r="8123">
          <cell r="A8123">
            <v>42131703</v>
          </cell>
          <cell r="B8123" t="str">
            <v>Packs quirúrgicos</v>
          </cell>
        </row>
        <row r="8124">
          <cell r="A8124">
            <v>42131704</v>
          </cell>
          <cell r="B8124" t="str">
            <v>Toallas de cirugía</v>
          </cell>
        </row>
        <row r="8125">
          <cell r="A8125">
            <v>42131705</v>
          </cell>
          <cell r="B8125" t="str">
            <v>Pantalones (“leggings”) de cirugía</v>
          </cell>
        </row>
        <row r="8126">
          <cell r="A8126">
            <v>42131706</v>
          </cell>
          <cell r="B8126" t="str">
            <v>Vestidos enteros de cirugía</v>
          </cell>
        </row>
        <row r="8127">
          <cell r="A8127">
            <v>42131707</v>
          </cell>
          <cell r="B8127" t="str">
            <v>Vestidos o cascos o máscaras faciales o accesorios de aislamiento de cirugía</v>
          </cell>
        </row>
        <row r="8128">
          <cell r="A8128">
            <v>42132101</v>
          </cell>
          <cell r="B8128" t="str">
            <v>Protectores de colchón o silla para hospital</v>
          </cell>
        </row>
        <row r="8129">
          <cell r="A8129">
            <v>42132102</v>
          </cell>
          <cell r="B8129" t="str">
            <v>Sábanas elásticas médicas</v>
          </cell>
        </row>
        <row r="8130">
          <cell r="A8130">
            <v>42132103</v>
          </cell>
          <cell r="B8130" t="str">
            <v>Cortinas de barrera para pacientes</v>
          </cell>
        </row>
        <row r="8131">
          <cell r="A8131">
            <v>42132104</v>
          </cell>
          <cell r="B8131" t="str">
            <v>Almohadas antimicrobianas para hospital</v>
          </cell>
        </row>
        <row r="8132">
          <cell r="A8132">
            <v>42132105</v>
          </cell>
          <cell r="B8132" t="str">
            <v>Sábanas para hospital</v>
          </cell>
        </row>
        <row r="8133">
          <cell r="A8133">
            <v>42132106</v>
          </cell>
          <cell r="B8133" t="str">
            <v>Colchas o cubrecamas para hospital</v>
          </cell>
        </row>
        <row r="8134">
          <cell r="A8134">
            <v>42132107</v>
          </cell>
          <cell r="B8134" t="str">
            <v>Cobijas para hospital</v>
          </cell>
        </row>
        <row r="8135">
          <cell r="A8135">
            <v>42132108</v>
          </cell>
          <cell r="B8135" t="str">
            <v>Fundas protectoras de almohada para hospital</v>
          </cell>
        </row>
        <row r="8136">
          <cell r="A8136">
            <v>42132201</v>
          </cell>
          <cell r="B8136" t="str">
            <v>Cajas o dispensadores de guantes médicos</v>
          </cell>
        </row>
        <row r="8137">
          <cell r="A8137">
            <v>42132202</v>
          </cell>
          <cell r="B8137" t="str">
            <v>Protector de caucho para dedos.</v>
          </cell>
        </row>
        <row r="8138">
          <cell r="A8138">
            <v>42132203</v>
          </cell>
          <cell r="B8138" t="str">
            <v>Guantes de examen o para procedimientos no quirúrgicos</v>
          </cell>
        </row>
        <row r="8139">
          <cell r="A8139">
            <v>42132204</v>
          </cell>
          <cell r="B8139" t="str">
            <v>Recubrimientos interiores para guantes médicos</v>
          </cell>
        </row>
        <row r="8140">
          <cell r="A8140">
            <v>42132205</v>
          </cell>
          <cell r="B8140" t="str">
            <v>Guantes de cirugía</v>
          </cell>
        </row>
        <row r="8141">
          <cell r="A8141">
            <v>42141501</v>
          </cell>
          <cell r="B8141" t="str">
            <v>Bolas o fibra de algodón</v>
          </cell>
        </row>
        <row r="8142">
          <cell r="A8142">
            <v>42141502</v>
          </cell>
          <cell r="B8142" t="str">
            <v>Palitos (copitos) con punta de fibra</v>
          </cell>
        </row>
        <row r="8143">
          <cell r="A8143">
            <v>42141503</v>
          </cell>
          <cell r="B8143" t="str">
            <v>Toallitas de preparación de la piel</v>
          </cell>
        </row>
        <row r="8144">
          <cell r="A8144">
            <v>42141504</v>
          </cell>
          <cell r="B8144" t="str">
            <v>Aplicadores o absorbentes medicados</v>
          </cell>
        </row>
        <row r="8145">
          <cell r="A8145">
            <v>42141601</v>
          </cell>
          <cell r="B8145" t="str">
            <v>Kits de admisión para el cuidado del paciente</v>
          </cell>
        </row>
        <row r="8146">
          <cell r="A8146">
            <v>42141602</v>
          </cell>
          <cell r="B8146" t="str">
            <v>Patos (bacinillas) para uso general</v>
          </cell>
        </row>
        <row r="8147">
          <cell r="A8147">
            <v>42141603</v>
          </cell>
          <cell r="B8147" t="str">
            <v>Recipientes para emesis (vómito)</v>
          </cell>
        </row>
        <row r="8148">
          <cell r="A8148">
            <v>42141604</v>
          </cell>
          <cell r="B8148" t="str">
            <v>Bacinillas de cama para fracturas</v>
          </cell>
        </row>
        <row r="8149">
          <cell r="A8149">
            <v>42141605</v>
          </cell>
          <cell r="B8149" t="str">
            <v>Recipientes o cuencos para soluciones o mezclas médicas</v>
          </cell>
        </row>
        <row r="8150">
          <cell r="A8150">
            <v>42141606</v>
          </cell>
          <cell r="B8150" t="str">
            <v>Recipientes multipropósito para usos médicos</v>
          </cell>
        </row>
        <row r="8151">
          <cell r="A8151">
            <v>42141607</v>
          </cell>
          <cell r="B8151" t="str">
            <v>Orinales de uso general para pacientes</v>
          </cell>
        </row>
        <row r="8152">
          <cell r="A8152">
            <v>42141701</v>
          </cell>
          <cell r="B8152" t="str">
            <v>Sistemas de presión alterna</v>
          </cell>
        </row>
        <row r="8153">
          <cell r="A8153">
            <v>42141702</v>
          </cell>
          <cell r="B8153" t="str">
            <v>Marcos o elevadores de cobijas</v>
          </cell>
        </row>
        <row r="8154">
          <cell r="A8154">
            <v>42141703</v>
          </cell>
          <cell r="B8154" t="str">
            <v>Cunas para extremidades</v>
          </cell>
        </row>
        <row r="8155">
          <cell r="A8155">
            <v>42141704</v>
          </cell>
          <cell r="B8155" t="str">
            <v>Recubrimientos para colchones</v>
          </cell>
        </row>
        <row r="8156">
          <cell r="A8156">
            <v>42141705</v>
          </cell>
          <cell r="B8156" t="str">
            <v>Almohadones o almohadillas o almohadas para la posición del paciente</v>
          </cell>
        </row>
        <row r="8157">
          <cell r="A8157">
            <v>42141801</v>
          </cell>
          <cell r="B8157" t="str">
            <v>Unidades de combinación de electroterapia</v>
          </cell>
        </row>
        <row r="8158">
          <cell r="A8158">
            <v>42141802</v>
          </cell>
          <cell r="B8158" t="str">
            <v>Electrodos o accesorios para electroterapia</v>
          </cell>
        </row>
        <row r="8159">
          <cell r="A8159">
            <v>42141803</v>
          </cell>
          <cell r="B8159" t="str">
            <v>Cables o alambres de plomo para electroterapia</v>
          </cell>
        </row>
        <row r="8160">
          <cell r="A8160">
            <v>42141804</v>
          </cell>
          <cell r="B8160" t="str">
            <v>Simuladores galvánicos o farádicos</v>
          </cell>
        </row>
        <row r="8161">
          <cell r="A8161">
            <v>42141805</v>
          </cell>
          <cell r="B8161" t="str">
            <v>Estimuladores o kits neuromusculares</v>
          </cell>
        </row>
        <row r="8162">
          <cell r="A8162">
            <v>42141806</v>
          </cell>
          <cell r="B8162" t="str">
            <v>Unidades de diatermia de onda corta</v>
          </cell>
        </row>
        <row r="8163">
          <cell r="A8163">
            <v>42141807</v>
          </cell>
          <cell r="B8163" t="str">
            <v>Unidades de estimulación nerviosa eléctrica transcutánea</v>
          </cell>
        </row>
        <row r="8164">
          <cell r="A8164">
            <v>42141808</v>
          </cell>
          <cell r="B8164" t="str">
            <v>Electrodos de diatermia</v>
          </cell>
        </row>
        <row r="8165">
          <cell r="A8165">
            <v>42141809</v>
          </cell>
          <cell r="B8165" t="str">
            <v>Sets de estimulador muscular</v>
          </cell>
        </row>
        <row r="8166">
          <cell r="A8166">
            <v>42141901</v>
          </cell>
          <cell r="B8166" t="str">
            <v>Baldes para enema</v>
          </cell>
        </row>
        <row r="8167">
          <cell r="A8167">
            <v>42141902</v>
          </cell>
          <cell r="B8167" t="str">
            <v>Bolsas para enema</v>
          </cell>
        </row>
        <row r="8168">
          <cell r="A8168">
            <v>42141903</v>
          </cell>
          <cell r="B8168" t="str">
            <v>Kits o accesorios para enema</v>
          </cell>
        </row>
        <row r="8169">
          <cell r="A8169">
            <v>42141904</v>
          </cell>
          <cell r="B8169" t="str">
            <v>Tubos o tapas o pinzas para enema</v>
          </cell>
        </row>
        <row r="8170">
          <cell r="A8170">
            <v>42141905</v>
          </cell>
          <cell r="B8170" t="str">
            <v>Jabones para enema</v>
          </cell>
        </row>
        <row r="8171">
          <cell r="A8171">
            <v>42142001</v>
          </cell>
          <cell r="B8171" t="str">
            <v>Fórceps o homeostatos de bajo grado</v>
          </cell>
        </row>
        <row r="8172">
          <cell r="A8172">
            <v>42142002</v>
          </cell>
          <cell r="B8172" t="str">
            <v>Cuchillo de bajo grado</v>
          </cell>
        </row>
        <row r="8173">
          <cell r="A8173">
            <v>42142003</v>
          </cell>
          <cell r="B8173" t="str">
            <v>Manijas para cuchillo de bajo grado</v>
          </cell>
        </row>
        <row r="8174">
          <cell r="A8174">
            <v>42142004</v>
          </cell>
          <cell r="B8174" t="str">
            <v>Corta uñas de bajo grado</v>
          </cell>
        </row>
        <row r="8175">
          <cell r="A8175">
            <v>42142005</v>
          </cell>
          <cell r="B8175" t="str">
            <v>Sujeta agujas de bajo grado</v>
          </cell>
        </row>
        <row r="8176">
          <cell r="A8176">
            <v>42142006</v>
          </cell>
          <cell r="B8176" t="str">
            <v>Retractores de bajo grado</v>
          </cell>
        </row>
        <row r="8177">
          <cell r="A8177">
            <v>42142007</v>
          </cell>
          <cell r="B8177" t="str">
            <v>Tijeras de bajo grado</v>
          </cell>
        </row>
        <row r="8178">
          <cell r="A8178">
            <v>42142101</v>
          </cell>
          <cell r="B8178" t="str">
            <v>Cubiertas para productos para terapia de calor o frío</v>
          </cell>
        </row>
        <row r="8179">
          <cell r="A8179">
            <v>42142102</v>
          </cell>
          <cell r="B8179" t="str">
            <v>Unidades o accesorios de enfriamiento para almacenamiento frío para uso médico</v>
          </cell>
        </row>
        <row r="8180">
          <cell r="A8180">
            <v>42142103</v>
          </cell>
          <cell r="B8180" t="str">
            <v>Lámparas de calor o sus accesorios para uso médico</v>
          </cell>
        </row>
        <row r="8181">
          <cell r="A8181">
            <v>42142104</v>
          </cell>
          <cell r="B8181" t="str">
            <v>Hidro coladores o sus accesorios para uso médico</v>
          </cell>
        </row>
        <row r="8182">
          <cell r="A8182">
            <v>42142105</v>
          </cell>
          <cell r="B8182" t="str">
            <v>Unidades o sistemas de calentamiento o enfriamiento terapéutico</v>
          </cell>
        </row>
        <row r="8183">
          <cell r="A8183">
            <v>42142106</v>
          </cell>
          <cell r="B8183" t="str">
            <v>Cobijas o cortinas de calentamiento o enfriamiento terapéutico</v>
          </cell>
        </row>
        <row r="8184">
          <cell r="A8184">
            <v>42142107</v>
          </cell>
          <cell r="B8184" t="str">
            <v>Sistema y accesorios de terapia de compresión crio terapéutica</v>
          </cell>
        </row>
        <row r="8185">
          <cell r="A8185">
            <v>42142108</v>
          </cell>
          <cell r="B8185" t="str">
            <v>Almohadillas o compresas o bolsas de calentamiento o enfriamiento terapéutico</v>
          </cell>
        </row>
        <row r="8186">
          <cell r="A8186">
            <v>42142109</v>
          </cell>
          <cell r="B8186" t="str">
            <v>Guantes de terapia para terapia de calor o frío</v>
          </cell>
        </row>
        <row r="8187">
          <cell r="A8187">
            <v>42142110</v>
          </cell>
          <cell r="B8187" t="str">
            <v>Botellas para terapia de calor o frío</v>
          </cell>
        </row>
        <row r="8188">
          <cell r="A8188">
            <v>42142111</v>
          </cell>
          <cell r="B8188" t="str">
            <v>Bolsas o almohadas de hielo terapéuticas</v>
          </cell>
        </row>
        <row r="8189">
          <cell r="A8189">
            <v>42142112</v>
          </cell>
          <cell r="B8189" t="str">
            <v>Baños de parafina terapéuticos o sus accesorios</v>
          </cell>
        </row>
        <row r="8190">
          <cell r="A8190">
            <v>42142113</v>
          </cell>
          <cell r="B8190" t="str">
            <v>Máscaras para senos nasales terapéuticas</v>
          </cell>
        </row>
        <row r="8191">
          <cell r="A8191">
            <v>42142114</v>
          </cell>
          <cell r="B8191" t="str">
            <v>Pantalones terapéuticos para terapia fría o caliente</v>
          </cell>
        </row>
        <row r="8192">
          <cell r="A8192">
            <v>42142119</v>
          </cell>
          <cell r="B8192" t="str">
            <v>Aparatos de hipotermia</v>
          </cell>
        </row>
        <row r="8193">
          <cell r="A8193">
            <v>42142201</v>
          </cell>
          <cell r="B8193" t="str">
            <v>Baños o tanques de hidroterapia para las extremidades</v>
          </cell>
        </row>
        <row r="8194">
          <cell r="A8194">
            <v>42142202</v>
          </cell>
          <cell r="B8194" t="str">
            <v>Baños o tanques de hidroterapia para inmersión total del cuerpo</v>
          </cell>
        </row>
        <row r="8195">
          <cell r="A8195">
            <v>42142203</v>
          </cell>
          <cell r="B8195" t="str">
            <v>Accesorios para baños o tanques de hidroterapia</v>
          </cell>
        </row>
        <row r="8196">
          <cell r="A8196">
            <v>42142204</v>
          </cell>
          <cell r="B8196" t="str">
            <v>Asientos para baños de hidroterapia</v>
          </cell>
        </row>
        <row r="8197">
          <cell r="A8197">
            <v>42142301</v>
          </cell>
          <cell r="B8197" t="str">
            <v>Etiquetas médicas para uso general</v>
          </cell>
        </row>
        <row r="8198">
          <cell r="A8198">
            <v>42142302</v>
          </cell>
          <cell r="B8198" t="str">
            <v>Componentes o accesorios para sistemas de planillas médicas</v>
          </cell>
        </row>
        <row r="8199">
          <cell r="A8199">
            <v>42142303</v>
          </cell>
          <cell r="B8199" t="str">
            <v>Productos de identificación de pacientes</v>
          </cell>
        </row>
        <row r="8200">
          <cell r="A8200">
            <v>42142401</v>
          </cell>
          <cell r="B8200" t="str">
            <v>Solidificadores de fluidos para uso médico</v>
          </cell>
        </row>
        <row r="8201">
          <cell r="A8201">
            <v>42142402</v>
          </cell>
          <cell r="B8201" t="str">
            <v>Cánulas o tubos o accesorios de succión para uso médico</v>
          </cell>
        </row>
        <row r="8202">
          <cell r="A8202">
            <v>42142403</v>
          </cell>
          <cell r="B8202" t="str">
            <v>Contenedores de succión para uso médico</v>
          </cell>
        </row>
        <row r="8203">
          <cell r="A8203">
            <v>42142404</v>
          </cell>
          <cell r="B8203" t="str">
            <v>Aplicaciones al vacío o de succión para uso médico</v>
          </cell>
        </row>
        <row r="8204">
          <cell r="A8204">
            <v>42142405</v>
          </cell>
          <cell r="B8204" t="str">
            <v>Estuches para sets de instrumental médico o sus accesorios</v>
          </cell>
        </row>
        <row r="8205">
          <cell r="A8205">
            <v>42142406</v>
          </cell>
          <cell r="B8205" t="str">
            <v>Sets o kits de succión para uso médico</v>
          </cell>
        </row>
        <row r="8206">
          <cell r="A8206">
            <v>42142407</v>
          </cell>
          <cell r="B8206" t="str">
            <v>Estuches para cánulas de succión para uso médico</v>
          </cell>
        </row>
        <row r="8207">
          <cell r="A8207">
            <v>42142501</v>
          </cell>
          <cell r="B8207" t="str">
            <v>Agujas para amniocentesis</v>
          </cell>
        </row>
        <row r="8208">
          <cell r="A8208">
            <v>42142502</v>
          </cell>
          <cell r="B8208" t="str">
            <v>Agujas para anestesia</v>
          </cell>
        </row>
        <row r="8209">
          <cell r="A8209">
            <v>42142503</v>
          </cell>
          <cell r="B8209" t="str">
            <v>Agujas arteriales</v>
          </cell>
        </row>
        <row r="8210">
          <cell r="A8210">
            <v>42142504</v>
          </cell>
          <cell r="B8210" t="str">
            <v>Agujas para biopsia</v>
          </cell>
        </row>
        <row r="8211">
          <cell r="A8211">
            <v>42142505</v>
          </cell>
          <cell r="B8211" t="str">
            <v>Soportes para agujas de recolección de sangre</v>
          </cell>
        </row>
        <row r="8212">
          <cell r="A8212">
            <v>42142506</v>
          </cell>
          <cell r="B8212" t="str">
            <v>Agujas romas</v>
          </cell>
        </row>
        <row r="8213">
          <cell r="A8213">
            <v>42142507</v>
          </cell>
          <cell r="B8213" t="str">
            <v>Agujas mariposa</v>
          </cell>
        </row>
        <row r="8214">
          <cell r="A8214">
            <v>42142509</v>
          </cell>
          <cell r="B8214" t="str">
            <v>Bandejas o accesorios epidurales</v>
          </cell>
        </row>
        <row r="8215">
          <cell r="A8215">
            <v>42142510</v>
          </cell>
          <cell r="B8215" t="str">
            <v>Agujas de filtro</v>
          </cell>
        </row>
        <row r="8216">
          <cell r="A8216">
            <v>42142511</v>
          </cell>
          <cell r="B8216" t="str">
            <v>Tapas o dispositivos protectores o accesorios para agujas</v>
          </cell>
        </row>
        <row r="8217">
          <cell r="A8217">
            <v>42142512</v>
          </cell>
          <cell r="B8217" t="str">
            <v>Agujas de fístula</v>
          </cell>
        </row>
        <row r="8218">
          <cell r="A8218">
            <v>42142513</v>
          </cell>
          <cell r="B8218" t="str">
            <v>Agujas para procedimientos de radiología</v>
          </cell>
        </row>
        <row r="8219">
          <cell r="A8219">
            <v>42142514</v>
          </cell>
          <cell r="B8219" t="str">
            <v>Bandejas o agujas espinales</v>
          </cell>
        </row>
        <row r="8220">
          <cell r="A8220">
            <v>42142515</v>
          </cell>
          <cell r="B8220" t="str">
            <v>Agujas de tubo al vacío</v>
          </cell>
        </row>
        <row r="8221">
          <cell r="A8221">
            <v>42142516</v>
          </cell>
          <cell r="B8221" t="str">
            <v>Agujas de transferencia</v>
          </cell>
        </row>
        <row r="8222">
          <cell r="A8222">
            <v>42142517</v>
          </cell>
          <cell r="B8222" t="str">
            <v>Tubos de extensión</v>
          </cell>
        </row>
        <row r="8223">
          <cell r="A8223">
            <v>42142518</v>
          </cell>
          <cell r="B8223" t="str">
            <v>Productos o accesorios aspiradores para biopsia</v>
          </cell>
        </row>
        <row r="8224">
          <cell r="A8224">
            <v>42142519</v>
          </cell>
          <cell r="B8224" t="str">
            <v>Guías para agujas</v>
          </cell>
        </row>
        <row r="8225">
          <cell r="A8225">
            <v>42142520</v>
          </cell>
          <cell r="B8225" t="str">
            <v>Alfileres dispensadores</v>
          </cell>
        </row>
        <row r="8226">
          <cell r="A8226">
            <v>42142521</v>
          </cell>
          <cell r="B8226" t="str">
            <v>Agujas para recolección de sangre</v>
          </cell>
        </row>
        <row r="8227">
          <cell r="A8227">
            <v>42142522</v>
          </cell>
          <cell r="B8227" t="str">
            <v>Agujas quirúrgicas para oídos o narices o gargantas</v>
          </cell>
        </row>
        <row r="8228">
          <cell r="A8228">
            <v>42142523</v>
          </cell>
          <cell r="B8228" t="str">
            <v>Agujas hipodérmicas</v>
          </cell>
        </row>
        <row r="8229">
          <cell r="A8229">
            <v>42142524</v>
          </cell>
          <cell r="B8229" t="str">
            <v>Agujas o sets para grabar</v>
          </cell>
        </row>
        <row r="8230">
          <cell r="A8230">
            <v>42142525</v>
          </cell>
          <cell r="B8230" t="str">
            <v>Agujas de irrigación</v>
          </cell>
        </row>
        <row r="8231">
          <cell r="A8231">
            <v>42142526</v>
          </cell>
          <cell r="B8231" t="str">
            <v>Protectores de agujas</v>
          </cell>
        </row>
        <row r="8232">
          <cell r="A8232">
            <v>42142527</v>
          </cell>
          <cell r="B8232" t="str">
            <v>Alambres para limpiar agujas</v>
          </cell>
        </row>
        <row r="8233">
          <cell r="A8233">
            <v>42142528</v>
          </cell>
          <cell r="B8233" t="str">
            <v>Agujas o sets para punción del esternón</v>
          </cell>
        </row>
        <row r="8234">
          <cell r="A8234">
            <v>42142529</v>
          </cell>
          <cell r="B8234" t="str">
            <v>Bandejas para agujas o porta agujas</v>
          </cell>
        </row>
        <row r="8235">
          <cell r="A8235">
            <v>42142530</v>
          </cell>
          <cell r="B8235" t="str">
            <v>Agujas para procedimientos diagnósticos</v>
          </cell>
        </row>
        <row r="8236">
          <cell r="A8236">
            <v>42142531</v>
          </cell>
          <cell r="B8236" t="str">
            <v>Contenedores o carritos o accesorios para desecho de agujas o cuchillas u otros objetos afilados</v>
          </cell>
        </row>
        <row r="8237">
          <cell r="A8237">
            <v>42142532</v>
          </cell>
          <cell r="B8237" t="str">
            <v>Agujas o kits o accesorios para pericardiocentesis</v>
          </cell>
        </row>
        <row r="8238">
          <cell r="A8238">
            <v>42142601</v>
          </cell>
          <cell r="B8238" t="str">
            <v>Jeringas para aspiración o irrigación médica</v>
          </cell>
        </row>
        <row r="8239">
          <cell r="A8239">
            <v>42142602</v>
          </cell>
          <cell r="B8239" t="str">
            <v>Peras de caucho para usos médicos</v>
          </cell>
        </row>
        <row r="8240">
          <cell r="A8240">
            <v>42142603</v>
          </cell>
          <cell r="B8240" t="str">
            <v>Jeringas de cartucho para uso médico</v>
          </cell>
        </row>
        <row r="8241">
          <cell r="A8241">
            <v>42142604</v>
          </cell>
          <cell r="B8241" t="str">
            <v>Jeringas de punta de catéter para uso médico</v>
          </cell>
        </row>
        <row r="8242">
          <cell r="A8242">
            <v>42142605</v>
          </cell>
          <cell r="B8242" t="str">
            <v>Jeringas para oídos para uso médico</v>
          </cell>
        </row>
        <row r="8243">
          <cell r="A8243">
            <v>42142606</v>
          </cell>
          <cell r="B8243" t="str">
            <v>Jeringas de entrega medida para uso médico</v>
          </cell>
        </row>
        <row r="8244">
          <cell r="A8244">
            <v>42142607</v>
          </cell>
          <cell r="B8244" t="str">
            <v>Micro jeringas para uso médico</v>
          </cell>
        </row>
        <row r="8245">
          <cell r="A8245">
            <v>42142608</v>
          </cell>
          <cell r="B8245" t="str">
            <v>Jeringas sin agujas para uso médico</v>
          </cell>
        </row>
        <row r="8246">
          <cell r="A8246">
            <v>42142609</v>
          </cell>
          <cell r="B8246" t="str">
            <v>Jeringas con agujas para uso médico</v>
          </cell>
        </row>
        <row r="8247">
          <cell r="A8247">
            <v>42142610</v>
          </cell>
          <cell r="B8247" t="str">
            <v>Jeringas de medicación líquida oral</v>
          </cell>
        </row>
        <row r="8248">
          <cell r="A8248">
            <v>42142611</v>
          </cell>
          <cell r="B8248" t="str">
            <v>Jeringas de tuberculina</v>
          </cell>
        </row>
        <row r="8249">
          <cell r="A8249">
            <v>42142612</v>
          </cell>
          <cell r="B8249" t="str">
            <v>Sets de jeringas de irrigación</v>
          </cell>
        </row>
        <row r="8250">
          <cell r="A8250">
            <v>42142613</v>
          </cell>
          <cell r="B8250" t="str">
            <v>Pistolas de inyección</v>
          </cell>
        </row>
        <row r="8251">
          <cell r="A8251">
            <v>42142614</v>
          </cell>
          <cell r="B8251" t="str">
            <v>Aparatos o accesorios para inyección hipodérmica</v>
          </cell>
        </row>
        <row r="8252">
          <cell r="A8252">
            <v>42142615</v>
          </cell>
          <cell r="B8252" t="str">
            <v>Accesorios para jeringas</v>
          </cell>
        </row>
        <row r="8253">
          <cell r="A8253">
            <v>42142616</v>
          </cell>
          <cell r="B8253" t="str">
            <v>Jeringas de recolección de sangre</v>
          </cell>
        </row>
        <row r="8254">
          <cell r="A8254">
            <v>42142617</v>
          </cell>
          <cell r="B8254" t="str">
            <v>Jeringas de fuente</v>
          </cell>
        </row>
        <row r="8255">
          <cell r="A8255">
            <v>42142618</v>
          </cell>
          <cell r="B8255" t="str">
            <v>Kits de jeringas de análisis de gas en la sangre</v>
          </cell>
        </row>
        <row r="8256">
          <cell r="A8256">
            <v>42142701</v>
          </cell>
          <cell r="B8256" t="str">
            <v>Catéteres urinarios supra púbicos</v>
          </cell>
        </row>
        <row r="8257">
          <cell r="A8257">
            <v>42142702</v>
          </cell>
          <cell r="B8257" t="str">
            <v>Catéteres urinarios uretrales</v>
          </cell>
        </row>
        <row r="8258">
          <cell r="A8258">
            <v>42142703</v>
          </cell>
          <cell r="B8258" t="str">
            <v>Tapones o pinzas para catéteres urinarios</v>
          </cell>
        </row>
        <row r="8259">
          <cell r="A8259">
            <v>42142704</v>
          </cell>
          <cell r="B8259" t="str">
            <v>Bolsas o medidores para drenaje urinario</v>
          </cell>
        </row>
        <row r="8260">
          <cell r="A8260">
            <v>42142705</v>
          </cell>
          <cell r="B8260" t="str">
            <v>Tiras o sujetadores para bolsas de drenaje urinario</v>
          </cell>
        </row>
        <row r="8261">
          <cell r="A8261">
            <v>42142706</v>
          </cell>
          <cell r="B8261" t="str">
            <v>Bandejas o paquetes o kits para procedimientos urológicos</v>
          </cell>
        </row>
        <row r="8262">
          <cell r="A8262">
            <v>42142707</v>
          </cell>
          <cell r="B8262" t="str">
            <v>Tubos de irrigación urinaria</v>
          </cell>
        </row>
        <row r="8263">
          <cell r="A8263">
            <v>42142708</v>
          </cell>
          <cell r="B8263" t="str">
            <v>Adaptadores para instrumentos de urología</v>
          </cell>
        </row>
        <row r="8264">
          <cell r="A8264">
            <v>42142709</v>
          </cell>
          <cell r="B8264" t="str">
            <v>Accesorios o sets para nefrostomía</v>
          </cell>
        </row>
        <row r="8265">
          <cell r="A8265">
            <v>42142710</v>
          </cell>
          <cell r="B8265" t="str">
            <v>Tubos o accesorios para drenaje urinario</v>
          </cell>
        </row>
        <row r="8266">
          <cell r="A8266">
            <v>42142711</v>
          </cell>
          <cell r="B8266" t="str">
            <v>Sets de auscultación uretral</v>
          </cell>
        </row>
        <row r="8267">
          <cell r="A8267">
            <v>42142712</v>
          </cell>
          <cell r="B8267" t="str">
            <v>Sets o accesorios de remoción de cálculos</v>
          </cell>
        </row>
        <row r="8268">
          <cell r="A8268">
            <v>42142713</v>
          </cell>
          <cell r="B8268" t="str">
            <v>Cubiertas o sets urológicos</v>
          </cell>
        </row>
        <row r="8269">
          <cell r="A8269">
            <v>42142714</v>
          </cell>
          <cell r="B8269" t="str">
            <v>Percoladores urológicos</v>
          </cell>
        </row>
        <row r="8270">
          <cell r="A8270">
            <v>42142715</v>
          </cell>
          <cell r="B8270" t="str">
            <v>Kits o accesorios de cateterización urológica</v>
          </cell>
        </row>
        <row r="8271">
          <cell r="A8271">
            <v>42142716</v>
          </cell>
          <cell r="B8271" t="str">
            <v>Dispositivo pesario</v>
          </cell>
        </row>
        <row r="8272">
          <cell r="A8272">
            <v>42142801</v>
          </cell>
          <cell r="B8272" t="str">
            <v>Dispositivos o tubos para compresión secuencial vascular</v>
          </cell>
        </row>
        <row r="8273">
          <cell r="A8273">
            <v>42142802</v>
          </cell>
          <cell r="B8273" t="str">
            <v>Prendas o soporte para compresión o vasculares</v>
          </cell>
        </row>
        <row r="8274">
          <cell r="A8274">
            <v>42142901</v>
          </cell>
          <cell r="B8274" t="str">
            <v>Anteojos</v>
          </cell>
        </row>
        <row r="8275">
          <cell r="A8275">
            <v>42142902</v>
          </cell>
          <cell r="B8275" t="str">
            <v>Lentes para anteojos</v>
          </cell>
        </row>
        <row r="8276">
          <cell r="A8276">
            <v>42142903</v>
          </cell>
          <cell r="B8276" t="str">
            <v>Monturas para anteojos</v>
          </cell>
        </row>
        <row r="8277">
          <cell r="A8277">
            <v>42142904</v>
          </cell>
          <cell r="B8277" t="str">
            <v>Hardware para anteojos</v>
          </cell>
        </row>
        <row r="8278">
          <cell r="A8278">
            <v>42142905</v>
          </cell>
          <cell r="B8278" t="str">
            <v>Anteojos de sol</v>
          </cell>
        </row>
        <row r="8279">
          <cell r="A8279">
            <v>42142906</v>
          </cell>
          <cell r="B8279" t="str">
            <v>Estuches para anteojos</v>
          </cell>
        </row>
        <row r="8280">
          <cell r="A8280">
            <v>42142907</v>
          </cell>
          <cell r="B8280" t="str">
            <v>Pañitos para limpiar anteojos</v>
          </cell>
        </row>
        <row r="8281">
          <cell r="A8281">
            <v>42142908</v>
          </cell>
          <cell r="B8281" t="str">
            <v>Kits para limpiar anteojos</v>
          </cell>
        </row>
        <row r="8282">
          <cell r="A8282">
            <v>42142909</v>
          </cell>
          <cell r="B8282" t="str">
            <v>Retenedores de anteojos</v>
          </cell>
        </row>
        <row r="8283">
          <cell r="A8283">
            <v>42142910</v>
          </cell>
          <cell r="B8283" t="str">
            <v>Estuches para lentes de contacto</v>
          </cell>
        </row>
        <row r="8284">
          <cell r="A8284">
            <v>42142911</v>
          </cell>
          <cell r="B8284" t="str">
            <v>Insertores o removedores de lentes de contacto</v>
          </cell>
        </row>
        <row r="8285">
          <cell r="A8285">
            <v>42142912</v>
          </cell>
          <cell r="B8285" t="str">
            <v>Medidores de radio de lentes de contacto</v>
          </cell>
        </row>
        <row r="8286">
          <cell r="A8286">
            <v>42142913</v>
          </cell>
          <cell r="B8286" t="str">
            <v>Lentes de contacto</v>
          </cell>
        </row>
        <row r="8287">
          <cell r="A8287">
            <v>42143101</v>
          </cell>
          <cell r="B8287" t="str">
            <v>Catéteres o kits de cateterización intrauterina</v>
          </cell>
        </row>
        <row r="8288">
          <cell r="A8288">
            <v>42143102</v>
          </cell>
          <cell r="B8288" t="str">
            <v>Dispositivos o accesorios uterinos</v>
          </cell>
        </row>
        <row r="8289">
          <cell r="A8289">
            <v>42143103</v>
          </cell>
          <cell r="B8289" t="str">
            <v>Dispositivos o accesorios contraceptivos intrauterinos</v>
          </cell>
        </row>
        <row r="8290">
          <cell r="A8290">
            <v>42143104</v>
          </cell>
          <cell r="B8290" t="str">
            <v>Kits o accesorios para amniocentesis</v>
          </cell>
        </row>
        <row r="8291">
          <cell r="A8291">
            <v>42143105</v>
          </cell>
          <cell r="B8291" t="str">
            <v>Unidades o accesorios de extracción obstétrica</v>
          </cell>
        </row>
        <row r="8292">
          <cell r="A8292">
            <v>42143106</v>
          </cell>
          <cell r="B8292" t="str">
            <v>Kits o accesorios de drenaje ginecológico</v>
          </cell>
        </row>
        <row r="8293">
          <cell r="A8293">
            <v>42143201</v>
          </cell>
          <cell r="B8293" t="str">
            <v>Kits o accesorios de preparación de semen</v>
          </cell>
        </row>
        <row r="8294">
          <cell r="A8294">
            <v>42143202</v>
          </cell>
          <cell r="B8294" t="str">
            <v>Productos o kits o accesorios para el tratamiento de la impotencia</v>
          </cell>
        </row>
        <row r="8295">
          <cell r="A8295">
            <v>42143301</v>
          </cell>
          <cell r="B8295" t="str">
            <v>Sets o kits de administración de quimioterapia</v>
          </cell>
        </row>
        <row r="8296">
          <cell r="A8296">
            <v>42143401</v>
          </cell>
          <cell r="B8296" t="str">
            <v>Equipos o accesorios para el control del sudor</v>
          </cell>
        </row>
        <row r="8297">
          <cell r="A8297">
            <v>42143501</v>
          </cell>
          <cell r="B8297" t="str">
            <v>Ayudas para la limpieza de moldes auditivos</v>
          </cell>
        </row>
        <row r="8298">
          <cell r="A8298">
            <v>42143502</v>
          </cell>
          <cell r="B8298" t="str">
            <v>Dispositivos o accesorios para irrigación nasal</v>
          </cell>
        </row>
        <row r="8299">
          <cell r="A8299">
            <v>42143503</v>
          </cell>
          <cell r="B8299" t="str">
            <v>Dispositivos o bombas para el control de la hemorragia nasal</v>
          </cell>
        </row>
        <row r="8300">
          <cell r="A8300">
            <v>42143504</v>
          </cell>
          <cell r="B8300" t="str">
            <v>Moldes auditivos o sus accesorios</v>
          </cell>
        </row>
        <row r="8301">
          <cell r="A8301">
            <v>42143505</v>
          </cell>
          <cell r="B8301" t="str">
            <v>Kits de reparación de moldes auditivos</v>
          </cell>
        </row>
        <row r="8302">
          <cell r="A8302">
            <v>42143506</v>
          </cell>
          <cell r="B8302" t="str">
            <v>Sets filiformes para la trompa de eustaquio</v>
          </cell>
        </row>
        <row r="8303">
          <cell r="A8303">
            <v>42143507</v>
          </cell>
          <cell r="B8303" t="str">
            <v>Paquetes de medicación de oídos</v>
          </cell>
        </row>
        <row r="8304">
          <cell r="A8304">
            <v>42143508</v>
          </cell>
          <cell r="B8304" t="str">
            <v>Capuchas de viento para oídos</v>
          </cell>
        </row>
        <row r="8305">
          <cell r="A8305">
            <v>42143509</v>
          </cell>
          <cell r="B8305" t="str">
            <v>Pegantes o cementos para moldes auditivos</v>
          </cell>
        </row>
        <row r="8306">
          <cell r="A8306">
            <v>42143510</v>
          </cell>
          <cell r="B8306" t="str">
            <v>Pantallas protectoras de viento para oídos</v>
          </cell>
        </row>
        <row r="8307">
          <cell r="A8307">
            <v>42143511</v>
          </cell>
          <cell r="B8307" t="str">
            <v>Ganchos de cera de oídos</v>
          </cell>
        </row>
        <row r="8308">
          <cell r="A8308">
            <v>42143512</v>
          </cell>
          <cell r="B8308" t="str">
            <v>Mechas para oídos</v>
          </cell>
        </row>
        <row r="8309">
          <cell r="A8309">
            <v>42143513</v>
          </cell>
          <cell r="B8309" t="str">
            <v>Instrumentos o accesorios otológicos</v>
          </cell>
        </row>
        <row r="8310">
          <cell r="A8310">
            <v>42143601</v>
          </cell>
          <cell r="B8310" t="str">
            <v>Chalecos y chaquetas de fuerza (de restricción)</v>
          </cell>
        </row>
        <row r="8311">
          <cell r="A8311">
            <v>42143602</v>
          </cell>
          <cell r="B8311" t="str">
            <v>Elementos de restricción de cintura y torso</v>
          </cell>
        </row>
        <row r="8312">
          <cell r="A8312">
            <v>42143603</v>
          </cell>
          <cell r="B8312" t="str">
            <v>Elementos de restricción de extremidades</v>
          </cell>
        </row>
        <row r="8313">
          <cell r="A8313">
            <v>42143604</v>
          </cell>
          <cell r="B8313" t="str">
            <v>Elementos de restricción de cabeza no para ems</v>
          </cell>
        </row>
        <row r="8314">
          <cell r="A8314">
            <v>42143605</v>
          </cell>
          <cell r="B8314" t="str">
            <v>Correas o hebillas o accesorios o suministros de restricción</v>
          </cell>
        </row>
        <row r="8315">
          <cell r="A8315">
            <v>42143606</v>
          </cell>
          <cell r="B8315" t="str">
            <v>Elementos de restricción para todo el cuerpo</v>
          </cell>
        </row>
        <row r="8316">
          <cell r="A8316">
            <v>42143607</v>
          </cell>
          <cell r="B8316" t="str">
            <v>Sensores o alarmas o accesorios de movimiento de pacientes</v>
          </cell>
        </row>
        <row r="8317">
          <cell r="A8317">
            <v>42143608</v>
          </cell>
          <cell r="B8317" t="str">
            <v>Dispositivos o accesorios para estabilización o prevención de caídas de pacientes</v>
          </cell>
        </row>
        <row r="8318">
          <cell r="A8318">
            <v>42151501</v>
          </cell>
          <cell r="B8318" t="str">
            <v>Luces de curación o accesorios para odontología estética</v>
          </cell>
        </row>
        <row r="8319">
          <cell r="A8319">
            <v>42151502</v>
          </cell>
          <cell r="B8319" t="str">
            <v>Pozos mezcladores para odontología estética</v>
          </cell>
        </row>
        <row r="8320">
          <cell r="A8320">
            <v>42151503</v>
          </cell>
          <cell r="B8320" t="str">
            <v>Coronas o formas de coronas</v>
          </cell>
        </row>
        <row r="8321">
          <cell r="A8321">
            <v>42151504</v>
          </cell>
          <cell r="B8321" t="str">
            <v>Laca dental</v>
          </cell>
        </row>
        <row r="8322">
          <cell r="A8322">
            <v>42151505</v>
          </cell>
          <cell r="B8322" t="str">
            <v>Suministros de grabado de dientes</v>
          </cell>
        </row>
        <row r="8323">
          <cell r="A8323">
            <v>42151506</v>
          </cell>
          <cell r="B8323" t="str">
            <v>Suministros blanqueadores o decolorantes de dientes</v>
          </cell>
        </row>
        <row r="8324">
          <cell r="A8324">
            <v>42151507</v>
          </cell>
          <cell r="B8324" t="str">
            <v>Sombras dentales</v>
          </cell>
        </row>
        <row r="8325">
          <cell r="A8325">
            <v>42151601</v>
          </cell>
          <cell r="B8325" t="str">
            <v>Accesorios o partes de repuesto para instrumentos dentales</v>
          </cell>
        </row>
        <row r="8326">
          <cell r="A8326">
            <v>42151602</v>
          </cell>
          <cell r="B8326" t="str">
            <v>Bandas para matriz dental</v>
          </cell>
        </row>
        <row r="8327">
          <cell r="A8327">
            <v>42151603</v>
          </cell>
          <cell r="B8327" t="str">
            <v>Herramientas de colocación de hidróxido de calcio</v>
          </cell>
        </row>
        <row r="8328">
          <cell r="A8328">
            <v>42151604</v>
          </cell>
          <cell r="B8328" t="str">
            <v>Herramientas de colocación de compuestos</v>
          </cell>
        </row>
        <row r="8329">
          <cell r="A8329">
            <v>42151605</v>
          </cell>
          <cell r="B8329" t="str">
            <v>Removedores de coronas o puentes</v>
          </cell>
        </row>
        <row r="8330">
          <cell r="A8330">
            <v>42151606</v>
          </cell>
          <cell r="B8330" t="str">
            <v>Talladores de amalgamas dentales</v>
          </cell>
        </row>
        <row r="8331">
          <cell r="A8331">
            <v>42151607</v>
          </cell>
          <cell r="B8331" t="str">
            <v>Casetes para instrumentos dentales</v>
          </cell>
        </row>
        <row r="8332">
          <cell r="A8332">
            <v>42151608</v>
          </cell>
          <cell r="B8332" t="str">
            <v>Bandejas o cubetas para instrumentos dentales</v>
          </cell>
        </row>
        <row r="8333">
          <cell r="A8333">
            <v>42151609</v>
          </cell>
          <cell r="B8333" t="str">
            <v>Esterillas para instrumentos dentales</v>
          </cell>
        </row>
        <row r="8334">
          <cell r="A8334">
            <v>42151610</v>
          </cell>
          <cell r="B8334" t="str">
            <v>Alicates dentales</v>
          </cell>
        </row>
        <row r="8335">
          <cell r="A8335">
            <v>42151611</v>
          </cell>
          <cell r="B8335" t="str">
            <v>Cepillos operativos dentales</v>
          </cell>
        </row>
        <row r="8336">
          <cell r="A8336">
            <v>42151612</v>
          </cell>
          <cell r="B8336" t="str">
            <v>Retractores dentales</v>
          </cell>
        </row>
        <row r="8337">
          <cell r="A8337">
            <v>42151613</v>
          </cell>
          <cell r="B8337" t="str">
            <v>Pulidores dentales</v>
          </cell>
        </row>
        <row r="8338">
          <cell r="A8338">
            <v>42151614</v>
          </cell>
          <cell r="B8338" t="str">
            <v>Fresas dentales</v>
          </cell>
        </row>
        <row r="8339">
          <cell r="A8339">
            <v>42151615</v>
          </cell>
          <cell r="B8339" t="str">
            <v>Unidades crio quirúrgicas dentales</v>
          </cell>
        </row>
        <row r="8340">
          <cell r="A8340">
            <v>42151616</v>
          </cell>
          <cell r="B8340" t="str">
            <v>Medidores de profundidad dentales</v>
          </cell>
        </row>
        <row r="8341">
          <cell r="A8341">
            <v>42151617</v>
          </cell>
          <cell r="B8341" t="str">
            <v>Taladros o brocas dentales</v>
          </cell>
        </row>
        <row r="8342">
          <cell r="A8342">
            <v>42151618</v>
          </cell>
          <cell r="B8342" t="str">
            <v>Elevadores dentales</v>
          </cell>
        </row>
        <row r="8343">
          <cell r="A8343">
            <v>42151619</v>
          </cell>
          <cell r="B8343" t="str">
            <v>Excavadoras dentales</v>
          </cell>
        </row>
        <row r="8344">
          <cell r="A8344">
            <v>42151620</v>
          </cell>
          <cell r="B8344" t="str">
            <v>Limas o curetas dentales</v>
          </cell>
        </row>
        <row r="8345">
          <cell r="A8345">
            <v>42151621</v>
          </cell>
          <cell r="B8345" t="str">
            <v>Instrumentos para contorno de calzas dentales</v>
          </cell>
        </row>
        <row r="8346">
          <cell r="A8346">
            <v>42151622</v>
          </cell>
          <cell r="B8346" t="str">
            <v>Protectores de dedos para uso odontológico</v>
          </cell>
        </row>
        <row r="8347">
          <cell r="A8347">
            <v>42151623</v>
          </cell>
          <cell r="B8347" t="str">
            <v>Fórceps dentales</v>
          </cell>
        </row>
        <row r="8348">
          <cell r="A8348">
            <v>42151624</v>
          </cell>
          <cell r="B8348" t="str">
            <v>Piezas manuales o accesorios para uso odontológico</v>
          </cell>
        </row>
        <row r="8349">
          <cell r="A8349">
            <v>42151625</v>
          </cell>
          <cell r="B8349" t="str">
            <v>Instrumentos de higiene dental</v>
          </cell>
        </row>
        <row r="8350">
          <cell r="A8350">
            <v>42151626</v>
          </cell>
          <cell r="B8350" t="str">
            <v>Accesorios para afilar instrumentos dentales</v>
          </cell>
        </row>
        <row r="8351">
          <cell r="A8351">
            <v>42151627</v>
          </cell>
          <cell r="B8351" t="str">
            <v>Espejos o mangos de espejo para uso odontológico</v>
          </cell>
        </row>
        <row r="8352">
          <cell r="A8352">
            <v>42151628</v>
          </cell>
          <cell r="B8352" t="str">
            <v>Lozas mezcladoras para uso odontológico</v>
          </cell>
        </row>
        <row r="8353">
          <cell r="A8353">
            <v>42151629</v>
          </cell>
          <cell r="B8353" t="str">
            <v>Organizadores dentales</v>
          </cell>
        </row>
        <row r="8354">
          <cell r="A8354">
            <v>42151630</v>
          </cell>
          <cell r="B8354" t="str">
            <v>Instrumentos de colocación para uso odontológico</v>
          </cell>
        </row>
        <row r="8355">
          <cell r="A8355">
            <v>42151631</v>
          </cell>
          <cell r="B8355" t="str">
            <v>Sondas dentales</v>
          </cell>
        </row>
        <row r="8356">
          <cell r="A8356">
            <v>42151632</v>
          </cell>
          <cell r="B8356" t="str">
            <v>Escariadores dentales</v>
          </cell>
        </row>
        <row r="8357">
          <cell r="A8357">
            <v>42151633</v>
          </cell>
          <cell r="B8357" t="str">
            <v>Instrumentos de empaque de cordones de retracción para uso odontológico</v>
          </cell>
        </row>
        <row r="8358">
          <cell r="A8358">
            <v>42151634</v>
          </cell>
          <cell r="B8358" t="str">
            <v>Picos de punta de raíz para uso dental</v>
          </cell>
        </row>
        <row r="8359">
          <cell r="A8359">
            <v>42151635</v>
          </cell>
          <cell r="B8359" t="str">
            <v>Eyectores de saliva o dispositivos de succión oral o suministros dentales</v>
          </cell>
        </row>
        <row r="8360">
          <cell r="A8360">
            <v>42151636</v>
          </cell>
          <cell r="B8360" t="str">
            <v>Raspadores dentales o accesorios</v>
          </cell>
        </row>
        <row r="8361">
          <cell r="A8361">
            <v>42151637</v>
          </cell>
          <cell r="B8361" t="str">
            <v>Escalas dentales</v>
          </cell>
        </row>
        <row r="8362">
          <cell r="A8362">
            <v>42151638</v>
          </cell>
          <cell r="B8362" t="str">
            <v>Tijeras dentales</v>
          </cell>
        </row>
        <row r="8363">
          <cell r="A8363">
            <v>42151639</v>
          </cell>
          <cell r="B8363" t="str">
            <v>Espátulas dentales</v>
          </cell>
        </row>
        <row r="8364">
          <cell r="A8364">
            <v>42151640</v>
          </cell>
          <cell r="B8364" t="str">
            <v>Pinzas dentales</v>
          </cell>
        </row>
        <row r="8365">
          <cell r="A8365">
            <v>42151641</v>
          </cell>
          <cell r="B8365" t="str">
            <v>Grabadores de cera para uso odontológico</v>
          </cell>
        </row>
        <row r="8366">
          <cell r="A8366">
            <v>42151642</v>
          </cell>
          <cell r="B8366" t="str">
            <v>Cuchillos de gingivectomía</v>
          </cell>
        </row>
        <row r="8367">
          <cell r="A8367">
            <v>42151643</v>
          </cell>
          <cell r="B8367" t="str">
            <v>Cortadoras de margen dental</v>
          </cell>
        </row>
        <row r="8368">
          <cell r="A8368">
            <v>42151644</v>
          </cell>
          <cell r="B8368" t="str">
            <v>Soportes para la boca para uso odontológico</v>
          </cell>
        </row>
        <row r="8369">
          <cell r="A8369">
            <v>42151645</v>
          </cell>
          <cell r="B8369" t="str">
            <v>Kits o bandejas operativas reusables pre ensambladas para uso odontológico</v>
          </cell>
        </row>
        <row r="8370">
          <cell r="A8370">
            <v>42151646</v>
          </cell>
          <cell r="B8370" t="str">
            <v>Dispositivos protectores para dientes</v>
          </cell>
        </row>
        <row r="8371">
          <cell r="A8371">
            <v>42151647</v>
          </cell>
          <cell r="B8371" t="str">
            <v>Sujetadores absorbentes para uso odontológico</v>
          </cell>
        </row>
        <row r="8372">
          <cell r="A8372">
            <v>42151648</v>
          </cell>
          <cell r="B8372" t="str">
            <v>Calibradores para uso odontológico</v>
          </cell>
        </row>
        <row r="8373">
          <cell r="A8373">
            <v>42151650</v>
          </cell>
          <cell r="B8373" t="str">
            <v>Herramientas de detección de fracturas para uso odontológico</v>
          </cell>
        </row>
        <row r="8374">
          <cell r="A8374">
            <v>42151651</v>
          </cell>
          <cell r="B8374" t="str">
            <v>Separadores de dientes para uso odontológico</v>
          </cell>
        </row>
        <row r="8375">
          <cell r="A8375">
            <v>42151652</v>
          </cell>
          <cell r="B8375" t="str">
            <v>Introductor de espigas para uso odontológico</v>
          </cell>
        </row>
        <row r="8376">
          <cell r="A8376">
            <v>42151653</v>
          </cell>
          <cell r="B8376" t="str">
            <v>Doblador de espigas para uso odontológico</v>
          </cell>
        </row>
        <row r="8377">
          <cell r="A8377">
            <v>42151654</v>
          </cell>
          <cell r="B8377" t="str">
            <v>Guías para uso odontológico</v>
          </cell>
        </row>
        <row r="8378">
          <cell r="A8378">
            <v>42151655</v>
          </cell>
          <cell r="B8378" t="str">
            <v>Probadores de nervio o de vitalidad para uso odontológico</v>
          </cell>
        </row>
        <row r="8379">
          <cell r="A8379">
            <v>42151656</v>
          </cell>
          <cell r="B8379" t="str">
            <v>Esparcidores para uso odontológico</v>
          </cell>
        </row>
        <row r="8380">
          <cell r="A8380">
            <v>42151657</v>
          </cell>
          <cell r="B8380" t="str">
            <v>Tubos o accesorios para uso odontológico</v>
          </cell>
        </row>
        <row r="8381">
          <cell r="A8381">
            <v>42151658</v>
          </cell>
          <cell r="B8381" t="str">
            <v>Enhebradores de seda dental</v>
          </cell>
        </row>
        <row r="8382">
          <cell r="A8382">
            <v>42151659</v>
          </cell>
          <cell r="B8382" t="str">
            <v>Kit de extracción de partes de dientes</v>
          </cell>
        </row>
        <row r="8383">
          <cell r="A8383">
            <v>42151660</v>
          </cell>
          <cell r="B8383" t="str">
            <v>Aplicadores o absorbentes para uso odontológico</v>
          </cell>
        </row>
        <row r="8384">
          <cell r="A8384">
            <v>42151661</v>
          </cell>
          <cell r="B8384" t="str">
            <v>Estuches o bolsas para instrumentos dentales</v>
          </cell>
        </row>
        <row r="8385">
          <cell r="A8385">
            <v>42151662</v>
          </cell>
          <cell r="B8385" t="str">
            <v>Electrodos de anestesia o repuestos para uso odontológico</v>
          </cell>
        </row>
        <row r="8386">
          <cell r="A8386">
            <v>42151663</v>
          </cell>
          <cell r="B8386" t="str">
            <v>Cuñas o sets para uso odontológico</v>
          </cell>
        </row>
        <row r="8387">
          <cell r="A8387">
            <v>42151664</v>
          </cell>
          <cell r="B8387" t="str">
            <v>Discos cortadores o separadores para uso odontológico</v>
          </cell>
        </row>
        <row r="8388">
          <cell r="A8388">
            <v>42151665</v>
          </cell>
          <cell r="B8388" t="str">
            <v>Calibradores o accesorios para uso odontológico</v>
          </cell>
        </row>
        <row r="8389">
          <cell r="A8389">
            <v>42151666</v>
          </cell>
          <cell r="B8389" t="str">
            <v>Sujetadores bucales para uso odontológico</v>
          </cell>
        </row>
        <row r="8390">
          <cell r="A8390">
            <v>42151667</v>
          </cell>
          <cell r="B8390" t="str">
            <v>Matrices o sets para uso odontológico</v>
          </cell>
        </row>
        <row r="8391">
          <cell r="A8391">
            <v>42151668</v>
          </cell>
          <cell r="B8391" t="str">
            <v>Enrolladores de instrumentos para instrumentos o accesorios dentales</v>
          </cell>
        </row>
        <row r="8392">
          <cell r="A8392">
            <v>42151669</v>
          </cell>
          <cell r="B8392" t="str">
            <v>Deshidratadores para uso odontológico</v>
          </cell>
        </row>
        <row r="8393">
          <cell r="A8393">
            <v>42151670</v>
          </cell>
          <cell r="B8393" t="str">
            <v>Portadores de calor para uso odontológico</v>
          </cell>
        </row>
        <row r="8394">
          <cell r="A8394">
            <v>42151671</v>
          </cell>
          <cell r="B8394" t="str">
            <v>Calzas o kits de calzas para sistemas post dentales</v>
          </cell>
        </row>
        <row r="8395">
          <cell r="A8395">
            <v>42151672</v>
          </cell>
          <cell r="B8395" t="str">
            <v>Expansores para uso odontológico</v>
          </cell>
        </row>
        <row r="8396">
          <cell r="A8396">
            <v>42151673</v>
          </cell>
          <cell r="B8396" t="str">
            <v>Martillos para uso odontológico</v>
          </cell>
        </row>
        <row r="8397">
          <cell r="A8397">
            <v>42151674</v>
          </cell>
          <cell r="B8397" t="str">
            <v>Sujetadores de fresas para uso odontológico</v>
          </cell>
        </row>
        <row r="8398">
          <cell r="A8398">
            <v>42151675</v>
          </cell>
          <cell r="B8398" t="str">
            <v>Kits de restauración para uso odontológico</v>
          </cell>
        </row>
        <row r="8399">
          <cell r="A8399">
            <v>42151676</v>
          </cell>
          <cell r="B8399" t="str">
            <v>Cuchillos para uso odontológico</v>
          </cell>
        </row>
        <row r="8400">
          <cell r="A8400">
            <v>42151677</v>
          </cell>
          <cell r="B8400" t="str">
            <v>Kits indicadores de presión para uso odontológico</v>
          </cell>
        </row>
        <row r="8401">
          <cell r="A8401">
            <v>42151678</v>
          </cell>
          <cell r="B8401" t="str">
            <v>Sujetadores para almohadillas o láminas mezcladoras</v>
          </cell>
        </row>
        <row r="8402">
          <cell r="A8402">
            <v>42151679</v>
          </cell>
          <cell r="B8402" t="str">
            <v>Bolsas mezcladoras para uso odontológico</v>
          </cell>
        </row>
        <row r="8403">
          <cell r="A8403">
            <v>42151680</v>
          </cell>
          <cell r="B8403" t="str">
            <v>Topes o accesorios endodónticos</v>
          </cell>
        </row>
        <row r="8404">
          <cell r="A8404">
            <v>42151681</v>
          </cell>
          <cell r="B8404" t="str">
            <v>Sets o accesorios de anestesia para uso odontológico</v>
          </cell>
        </row>
        <row r="8405">
          <cell r="A8405">
            <v>42151701</v>
          </cell>
          <cell r="B8405" t="str">
            <v>Sillas para examen dental o partes relacionadas o accesorios</v>
          </cell>
        </row>
        <row r="8406">
          <cell r="A8406">
            <v>42151702</v>
          </cell>
          <cell r="B8406" t="str">
            <v>Taburetes para uso odontológico</v>
          </cell>
        </row>
        <row r="8407">
          <cell r="A8407">
            <v>42151703</v>
          </cell>
          <cell r="B8407" t="str">
            <v>Gabinetes para uso odontológico</v>
          </cell>
        </row>
        <row r="8408">
          <cell r="A8408">
            <v>42151704</v>
          </cell>
          <cell r="B8408" t="str">
            <v>Mesas o accesorios para uso odontológico</v>
          </cell>
        </row>
        <row r="8409">
          <cell r="A8409">
            <v>42151705</v>
          </cell>
          <cell r="B8409" t="str">
            <v>Sets de mobiliarios combinados para procedimientos dentales</v>
          </cell>
        </row>
        <row r="8410">
          <cell r="A8410">
            <v>42151801</v>
          </cell>
          <cell r="B8410" t="str">
            <v>Portadores de amalgamas</v>
          </cell>
        </row>
        <row r="8411">
          <cell r="A8411">
            <v>42151802</v>
          </cell>
          <cell r="B8411" t="str">
            <v>Obturadores o puntas o accesorios para uso odontológico</v>
          </cell>
        </row>
        <row r="8412">
          <cell r="A8412">
            <v>42151803</v>
          </cell>
          <cell r="B8412" t="str">
            <v>Cápsulas de amalgama para uso odontológico</v>
          </cell>
        </row>
        <row r="8413">
          <cell r="A8413">
            <v>42151804</v>
          </cell>
          <cell r="B8413" t="str">
            <v>Empaquetadores de cable para uso odontológico</v>
          </cell>
        </row>
        <row r="8414">
          <cell r="A8414">
            <v>42151805</v>
          </cell>
          <cell r="B8414" t="str">
            <v>Discos pulidores o de terminado para uso odontológico</v>
          </cell>
        </row>
        <row r="8415">
          <cell r="A8415">
            <v>42151806</v>
          </cell>
          <cell r="B8415" t="str">
            <v>Tiras pulidoras o de terminado para uso odontológico</v>
          </cell>
        </row>
        <row r="8416">
          <cell r="A8416">
            <v>42151807</v>
          </cell>
          <cell r="B8416" t="str">
            <v>Puntas pulidoras o de terminado para uso odontológico</v>
          </cell>
        </row>
        <row r="8417">
          <cell r="A8417">
            <v>42151808</v>
          </cell>
          <cell r="B8417" t="str">
            <v>Compuestos brilladores para uso odontológico</v>
          </cell>
        </row>
        <row r="8418">
          <cell r="A8418">
            <v>42151809</v>
          </cell>
          <cell r="B8418" t="str">
            <v>Paños comprimibles para uso odontológico</v>
          </cell>
        </row>
        <row r="8419">
          <cell r="A8419">
            <v>42151810</v>
          </cell>
          <cell r="B8419" t="str">
            <v>Kits pulidores o de terminado para uso odontológico</v>
          </cell>
        </row>
        <row r="8420">
          <cell r="A8420">
            <v>42151811</v>
          </cell>
          <cell r="B8420" t="str">
            <v>Copas o sets pulidores para uso odontológico</v>
          </cell>
        </row>
        <row r="8421">
          <cell r="A8421">
            <v>42151812</v>
          </cell>
          <cell r="B8421" t="str">
            <v>Resortes para abrasión o máquinas pulidoras para uso odontológico</v>
          </cell>
        </row>
        <row r="8422">
          <cell r="A8422">
            <v>42151813</v>
          </cell>
          <cell r="B8422" t="str">
            <v>Tubos de calzas para uso odontológico</v>
          </cell>
        </row>
        <row r="8423">
          <cell r="A8423">
            <v>42151814</v>
          </cell>
          <cell r="B8423" t="str">
            <v>Adaptadores de placas de sujeción para tallado o máquinas pulidoras para uso odontológico</v>
          </cell>
        </row>
        <row r="8424">
          <cell r="A8424">
            <v>42151815</v>
          </cell>
          <cell r="B8424" t="str">
            <v>Conos para tallado o máquinas pulidoras para uso odontológico</v>
          </cell>
        </row>
        <row r="8425">
          <cell r="A8425">
            <v>42151816</v>
          </cell>
          <cell r="B8425" t="str">
            <v>Portadores de lámina de oro</v>
          </cell>
        </row>
        <row r="8426">
          <cell r="A8426">
            <v>42151901</v>
          </cell>
          <cell r="B8426" t="str">
            <v>Cepillos para paladares o prótesis dentales</v>
          </cell>
        </row>
        <row r="8427">
          <cell r="A8427">
            <v>42151902</v>
          </cell>
          <cell r="B8427" t="str">
            <v>Kits de profilaxis para uso odontológico</v>
          </cell>
        </row>
        <row r="8428">
          <cell r="A8428">
            <v>42151903</v>
          </cell>
          <cell r="B8428" t="str">
            <v>Copas o contenedores para prótesis dentales</v>
          </cell>
        </row>
        <row r="8429">
          <cell r="A8429">
            <v>42151904</v>
          </cell>
          <cell r="B8429" t="str">
            <v>Soluciones o tabletas reveladoras</v>
          </cell>
        </row>
        <row r="8430">
          <cell r="A8430">
            <v>42151905</v>
          </cell>
          <cell r="B8430" t="str">
            <v>Geles o enjuagues de fluoruro</v>
          </cell>
        </row>
        <row r="8431">
          <cell r="A8431">
            <v>42151906</v>
          </cell>
          <cell r="B8431" t="str">
            <v>Tabletas o gotas de fluoruro</v>
          </cell>
        </row>
        <row r="8432">
          <cell r="A8432">
            <v>42151907</v>
          </cell>
          <cell r="B8432" t="str">
            <v>Tanques de profilaxis para uso odontológico</v>
          </cell>
        </row>
        <row r="8433">
          <cell r="A8433">
            <v>42151908</v>
          </cell>
          <cell r="B8433" t="str">
            <v>Frascos o sets para prótesis dentales</v>
          </cell>
        </row>
        <row r="8434">
          <cell r="A8434">
            <v>42151909</v>
          </cell>
          <cell r="B8434" t="str">
            <v>Pastas o kits de prevención dental</v>
          </cell>
        </row>
        <row r="8435">
          <cell r="A8435">
            <v>42151910</v>
          </cell>
          <cell r="B8435" t="str">
            <v>Dispositivos o accesorios para limpiar dientes</v>
          </cell>
        </row>
        <row r="8436">
          <cell r="A8436">
            <v>42151911</v>
          </cell>
          <cell r="B8436" t="str">
            <v>Sets acondicionadores de tejido dental</v>
          </cell>
        </row>
        <row r="8437">
          <cell r="A8437">
            <v>42151912</v>
          </cell>
          <cell r="B8437" t="str">
            <v>Aerosoles endodónticos</v>
          </cell>
        </row>
        <row r="8438">
          <cell r="A8438">
            <v>42152001</v>
          </cell>
          <cell r="B8438" t="str">
            <v>Sujetadores de aleta de mordida</v>
          </cell>
        </row>
        <row r="8439">
          <cell r="A8439">
            <v>42152002</v>
          </cell>
          <cell r="B8439" t="str">
            <v>Bloques o aletas o tabletas de mordida para uso odontológico</v>
          </cell>
        </row>
        <row r="8440">
          <cell r="A8440">
            <v>42152003</v>
          </cell>
          <cell r="B8440" t="str">
            <v>Procesadores de película para uso odontológico</v>
          </cell>
        </row>
        <row r="8441">
          <cell r="A8441">
            <v>42152004</v>
          </cell>
          <cell r="B8441" t="str">
            <v>Colgadores de película radiológica para uso odontológico</v>
          </cell>
        </row>
        <row r="8442">
          <cell r="A8442">
            <v>42152005</v>
          </cell>
          <cell r="B8442" t="str">
            <v>Sujetadores de película radiológica para uso odontológico</v>
          </cell>
        </row>
        <row r="8443">
          <cell r="A8443">
            <v>42152006</v>
          </cell>
          <cell r="B8443" t="str">
            <v>Monturas de película radiológica para uso odontológico</v>
          </cell>
        </row>
        <row r="8444">
          <cell r="A8444">
            <v>42152007</v>
          </cell>
          <cell r="B8444" t="str">
            <v>Duplicadores de rayos x para uso odontológico</v>
          </cell>
        </row>
        <row r="8445">
          <cell r="A8445">
            <v>42152008</v>
          </cell>
          <cell r="B8445" t="str">
            <v>Unidades de rayos x para uso odontológico</v>
          </cell>
        </row>
        <row r="8446">
          <cell r="A8446">
            <v>42152009</v>
          </cell>
          <cell r="B8446" t="str">
            <v>Visores o accesorios de rayos x para uso odontológico</v>
          </cell>
        </row>
        <row r="8447">
          <cell r="A8447">
            <v>42152010</v>
          </cell>
          <cell r="B8447" t="str">
            <v>Película radiológica para uso odontológico</v>
          </cell>
        </row>
        <row r="8448">
          <cell r="A8448">
            <v>42152011</v>
          </cell>
          <cell r="B8448" t="str">
            <v>Adaptadores de película de rayos x para uso odontológico</v>
          </cell>
        </row>
        <row r="8449">
          <cell r="A8449">
            <v>42152012</v>
          </cell>
          <cell r="B8449" t="str">
            <v>Partes o kits o accesorios para aparatos de rayos x para uso odontológico</v>
          </cell>
        </row>
        <row r="8450">
          <cell r="A8450">
            <v>42152013</v>
          </cell>
          <cell r="B8450" t="str">
            <v>Analizadores de película radiográfica para uso odontológico</v>
          </cell>
        </row>
        <row r="8451">
          <cell r="A8451">
            <v>42152014</v>
          </cell>
          <cell r="B8451" t="str">
            <v>Trazador radioactivo para uso odontológico</v>
          </cell>
        </row>
        <row r="8452">
          <cell r="A8452">
            <v>42152101</v>
          </cell>
          <cell r="B8452" t="str">
            <v>Anillos de molde o suministros relacionados para uso odontológico</v>
          </cell>
        </row>
        <row r="8453">
          <cell r="A8453">
            <v>42152102</v>
          </cell>
          <cell r="B8453" t="str">
            <v>Formadores para uso odontológico</v>
          </cell>
        </row>
        <row r="8454">
          <cell r="A8454">
            <v>42152103</v>
          </cell>
          <cell r="B8454" t="str">
            <v>Adhesivos para bandejas de impresión para uso odontológico</v>
          </cell>
        </row>
        <row r="8455">
          <cell r="A8455">
            <v>42152104</v>
          </cell>
          <cell r="B8455" t="str">
            <v>Limpiadores de bandejas de impresión para uso odontológico</v>
          </cell>
        </row>
        <row r="8456">
          <cell r="A8456">
            <v>42152105</v>
          </cell>
          <cell r="B8456" t="str">
            <v>Bandejas de impresión para uso odontológico</v>
          </cell>
        </row>
        <row r="8457">
          <cell r="A8457">
            <v>42152106</v>
          </cell>
          <cell r="B8457" t="str">
            <v>Cuchillos para yeso para uso odontológico</v>
          </cell>
        </row>
        <row r="8458">
          <cell r="A8458">
            <v>42152107</v>
          </cell>
          <cell r="B8458" t="str">
            <v>Instrumentos de encerado para uso odontológico</v>
          </cell>
        </row>
        <row r="8459">
          <cell r="A8459">
            <v>42152108</v>
          </cell>
          <cell r="B8459" t="str">
            <v>Jeringas de material de impresión o accesorios para uso odontológico</v>
          </cell>
        </row>
        <row r="8460">
          <cell r="A8460">
            <v>42152109</v>
          </cell>
          <cell r="B8460" t="str">
            <v>Baños de agua para material de impresión o accesorios para uso odontológico</v>
          </cell>
        </row>
        <row r="8461">
          <cell r="A8461">
            <v>42152110</v>
          </cell>
          <cell r="B8461" t="str">
            <v>Dispositivos para marcar dientes</v>
          </cell>
        </row>
        <row r="8462">
          <cell r="A8462">
            <v>42152111</v>
          </cell>
          <cell r="B8462" t="str">
            <v>Endurecedores de material de impresión para uso odontológico</v>
          </cell>
        </row>
        <row r="8463">
          <cell r="A8463">
            <v>42152112</v>
          </cell>
          <cell r="B8463" t="str">
            <v>Instrumentos de secado o accesorios para uso odontológico</v>
          </cell>
        </row>
        <row r="8464">
          <cell r="A8464">
            <v>42152113</v>
          </cell>
          <cell r="B8464" t="str">
            <v>Kits de formación de base para prótesis dentales</v>
          </cell>
        </row>
        <row r="8465">
          <cell r="A8465">
            <v>42152114</v>
          </cell>
          <cell r="B8465" t="str">
            <v>Kits de entrega de materiales de impresión para uso odontológico</v>
          </cell>
        </row>
        <row r="8466">
          <cell r="A8466">
            <v>42152115</v>
          </cell>
          <cell r="B8466" t="str">
            <v>Canastas de impresión para uso odontológico</v>
          </cell>
        </row>
        <row r="8467">
          <cell r="A8467">
            <v>42152201</v>
          </cell>
          <cell r="B8467" t="str">
            <v>Láminas dentales</v>
          </cell>
        </row>
        <row r="8468">
          <cell r="A8468">
            <v>42152202</v>
          </cell>
          <cell r="B8468" t="str">
            <v>Unidades de abrasión por aire de laboratorio dental</v>
          </cell>
        </row>
        <row r="8469">
          <cell r="A8469">
            <v>42152203</v>
          </cell>
          <cell r="B8469" t="str">
            <v>Quemadores o antorchas de laboratorio dental</v>
          </cell>
        </row>
        <row r="8470">
          <cell r="A8470">
            <v>42152204</v>
          </cell>
          <cell r="B8470" t="str">
            <v>Máquinas para enyesar, sus partes o accesorios de laboratorio dental</v>
          </cell>
        </row>
        <row r="8471">
          <cell r="A8471">
            <v>42152205</v>
          </cell>
          <cell r="B8471" t="str">
            <v>Unidades de curado de laboratorio dental</v>
          </cell>
        </row>
        <row r="8472">
          <cell r="A8472">
            <v>42152206</v>
          </cell>
          <cell r="B8472" t="str">
            <v>Tintes de laboratorio dental</v>
          </cell>
        </row>
        <row r="8473">
          <cell r="A8473">
            <v>42152207</v>
          </cell>
          <cell r="B8473" t="str">
            <v>Recolectores de polvo de laboratorio dental</v>
          </cell>
        </row>
        <row r="8474">
          <cell r="A8474">
            <v>42152208</v>
          </cell>
          <cell r="B8474" t="str">
            <v>Máquinas o accesorios de laboratorio dental</v>
          </cell>
        </row>
        <row r="8475">
          <cell r="A8475">
            <v>42152209</v>
          </cell>
          <cell r="B8475" t="str">
            <v>Hornos de uso odontológico para laboratorios</v>
          </cell>
        </row>
        <row r="8476">
          <cell r="A8476">
            <v>42152210</v>
          </cell>
          <cell r="B8476" t="str">
            <v>Chapas de oro de laboratorio dental</v>
          </cell>
        </row>
        <row r="8477">
          <cell r="A8477">
            <v>42152211</v>
          </cell>
          <cell r="B8477" t="str">
            <v>Tornos o accesorios de laboratorio dental</v>
          </cell>
        </row>
        <row r="8478">
          <cell r="A8478">
            <v>42152212</v>
          </cell>
          <cell r="B8478" t="str">
            <v>Bordeadoras de modelos de laboratorio dental</v>
          </cell>
        </row>
        <row r="8479">
          <cell r="A8479">
            <v>42152213</v>
          </cell>
          <cell r="B8479" t="str">
            <v>Modelos de laboratorio dentales</v>
          </cell>
        </row>
        <row r="8480">
          <cell r="A8480">
            <v>42152214</v>
          </cell>
          <cell r="B8480" t="str">
            <v>Trampas de yeso de laboratorio dental</v>
          </cell>
        </row>
        <row r="8481">
          <cell r="A8481">
            <v>42152215</v>
          </cell>
          <cell r="B8481" t="str">
            <v>Lijadoras de chorro de arena o suministros de laboratorio dental</v>
          </cell>
        </row>
        <row r="8482">
          <cell r="A8482">
            <v>42152216</v>
          </cell>
          <cell r="B8482" t="str">
            <v>Máquinas soldadoras o suministros de laboratorio dental</v>
          </cell>
        </row>
        <row r="8483">
          <cell r="A8483">
            <v>42152217</v>
          </cell>
          <cell r="B8483" t="str">
            <v>Unidades de vacío o suministros de laboratorio dental</v>
          </cell>
        </row>
        <row r="8484">
          <cell r="A8484">
            <v>42152218</v>
          </cell>
          <cell r="B8484" t="str">
            <v>Vibradores de uso odontológico para laboratorios</v>
          </cell>
        </row>
        <row r="8485">
          <cell r="A8485">
            <v>42152219</v>
          </cell>
          <cell r="B8485" t="str">
            <v>Unidades de encerado de laboratorio dental</v>
          </cell>
        </row>
        <row r="8486">
          <cell r="A8486">
            <v>42152220</v>
          </cell>
          <cell r="B8486" t="str">
            <v>Piedras dentales para laboratorios</v>
          </cell>
        </row>
        <row r="8487">
          <cell r="A8487">
            <v>42152221</v>
          </cell>
          <cell r="B8487" t="str">
            <v>Protectores de moldes o estuches de laboratorio dental</v>
          </cell>
        </row>
        <row r="8488">
          <cell r="A8488">
            <v>42152222</v>
          </cell>
          <cell r="B8488" t="str">
            <v>Crisoles para máquinas de fundición de uso odontológico</v>
          </cell>
        </row>
        <row r="8489">
          <cell r="A8489">
            <v>42152223</v>
          </cell>
          <cell r="B8489" t="str">
            <v>Unidades o accesorios de procesamiento de resinas de laboratorio dental</v>
          </cell>
        </row>
        <row r="8490">
          <cell r="A8490">
            <v>42152224</v>
          </cell>
          <cell r="B8490" t="str">
            <v>Cantimploras de laboratorio dental</v>
          </cell>
        </row>
        <row r="8491">
          <cell r="A8491">
            <v>42152301</v>
          </cell>
          <cell r="B8491" t="str">
            <v>Láseres de uso odontológico</v>
          </cell>
        </row>
        <row r="8492">
          <cell r="A8492">
            <v>42152302</v>
          </cell>
          <cell r="B8492" t="str">
            <v>Dentoscopios</v>
          </cell>
        </row>
        <row r="8493">
          <cell r="A8493">
            <v>42152303</v>
          </cell>
          <cell r="B8493" t="str">
            <v>Luces para uso odontológico general o sus accesorios</v>
          </cell>
        </row>
        <row r="8494">
          <cell r="A8494">
            <v>42152304</v>
          </cell>
          <cell r="B8494" t="str">
            <v>Luces intraorales</v>
          </cell>
        </row>
        <row r="8495">
          <cell r="A8495">
            <v>42152305</v>
          </cell>
          <cell r="B8495" t="str">
            <v>Trípodes de luces de operación para uso odontológico</v>
          </cell>
        </row>
        <row r="8496">
          <cell r="A8496">
            <v>42152306</v>
          </cell>
          <cell r="B8496" t="str">
            <v>Luces o accesorios de fibra óptica para uso odontológico</v>
          </cell>
        </row>
        <row r="8497">
          <cell r="A8497">
            <v>42152307</v>
          </cell>
          <cell r="B8497" t="str">
            <v>Sets de iluminación de operación para uso odontológico</v>
          </cell>
        </row>
        <row r="8498">
          <cell r="A8498">
            <v>42152401</v>
          </cell>
          <cell r="B8498" t="str">
            <v>Aleaciones para amalgamas de uso odontológico</v>
          </cell>
        </row>
        <row r="8499">
          <cell r="A8499">
            <v>42152402</v>
          </cell>
          <cell r="B8499" t="str">
            <v>Materiales protectores de la boca para atletas</v>
          </cell>
        </row>
        <row r="8500">
          <cell r="A8500">
            <v>42152403</v>
          </cell>
          <cell r="B8500" t="str">
            <v>Aleaciones de molibdeno cromo cobalto fundido para implantes dentales</v>
          </cell>
        </row>
        <row r="8501">
          <cell r="A8501">
            <v>42152404</v>
          </cell>
          <cell r="B8501" t="str">
            <v>Materiales de impresión hidrocoloides irreversibles reversibles combinados</v>
          </cell>
        </row>
        <row r="8502">
          <cell r="A8502">
            <v>42152405</v>
          </cell>
          <cell r="B8502" t="str">
            <v>Plásticos para coronas o puentes</v>
          </cell>
        </row>
        <row r="8503">
          <cell r="A8503">
            <v>42152406</v>
          </cell>
          <cell r="B8503" t="str">
            <v>Pastas abrasivas de uso odontológico</v>
          </cell>
        </row>
        <row r="8504">
          <cell r="A8504">
            <v>42152407</v>
          </cell>
          <cell r="B8504" t="str">
            <v>Polvos abrasivos de uso odontológico</v>
          </cell>
        </row>
        <row r="8505">
          <cell r="A8505">
            <v>42152408</v>
          </cell>
          <cell r="B8505" t="str">
            <v>Puntos absorbentes de uso odontológico</v>
          </cell>
        </row>
        <row r="8506">
          <cell r="A8506">
            <v>42152409</v>
          </cell>
          <cell r="B8506" t="str">
            <v>Materiales de impresión agar de uso odontológico</v>
          </cell>
        </row>
        <row r="8507">
          <cell r="A8507">
            <v>42152410</v>
          </cell>
          <cell r="B8507" t="str">
            <v>Materiales de impresión alginadas de uso odontológico</v>
          </cell>
        </row>
        <row r="8508">
          <cell r="A8508">
            <v>42152411</v>
          </cell>
          <cell r="B8508" t="str">
            <v>Aleaciones de fundición de metal de base de uso odontológico</v>
          </cell>
        </row>
        <row r="8509">
          <cell r="A8509">
            <v>42152412</v>
          </cell>
          <cell r="B8509" t="str">
            <v>Ceras de placa de base de uso odontológico</v>
          </cell>
        </row>
        <row r="8510">
          <cell r="A8510">
            <v>42152413</v>
          </cell>
          <cell r="B8510" t="str">
            <v>Aleaciones de soldadura fuerte de uso odontológico</v>
          </cell>
        </row>
        <row r="8511">
          <cell r="A8511">
            <v>42152414</v>
          </cell>
          <cell r="B8511" t="str">
            <v>Aleaciones de fundición de uso odontológico</v>
          </cell>
        </row>
        <row r="8512">
          <cell r="A8512">
            <v>42152415</v>
          </cell>
          <cell r="B8512" t="str">
            <v>Cerámicas de uso odontológico</v>
          </cell>
        </row>
        <row r="8513">
          <cell r="A8513">
            <v>42152416</v>
          </cell>
          <cell r="B8513" t="str">
            <v>Materiales de duplicación de uso odontológico</v>
          </cell>
        </row>
        <row r="8514">
          <cell r="A8514">
            <v>42152417</v>
          </cell>
          <cell r="B8514" t="str">
            <v>Inversiones de sílice etilo de uso odontológico</v>
          </cell>
        </row>
        <row r="8515">
          <cell r="A8515">
            <v>42152418</v>
          </cell>
          <cell r="B8515" t="str">
            <v>Productos de yeso de uso odontológico</v>
          </cell>
        </row>
        <row r="8516">
          <cell r="A8516">
            <v>42152419</v>
          </cell>
          <cell r="B8516" t="str">
            <v>Materiales de impresión de pasta de óxido de zinc eugenol de uso odontológico</v>
          </cell>
        </row>
        <row r="8517">
          <cell r="A8517">
            <v>42152420</v>
          </cell>
          <cell r="B8517" t="str">
            <v>Ceras de fundición para incrustaciones de uso odontológico</v>
          </cell>
        </row>
        <row r="8518">
          <cell r="A8518">
            <v>42152421</v>
          </cell>
          <cell r="B8518" t="str">
            <v>Mercurio de uso odontológico</v>
          </cell>
        </row>
        <row r="8519">
          <cell r="A8519">
            <v>42152422</v>
          </cell>
          <cell r="B8519" t="str">
            <v>Puntos obturadores de uso odontológico</v>
          </cell>
        </row>
        <row r="8520">
          <cell r="A8520">
            <v>42152423</v>
          </cell>
          <cell r="B8520" t="str">
            <v>Sellantes de huecos o fisuras de uso odontológico</v>
          </cell>
        </row>
        <row r="8521">
          <cell r="A8521">
            <v>42152424</v>
          </cell>
          <cell r="B8521" t="str">
            <v>Cementos de base de agua de uso odontológico</v>
          </cell>
        </row>
        <row r="8522">
          <cell r="A8522">
            <v>42152425</v>
          </cell>
          <cell r="B8522" t="str">
            <v>Resinas de base para prótesis dentales</v>
          </cell>
        </row>
        <row r="8523">
          <cell r="A8523">
            <v>42152426</v>
          </cell>
          <cell r="B8523" t="str">
            <v>Resinas de forrado temporales de base para prótesis dentales</v>
          </cell>
        </row>
        <row r="8524">
          <cell r="A8524">
            <v>42152427</v>
          </cell>
          <cell r="B8524" t="str">
            <v>Resinas de reparación de cura fría para prótesis dentales</v>
          </cell>
        </row>
        <row r="8525">
          <cell r="A8525">
            <v>42152428</v>
          </cell>
          <cell r="B8525" t="str">
            <v>Resinas de relleno directo</v>
          </cell>
        </row>
        <row r="8526">
          <cell r="A8526">
            <v>42152429</v>
          </cell>
          <cell r="B8526" t="str">
            <v>Materiales elastoméricos para impresiones dentales</v>
          </cell>
        </row>
        <row r="8527">
          <cell r="A8527">
            <v>42152430</v>
          </cell>
          <cell r="B8527" t="str">
            <v>Materiales de relleno endodóntico</v>
          </cell>
        </row>
        <row r="8528">
          <cell r="A8528">
            <v>42152431</v>
          </cell>
          <cell r="B8528" t="str">
            <v>Elastómeros de prótesis maxilofacial extra oral</v>
          </cell>
        </row>
        <row r="8529">
          <cell r="A8529">
            <v>42152432</v>
          </cell>
          <cell r="B8529" t="str">
            <v>Inversiones de fundición de yeso unido para aleaciones de oro</v>
          </cell>
        </row>
        <row r="8530">
          <cell r="A8530">
            <v>42152433</v>
          </cell>
          <cell r="B8530" t="str">
            <v>Película radiográfica dental intraoral</v>
          </cell>
        </row>
        <row r="8531">
          <cell r="A8531">
            <v>42152434</v>
          </cell>
          <cell r="B8531" t="str">
            <v>Amalgamantes para uso odontológico</v>
          </cell>
        </row>
        <row r="8532">
          <cell r="A8532">
            <v>42152435</v>
          </cell>
          <cell r="B8532" t="str">
            <v>Materiales elastómeros para ortodoncia</v>
          </cell>
        </row>
        <row r="8533">
          <cell r="A8533">
            <v>42152436</v>
          </cell>
          <cell r="B8533" t="str">
            <v>Inversiones unidas de fosfato</v>
          </cell>
        </row>
        <row r="8534">
          <cell r="A8534">
            <v>42152437</v>
          </cell>
          <cell r="B8534" t="str">
            <v>Dientes de porcelana</v>
          </cell>
        </row>
        <row r="8535">
          <cell r="A8535">
            <v>42152438</v>
          </cell>
          <cell r="B8535" t="str">
            <v>Materiales refractarios de tinte</v>
          </cell>
        </row>
        <row r="8536">
          <cell r="A8536">
            <v>42152439</v>
          </cell>
          <cell r="B8536" t="str">
            <v>Materiales resistentes de recubrimiento para prótesis dentales removibles</v>
          </cell>
        </row>
        <row r="8537">
          <cell r="A8537">
            <v>42152440</v>
          </cell>
          <cell r="B8537" t="str">
            <v>Inversiones de soldadura</v>
          </cell>
        </row>
        <row r="8538">
          <cell r="A8538">
            <v>42152441</v>
          </cell>
          <cell r="B8538" t="str">
            <v>Dientes de polímeros sintéticos</v>
          </cell>
        </row>
        <row r="8539">
          <cell r="A8539">
            <v>42152442</v>
          </cell>
          <cell r="B8539" t="str">
            <v>Titanio sin aleación para implantes dentales</v>
          </cell>
        </row>
        <row r="8540">
          <cell r="A8540">
            <v>42152443</v>
          </cell>
          <cell r="B8540" t="str">
            <v>Cementos de óxido de zinc eugenol y de no eugenol</v>
          </cell>
        </row>
        <row r="8541">
          <cell r="A8541">
            <v>42152444</v>
          </cell>
          <cell r="B8541" t="str">
            <v>Líquido de retracción gingival</v>
          </cell>
        </row>
        <row r="8542">
          <cell r="A8542">
            <v>42152445</v>
          </cell>
          <cell r="B8542" t="str">
            <v>Sets de partes anteriores o posteriores de dientes</v>
          </cell>
        </row>
        <row r="8543">
          <cell r="A8543">
            <v>42152446</v>
          </cell>
          <cell r="B8543" t="str">
            <v>Recubrimientos o materiales adelgazantes o sets para caries dentales</v>
          </cell>
        </row>
        <row r="8544">
          <cell r="A8544">
            <v>42152447</v>
          </cell>
          <cell r="B8544" t="str">
            <v>Tintes o suministros de uso odontológico</v>
          </cell>
        </row>
        <row r="8545">
          <cell r="A8545">
            <v>42152449</v>
          </cell>
          <cell r="B8545" t="str">
            <v>Catalizadores de material de impresión de uso odontológico</v>
          </cell>
        </row>
        <row r="8546">
          <cell r="A8546">
            <v>42152450</v>
          </cell>
          <cell r="B8546" t="str">
            <v>Compuestos limpiadores de instrumentos de uso odontológico</v>
          </cell>
        </row>
        <row r="8547">
          <cell r="A8547">
            <v>42152451</v>
          </cell>
          <cell r="B8547" t="str">
            <v>Compuestos indicadores de presión de uso odontológico</v>
          </cell>
        </row>
        <row r="8548">
          <cell r="A8548">
            <v>42152452</v>
          </cell>
          <cell r="B8548" t="str">
            <v>Kits o accesorios de aislamiento de pastas de uso odontológico</v>
          </cell>
        </row>
        <row r="8549">
          <cell r="A8549">
            <v>42152453</v>
          </cell>
          <cell r="B8549" t="str">
            <v>Compuestos restauradores de uso odontológico</v>
          </cell>
        </row>
        <row r="8550">
          <cell r="A8550">
            <v>42152454</v>
          </cell>
          <cell r="B8550" t="str">
            <v>Protectores de nervios dentales</v>
          </cell>
        </row>
        <row r="8551">
          <cell r="A8551">
            <v>42152455</v>
          </cell>
          <cell r="B8551" t="str">
            <v>Estantes o soportes para productos abrasivos de uso odontológico</v>
          </cell>
        </row>
        <row r="8552">
          <cell r="A8552">
            <v>42152456</v>
          </cell>
          <cell r="B8552" t="str">
            <v>Agentes enmascaradores de uso odontológico</v>
          </cell>
        </row>
        <row r="8553">
          <cell r="A8553">
            <v>42152457</v>
          </cell>
          <cell r="B8553" t="str">
            <v>Kits de cementación de uso odontológico</v>
          </cell>
        </row>
        <row r="8554">
          <cell r="A8554">
            <v>42152458</v>
          </cell>
          <cell r="B8554" t="str">
            <v>Espaciadores de tintes de uso odontológico</v>
          </cell>
        </row>
        <row r="8555">
          <cell r="A8555">
            <v>42152459</v>
          </cell>
          <cell r="B8555" t="str">
            <v>Kits post endodoncia</v>
          </cell>
        </row>
        <row r="8556">
          <cell r="A8556">
            <v>42152460</v>
          </cell>
          <cell r="B8556" t="str">
            <v>Compuestos de recubrimiento para prótesis dentales</v>
          </cell>
        </row>
        <row r="8557">
          <cell r="A8557">
            <v>42152461</v>
          </cell>
          <cell r="B8557" t="str">
            <v>Compuestos de recubrimiento para modelos dentales</v>
          </cell>
        </row>
        <row r="8558">
          <cell r="A8558">
            <v>42152462</v>
          </cell>
          <cell r="B8558" t="str">
            <v>Kits de revestimiento de prótesis dentales</v>
          </cell>
        </row>
        <row r="8559">
          <cell r="A8559">
            <v>42152463</v>
          </cell>
          <cell r="B8559" t="str">
            <v>Solventes de cera de uso odontológico</v>
          </cell>
        </row>
        <row r="8560">
          <cell r="A8560">
            <v>42152464</v>
          </cell>
          <cell r="B8560" t="str">
            <v>Kits para implantes dentales</v>
          </cell>
        </row>
        <row r="8561">
          <cell r="A8561">
            <v>42152465</v>
          </cell>
          <cell r="B8561" t="str">
            <v>Lubricantes dentales</v>
          </cell>
        </row>
        <row r="8562">
          <cell r="A8562">
            <v>42152501</v>
          </cell>
          <cell r="B8562" t="str">
            <v>Kits o bandejas desechables pre ensambladas de uso odontológico</v>
          </cell>
        </row>
        <row r="8563">
          <cell r="A8563">
            <v>42152502</v>
          </cell>
          <cell r="B8563" t="str">
            <v>Baberos de uso odontológico</v>
          </cell>
        </row>
        <row r="8564">
          <cell r="A8564">
            <v>42152503</v>
          </cell>
          <cell r="B8564" t="str">
            <v>Suministros hembra de uso odontológico</v>
          </cell>
        </row>
        <row r="8565">
          <cell r="A8565">
            <v>42152504</v>
          </cell>
          <cell r="B8565" t="str">
            <v>Recubrimientos de uso odontológico</v>
          </cell>
        </row>
        <row r="8566">
          <cell r="A8566">
            <v>42152505</v>
          </cell>
          <cell r="B8566" t="str">
            <v>Forros para el apoyacabezas de la silla de examen de uso odontológico</v>
          </cell>
        </row>
        <row r="8567">
          <cell r="A8567">
            <v>42152506</v>
          </cell>
          <cell r="B8567" t="str">
            <v>Bolitas absorbentes de uso odontológico</v>
          </cell>
        </row>
        <row r="8568">
          <cell r="A8568">
            <v>42152507</v>
          </cell>
          <cell r="B8568" t="str">
            <v>Rollos de uso odontológico</v>
          </cell>
        </row>
        <row r="8569">
          <cell r="A8569">
            <v>42152508</v>
          </cell>
          <cell r="B8569" t="str">
            <v>Jeringas o agujas o jeringas con agujas de uso odontológico</v>
          </cell>
        </row>
        <row r="8570">
          <cell r="A8570">
            <v>42152509</v>
          </cell>
          <cell r="B8570" t="str">
            <v>Cubiertas desechables para bandejas de uso odontológico</v>
          </cell>
        </row>
        <row r="8571">
          <cell r="A8571">
            <v>42152510</v>
          </cell>
          <cell r="B8571" t="str">
            <v>Estuches o cubiertas para instrumentos o sets de uso odontológico</v>
          </cell>
        </row>
        <row r="8572">
          <cell r="A8572">
            <v>42152511</v>
          </cell>
          <cell r="B8572" t="str">
            <v>Platos de uso odontológico</v>
          </cell>
        </row>
        <row r="8573">
          <cell r="A8573">
            <v>42152512</v>
          </cell>
          <cell r="B8573" t="str">
            <v>Pinzas de uso odontológico</v>
          </cell>
        </row>
        <row r="8574">
          <cell r="A8574">
            <v>42152513</v>
          </cell>
          <cell r="B8574" t="str">
            <v>Tazas medidoras de uso odontológico</v>
          </cell>
        </row>
        <row r="8575">
          <cell r="A8575">
            <v>42152514</v>
          </cell>
          <cell r="B8575" t="str">
            <v>Contenedores o accesorios de materiales de desecho de uso odontológico</v>
          </cell>
        </row>
        <row r="8576">
          <cell r="A8576">
            <v>42152516</v>
          </cell>
          <cell r="B8576" t="str">
            <v>Tazones mezcladores de uso odontológico</v>
          </cell>
        </row>
        <row r="8577">
          <cell r="A8577">
            <v>42152517</v>
          </cell>
          <cell r="B8577" t="str">
            <v>Sujetadores o dispensadores de servilletas de uso odontológico</v>
          </cell>
        </row>
        <row r="8578">
          <cell r="A8578">
            <v>42152518</v>
          </cell>
          <cell r="B8578" t="str">
            <v>Dispensadores de materiales de uso odontológico</v>
          </cell>
        </row>
        <row r="8579">
          <cell r="A8579">
            <v>42152519</v>
          </cell>
          <cell r="B8579" t="str">
            <v>Kits de accesorios para jeringas de uso odontológico</v>
          </cell>
        </row>
        <row r="8580">
          <cell r="A8580">
            <v>42152520</v>
          </cell>
          <cell r="B8580" t="str">
            <v>Escupideras de uso odontológico</v>
          </cell>
        </row>
        <row r="8581">
          <cell r="A8581">
            <v>42152601</v>
          </cell>
          <cell r="B8581" t="str">
            <v>Papeles articulados para operación o productos relacionados de uso odontológico</v>
          </cell>
        </row>
        <row r="8582">
          <cell r="A8582">
            <v>42152602</v>
          </cell>
          <cell r="B8582" t="str">
            <v>Barreras de control de infección para operaciones de uso odontológico</v>
          </cell>
        </row>
        <row r="8583">
          <cell r="A8583">
            <v>42152603</v>
          </cell>
          <cell r="B8583" t="str">
            <v>Tornillos de retención o productos relacionados para operaciones de uso odontológico</v>
          </cell>
        </row>
        <row r="8584">
          <cell r="A8584">
            <v>42152604</v>
          </cell>
          <cell r="B8584" t="str">
            <v>Cordones de retracción para operaciones de uso odontológico</v>
          </cell>
        </row>
        <row r="8585">
          <cell r="A8585">
            <v>42152605</v>
          </cell>
          <cell r="B8585" t="str">
            <v>Sets de sialografía de uso odontológico</v>
          </cell>
        </row>
        <row r="8586">
          <cell r="A8586">
            <v>42152606</v>
          </cell>
          <cell r="B8586" t="str">
            <v>Tablillas o sets de uso odontológico</v>
          </cell>
        </row>
        <row r="8587">
          <cell r="A8587">
            <v>42152607</v>
          </cell>
          <cell r="B8587" t="str">
            <v>Anillos para instrumentos de uso odontológico</v>
          </cell>
        </row>
        <row r="8588">
          <cell r="A8588">
            <v>42152608</v>
          </cell>
          <cell r="B8588" t="str">
            <v>Cartuchos de ligadura para ortodoncia</v>
          </cell>
        </row>
        <row r="8589">
          <cell r="A8589">
            <v>42152701</v>
          </cell>
          <cell r="B8589" t="str">
            <v>Articuladores o accesorios de uso odontológico</v>
          </cell>
        </row>
        <row r="8590">
          <cell r="A8590">
            <v>42152702</v>
          </cell>
          <cell r="B8590" t="str">
            <v>Soluciones hemostáticas de uso odontológico</v>
          </cell>
        </row>
        <row r="8591">
          <cell r="A8591">
            <v>42152703</v>
          </cell>
          <cell r="B8591" t="str">
            <v>Tornillos o fijadores o suministros relacionados de uso odontológico</v>
          </cell>
        </row>
        <row r="8592">
          <cell r="A8592">
            <v>42152704</v>
          </cell>
          <cell r="B8592" t="str">
            <v>Retenedores de uso odontológico</v>
          </cell>
        </row>
        <row r="8593">
          <cell r="A8593">
            <v>42152705</v>
          </cell>
          <cell r="B8593" t="str">
            <v>Pinzas de aplicación para ortodoncia</v>
          </cell>
        </row>
        <row r="8594">
          <cell r="A8594">
            <v>42152706</v>
          </cell>
          <cell r="B8594" t="str">
            <v>Frenillos "brackets" para ortodoncia</v>
          </cell>
        </row>
        <row r="8595">
          <cell r="A8595">
            <v>42152707</v>
          </cell>
          <cell r="B8595" t="str">
            <v>Tubos bucales para ortodoncia</v>
          </cell>
        </row>
        <row r="8596">
          <cell r="A8596">
            <v>42152708</v>
          </cell>
          <cell r="B8596" t="str">
            <v>Bobinas de resorte para ortodoncia</v>
          </cell>
        </row>
        <row r="8597">
          <cell r="A8597">
            <v>42152709</v>
          </cell>
          <cell r="B8597" t="str">
            <v>Elásticos para ortodoncia</v>
          </cell>
        </row>
        <row r="8598">
          <cell r="A8598">
            <v>42152710</v>
          </cell>
          <cell r="B8598" t="str">
            <v>Elastómeros para ortodoncia</v>
          </cell>
        </row>
        <row r="8599">
          <cell r="A8599">
            <v>42152711</v>
          </cell>
          <cell r="B8599" t="str">
            <v>Tornillos de expansión para ortodoncia</v>
          </cell>
        </row>
        <row r="8600">
          <cell r="A8600">
            <v>42152712</v>
          </cell>
          <cell r="B8600" t="str">
            <v>Bandas molares para ortodoncia</v>
          </cell>
        </row>
        <row r="8601">
          <cell r="A8601">
            <v>42152713</v>
          </cell>
          <cell r="B8601" t="str">
            <v>Alicates para ortodoncia</v>
          </cell>
        </row>
        <row r="8602">
          <cell r="A8602">
            <v>42152714</v>
          </cell>
          <cell r="B8602" t="str">
            <v>Estuches retenedores para ortodoncia</v>
          </cell>
        </row>
        <row r="8603">
          <cell r="A8603">
            <v>42152715</v>
          </cell>
          <cell r="B8603" t="str">
            <v>Bandas de colocación para ortodoncia</v>
          </cell>
        </row>
        <row r="8604">
          <cell r="A8604">
            <v>42152716</v>
          </cell>
          <cell r="B8604" t="str">
            <v>Topes o bloqueos para ortodoncia</v>
          </cell>
        </row>
        <row r="8605">
          <cell r="A8605">
            <v>42152801</v>
          </cell>
          <cell r="B8605" t="str">
            <v>Cinceles para periodoncia</v>
          </cell>
        </row>
        <row r="8606">
          <cell r="A8606">
            <v>42152802</v>
          </cell>
          <cell r="B8606" t="str">
            <v>Limas para periodoncia</v>
          </cell>
        </row>
        <row r="8607">
          <cell r="A8607">
            <v>42152803</v>
          </cell>
          <cell r="B8607" t="str">
            <v>Separadores para periodoncia</v>
          </cell>
        </row>
        <row r="8608">
          <cell r="A8608">
            <v>42152804</v>
          </cell>
          <cell r="B8608" t="str">
            <v>Instrumentos de prueba de implante periodontal a interface de hueso</v>
          </cell>
        </row>
        <row r="8609">
          <cell r="A8609">
            <v>42152805</v>
          </cell>
          <cell r="B8609" t="str">
            <v>Instrumentos de control para periodoncia</v>
          </cell>
        </row>
        <row r="8610">
          <cell r="A8610">
            <v>42152806</v>
          </cell>
          <cell r="B8610" t="str">
            <v>Disectores de tejido para periodoncia</v>
          </cell>
        </row>
        <row r="8611">
          <cell r="A8611">
            <v>42152807</v>
          </cell>
          <cell r="B8611" t="str">
            <v>Pastas protectoras para periodoncia</v>
          </cell>
        </row>
        <row r="8612">
          <cell r="A8612">
            <v>42152808</v>
          </cell>
          <cell r="B8612" t="str">
            <v>Curetas para periodoncia</v>
          </cell>
        </row>
        <row r="8613">
          <cell r="A8613">
            <v>42152809</v>
          </cell>
          <cell r="B8613" t="str">
            <v>Cuchillos para periodoncia</v>
          </cell>
        </row>
        <row r="8614">
          <cell r="A8614">
            <v>42152810</v>
          </cell>
          <cell r="B8614" t="str">
            <v>Membranas para periodoncia</v>
          </cell>
        </row>
        <row r="8615">
          <cell r="A8615">
            <v>42161501</v>
          </cell>
          <cell r="B8615" t="str">
            <v>Sets de transferencia de diálisis peritoneal ambulatoria continua capd</v>
          </cell>
        </row>
        <row r="8616">
          <cell r="A8616">
            <v>42161502</v>
          </cell>
          <cell r="B8616" t="str">
            <v>Calentadores de dialisato peritoneal</v>
          </cell>
        </row>
        <row r="8617">
          <cell r="A8617">
            <v>42161503</v>
          </cell>
          <cell r="B8617" t="str">
            <v>Sets de administración o cateterización de diálisis peritoneal</v>
          </cell>
        </row>
        <row r="8618">
          <cell r="A8618">
            <v>42161504</v>
          </cell>
          <cell r="B8618" t="str">
            <v>Adaptadores o pinzas o conectores de catéter para diálisis peritoneal</v>
          </cell>
        </row>
        <row r="8619">
          <cell r="A8619">
            <v>42161505</v>
          </cell>
          <cell r="B8619" t="str">
            <v>Bolsas o contenedores de drenaje de diálisis peritoneal</v>
          </cell>
        </row>
        <row r="8620">
          <cell r="A8620">
            <v>42161506</v>
          </cell>
          <cell r="B8620" t="str">
            <v>Derivaciones o catéteres o dispositivos de acceso permanente para diálisis peritoneal</v>
          </cell>
        </row>
        <row r="8621">
          <cell r="A8621">
            <v>42161507</v>
          </cell>
          <cell r="B8621" t="str">
            <v>Soluciones para diálisis peritoneal</v>
          </cell>
        </row>
        <row r="8622">
          <cell r="A8622">
            <v>42161508</v>
          </cell>
          <cell r="B8622" t="str">
            <v>Correas o arneses para unidades de diálisis peritoneal</v>
          </cell>
        </row>
        <row r="8623">
          <cell r="A8623">
            <v>42161509</v>
          </cell>
          <cell r="B8623" t="str">
            <v>Unidades de diálisis peritoneal</v>
          </cell>
        </row>
        <row r="8624">
          <cell r="A8624">
            <v>42161510</v>
          </cell>
          <cell r="B8624" t="str">
            <v>Kits de lavado para diálisis peritoneal</v>
          </cell>
        </row>
        <row r="8625">
          <cell r="A8625">
            <v>42161601</v>
          </cell>
          <cell r="B8625" t="str">
            <v>Kits o sets o accesorios de administración de hemodiálisis</v>
          </cell>
        </row>
        <row r="8626">
          <cell r="A8626">
            <v>42161602</v>
          </cell>
          <cell r="B8626" t="str">
            <v>Muestreadores de bolsas de sangre para hemodiálisis</v>
          </cell>
        </row>
        <row r="8627">
          <cell r="A8627">
            <v>42161603</v>
          </cell>
          <cell r="B8627" t="str">
            <v>Aparato de demanda de oxígeno en la sangre para hemodiálisis</v>
          </cell>
        </row>
        <row r="8628">
          <cell r="A8628">
            <v>42161604</v>
          </cell>
          <cell r="B8628" t="str">
            <v>Sillas para hemodiálisis</v>
          </cell>
        </row>
        <row r="8629">
          <cell r="A8629">
            <v>42161605</v>
          </cell>
          <cell r="B8629" t="str">
            <v>Medidores de conductividad de dialisato para hemodiálisis</v>
          </cell>
        </row>
        <row r="8630">
          <cell r="A8630">
            <v>42161606</v>
          </cell>
          <cell r="B8630" t="str">
            <v>Detectores de nivel de dialisato para hemodiálisis</v>
          </cell>
        </row>
        <row r="8631">
          <cell r="A8631">
            <v>42161607</v>
          </cell>
          <cell r="B8631" t="str">
            <v>Bombas de presión de dialisato para hemodiálisis</v>
          </cell>
        </row>
        <row r="8632">
          <cell r="A8632">
            <v>42161608</v>
          </cell>
          <cell r="B8632" t="str">
            <v>Soluciones de dialisato para hemodiálisis</v>
          </cell>
        </row>
        <row r="8633">
          <cell r="A8633">
            <v>42161609</v>
          </cell>
          <cell r="B8633" t="str">
            <v>Tanques de dialisato para hemodiálisis</v>
          </cell>
        </row>
        <row r="8634">
          <cell r="A8634">
            <v>42161610</v>
          </cell>
          <cell r="B8634" t="str">
            <v>Tubos de dialisato para hemodiálisis</v>
          </cell>
        </row>
        <row r="8635">
          <cell r="A8635">
            <v>42161611</v>
          </cell>
          <cell r="B8635" t="str">
            <v>Baños calentadores de dialisato para hemodiálisis</v>
          </cell>
        </row>
        <row r="8636">
          <cell r="A8636">
            <v>42161612</v>
          </cell>
          <cell r="B8636" t="str">
            <v>Filtros de celuloide de dializador para hemodiálisis</v>
          </cell>
        </row>
        <row r="8637">
          <cell r="A8637">
            <v>42161613</v>
          </cell>
          <cell r="B8637" t="str">
            <v>Filtros de colodión de dializador para hemodiálisis</v>
          </cell>
        </row>
        <row r="8638">
          <cell r="A8638">
            <v>42161614</v>
          </cell>
          <cell r="B8638" t="str">
            <v>Filtros de filamento hueco de dializador para hemodiálisis</v>
          </cell>
        </row>
        <row r="8639">
          <cell r="A8639">
            <v>42161615</v>
          </cell>
          <cell r="B8639" t="str">
            <v>Sistemas de reprocesamiento de dializador para hemodiálisis</v>
          </cell>
        </row>
        <row r="8640">
          <cell r="A8640">
            <v>42161616</v>
          </cell>
          <cell r="B8640" t="str">
            <v>Detectores de burbujas de aire o espuma o coágulos, o trampas o alarmas para unidades de hemodiálisis</v>
          </cell>
        </row>
        <row r="8641">
          <cell r="A8641">
            <v>42161617</v>
          </cell>
          <cell r="B8641" t="str">
            <v>Monitores de presión arterial para unidades de hemodiálisis</v>
          </cell>
        </row>
        <row r="8642">
          <cell r="A8642">
            <v>42161618</v>
          </cell>
          <cell r="B8642" t="str">
            <v>Pinzas de línea de sangre para unidades de hemodiálisis</v>
          </cell>
        </row>
        <row r="8643">
          <cell r="A8643">
            <v>42161619</v>
          </cell>
          <cell r="B8643" t="str">
            <v>Tapas para válvulas de sangre para unidades de hemodiálisis</v>
          </cell>
        </row>
        <row r="8644">
          <cell r="A8644">
            <v>42161620</v>
          </cell>
          <cell r="B8644" t="str">
            <v>Bombas de sangre para unidades de hemodiálisis</v>
          </cell>
        </row>
        <row r="8645">
          <cell r="A8645">
            <v>42161621</v>
          </cell>
          <cell r="B8645" t="str">
            <v>Tapas para válvulas de dialisato unidades de hemodiálisis</v>
          </cell>
        </row>
        <row r="8646">
          <cell r="A8646">
            <v>42161622</v>
          </cell>
          <cell r="B8646" t="str">
            <v>Desinfectantes o limpiadores para unidades de hemodiálisis</v>
          </cell>
        </row>
        <row r="8647">
          <cell r="A8647">
            <v>42161623</v>
          </cell>
          <cell r="B8647" t="str">
            <v>Bombas de infusión de heparina unidades de hemodiálisis</v>
          </cell>
        </row>
        <row r="8648">
          <cell r="A8648">
            <v>42161624</v>
          </cell>
          <cell r="B8648" t="str">
            <v>Controladores de agujas únicas para unidades de hemodiálisis</v>
          </cell>
        </row>
        <row r="8649">
          <cell r="A8649">
            <v>42161625</v>
          </cell>
          <cell r="B8649" t="str">
            <v>Convertidores de un solo paso para unidades de hemodiálisis</v>
          </cell>
        </row>
        <row r="8650">
          <cell r="A8650">
            <v>42161626</v>
          </cell>
          <cell r="B8650" t="str">
            <v>Estantes o soportes o carritos para unidades de hemodiálisis</v>
          </cell>
        </row>
        <row r="8651">
          <cell r="A8651">
            <v>42161627</v>
          </cell>
          <cell r="B8651" t="str">
            <v>Monitores de temperatura para unidades de hemodiálisis</v>
          </cell>
        </row>
        <row r="8652">
          <cell r="A8652">
            <v>42161628</v>
          </cell>
          <cell r="B8652" t="str">
            <v>Equipos de prueba para unidades de hemodiálisis</v>
          </cell>
        </row>
        <row r="8653">
          <cell r="A8653">
            <v>42161629</v>
          </cell>
          <cell r="B8653" t="str">
            <v>Filtros transductores para unidades de hemodiálisis</v>
          </cell>
        </row>
        <row r="8654">
          <cell r="A8654">
            <v>42161630</v>
          </cell>
          <cell r="B8654" t="str">
            <v>Protectores transductores para unidades de hemodiálisis</v>
          </cell>
        </row>
        <row r="8655">
          <cell r="A8655">
            <v>42161631</v>
          </cell>
          <cell r="B8655" t="str">
            <v>Sistemas de purificación del agua para unidades de hemodiálisis</v>
          </cell>
        </row>
        <row r="8656">
          <cell r="A8656">
            <v>42161632</v>
          </cell>
          <cell r="B8656" t="str">
            <v>Unidades de hemodiálisis</v>
          </cell>
        </row>
        <row r="8657">
          <cell r="A8657">
            <v>42161633</v>
          </cell>
          <cell r="B8657" t="str">
            <v>Membranas dializadoras para aparatos de hemodiálisis</v>
          </cell>
        </row>
        <row r="8658">
          <cell r="A8658">
            <v>42161634</v>
          </cell>
          <cell r="B8658" t="str">
            <v>Bandejas de procedimiento o accesorios para hemodiálisis</v>
          </cell>
        </row>
        <row r="8659">
          <cell r="A8659">
            <v>42161635</v>
          </cell>
          <cell r="B8659" t="str">
            <v>Cartuchos para aparatos de hemodiálisis</v>
          </cell>
        </row>
        <row r="8660">
          <cell r="A8660">
            <v>42161701</v>
          </cell>
          <cell r="B8660" t="str">
            <v>Hemofiltro</v>
          </cell>
        </row>
        <row r="8661">
          <cell r="A8661">
            <v>42161702</v>
          </cell>
          <cell r="B8661" t="str">
            <v>Bolsas de recolección de hemofiltración</v>
          </cell>
        </row>
        <row r="8662">
          <cell r="A8662">
            <v>42161703</v>
          </cell>
          <cell r="B8662" t="str">
            <v>Puertos de infusión para hemofiltración</v>
          </cell>
        </row>
        <row r="8663">
          <cell r="A8663">
            <v>42161704</v>
          </cell>
          <cell r="B8663" t="str">
            <v>Puertos de muestreo para hemofiltración</v>
          </cell>
        </row>
        <row r="8664">
          <cell r="A8664">
            <v>42161801</v>
          </cell>
          <cell r="B8664" t="str">
            <v>Unidades de diálisis arterio venosa continua cavhd o productos relacionados</v>
          </cell>
        </row>
        <row r="8665">
          <cell r="A8665">
            <v>42161802</v>
          </cell>
          <cell r="B8665" t="str">
            <v>Unidades de hemofiltración arterio venosa continua cavh o productos relacionados</v>
          </cell>
        </row>
        <row r="8666">
          <cell r="A8666">
            <v>42161803</v>
          </cell>
          <cell r="B8666" t="str">
            <v>Unidades de hemodiálisis o hemofiltración venosa continua o productos relacionados</v>
          </cell>
        </row>
        <row r="8667">
          <cell r="A8667">
            <v>42161804</v>
          </cell>
          <cell r="B8667" t="str">
            <v>Unidades de ultrafiltración continua lenta scuf o productos relacionados</v>
          </cell>
        </row>
        <row r="8668">
          <cell r="A8668">
            <v>42171501</v>
          </cell>
          <cell r="B8668" t="str">
            <v>Bolsas para cuerpos para desastres para servicios médicos de emergencia</v>
          </cell>
        </row>
        <row r="8669">
          <cell r="A8669">
            <v>42171502</v>
          </cell>
          <cell r="B8669" t="str">
            <v>Etiquetas de triage para servicios médicos de emergencia</v>
          </cell>
        </row>
        <row r="8670">
          <cell r="A8670">
            <v>42171601</v>
          </cell>
          <cell r="B8670" t="str">
            <v>Camillas o accesorios para evacuación aérea</v>
          </cell>
        </row>
        <row r="8671">
          <cell r="A8671">
            <v>42171602</v>
          </cell>
          <cell r="B8671" t="str">
            <v>Camillas o accesorios para ambulancias</v>
          </cell>
        </row>
        <row r="8672">
          <cell r="A8672">
            <v>42171603</v>
          </cell>
          <cell r="B8672" t="str">
            <v>Prendas anti choque</v>
          </cell>
        </row>
        <row r="8673">
          <cell r="A8673">
            <v>42171604</v>
          </cell>
          <cell r="B8673" t="str">
            <v>Camillas canasta o accesorios</v>
          </cell>
        </row>
        <row r="8674">
          <cell r="A8674">
            <v>42171605</v>
          </cell>
          <cell r="B8674" t="str">
            <v>Ojales de cable de rescate</v>
          </cell>
        </row>
        <row r="8675">
          <cell r="A8675">
            <v>42171606</v>
          </cell>
          <cell r="B8675" t="str">
            <v>Férulas inflables para servicios médicos de emergencia</v>
          </cell>
        </row>
        <row r="8676">
          <cell r="A8676">
            <v>42171607</v>
          </cell>
          <cell r="B8676" t="str">
            <v>Collares cervicales o de extracción de víctimas para servicios médicos de emergencia</v>
          </cell>
        </row>
        <row r="8677">
          <cell r="A8677">
            <v>42171608</v>
          </cell>
          <cell r="B8677" t="str">
            <v>Inmovilizadores de cabeza para servicios médicos de emergencia</v>
          </cell>
        </row>
        <row r="8678">
          <cell r="A8678">
            <v>42171609</v>
          </cell>
          <cell r="B8678" t="str">
            <v>Correas de retención o espinales para servicios médicos de emergencia</v>
          </cell>
        </row>
        <row r="8679">
          <cell r="A8679">
            <v>42171610</v>
          </cell>
          <cell r="B8679" t="str">
            <v>Inmovilizadores de torso para servicios médicos de emergencia</v>
          </cell>
        </row>
        <row r="8680">
          <cell r="A8680">
            <v>42171611</v>
          </cell>
          <cell r="B8680" t="str">
            <v>Literas o camillas o accesorios para respuesta de emergencia</v>
          </cell>
        </row>
        <row r="8681">
          <cell r="A8681">
            <v>42171612</v>
          </cell>
          <cell r="B8681" t="str">
            <v>Camillas o accesorios redondas</v>
          </cell>
        </row>
        <row r="8682">
          <cell r="A8682">
            <v>42171613</v>
          </cell>
          <cell r="B8682" t="str">
            <v>Tablas espinales</v>
          </cell>
        </row>
        <row r="8683">
          <cell r="A8683">
            <v>42171614</v>
          </cell>
          <cell r="B8683" t="str">
            <v>Tubos o contenedores para rescate en agua</v>
          </cell>
        </row>
        <row r="8684">
          <cell r="A8684">
            <v>42171701</v>
          </cell>
          <cell r="B8684" t="str">
            <v>Cobijas para emergencias o rescates</v>
          </cell>
        </row>
        <row r="8685">
          <cell r="A8685">
            <v>42171702</v>
          </cell>
          <cell r="B8685" t="str">
            <v>Cobijas para primeros auxilios</v>
          </cell>
        </row>
        <row r="8686">
          <cell r="A8686">
            <v>42171703</v>
          </cell>
          <cell r="B8686" t="str">
            <v>Cobertores o cobijas de protección contra el calor para servicios médicos de emergencia</v>
          </cell>
        </row>
        <row r="8687">
          <cell r="A8687">
            <v>42171704</v>
          </cell>
          <cell r="B8687" t="str">
            <v>Fajas para bebés o porta bebés para servicios médicos de emergencia</v>
          </cell>
        </row>
        <row r="8688">
          <cell r="A8688">
            <v>42171801</v>
          </cell>
          <cell r="B8688" t="str">
            <v>Kits de intubación o vía aérea oro faríngea para servicios médicos de emergencia</v>
          </cell>
        </row>
        <row r="8689">
          <cell r="A8689">
            <v>42171802</v>
          </cell>
          <cell r="B8689" t="str">
            <v>Kits de laringoscopia para servicios médicos de emergencia</v>
          </cell>
        </row>
        <row r="8690">
          <cell r="A8690">
            <v>42171803</v>
          </cell>
          <cell r="B8690" t="str">
            <v>Unidades o accesorios de succión para servicios médicos de emergencia</v>
          </cell>
        </row>
        <row r="8691">
          <cell r="A8691">
            <v>42171804</v>
          </cell>
          <cell r="B8691" t="str">
            <v>Kits de cricotiroidotomía o tubo traqueal para servicios médicos de emergencia</v>
          </cell>
        </row>
        <row r="8692">
          <cell r="A8692">
            <v>42171805</v>
          </cell>
          <cell r="B8692" t="str">
            <v>Desplegadores de mandíbula</v>
          </cell>
        </row>
        <row r="8693">
          <cell r="A8693">
            <v>42171806</v>
          </cell>
          <cell r="B8693" t="str">
            <v>Palos para convulsiones</v>
          </cell>
        </row>
        <row r="8694">
          <cell r="A8694">
            <v>42171901</v>
          </cell>
          <cell r="B8694" t="str">
            <v>Bolsas de manejo de vía aérea para servicios médicos de emergencia</v>
          </cell>
        </row>
        <row r="8695">
          <cell r="A8695">
            <v>42171902</v>
          </cell>
          <cell r="B8695" t="str">
            <v>Estuches de desfibriladores para servicios médicos de emergencia</v>
          </cell>
        </row>
        <row r="8696">
          <cell r="A8696">
            <v>42171903</v>
          </cell>
          <cell r="B8696" t="str">
            <v>Estuches de medicamentos para servicios médicos de emergencia</v>
          </cell>
        </row>
        <row r="8697">
          <cell r="A8697">
            <v>42171904</v>
          </cell>
          <cell r="B8697" t="str">
            <v>Estuches o bolsas de productos de extracción para servicios médicos de emergencia</v>
          </cell>
        </row>
        <row r="8698">
          <cell r="A8698">
            <v>42171905</v>
          </cell>
          <cell r="B8698" t="str">
            <v>Estuches intravenosos iv para servicios médicos de emergencia</v>
          </cell>
        </row>
        <row r="8699">
          <cell r="A8699">
            <v>42171906</v>
          </cell>
          <cell r="B8699" t="str">
            <v>Estuches de intubación para servicios médicos de emergencia</v>
          </cell>
        </row>
        <row r="8700">
          <cell r="A8700">
            <v>42171907</v>
          </cell>
          <cell r="B8700" t="str">
            <v>Bolsas de laringoscopia para servicios médicos de emergencia</v>
          </cell>
        </row>
        <row r="8701">
          <cell r="A8701">
            <v>42171908</v>
          </cell>
          <cell r="B8701" t="str">
            <v>Estuches de soporte de vida para servicios médicos de emergencia</v>
          </cell>
        </row>
        <row r="8702">
          <cell r="A8702">
            <v>42171909</v>
          </cell>
          <cell r="B8702" t="str">
            <v>Paquetes de trauma para respuesta de larga distancia ldr para servicios médicos de emergencia</v>
          </cell>
        </row>
        <row r="8703">
          <cell r="A8703">
            <v>42171910</v>
          </cell>
          <cell r="B8703" t="str">
            <v>Estuches paramédicos para servicios médicos de emergencia</v>
          </cell>
        </row>
        <row r="8704">
          <cell r="A8704">
            <v>42171911</v>
          </cell>
          <cell r="B8704" t="str">
            <v>Estuches de oxígeno portátil o resucitación para servicios médicos de emergencia</v>
          </cell>
        </row>
        <row r="8705">
          <cell r="A8705">
            <v>42171912</v>
          </cell>
          <cell r="B8705" t="str">
            <v>Estuches o bolsas de rescate para servicios médicos de emergencia</v>
          </cell>
        </row>
        <row r="8706">
          <cell r="A8706">
            <v>42171913</v>
          </cell>
          <cell r="B8706" t="str">
            <v>Estuches o bolsas de respuesta para servicios médicos de emergencia</v>
          </cell>
        </row>
        <row r="8707">
          <cell r="A8707">
            <v>42171914</v>
          </cell>
          <cell r="B8707" t="str">
            <v>Estuches o bolsas de trauma para servicios médicos de emergencia</v>
          </cell>
        </row>
        <row r="8708">
          <cell r="A8708">
            <v>42171915</v>
          </cell>
          <cell r="B8708" t="str">
            <v>Estuches o bolsas para técnicos médicos de emergencia emt</v>
          </cell>
        </row>
        <row r="8709">
          <cell r="A8709">
            <v>42171916</v>
          </cell>
          <cell r="B8709" t="str">
            <v>Estuches para transportar o almacenar sets de inmovilización para servicios médicos de emergencia</v>
          </cell>
        </row>
        <row r="8710">
          <cell r="A8710">
            <v>42171917</v>
          </cell>
          <cell r="B8710" t="str">
            <v>Estuches o bolsas o accesorios de primeros auxilios para servicios médicos de emergencia</v>
          </cell>
        </row>
        <row r="8711">
          <cell r="A8711">
            <v>42171918</v>
          </cell>
          <cell r="B8711" t="str">
            <v>Estuches de equipos de tratamiento de víctimas de gas para servicios médicos de emergencia</v>
          </cell>
        </row>
        <row r="8712">
          <cell r="A8712">
            <v>42171919</v>
          </cell>
          <cell r="B8712" t="str">
            <v>Bolsas o revestimientos de evacuación para servicios médicos de emergencia</v>
          </cell>
        </row>
        <row r="8713">
          <cell r="A8713">
            <v>42171920</v>
          </cell>
          <cell r="B8713" t="str">
            <v>Estuches o accesorios de ropa para servicios médicos de emergencia</v>
          </cell>
        </row>
        <row r="8714">
          <cell r="A8714">
            <v>42172001</v>
          </cell>
          <cell r="B8714" t="str">
            <v>Kits de primeros auxilios para servicios médicos de emergencia</v>
          </cell>
        </row>
        <row r="8715">
          <cell r="A8715">
            <v>42172002</v>
          </cell>
          <cell r="B8715" t="str">
            <v>Kits de primera respuesta para servicios médicos de emergencia</v>
          </cell>
        </row>
        <row r="8716">
          <cell r="A8716">
            <v>42172003</v>
          </cell>
          <cell r="B8716" t="str">
            <v>Kits intravenosos iv para servicios médicos de emergencia</v>
          </cell>
        </row>
        <row r="8717">
          <cell r="A8717">
            <v>42172004</v>
          </cell>
          <cell r="B8717" t="str">
            <v>Kits de soporte de vida para servicios médicos de emergencia</v>
          </cell>
        </row>
        <row r="8718">
          <cell r="A8718">
            <v>42172005</v>
          </cell>
          <cell r="B8718" t="str">
            <v>Kits de trauma de respuesta de larga distancia ldr para servicios médicos de emergencia</v>
          </cell>
        </row>
        <row r="8719">
          <cell r="A8719">
            <v>42172006</v>
          </cell>
          <cell r="B8719" t="str">
            <v>Kits obstétricos para servicios médicos de emergencia</v>
          </cell>
        </row>
        <row r="8720">
          <cell r="A8720">
            <v>42172007</v>
          </cell>
          <cell r="B8720" t="str">
            <v>Kits de oxígeno o resucitación para servicios médicos de emergencia</v>
          </cell>
        </row>
        <row r="8721">
          <cell r="A8721">
            <v>42172008</v>
          </cell>
          <cell r="B8721" t="str">
            <v>Kits de rapel para servicios médicos de emergencia</v>
          </cell>
        </row>
        <row r="8722">
          <cell r="A8722">
            <v>42172009</v>
          </cell>
          <cell r="B8722" t="str">
            <v>Kits de búsqueda y rescate para servicios médicos de emergencia</v>
          </cell>
        </row>
        <row r="8723">
          <cell r="A8723">
            <v>42172010</v>
          </cell>
          <cell r="B8723" t="str">
            <v>Kits de trauma para servicios médicos de emergencia</v>
          </cell>
        </row>
        <row r="8724">
          <cell r="A8724">
            <v>42172011</v>
          </cell>
          <cell r="B8724" t="str">
            <v>Kits para técnicos médicos de emergencia emt</v>
          </cell>
        </row>
        <row r="8725">
          <cell r="A8725">
            <v>42172012</v>
          </cell>
          <cell r="B8725" t="str">
            <v>Kits de ventriculostomía para servicios médicos de emergencia</v>
          </cell>
        </row>
        <row r="8726">
          <cell r="A8726">
            <v>42172013</v>
          </cell>
          <cell r="B8726" t="str">
            <v>Kits de evacuación para servicios médicos de emergencia</v>
          </cell>
        </row>
        <row r="8727">
          <cell r="A8727">
            <v>42172014</v>
          </cell>
          <cell r="B8727" t="str">
            <v>Kits o suministros de transporte de pacientes para servicios médicos de emergencia</v>
          </cell>
        </row>
        <row r="8728">
          <cell r="A8728">
            <v>42172015</v>
          </cell>
          <cell r="B8728" t="str">
            <v>Kits de tratamiento dental para servicios médicos de emergencia</v>
          </cell>
        </row>
        <row r="8729">
          <cell r="A8729">
            <v>42172016</v>
          </cell>
          <cell r="B8729" t="str">
            <v>Kits de fracturas para servicios médicos de emergencia</v>
          </cell>
        </row>
        <row r="8730">
          <cell r="A8730">
            <v>42172017</v>
          </cell>
          <cell r="B8730" t="str">
            <v>Kits de equipos médicos de laboratorio o de campo o productos relacionados</v>
          </cell>
        </row>
        <row r="8731">
          <cell r="A8731">
            <v>42172101</v>
          </cell>
          <cell r="B8731" t="str">
            <v>Desfibriladores externos automatizados aed o paletas duras</v>
          </cell>
        </row>
        <row r="8732">
          <cell r="A8732">
            <v>42172102</v>
          </cell>
          <cell r="B8732" t="str">
            <v>Escudos o máscaras protectoras para resucitación cardiopulmonar cpr</v>
          </cell>
        </row>
        <row r="8733">
          <cell r="A8733">
            <v>42172103</v>
          </cell>
          <cell r="B8733" t="str">
            <v>Kits aspiradores o resucitadores para emergencias</v>
          </cell>
        </row>
        <row r="8734">
          <cell r="A8734">
            <v>42172201</v>
          </cell>
          <cell r="B8734" t="str">
            <v>Pinzas o torniquetes para servicios médicos de emergencia</v>
          </cell>
        </row>
        <row r="8735">
          <cell r="A8735">
            <v>42181501</v>
          </cell>
          <cell r="B8735" t="str">
            <v>Depresores de lengua o cuchillos o baja lenguas</v>
          </cell>
        </row>
        <row r="8736">
          <cell r="A8736">
            <v>42181502</v>
          </cell>
          <cell r="B8736" t="str">
            <v>Transiluminadores para exámenes de uso médico</v>
          </cell>
        </row>
        <row r="8737">
          <cell r="A8737">
            <v>42181503</v>
          </cell>
          <cell r="B8737" t="str">
            <v>Lubricantes o gelatinas personales o para examen</v>
          </cell>
        </row>
        <row r="8738">
          <cell r="A8738">
            <v>42181504</v>
          </cell>
          <cell r="B8738" t="str">
            <v>Sets de hemacitómetros</v>
          </cell>
        </row>
        <row r="8739">
          <cell r="A8739">
            <v>42181505</v>
          </cell>
          <cell r="B8739" t="str">
            <v>Sets o accesorios de muestreadores de células endometriales</v>
          </cell>
        </row>
        <row r="8740">
          <cell r="A8740">
            <v>42181506</v>
          </cell>
          <cell r="B8740" t="str">
            <v>Kits de determinación de asalto sexual</v>
          </cell>
        </row>
        <row r="8741">
          <cell r="A8741">
            <v>42181507</v>
          </cell>
          <cell r="B8741" t="str">
            <v>Bandas para sujetar el espejo a la frente o accesorios para exámenes médicos</v>
          </cell>
        </row>
        <row r="8742">
          <cell r="A8742">
            <v>42181508</v>
          </cell>
          <cell r="B8742" t="str">
            <v>Pañitos limpiadores para equipo diagnóstico</v>
          </cell>
        </row>
        <row r="8743">
          <cell r="A8743">
            <v>42181509</v>
          </cell>
          <cell r="B8743" t="str">
            <v>Sets de examen físico para cirujanos de vuelo</v>
          </cell>
        </row>
        <row r="8744">
          <cell r="A8744">
            <v>42181510</v>
          </cell>
          <cell r="B8744" t="str">
            <v>Medidores de ictericia transcutáneos</v>
          </cell>
        </row>
        <row r="8745">
          <cell r="A8745">
            <v>42181511</v>
          </cell>
          <cell r="B8745" t="str">
            <v>Evaluadores de impotencia masculina</v>
          </cell>
        </row>
        <row r="8746">
          <cell r="A8746">
            <v>42181512</v>
          </cell>
          <cell r="B8746" t="str">
            <v>Cucharas para examen de portadores de tifoidea</v>
          </cell>
        </row>
        <row r="8747">
          <cell r="A8747">
            <v>42181513</v>
          </cell>
          <cell r="B8747" t="str">
            <v>Kits de irrigación de los senos nasales</v>
          </cell>
        </row>
        <row r="8748">
          <cell r="A8748">
            <v>42181514</v>
          </cell>
          <cell r="B8748" t="str">
            <v>Fotómetros de hemoglobina</v>
          </cell>
        </row>
        <row r="8749">
          <cell r="A8749">
            <v>42181515</v>
          </cell>
          <cell r="B8749" t="str">
            <v>Bandejas de procedimiento para exámenes</v>
          </cell>
        </row>
        <row r="8750">
          <cell r="A8750">
            <v>42181516</v>
          </cell>
          <cell r="B8750" t="str">
            <v>Unidades o accesorios de electromiografía emg</v>
          </cell>
        </row>
        <row r="8751">
          <cell r="A8751">
            <v>42181517</v>
          </cell>
          <cell r="B8751" t="str">
            <v>Unidades de electroencefalografía (EEG) o accesorios</v>
          </cell>
        </row>
        <row r="8752">
          <cell r="A8752">
            <v>42181601</v>
          </cell>
          <cell r="B8752" t="str">
            <v>Unidades de presión de sangre aneroides</v>
          </cell>
        </row>
        <row r="8753">
          <cell r="A8753">
            <v>42181602</v>
          </cell>
          <cell r="B8753" t="str">
            <v>Unidades de presión de sangre electrónicas</v>
          </cell>
        </row>
        <row r="8754">
          <cell r="A8754">
            <v>42181603</v>
          </cell>
          <cell r="B8754" t="str">
            <v>Unidades de presión de sangre de mercurio</v>
          </cell>
        </row>
        <row r="8755">
          <cell r="A8755">
            <v>42181604</v>
          </cell>
          <cell r="B8755" t="str">
            <v>Válvulas o peras inflables de liberación de presión del aire en la sangre</v>
          </cell>
        </row>
        <row r="8756">
          <cell r="A8756">
            <v>42181605</v>
          </cell>
          <cell r="B8756" t="str">
            <v>Mangas o vejigas de presión de la sangre</v>
          </cell>
        </row>
        <row r="8757">
          <cell r="A8757">
            <v>42181606</v>
          </cell>
          <cell r="B8757" t="str">
            <v>Mangueras de inflar o mangueras neumáticas o adaptadores de presión de sangre</v>
          </cell>
        </row>
        <row r="8758">
          <cell r="A8758">
            <v>42181607</v>
          </cell>
          <cell r="B8758" t="str">
            <v>Unidades de registro de presión de sangre</v>
          </cell>
        </row>
        <row r="8759">
          <cell r="A8759">
            <v>42181608</v>
          </cell>
          <cell r="B8759" t="str">
            <v>Accesorios para instrumentos de medición de presión de sangre</v>
          </cell>
        </row>
        <row r="8760">
          <cell r="A8760">
            <v>42181609</v>
          </cell>
          <cell r="B8760" t="str">
            <v>Kits de domo de monitoreo de presión de sangre</v>
          </cell>
        </row>
        <row r="8761">
          <cell r="A8761">
            <v>42181610</v>
          </cell>
          <cell r="B8761" t="str">
            <v>Kits de mangas de presión de sangre</v>
          </cell>
        </row>
        <row r="8762">
          <cell r="A8762">
            <v>42181701</v>
          </cell>
          <cell r="B8762" t="str">
            <v>Unidades de electrocardiografía ekg</v>
          </cell>
        </row>
        <row r="8763">
          <cell r="A8763">
            <v>42181702</v>
          </cell>
          <cell r="B8763" t="str">
            <v>Adaptadores o cables o conductores para electrocardiografía ekg</v>
          </cell>
        </row>
        <row r="8764">
          <cell r="A8764">
            <v>42181703</v>
          </cell>
          <cell r="B8764" t="str">
            <v>Probadores de cables o conductores o unidades de electrocardiografía ekg</v>
          </cell>
        </row>
        <row r="8765">
          <cell r="A8765">
            <v>42181704</v>
          </cell>
          <cell r="B8765" t="str">
            <v>Calibradores o reglas de electrocardiografía ekg</v>
          </cell>
        </row>
        <row r="8766">
          <cell r="A8766">
            <v>42181705</v>
          </cell>
          <cell r="B8766" t="str">
            <v>Registros gráficos de electrocardiografía ekg</v>
          </cell>
        </row>
        <row r="8767">
          <cell r="A8767">
            <v>42181706</v>
          </cell>
          <cell r="B8767" t="str">
            <v>Pantallas de monitor para electrocardiografía ekg</v>
          </cell>
        </row>
        <row r="8768">
          <cell r="A8768">
            <v>42181707</v>
          </cell>
          <cell r="B8768" t="str">
            <v>Electrodos de tira o anillo para electrocardiografía ekg neonatal</v>
          </cell>
        </row>
        <row r="8769">
          <cell r="A8769">
            <v>42181708</v>
          </cell>
          <cell r="B8769" t="str">
            <v>Electrodos de parche para electrocardiografía ekg</v>
          </cell>
        </row>
        <row r="8770">
          <cell r="A8770">
            <v>42181709</v>
          </cell>
          <cell r="B8770" t="str">
            <v>Papel de registro de electrocardiografía (ECG)</v>
          </cell>
        </row>
        <row r="8771">
          <cell r="A8771">
            <v>42181710</v>
          </cell>
          <cell r="B8771" t="str">
            <v>Probadores de superficie de electrodos para electrocardiografía ekg</v>
          </cell>
        </row>
        <row r="8772">
          <cell r="A8772">
            <v>42181711</v>
          </cell>
          <cell r="B8772" t="str">
            <v>Sistemas telefónicos receptores o transmisores para electrocardiografía ekg</v>
          </cell>
        </row>
        <row r="8773">
          <cell r="A8773">
            <v>42181712</v>
          </cell>
          <cell r="B8773" t="str">
            <v>Analizadores de unidad de electrocardiografía ekg</v>
          </cell>
        </row>
        <row r="8774">
          <cell r="A8774">
            <v>42181713</v>
          </cell>
          <cell r="B8774" t="str">
            <v>Sistemas de monitoreo de electrocardiografía ekg continua de larga duración o holter</v>
          </cell>
        </row>
        <row r="8775">
          <cell r="A8775">
            <v>42181714</v>
          </cell>
          <cell r="B8775" t="str">
            <v>Kits de accesorios de monitoreo para electrocardiografía ekg</v>
          </cell>
        </row>
        <row r="8776">
          <cell r="A8776">
            <v>42181715</v>
          </cell>
          <cell r="B8776" t="str">
            <v>Soluciones o cremas para electrodos</v>
          </cell>
        </row>
        <row r="8777">
          <cell r="A8777">
            <v>42181716</v>
          </cell>
          <cell r="B8777" t="str">
            <v>Accesorios para electrocardiografía ekg</v>
          </cell>
        </row>
        <row r="8778">
          <cell r="A8778">
            <v>42181717</v>
          </cell>
          <cell r="B8778" t="str">
            <v>Bombillos de electrodos para electrocardiografía ekg</v>
          </cell>
        </row>
        <row r="8779">
          <cell r="A8779">
            <v>42181718</v>
          </cell>
          <cell r="B8779" t="str">
            <v>Esferos para registro de electrocardiografía ekg</v>
          </cell>
        </row>
        <row r="8780">
          <cell r="A8780">
            <v>42181719</v>
          </cell>
          <cell r="B8780" t="str">
            <v>Transmisor o telemetría o accesorios para electrocardiografía ekg</v>
          </cell>
        </row>
        <row r="8781">
          <cell r="A8781">
            <v>42181801</v>
          </cell>
          <cell r="B8781" t="str">
            <v>Unidades para oxímetros de pulso</v>
          </cell>
        </row>
        <row r="8782">
          <cell r="A8782">
            <v>42181802</v>
          </cell>
          <cell r="B8782" t="str">
            <v>Cables para oxímetros de pulso</v>
          </cell>
        </row>
        <row r="8783">
          <cell r="A8783">
            <v>42181803</v>
          </cell>
          <cell r="B8783" t="str">
            <v>Sondas o sensores para oxímetros de pulso</v>
          </cell>
        </row>
        <row r="8784">
          <cell r="A8784">
            <v>42181804</v>
          </cell>
          <cell r="B8784" t="str">
            <v>Accesorios para sondas o sensores para oxímetros de pulso</v>
          </cell>
        </row>
        <row r="8785">
          <cell r="A8785">
            <v>42181805</v>
          </cell>
          <cell r="B8785" t="str">
            <v>Accesorios para unidades de oxímetros de pulso</v>
          </cell>
        </row>
        <row r="8786">
          <cell r="A8786">
            <v>42181901</v>
          </cell>
          <cell r="B8786" t="str">
            <v>Unidades o accesorios para cuidado intensivo fetal o monitoreo materno</v>
          </cell>
        </row>
        <row r="8787">
          <cell r="A8787">
            <v>42181902</v>
          </cell>
          <cell r="B8787" t="str">
            <v>Unidades o accesorios para monitoreo de presión intracraneal icp</v>
          </cell>
        </row>
        <row r="8788">
          <cell r="A8788">
            <v>42181903</v>
          </cell>
          <cell r="B8788" t="str">
            <v>Unidades o accesorios para monitoreo de salida cardiaca co</v>
          </cell>
        </row>
        <row r="8789">
          <cell r="A8789">
            <v>42181904</v>
          </cell>
          <cell r="B8789" t="str">
            <v>Unidades o accesorios para unidades de signos vitales multi parámetro</v>
          </cell>
        </row>
        <row r="8790">
          <cell r="A8790">
            <v>42181905</v>
          </cell>
          <cell r="B8790" t="str">
            <v>Cables para monitor transductor para uso médico</v>
          </cell>
        </row>
        <row r="8791">
          <cell r="A8791">
            <v>42181906</v>
          </cell>
          <cell r="B8791" t="str">
            <v>Catéteres para monitoreo de presión intrauterina</v>
          </cell>
        </row>
        <row r="8792">
          <cell r="A8792">
            <v>42181907</v>
          </cell>
          <cell r="B8792" t="str">
            <v>Aparatos para metabolismo basal</v>
          </cell>
        </row>
        <row r="8793">
          <cell r="A8793">
            <v>42181908</v>
          </cell>
          <cell r="B8793" t="str">
            <v>Sets o accesorios de monitoreo de presión intra compartimientos</v>
          </cell>
        </row>
        <row r="8794">
          <cell r="A8794">
            <v>42181909</v>
          </cell>
          <cell r="B8794" t="str">
            <v>Papel de registro de monitores fetales</v>
          </cell>
        </row>
        <row r="8795">
          <cell r="A8795">
            <v>42181910</v>
          </cell>
          <cell r="B8795" t="str">
            <v>Kits intrauterinos transcervicales</v>
          </cell>
        </row>
        <row r="8796">
          <cell r="A8796">
            <v>42181911</v>
          </cell>
          <cell r="B8796" t="str">
            <v>Electrodos para cuero cabelludo fetal</v>
          </cell>
        </row>
        <row r="8797">
          <cell r="A8797">
            <v>42182001</v>
          </cell>
          <cell r="B8797" t="str">
            <v>Espéculos para examen anal o rectal</v>
          </cell>
        </row>
        <row r="8798">
          <cell r="A8798">
            <v>42182002</v>
          </cell>
          <cell r="B8798" t="str">
            <v>Anoscopios o proctoscopios</v>
          </cell>
        </row>
        <row r="8799">
          <cell r="A8799">
            <v>42182003</v>
          </cell>
          <cell r="B8799" t="str">
            <v>Colposcopios o vaginoscopios o accesorios</v>
          </cell>
        </row>
        <row r="8800">
          <cell r="A8800">
            <v>42182004</v>
          </cell>
          <cell r="B8800" t="str">
            <v>Dermatoscopios</v>
          </cell>
        </row>
        <row r="8801">
          <cell r="A8801">
            <v>42182005</v>
          </cell>
          <cell r="B8801" t="str">
            <v>Oftalmoscopios u otoscopios o sets de escopios</v>
          </cell>
        </row>
        <row r="8802">
          <cell r="A8802">
            <v>42182006</v>
          </cell>
          <cell r="B8802" t="str">
            <v>Espéculos para examen de laringe o bucofaríngeo</v>
          </cell>
        </row>
        <row r="8803">
          <cell r="A8803">
            <v>42182007</v>
          </cell>
          <cell r="B8803" t="str">
            <v>Bombillos o lámparas de escopios para exámenes médicos</v>
          </cell>
        </row>
        <row r="8804">
          <cell r="A8804">
            <v>42182008</v>
          </cell>
          <cell r="B8804" t="str">
            <v>Manijas de escopios o cargadores de escopios para exámenes médicos</v>
          </cell>
        </row>
        <row r="8805">
          <cell r="A8805">
            <v>42182009</v>
          </cell>
          <cell r="B8805" t="str">
            <v>Puntas de espéculos para escopios o dispensadores de puntas de espéculos para uso médico</v>
          </cell>
        </row>
        <row r="8806">
          <cell r="A8806">
            <v>42182010</v>
          </cell>
          <cell r="B8806" t="str">
            <v>Sujetadores o soportes para espéculos para exámenes médicos</v>
          </cell>
        </row>
        <row r="8807">
          <cell r="A8807">
            <v>42182011</v>
          </cell>
          <cell r="B8807" t="str">
            <v>Espéculos o puntas de dilatación o dispensadores de puntas para exámenes médicos</v>
          </cell>
        </row>
        <row r="8808">
          <cell r="A8808">
            <v>42182012</v>
          </cell>
          <cell r="B8808" t="str">
            <v>Espéculos o dilatadores para exámenes nasales</v>
          </cell>
        </row>
        <row r="8809">
          <cell r="A8809">
            <v>42182013</v>
          </cell>
          <cell r="B8809" t="str">
            <v>Espéculos para examen vaginal</v>
          </cell>
        </row>
        <row r="8810">
          <cell r="A8810">
            <v>42182014</v>
          </cell>
          <cell r="B8810" t="str">
            <v>Accesorios para otoscopios u oftalmoscopios</v>
          </cell>
        </row>
        <row r="8811">
          <cell r="A8811">
            <v>42182015</v>
          </cell>
          <cell r="B8811" t="str">
            <v>Espéculos para otoscopia</v>
          </cell>
        </row>
        <row r="8812">
          <cell r="A8812">
            <v>42182016</v>
          </cell>
          <cell r="B8812" t="str">
            <v>Nasofaringoscopios o accesorios</v>
          </cell>
        </row>
        <row r="8813">
          <cell r="A8813">
            <v>42182017</v>
          </cell>
          <cell r="B8813" t="str">
            <v>Sets de espéculos para oído</v>
          </cell>
        </row>
        <row r="8814">
          <cell r="A8814">
            <v>42182018</v>
          </cell>
          <cell r="B8814" t="str">
            <v>Broncoscopios o accesorios</v>
          </cell>
        </row>
        <row r="8815">
          <cell r="A8815">
            <v>42182019</v>
          </cell>
          <cell r="B8815" t="str">
            <v>Kits de dilatación</v>
          </cell>
        </row>
        <row r="8816">
          <cell r="A8816">
            <v>42182020</v>
          </cell>
          <cell r="B8816" t="str">
            <v>Angioscopios o accesorios</v>
          </cell>
        </row>
        <row r="8817">
          <cell r="A8817">
            <v>42182101</v>
          </cell>
          <cell r="B8817" t="str">
            <v>Estetoscopios electrónicos o accesorios</v>
          </cell>
        </row>
        <row r="8818">
          <cell r="A8818">
            <v>42182102</v>
          </cell>
          <cell r="B8818" t="str">
            <v>Dopplers vasculares de mano o accesorios</v>
          </cell>
        </row>
        <row r="8819">
          <cell r="A8819">
            <v>42182103</v>
          </cell>
          <cell r="B8819" t="str">
            <v>Estetoscopio acústico para uso médico o accesorios</v>
          </cell>
        </row>
        <row r="8820">
          <cell r="A8820">
            <v>42182104</v>
          </cell>
          <cell r="B8820" t="str">
            <v>Estetoscopio de cabeza</v>
          </cell>
        </row>
        <row r="8821">
          <cell r="A8821">
            <v>42182105</v>
          </cell>
          <cell r="B8821" t="str">
            <v>Cubiertas para estetoscopios de cabeza</v>
          </cell>
        </row>
        <row r="8822">
          <cell r="A8822">
            <v>42182106</v>
          </cell>
          <cell r="B8822" t="str">
            <v>Fonocardiográfos estetoscópicos</v>
          </cell>
        </row>
        <row r="8823">
          <cell r="A8823">
            <v>42182107</v>
          </cell>
          <cell r="B8823" t="str">
            <v>Estetoscopios auriculares</v>
          </cell>
        </row>
        <row r="8824">
          <cell r="A8824">
            <v>42182108</v>
          </cell>
          <cell r="B8824" t="str">
            <v>Termorreguladores de pacientes</v>
          </cell>
        </row>
        <row r="8825">
          <cell r="A8825">
            <v>42182201</v>
          </cell>
          <cell r="B8825" t="str">
            <v>Termómetros electrónicos para uso médico</v>
          </cell>
        </row>
        <row r="8826">
          <cell r="A8826">
            <v>42182202</v>
          </cell>
          <cell r="B8826" t="str">
            <v>Termómetros de fibra óptica para uso médico</v>
          </cell>
        </row>
        <row r="8827">
          <cell r="A8827">
            <v>42182203</v>
          </cell>
          <cell r="B8827" t="str">
            <v>Estuches o forros para transportar termómetros para uso médico</v>
          </cell>
        </row>
        <row r="8828">
          <cell r="A8828">
            <v>42182204</v>
          </cell>
          <cell r="B8828" t="str">
            <v>Estantes para termómetros para uso médico</v>
          </cell>
        </row>
        <row r="8829">
          <cell r="A8829">
            <v>42182205</v>
          </cell>
          <cell r="B8829" t="str">
            <v>Fundas para puntas o sondas de termómetros para uso médico</v>
          </cell>
        </row>
        <row r="8830">
          <cell r="A8830">
            <v>42182206</v>
          </cell>
          <cell r="B8830" t="str">
            <v>Termómetros de mercurio para uso médico</v>
          </cell>
        </row>
        <row r="8831">
          <cell r="A8831">
            <v>42182207</v>
          </cell>
          <cell r="B8831" t="str">
            <v>Monitores de temperatura continua o de tendencia de temperatura del paciente</v>
          </cell>
        </row>
        <row r="8832">
          <cell r="A8832">
            <v>42182208</v>
          </cell>
          <cell r="B8832" t="str">
            <v>Bandas de temperatura del paciente</v>
          </cell>
        </row>
        <row r="8833">
          <cell r="A8833">
            <v>42182209</v>
          </cell>
          <cell r="B8833" t="str">
            <v>Sondas para termómetros</v>
          </cell>
        </row>
        <row r="8834">
          <cell r="A8834">
            <v>42182301</v>
          </cell>
          <cell r="B8834" t="str">
            <v>Molinillos de diagnóstico para uso médico</v>
          </cell>
        </row>
        <row r="8835">
          <cell r="A8835">
            <v>42182302</v>
          </cell>
          <cell r="B8835" t="str">
            <v>Martillos o martillos quirúrgicos para reflejos</v>
          </cell>
        </row>
        <row r="8836">
          <cell r="A8836">
            <v>42182303</v>
          </cell>
          <cell r="B8836" t="str">
            <v>Tarjetas de examen neurosiquiátrico</v>
          </cell>
        </row>
        <row r="8837">
          <cell r="A8837">
            <v>42182304</v>
          </cell>
          <cell r="B8837" t="str">
            <v>Sets o kits de pruebas de diagnóstico sicológico</v>
          </cell>
        </row>
        <row r="8838">
          <cell r="A8838">
            <v>42182305</v>
          </cell>
          <cell r="B8838" t="str">
            <v>Sets para procedimientos mielográficos</v>
          </cell>
        </row>
        <row r="8839">
          <cell r="A8839">
            <v>42182306</v>
          </cell>
          <cell r="B8839" t="str">
            <v>Discriminadores neurológicos</v>
          </cell>
        </row>
        <row r="8840">
          <cell r="A8840">
            <v>42182307</v>
          </cell>
          <cell r="B8840" t="str">
            <v>Alfileres neurológicos</v>
          </cell>
        </row>
        <row r="8841">
          <cell r="A8841">
            <v>42182308</v>
          </cell>
          <cell r="B8841" t="str">
            <v>Electroencefalógrafo eeg o accesorios</v>
          </cell>
        </row>
        <row r="8842">
          <cell r="A8842">
            <v>42182309</v>
          </cell>
          <cell r="B8842" t="str">
            <v>Papeles de registro para electroencefalógrafos</v>
          </cell>
        </row>
        <row r="8843">
          <cell r="A8843">
            <v>42182310</v>
          </cell>
          <cell r="B8843" t="str">
            <v>Electromiógrafos</v>
          </cell>
        </row>
        <row r="8844">
          <cell r="A8844">
            <v>42182311</v>
          </cell>
          <cell r="B8844" t="str">
            <v>Sensores neurológicos</v>
          </cell>
        </row>
        <row r="8845">
          <cell r="A8845">
            <v>42182312</v>
          </cell>
          <cell r="B8845" t="str">
            <v>Electrodos o sets para electromiógrafos</v>
          </cell>
        </row>
        <row r="8846">
          <cell r="A8846">
            <v>42182313</v>
          </cell>
          <cell r="B8846" t="str">
            <v>Sets para diagnóstico neurológico</v>
          </cell>
        </row>
        <row r="8847">
          <cell r="A8847">
            <v>42182314</v>
          </cell>
          <cell r="B8847" t="str">
            <v>Dispositivo de retroalimentación biológica</v>
          </cell>
        </row>
        <row r="8848">
          <cell r="A8848">
            <v>42182401</v>
          </cell>
          <cell r="B8848" t="str">
            <v>Audiómetros o accesorios</v>
          </cell>
        </row>
        <row r="8849">
          <cell r="A8849">
            <v>42182402</v>
          </cell>
          <cell r="B8849" t="str">
            <v>Vibradores de hueso audiométricos o analizadores de oído medio</v>
          </cell>
        </row>
        <row r="8850">
          <cell r="A8850">
            <v>42182403</v>
          </cell>
          <cell r="B8850" t="str">
            <v>Cabinas audiométricas o cámaras acústicas para pruebas de audición</v>
          </cell>
        </row>
        <row r="8851">
          <cell r="A8851">
            <v>42182404</v>
          </cell>
          <cell r="B8851" t="str">
            <v>Sets de calibración de unidades de evaluación de función auditiva</v>
          </cell>
        </row>
        <row r="8852">
          <cell r="A8852">
            <v>42182405</v>
          </cell>
          <cell r="B8852" t="str">
            <v>Unidades de evaluación de función auditiva</v>
          </cell>
        </row>
        <row r="8853">
          <cell r="A8853">
            <v>42182406</v>
          </cell>
          <cell r="B8853" t="str">
            <v>Grabadoras gráficas de pruebas auditivas</v>
          </cell>
        </row>
        <row r="8854">
          <cell r="A8854">
            <v>42182407</v>
          </cell>
          <cell r="B8854" t="str">
            <v>Fenestrómetros de oído</v>
          </cell>
        </row>
        <row r="8855">
          <cell r="A8855">
            <v>42182408</v>
          </cell>
          <cell r="B8855" t="str">
            <v>Electrococleógrafos</v>
          </cell>
        </row>
        <row r="8856">
          <cell r="A8856">
            <v>42182409</v>
          </cell>
          <cell r="B8856" t="str">
            <v>Analizadores de audífonos o sistemas de prueba</v>
          </cell>
        </row>
        <row r="8857">
          <cell r="A8857">
            <v>42182410</v>
          </cell>
          <cell r="B8857" t="str">
            <v>Estuches para diapasones para uso médico</v>
          </cell>
        </row>
        <row r="8858">
          <cell r="A8858">
            <v>42182411</v>
          </cell>
          <cell r="B8858" t="str">
            <v>Martillos para diapasones para uso médico</v>
          </cell>
        </row>
        <row r="8859">
          <cell r="A8859">
            <v>42182412</v>
          </cell>
          <cell r="B8859" t="str">
            <v>Diapasones para uso médico</v>
          </cell>
        </row>
        <row r="8860">
          <cell r="A8860">
            <v>42182413</v>
          </cell>
          <cell r="B8860" t="str">
            <v>Sets de diapasones para uso médico</v>
          </cell>
        </row>
        <row r="8861">
          <cell r="A8861">
            <v>42182414</v>
          </cell>
          <cell r="B8861" t="str">
            <v>Analizadores de tinnitus (acúfenos)</v>
          </cell>
        </row>
        <row r="8862">
          <cell r="A8862">
            <v>42182415</v>
          </cell>
          <cell r="B8862" t="str">
            <v>Tubos de toynbee para diagnóstico</v>
          </cell>
        </row>
        <row r="8863">
          <cell r="A8863">
            <v>42182416</v>
          </cell>
          <cell r="B8863" t="str">
            <v>Timpanómetros o sus accesorios</v>
          </cell>
        </row>
        <row r="8864">
          <cell r="A8864">
            <v>42182417</v>
          </cell>
          <cell r="B8864" t="str">
            <v>Cordones de audiometría</v>
          </cell>
        </row>
        <row r="8865">
          <cell r="A8865">
            <v>42182418</v>
          </cell>
          <cell r="B8865" t="str">
            <v>Guías para fenestrómetro</v>
          </cell>
        </row>
        <row r="8866">
          <cell r="A8866">
            <v>42182419</v>
          </cell>
          <cell r="B8866" t="str">
            <v>Aparatos para control de audición</v>
          </cell>
        </row>
        <row r="8867">
          <cell r="A8867">
            <v>42182420</v>
          </cell>
          <cell r="B8867" t="str">
            <v>Sondas aurales</v>
          </cell>
        </row>
        <row r="8868">
          <cell r="A8868">
            <v>42182421</v>
          </cell>
          <cell r="B8868" t="str">
            <v>Calibradores de tapones o accesorios</v>
          </cell>
        </row>
        <row r="8869">
          <cell r="A8869">
            <v>42182422</v>
          </cell>
          <cell r="B8869" t="str">
            <v>Bolsas inflables para oído</v>
          </cell>
        </row>
        <row r="8870">
          <cell r="A8870">
            <v>42182501</v>
          </cell>
          <cell r="B8870" t="str">
            <v>Olfatómetros</v>
          </cell>
        </row>
        <row r="8871">
          <cell r="A8871">
            <v>42182502</v>
          </cell>
          <cell r="B8871" t="str">
            <v>Medidores de flujo nasal o rinoanemómetros</v>
          </cell>
        </row>
        <row r="8872">
          <cell r="A8872">
            <v>42182601</v>
          </cell>
          <cell r="B8872" t="str">
            <v>Luces o lámparas de pie para exámenes médicos</v>
          </cell>
        </row>
        <row r="8873">
          <cell r="A8873">
            <v>42182602</v>
          </cell>
          <cell r="B8873" t="str">
            <v>Luces o lámparas instaladas para exámenes médicos</v>
          </cell>
        </row>
        <row r="8874">
          <cell r="A8874">
            <v>42182603</v>
          </cell>
          <cell r="B8874" t="str">
            <v>Luces de techo o lámparas de techo o accesorios para exámenes médicos</v>
          </cell>
        </row>
        <row r="8875">
          <cell r="A8875">
            <v>42182604</v>
          </cell>
          <cell r="B8875" t="str">
            <v>Linternas para exámenes médicos</v>
          </cell>
        </row>
        <row r="8876">
          <cell r="A8876">
            <v>42182701</v>
          </cell>
          <cell r="B8876" t="str">
            <v>Goniómetros</v>
          </cell>
        </row>
        <row r="8877">
          <cell r="A8877">
            <v>42182702</v>
          </cell>
          <cell r="B8877" t="str">
            <v>Cintas de medición para uso médico</v>
          </cell>
        </row>
        <row r="8878">
          <cell r="A8878">
            <v>42182703</v>
          </cell>
          <cell r="B8878" t="str">
            <v>Reglas de medición de altura de pacientes</v>
          </cell>
        </row>
        <row r="8879">
          <cell r="A8879">
            <v>42182704</v>
          </cell>
          <cell r="B8879" t="str">
            <v>Evaluadores de dobleces de piel</v>
          </cell>
        </row>
        <row r="8880">
          <cell r="A8880">
            <v>42182801</v>
          </cell>
          <cell r="B8880" t="str">
            <v>Básculas de pañales</v>
          </cell>
        </row>
        <row r="8881">
          <cell r="A8881">
            <v>42182802</v>
          </cell>
          <cell r="B8881" t="str">
            <v>Básculas de bebés</v>
          </cell>
        </row>
        <row r="8882">
          <cell r="A8882">
            <v>42182803</v>
          </cell>
          <cell r="B8882" t="str">
            <v>Básculas de mesa o cama para pacientes para uso general</v>
          </cell>
        </row>
        <row r="8883">
          <cell r="A8883">
            <v>42182804</v>
          </cell>
          <cell r="B8883" t="str">
            <v>Básculas de asiento para pacientes</v>
          </cell>
        </row>
        <row r="8884">
          <cell r="A8884">
            <v>42182805</v>
          </cell>
          <cell r="B8884" t="str">
            <v>Básculas de piso para pacientes</v>
          </cell>
        </row>
        <row r="8885">
          <cell r="A8885">
            <v>42182806</v>
          </cell>
          <cell r="B8885" t="str">
            <v>Básculas de eslinga para pacientes</v>
          </cell>
        </row>
        <row r="8886">
          <cell r="A8886">
            <v>42182807</v>
          </cell>
          <cell r="B8886" t="str">
            <v>Básculas de plataforma para sillas de ruedas</v>
          </cell>
        </row>
        <row r="8887">
          <cell r="A8887">
            <v>42182808</v>
          </cell>
          <cell r="B8887" t="str">
            <v>Forros o revestimientos para básculas de pesaje</v>
          </cell>
        </row>
        <row r="8888">
          <cell r="A8888">
            <v>42182901</v>
          </cell>
          <cell r="B8888" t="str">
            <v>Mesas de examen obstétrico o ginecológico</v>
          </cell>
        </row>
        <row r="8889">
          <cell r="A8889">
            <v>42182902</v>
          </cell>
          <cell r="B8889" t="str">
            <v>Mesas de examen con apoya pies para examen obstétrico o ginecológico</v>
          </cell>
        </row>
        <row r="8890">
          <cell r="A8890">
            <v>42182903</v>
          </cell>
          <cell r="B8890" t="str">
            <v>Mesas para examen pediátrico</v>
          </cell>
        </row>
        <row r="8891">
          <cell r="A8891">
            <v>42182904</v>
          </cell>
          <cell r="B8891" t="str">
            <v>Mesas de retención o sistemas de medición para examen pediátrico</v>
          </cell>
        </row>
        <row r="8892">
          <cell r="A8892">
            <v>42183001</v>
          </cell>
          <cell r="B8892" t="str">
            <v>Carteleras para examen de ojos o tarjetas de visión</v>
          </cell>
        </row>
        <row r="8893">
          <cell r="A8893">
            <v>42183002</v>
          </cell>
          <cell r="B8893" t="str">
            <v>Topógrafos corneales</v>
          </cell>
        </row>
        <row r="8894">
          <cell r="A8894">
            <v>42183003</v>
          </cell>
          <cell r="B8894" t="str">
            <v>Exoftalmómetros</v>
          </cell>
        </row>
        <row r="8895">
          <cell r="A8895">
            <v>42183004</v>
          </cell>
          <cell r="B8895" t="str">
            <v>Queratoscopios</v>
          </cell>
        </row>
        <row r="8896">
          <cell r="A8896">
            <v>42183005</v>
          </cell>
          <cell r="B8896" t="str">
            <v>Colorímetros oftálmicos</v>
          </cell>
        </row>
        <row r="8897">
          <cell r="A8897">
            <v>42183006</v>
          </cell>
          <cell r="B8897" t="str">
            <v>Distómetros oftálmicos</v>
          </cell>
        </row>
        <row r="8898">
          <cell r="A8898">
            <v>42183007</v>
          </cell>
          <cell r="B8898" t="str">
            <v>Tambores oftálmicos o sus accesorios</v>
          </cell>
        </row>
        <row r="8899">
          <cell r="A8899">
            <v>42183008</v>
          </cell>
          <cell r="B8899" t="str">
            <v>Eutiscopios oftálmicos</v>
          </cell>
        </row>
        <row r="8900">
          <cell r="A8900">
            <v>42183009</v>
          </cell>
          <cell r="B8900" t="str">
            <v>Lentes de prueba del ojo o sus accesorios para uso oftálmico</v>
          </cell>
        </row>
        <row r="8901">
          <cell r="A8901">
            <v>42183010</v>
          </cell>
          <cell r="B8901" t="str">
            <v>Lensómetros para uso oftálmico</v>
          </cell>
        </row>
        <row r="8902">
          <cell r="A8902">
            <v>42183011</v>
          </cell>
          <cell r="B8902" t="str">
            <v>Perímetros para uso oftálmico</v>
          </cell>
        </row>
        <row r="8903">
          <cell r="A8903">
            <v>42183012</v>
          </cell>
          <cell r="B8903" t="str">
            <v>Fotómetros para uso oftálmico</v>
          </cell>
        </row>
        <row r="8904">
          <cell r="A8904">
            <v>42183013</v>
          </cell>
          <cell r="B8904" t="str">
            <v>Prismas para uso oftálmico</v>
          </cell>
        </row>
        <row r="8905">
          <cell r="A8905">
            <v>42183014</v>
          </cell>
          <cell r="B8905" t="str">
            <v>Retinoscopios para uso oftálmico</v>
          </cell>
        </row>
        <row r="8906">
          <cell r="A8906">
            <v>42183015</v>
          </cell>
          <cell r="B8906" t="str">
            <v>Lámparas de hendidura para uso oftálmico</v>
          </cell>
        </row>
        <row r="8907">
          <cell r="A8907">
            <v>42183016</v>
          </cell>
          <cell r="B8907" t="str">
            <v>Espectrofotómetros para uso oftálmico</v>
          </cell>
        </row>
        <row r="8908">
          <cell r="A8908">
            <v>42183017</v>
          </cell>
          <cell r="B8908" t="str">
            <v>Espéculos para uso oftálmico</v>
          </cell>
        </row>
        <row r="8909">
          <cell r="A8909">
            <v>42183018</v>
          </cell>
          <cell r="B8909" t="str">
            <v>Tonómetros o accesorios para uso oftálmico</v>
          </cell>
        </row>
        <row r="8910">
          <cell r="A8910">
            <v>42183019</v>
          </cell>
          <cell r="B8910" t="str">
            <v>Transiluminadores para uso oftálmico</v>
          </cell>
        </row>
        <row r="8911">
          <cell r="A8911">
            <v>42183020</v>
          </cell>
          <cell r="B8911" t="str">
            <v>Trazadores de campo visual para uso oftálmico</v>
          </cell>
        </row>
        <row r="8912">
          <cell r="A8912">
            <v>42183021</v>
          </cell>
          <cell r="B8912" t="str">
            <v>Analizadores de función visual para uso oftálmico</v>
          </cell>
        </row>
        <row r="8913">
          <cell r="A8913">
            <v>42183022</v>
          </cell>
          <cell r="B8913" t="str">
            <v>Visiómetros para uso oftálmico</v>
          </cell>
        </row>
        <row r="8914">
          <cell r="A8914">
            <v>42183023</v>
          </cell>
          <cell r="B8914" t="str">
            <v>Oftalmómetros</v>
          </cell>
        </row>
        <row r="8915">
          <cell r="A8915">
            <v>42183024</v>
          </cell>
          <cell r="B8915" t="str">
            <v>Mesas para instrumentos o accesorios para uso oftálmico</v>
          </cell>
        </row>
        <row r="8916">
          <cell r="A8916">
            <v>42183025</v>
          </cell>
          <cell r="B8916" t="str">
            <v>Lentes de vitrectomía</v>
          </cell>
        </row>
        <row r="8917">
          <cell r="A8917">
            <v>42183026</v>
          </cell>
          <cell r="B8917" t="str">
            <v>Oftalmodinamómetros</v>
          </cell>
        </row>
        <row r="8918">
          <cell r="A8918">
            <v>42183027</v>
          </cell>
          <cell r="B8918" t="str">
            <v>Kits o accesorios de pruebas de monitoreo tangente</v>
          </cell>
        </row>
        <row r="8919">
          <cell r="A8919">
            <v>42183028</v>
          </cell>
          <cell r="B8919" t="str">
            <v>Accesorios para retinoscopio para uso oftálmico</v>
          </cell>
        </row>
        <row r="8920">
          <cell r="A8920">
            <v>42183029</v>
          </cell>
          <cell r="B8920" t="str">
            <v>Unidades de forópter</v>
          </cell>
        </row>
        <row r="8921">
          <cell r="A8921">
            <v>42183030</v>
          </cell>
          <cell r="B8921" t="str">
            <v>Oclusores de ojos</v>
          </cell>
        </row>
        <row r="8922">
          <cell r="A8922">
            <v>42183031</v>
          </cell>
          <cell r="B8922" t="str">
            <v>Sets o accesorios de placas pseudoisocromáticas</v>
          </cell>
        </row>
        <row r="8923">
          <cell r="A8923">
            <v>42183032</v>
          </cell>
          <cell r="B8923" t="str">
            <v>Taquistoscopio</v>
          </cell>
        </row>
        <row r="8924">
          <cell r="A8924">
            <v>42183033</v>
          </cell>
          <cell r="B8924" t="str">
            <v>Sets de ajuste de anteojos</v>
          </cell>
        </row>
        <row r="8925">
          <cell r="A8925">
            <v>42183034</v>
          </cell>
          <cell r="B8925" t="str">
            <v>Estereoscopios para probar la visión</v>
          </cell>
        </row>
        <row r="8926">
          <cell r="A8926">
            <v>42183035</v>
          </cell>
          <cell r="B8926" t="str">
            <v>Queratómetros refractores de combinación</v>
          </cell>
        </row>
        <row r="8927">
          <cell r="A8927">
            <v>42183036</v>
          </cell>
          <cell r="B8927" t="str">
            <v>Placas base para oftalmómetros</v>
          </cell>
        </row>
        <row r="8928">
          <cell r="A8928">
            <v>42183037</v>
          </cell>
          <cell r="B8928" t="str">
            <v>Proyectores de cuadros o accesorios</v>
          </cell>
        </row>
        <row r="8929">
          <cell r="A8929">
            <v>42183038</v>
          </cell>
          <cell r="B8929" t="str">
            <v>Almohadillas de uso oftálmico</v>
          </cell>
        </row>
        <row r="8930">
          <cell r="A8930">
            <v>42183039</v>
          </cell>
          <cell r="B8930" t="str">
            <v>Sujetadores de lentes oftálmicos</v>
          </cell>
        </row>
        <row r="8931">
          <cell r="A8931">
            <v>42183040</v>
          </cell>
          <cell r="B8931" t="str">
            <v>Herramientas o accesorios para optómetras</v>
          </cell>
        </row>
        <row r="8932">
          <cell r="A8932">
            <v>42183041</v>
          </cell>
          <cell r="B8932" t="str">
            <v>Linternas de pruebas de percepción del color</v>
          </cell>
        </row>
        <row r="8933">
          <cell r="A8933">
            <v>42183042</v>
          </cell>
          <cell r="B8933" t="str">
            <v>Aparatos de percepción de profundidad</v>
          </cell>
        </row>
        <row r="8934">
          <cell r="A8934">
            <v>42183043</v>
          </cell>
          <cell r="B8934" t="str">
            <v>Bombillos para oftalmómetros</v>
          </cell>
        </row>
        <row r="8935">
          <cell r="A8935">
            <v>42183044</v>
          </cell>
          <cell r="B8935" t="str">
            <v>Pantallas tangentes</v>
          </cell>
        </row>
        <row r="8936">
          <cell r="A8936">
            <v>42183045</v>
          </cell>
          <cell r="B8936" t="str">
            <v>Sistemas de electroretinograma</v>
          </cell>
        </row>
        <row r="8937">
          <cell r="A8937">
            <v>42183046</v>
          </cell>
          <cell r="B8937" t="str">
            <v>Sets o accesorios de prueba de visión binocular</v>
          </cell>
        </row>
        <row r="8938">
          <cell r="A8938">
            <v>42183047</v>
          </cell>
          <cell r="B8938" t="str">
            <v>Soportes miradores para pruebas de agudeza visual</v>
          </cell>
        </row>
        <row r="8939">
          <cell r="A8939">
            <v>42183048</v>
          </cell>
          <cell r="B8939" t="str">
            <v>Barras de fijación de niños para uso oftálmico</v>
          </cell>
        </row>
        <row r="8940">
          <cell r="A8940">
            <v>42183101</v>
          </cell>
          <cell r="B8940" t="str">
            <v>Gustómetros</v>
          </cell>
        </row>
        <row r="8941">
          <cell r="A8941">
            <v>42183201</v>
          </cell>
          <cell r="B8941" t="str">
            <v>Instrumentos o accesorios para detectar o probar alergias</v>
          </cell>
        </row>
        <row r="8942">
          <cell r="A8942">
            <v>42183301</v>
          </cell>
          <cell r="B8942" t="str">
            <v>Accesorios para espejos de examen de oído nariz garganta ent</v>
          </cell>
        </row>
        <row r="8943">
          <cell r="A8943">
            <v>42191501</v>
          </cell>
          <cell r="B8943" t="str">
            <v>Sistema de tubo neumático clínico</v>
          </cell>
        </row>
        <row r="8944">
          <cell r="A8944">
            <v>42191502</v>
          </cell>
          <cell r="B8944" t="str">
            <v>Bandejas o cubiertas para medicinas</v>
          </cell>
        </row>
        <row r="8945">
          <cell r="A8945">
            <v>42191601</v>
          </cell>
          <cell r="B8945" t="str">
            <v>Iluminación para habitaciones de pacientes o accesorios</v>
          </cell>
        </row>
        <row r="8946">
          <cell r="A8946">
            <v>42191602</v>
          </cell>
          <cell r="B8946" t="str">
            <v>Iluminación para salas de cirugía o accesorios</v>
          </cell>
        </row>
        <row r="8947">
          <cell r="A8947">
            <v>42191603</v>
          </cell>
          <cell r="B8947" t="str">
            <v>Paneles de instrumentos para equipos hospitalarios</v>
          </cell>
        </row>
        <row r="8948">
          <cell r="A8948">
            <v>42191604</v>
          </cell>
          <cell r="B8948" t="str">
            <v>Brazos de monitoreo clínico</v>
          </cell>
        </row>
        <row r="8949">
          <cell r="A8949">
            <v>42191605</v>
          </cell>
          <cell r="B8949" t="str">
            <v>Columnas para equipos eléctricos hospitalarios</v>
          </cell>
        </row>
        <row r="8950">
          <cell r="A8950">
            <v>42191606</v>
          </cell>
          <cell r="B8950" t="str">
            <v>Brazos de techo para instalaciones médicas</v>
          </cell>
        </row>
        <row r="8951">
          <cell r="A8951">
            <v>42191607</v>
          </cell>
          <cell r="B8951" t="str">
            <v>Cortinas de cubículo o pantallas o hardware de rieles de cortinas para pacientes</v>
          </cell>
        </row>
        <row r="8952">
          <cell r="A8952">
            <v>42191608</v>
          </cell>
          <cell r="B8952" t="str">
            <v>Controles de enfermería o monitores de salida</v>
          </cell>
        </row>
        <row r="8953">
          <cell r="A8953">
            <v>42191609</v>
          </cell>
          <cell r="B8953" t="str">
            <v>Sistemas de pared principal para uso clínico</v>
          </cell>
        </row>
        <row r="8954">
          <cell r="A8954">
            <v>42191610</v>
          </cell>
          <cell r="B8954" t="str">
            <v>Módulos de trabajo para uso clínico</v>
          </cell>
        </row>
        <row r="8955">
          <cell r="A8955">
            <v>42191611</v>
          </cell>
          <cell r="B8955" t="str">
            <v>Módulos o sistemas de comunicación de enfermería</v>
          </cell>
        </row>
        <row r="8956">
          <cell r="A8956">
            <v>42191612</v>
          </cell>
          <cell r="B8956" t="str">
            <v>Sistemas de intercomunicación hospitalaria</v>
          </cell>
        </row>
        <row r="8957">
          <cell r="A8957">
            <v>42191701</v>
          </cell>
          <cell r="B8957" t="str">
            <v>Pistas de servicio de electricidad o gas para uso médico</v>
          </cell>
        </row>
        <row r="8958">
          <cell r="A8958">
            <v>42191702</v>
          </cell>
          <cell r="B8958" t="str">
            <v>Columnas de entrega de gas para uso médico</v>
          </cell>
        </row>
        <row r="8959">
          <cell r="A8959">
            <v>42191703</v>
          </cell>
          <cell r="B8959" t="str">
            <v>Salidas de gas para uso médico</v>
          </cell>
        </row>
        <row r="8960">
          <cell r="A8960">
            <v>42191704</v>
          </cell>
          <cell r="B8960" t="str">
            <v>Sistemas de compresión de aire gas para uso médico</v>
          </cell>
        </row>
        <row r="8961">
          <cell r="A8961">
            <v>42191705</v>
          </cell>
          <cell r="B8961" t="str">
            <v>Alarmas de gas para uso médico</v>
          </cell>
        </row>
        <row r="8962">
          <cell r="A8962">
            <v>42191706</v>
          </cell>
          <cell r="B8962" t="str">
            <v>Colector de gas para uso medico</v>
          </cell>
        </row>
        <row r="8963">
          <cell r="A8963">
            <v>42191707</v>
          </cell>
          <cell r="B8963" t="str">
            <v>Sistemas de vacío para uso médico</v>
          </cell>
        </row>
        <row r="8964">
          <cell r="A8964">
            <v>42191708</v>
          </cell>
          <cell r="B8964" t="str">
            <v>Gabinetes de control de presión de aire para uso médico</v>
          </cell>
        </row>
        <row r="8965">
          <cell r="A8965">
            <v>42191709</v>
          </cell>
          <cell r="B8965" t="str">
            <v>Válvulas de cierre de gas o cajas de válvulas para uso médico</v>
          </cell>
        </row>
        <row r="8966">
          <cell r="A8966">
            <v>42191710</v>
          </cell>
          <cell r="B8966" t="str">
            <v>Carros o puestos o accesorios para cilindros de gas para uso médico</v>
          </cell>
        </row>
        <row r="8967">
          <cell r="A8967">
            <v>42191711</v>
          </cell>
          <cell r="B8967" t="str">
            <v>Tanques de aire comprimido o accesorios para uso quirúrgico</v>
          </cell>
        </row>
        <row r="8968">
          <cell r="A8968">
            <v>42191801</v>
          </cell>
          <cell r="B8968" t="str">
            <v>Mesas para encima de la cama o accesorios</v>
          </cell>
        </row>
        <row r="8969">
          <cell r="A8969">
            <v>42191802</v>
          </cell>
          <cell r="B8969" t="str">
            <v>Incubadoras o calentadores de bebés para uso clínico</v>
          </cell>
        </row>
        <row r="8970">
          <cell r="A8970">
            <v>42191803</v>
          </cell>
          <cell r="B8970" t="str">
            <v>Moisés o cunas o camas pediátricas o accesorios</v>
          </cell>
        </row>
        <row r="8971">
          <cell r="A8971">
            <v>42191804</v>
          </cell>
          <cell r="B8971" t="str">
            <v>Barandas para camas para uso médico o quirúrgico</v>
          </cell>
        </row>
        <row r="8972">
          <cell r="A8972">
            <v>42191805</v>
          </cell>
          <cell r="B8972" t="str">
            <v>Columnas suspendidas para uso médico</v>
          </cell>
        </row>
        <row r="8973">
          <cell r="A8973">
            <v>42191806</v>
          </cell>
          <cell r="B8973" t="str">
            <v>Barras de trapecio para uso clínico</v>
          </cell>
        </row>
        <row r="8974">
          <cell r="A8974">
            <v>42191807</v>
          </cell>
          <cell r="B8974" t="str">
            <v>Camas o accesorios de cuidado del paciente para uso general</v>
          </cell>
        </row>
        <row r="8975">
          <cell r="A8975">
            <v>42191808</v>
          </cell>
          <cell r="B8975" t="str">
            <v>Camas o accesorios de cuidado del paciente para cuidado especial</v>
          </cell>
        </row>
        <row r="8976">
          <cell r="A8976">
            <v>42191809</v>
          </cell>
          <cell r="B8976" t="str">
            <v>Almohadillas o bombas de presión alterna</v>
          </cell>
        </row>
        <row r="8977">
          <cell r="A8977">
            <v>42191810</v>
          </cell>
          <cell r="B8977" t="str">
            <v>Colchones o accesorios para el cuidado del paciente</v>
          </cell>
        </row>
        <row r="8978">
          <cell r="A8978">
            <v>42191811</v>
          </cell>
          <cell r="B8978" t="str">
            <v>Cunas de posicionamiento para bebés</v>
          </cell>
        </row>
        <row r="8979">
          <cell r="A8979">
            <v>42191812</v>
          </cell>
          <cell r="B8979" t="str">
            <v>Kits de suministros de incubadoras para bebés</v>
          </cell>
        </row>
        <row r="8980">
          <cell r="A8980">
            <v>42191813</v>
          </cell>
          <cell r="B8980" t="str">
            <v>Forros de catre para el cuidado del paciente</v>
          </cell>
        </row>
        <row r="8981">
          <cell r="A8981">
            <v>42191814</v>
          </cell>
          <cell r="B8981" t="str">
            <v>Accesorios para incubadora o calentadora de bebés para uso clínico</v>
          </cell>
        </row>
        <row r="8982">
          <cell r="A8982">
            <v>42191901</v>
          </cell>
          <cell r="B8982" t="str">
            <v>Gabinetes clínicos para junto a la cama o accesorios</v>
          </cell>
        </row>
        <row r="8983">
          <cell r="A8983">
            <v>42191902</v>
          </cell>
          <cell r="B8983" t="str">
            <v>Armarios para uso hospitalario</v>
          </cell>
        </row>
        <row r="8984">
          <cell r="A8984">
            <v>42191903</v>
          </cell>
          <cell r="B8984" t="str">
            <v>Gabinetes de monitoreo para uso médico</v>
          </cell>
        </row>
        <row r="8985">
          <cell r="A8985">
            <v>42191904</v>
          </cell>
          <cell r="B8985" t="str">
            <v>Gabinetes o cajas fuertes para narcóticos</v>
          </cell>
        </row>
        <row r="8986">
          <cell r="A8986">
            <v>42191905</v>
          </cell>
          <cell r="B8986" t="str">
            <v>Gabinetes de tratamiento para uso médico</v>
          </cell>
        </row>
        <row r="8987">
          <cell r="A8987">
            <v>42191906</v>
          </cell>
          <cell r="B8987" t="str">
            <v>Gabinetes calentadores de cobijas o soluciones</v>
          </cell>
        </row>
        <row r="8988">
          <cell r="A8988">
            <v>42191907</v>
          </cell>
          <cell r="B8988" t="str">
            <v>Gabinetes o muebles de almacenamiento de instrumentos para uso médico</v>
          </cell>
        </row>
        <row r="8989">
          <cell r="A8989">
            <v>42192001</v>
          </cell>
          <cell r="B8989" t="str">
            <v>Mesas de examen o procedimientos médicos para uso general</v>
          </cell>
        </row>
        <row r="8990">
          <cell r="A8990">
            <v>42192002</v>
          </cell>
          <cell r="B8990" t="str">
            <v>Accesorios para mesas de examen o procedimientos médicos para uso general excluyendo sábanas para cubrirlas</v>
          </cell>
        </row>
        <row r="8991">
          <cell r="A8991">
            <v>42192101</v>
          </cell>
          <cell r="B8991" t="str">
            <v>Asientos o accesorios para sacar sangre o flebotomía</v>
          </cell>
        </row>
        <row r="8992">
          <cell r="A8992">
            <v>42192102</v>
          </cell>
          <cell r="B8992" t="str">
            <v>Reclinadoras o accesorios para uso hospitalario</v>
          </cell>
        </row>
        <row r="8993">
          <cell r="A8993">
            <v>42192103</v>
          </cell>
          <cell r="B8993" t="str">
            <v>Asientos para pacientes</v>
          </cell>
        </row>
        <row r="8994">
          <cell r="A8994">
            <v>42192104</v>
          </cell>
          <cell r="B8994" t="str">
            <v>Taburetes médicos y accesorios</v>
          </cell>
        </row>
        <row r="8995">
          <cell r="A8995">
            <v>42192106</v>
          </cell>
          <cell r="B8995" t="str">
            <v>Asientos para visitantes de instalaciones médicas</v>
          </cell>
        </row>
        <row r="8996">
          <cell r="A8996">
            <v>42192107</v>
          </cell>
          <cell r="B8996" t="str">
            <v>Asientos de examen clínico o accesorios</v>
          </cell>
        </row>
        <row r="8997">
          <cell r="A8997">
            <v>42192201</v>
          </cell>
          <cell r="B8997" t="str">
            <v>Camillas con ruedas o accesorios para el transporte de pacientes</v>
          </cell>
        </row>
        <row r="8998">
          <cell r="A8998">
            <v>42192202</v>
          </cell>
          <cell r="B8998" t="str">
            <v>Elevadores de camillas o de tijeras</v>
          </cell>
        </row>
        <row r="8999">
          <cell r="A8999">
            <v>42192203</v>
          </cell>
          <cell r="B8999" t="str">
            <v>Asientos geriátricos o accesorios</v>
          </cell>
        </row>
        <row r="9000">
          <cell r="A9000">
            <v>42192204</v>
          </cell>
          <cell r="B9000" t="str">
            <v>Incubadoras para el transporte de pacientes o accesorios</v>
          </cell>
        </row>
        <row r="9001">
          <cell r="A9001">
            <v>42192205</v>
          </cell>
          <cell r="B9001" t="str">
            <v>Accesorios para carritos de pacientes</v>
          </cell>
        </row>
        <row r="9002">
          <cell r="A9002">
            <v>42192206</v>
          </cell>
          <cell r="B9002" t="str">
            <v>Carritos de pacientes</v>
          </cell>
        </row>
        <row r="9003">
          <cell r="A9003">
            <v>42192207</v>
          </cell>
          <cell r="B9003" t="str">
            <v>Camillas para pacientes o accesorios para camillas</v>
          </cell>
        </row>
        <row r="9004">
          <cell r="A9004">
            <v>42192208</v>
          </cell>
          <cell r="B9004" t="str">
            <v>Accesorios para sillas de ruedas</v>
          </cell>
        </row>
        <row r="9005">
          <cell r="A9005">
            <v>42192209</v>
          </cell>
          <cell r="B9005" t="str">
            <v>Rampas para sillas de ruedas</v>
          </cell>
        </row>
        <row r="9006">
          <cell r="A9006">
            <v>42192210</v>
          </cell>
          <cell r="B9006" t="str">
            <v>Sillas de ruedas</v>
          </cell>
        </row>
        <row r="9007">
          <cell r="A9007">
            <v>42192211</v>
          </cell>
          <cell r="B9007" t="str">
            <v>Tablas para mover pacientes o sus accesorios</v>
          </cell>
        </row>
        <row r="9008">
          <cell r="A9008">
            <v>42192212</v>
          </cell>
          <cell r="B9008" t="str">
            <v>Esterilla o sábana para transferencia de pacientes</v>
          </cell>
        </row>
        <row r="9009">
          <cell r="A9009">
            <v>42192213</v>
          </cell>
          <cell r="B9009" t="str">
            <v>Unidad de sistema de calefacción para mantener o evacuar pacientes o accesorios</v>
          </cell>
        </row>
        <row r="9010">
          <cell r="A9010">
            <v>42192301</v>
          </cell>
          <cell r="B9010" t="str">
            <v>Elevadores de pacientes o accesorios</v>
          </cell>
        </row>
        <row r="9011">
          <cell r="A9011">
            <v>42192302</v>
          </cell>
          <cell r="B9011" t="str">
            <v>Elevadores hidráulicos o accesorios para uso clínico</v>
          </cell>
        </row>
        <row r="9012">
          <cell r="A9012">
            <v>42192303</v>
          </cell>
          <cell r="B9012" t="str">
            <v>Asientos suspendidos o eslingas para pacientes</v>
          </cell>
        </row>
        <row r="9013">
          <cell r="A9013">
            <v>42192304</v>
          </cell>
          <cell r="B9013" t="str">
            <v>Montacargas de techo para pacientes</v>
          </cell>
        </row>
        <row r="9014">
          <cell r="A9014">
            <v>42192305</v>
          </cell>
          <cell r="B9014" t="str">
            <v>Eslingas para bebés o accesorios</v>
          </cell>
        </row>
        <row r="9015">
          <cell r="A9015">
            <v>42192401</v>
          </cell>
          <cell r="B9015" t="str">
            <v>Carritos de emergencia o resucitación</v>
          </cell>
        </row>
        <row r="9016">
          <cell r="A9016">
            <v>42192402</v>
          </cell>
          <cell r="B9016" t="str">
            <v>Carritos específicos para equipos de diagnóstico o monitoreo</v>
          </cell>
        </row>
        <row r="9017">
          <cell r="A9017">
            <v>42192403</v>
          </cell>
          <cell r="B9017" t="str">
            <v>Carritos de aislamiento para uso médico</v>
          </cell>
        </row>
        <row r="9018">
          <cell r="A9018">
            <v>42192404</v>
          </cell>
          <cell r="B9018" t="str">
            <v>Carritos o accesorios para uso médico</v>
          </cell>
        </row>
        <row r="9019">
          <cell r="A9019">
            <v>42192405</v>
          </cell>
          <cell r="B9019" t="str">
            <v>Puestos móviles de irrigación</v>
          </cell>
        </row>
        <row r="9020">
          <cell r="A9020">
            <v>42192406</v>
          </cell>
          <cell r="B9020" t="str">
            <v>Carritos para transportar orinales</v>
          </cell>
        </row>
        <row r="9021">
          <cell r="A9021">
            <v>42192501</v>
          </cell>
          <cell r="B9021" t="str">
            <v>Forros para equipos médicos</v>
          </cell>
        </row>
        <row r="9022">
          <cell r="A9022">
            <v>42192502</v>
          </cell>
          <cell r="B9022" t="str">
            <v>Bolsas para equipos médicos</v>
          </cell>
        </row>
        <row r="9023">
          <cell r="A9023">
            <v>42192601</v>
          </cell>
          <cell r="B9023" t="str">
            <v>Moldes de supositorios</v>
          </cell>
        </row>
        <row r="9024">
          <cell r="A9024">
            <v>42192602</v>
          </cell>
          <cell r="B9024" t="str">
            <v>Dispensadores de pastillas o medicamentos o accesorios</v>
          </cell>
        </row>
        <row r="9025">
          <cell r="A9025">
            <v>42192603</v>
          </cell>
          <cell r="B9025" t="str">
            <v>Tazas o botellas para administrar medicamentos o accesorios</v>
          </cell>
        </row>
        <row r="9026">
          <cell r="A9026">
            <v>42192604</v>
          </cell>
          <cell r="B9026" t="str">
            <v>Sistemas o accesorios para la entrega de drogas</v>
          </cell>
        </row>
        <row r="9027">
          <cell r="A9027">
            <v>42192605</v>
          </cell>
          <cell r="B9027" t="str">
            <v>Kits de encapsulamiento de aneurismas</v>
          </cell>
        </row>
        <row r="9028">
          <cell r="A9028">
            <v>42201501</v>
          </cell>
          <cell r="B9028" t="str">
            <v>Instalación de unidad estacionaria completa para tomografía computarizada ct o cat para uso médico</v>
          </cell>
        </row>
        <row r="9029">
          <cell r="A9029">
            <v>42201502</v>
          </cell>
          <cell r="B9029" t="str">
            <v>Unidades móviles o transportables o unidad de camión para tomografía computarizada ct o cat para uso médico</v>
          </cell>
        </row>
        <row r="9030">
          <cell r="A9030">
            <v>42201503</v>
          </cell>
          <cell r="B9030" t="str">
            <v>Componentes de sistema tridimensional para tomografía computarizada ct o cat para uso médico</v>
          </cell>
        </row>
        <row r="9031">
          <cell r="A9031">
            <v>42201504</v>
          </cell>
          <cell r="B9031" t="str">
            <v>Componentes de hueso de contenido mineral para tomografía computarizada ct o cat para uso médico</v>
          </cell>
        </row>
        <row r="9032">
          <cell r="A9032">
            <v>42201505</v>
          </cell>
          <cell r="B9032" t="str">
            <v>Consolas para tomografía computarizada ct o cat para uso médico</v>
          </cell>
        </row>
        <row r="9033">
          <cell r="A9033">
            <v>42201506</v>
          </cell>
          <cell r="B9033" t="str">
            <v>Inyectores de agentes de contraste de tomografía informatizada (TAC o CT) médica</v>
          </cell>
        </row>
        <row r="9034">
          <cell r="A9034">
            <v>42201507</v>
          </cell>
          <cell r="B9034" t="str">
            <v>Componentes de sistema helicoidal para tomografía computarizada ct o cat para uso médico</v>
          </cell>
        </row>
        <row r="9035">
          <cell r="A9035">
            <v>42201508</v>
          </cell>
          <cell r="B9035" t="str">
            <v>Monitores para tomografía computarizada ct o cat para uso médico</v>
          </cell>
        </row>
        <row r="9036">
          <cell r="A9036">
            <v>42201509</v>
          </cell>
          <cell r="B9036" t="str">
            <v>Acondicionadores de energía para tomografía computarizada ct o cat para uso médico</v>
          </cell>
        </row>
        <row r="9037">
          <cell r="A9037">
            <v>42201510</v>
          </cell>
          <cell r="B9037" t="str">
            <v>Simuladores o dispositivos de aseguramiento de calidad o de calibración para tomografía computarizada ct o cat para uso médico</v>
          </cell>
        </row>
        <row r="9038">
          <cell r="A9038">
            <v>42201511</v>
          </cell>
          <cell r="B9038" t="str">
            <v>Escáneres o tubos para tomografía computarizada ct o cat para uso médico</v>
          </cell>
        </row>
        <row r="9039">
          <cell r="A9039">
            <v>42201512</v>
          </cell>
          <cell r="B9039" t="str">
            <v>Mesas o puestos o asientos para tomografía computarizada ct o cat para uso médico</v>
          </cell>
        </row>
        <row r="9040">
          <cell r="A9040">
            <v>42201513</v>
          </cell>
          <cell r="B9040" t="str">
            <v>Componentes de sistema ultra rápido para tomografía computarizada ct o cat para uso médico</v>
          </cell>
        </row>
        <row r="9041">
          <cell r="A9041">
            <v>42201601</v>
          </cell>
          <cell r="B9041" t="str">
            <v>Instalación de unidad estacionaria completa de imágenes de resonancia magnética mri para uso médico</v>
          </cell>
        </row>
        <row r="9042">
          <cell r="A9042">
            <v>42201602</v>
          </cell>
          <cell r="B9042" t="str">
            <v>Sistemas móviles o transportables o de camión de imágenes de resonancia magnética mri para uso médico</v>
          </cell>
        </row>
        <row r="9043">
          <cell r="A9043">
            <v>42201603</v>
          </cell>
          <cell r="B9043" t="str">
            <v>Componentes de sistema tridimensional de imágenes de resonancia magnética mri para uso médico</v>
          </cell>
        </row>
        <row r="9044">
          <cell r="A9044">
            <v>42201604</v>
          </cell>
          <cell r="B9044" t="str">
            <v>Simuladores o dispositivos de aseguramiento de calidad o calibración de imágenes de resonancia magnética mri para uso médico</v>
          </cell>
        </row>
        <row r="9045">
          <cell r="A9045">
            <v>42201605</v>
          </cell>
          <cell r="B9045" t="str">
            <v>Bobinas de imágenes de resonancia magnética mri para uso médico</v>
          </cell>
        </row>
        <row r="9046">
          <cell r="A9046">
            <v>42201606</v>
          </cell>
          <cell r="B9046" t="str">
            <v>Inyectores de agentes de contraste de resonancia magnética (MRI) médica</v>
          </cell>
        </row>
        <row r="9047">
          <cell r="A9047">
            <v>42201607</v>
          </cell>
          <cell r="B9047" t="str">
            <v>Monitores de imágenes de resonancia magnética mri para uso médico</v>
          </cell>
        </row>
        <row r="9048">
          <cell r="A9048">
            <v>42201608</v>
          </cell>
          <cell r="B9048" t="str">
            <v>Consolas primarias o remotas o secundarias de imágenes de resonancia magnética mri para uso médico</v>
          </cell>
        </row>
        <row r="9049">
          <cell r="A9049">
            <v>42201609</v>
          </cell>
          <cell r="B9049" t="str">
            <v>Escáneres de imágenes de resonancia magnética mri para uso médico</v>
          </cell>
        </row>
        <row r="9050">
          <cell r="A9050">
            <v>42201610</v>
          </cell>
          <cell r="B9050" t="str">
            <v>Instrumentos quirúrgicos o sistemas de guía de imágenes de resonancia magnética mri para uso médico</v>
          </cell>
        </row>
        <row r="9051">
          <cell r="A9051">
            <v>42201611</v>
          </cell>
          <cell r="B9051" t="str">
            <v>Mesas de imágenes de resonancia magnética mri para uso médico</v>
          </cell>
        </row>
        <row r="9052">
          <cell r="A9052">
            <v>42201701</v>
          </cell>
          <cell r="B9052" t="str">
            <v>Ultrasonido cardiaco o doppler o unidades de eco o cardioscopios</v>
          </cell>
        </row>
        <row r="9053">
          <cell r="A9053">
            <v>42201702</v>
          </cell>
          <cell r="B9053" t="str">
            <v>Ultrasonido o unidades de eco fetales o ginecológicas</v>
          </cell>
        </row>
        <row r="9054">
          <cell r="A9054">
            <v>42201703</v>
          </cell>
          <cell r="B9054" t="str">
            <v>Ultrasonido o unidades de eco mamográficas</v>
          </cell>
        </row>
        <row r="9055">
          <cell r="A9055">
            <v>42201704</v>
          </cell>
          <cell r="B9055" t="str">
            <v>Densitómetros de hueso por ultrasonido para uso médico</v>
          </cell>
        </row>
        <row r="9056">
          <cell r="A9056">
            <v>42201705</v>
          </cell>
          <cell r="B9056" t="str">
            <v>Forros para ultrasonido o doppler o eco sonda para uso médico</v>
          </cell>
        </row>
        <row r="9057">
          <cell r="A9057">
            <v>42201706</v>
          </cell>
          <cell r="B9057" t="str">
            <v>Sondas para ultrasonido o doppler o eco para uso médico</v>
          </cell>
        </row>
        <row r="9058">
          <cell r="A9058">
            <v>42201707</v>
          </cell>
          <cell r="B9058" t="str">
            <v>Calentadores de gel para ultrasonido o doppler o eco para uso médico</v>
          </cell>
        </row>
        <row r="9059">
          <cell r="A9059">
            <v>42201708</v>
          </cell>
          <cell r="B9059" t="str">
            <v>Geles para ultrasonido o doppler o eco para uso médico</v>
          </cell>
        </row>
        <row r="9060">
          <cell r="A9060">
            <v>42201709</v>
          </cell>
          <cell r="B9060" t="str">
            <v>Monitores para ultrasonido o doppler o eco para uso médico</v>
          </cell>
        </row>
        <row r="9061">
          <cell r="A9061">
            <v>42201710</v>
          </cell>
          <cell r="B9061" t="str">
            <v>Impresoras para ultrasonido o doppler o eco para uso médico</v>
          </cell>
        </row>
        <row r="9062">
          <cell r="A9062">
            <v>42201711</v>
          </cell>
          <cell r="B9062" t="str">
            <v>Transductores o accesorios para ultrasonido o doppler o eco para uso médico</v>
          </cell>
        </row>
        <row r="9063">
          <cell r="A9063">
            <v>42201712</v>
          </cell>
          <cell r="B9063" t="str">
            <v>Unidades de ultrasonido o doppler o eco pulso o ecografía de diagnóstico general para uso médico</v>
          </cell>
        </row>
        <row r="9064">
          <cell r="A9064">
            <v>42201713</v>
          </cell>
          <cell r="B9064" t="str">
            <v>Componentes tridimensionales para ultrasonido o doppler o eco para uso médico</v>
          </cell>
        </row>
        <row r="9065">
          <cell r="A9065">
            <v>42201714</v>
          </cell>
          <cell r="B9065" t="str">
            <v>Tensiómetros</v>
          </cell>
        </row>
        <row r="9066">
          <cell r="A9066">
            <v>42201715</v>
          </cell>
          <cell r="B9066" t="str">
            <v>Sondas o accesorios para ultrasonido o eco vaginal</v>
          </cell>
        </row>
        <row r="9067">
          <cell r="A9067">
            <v>42201716</v>
          </cell>
          <cell r="B9067" t="str">
            <v>Unidades de ultrasonido vascular</v>
          </cell>
        </row>
        <row r="9068">
          <cell r="A9068">
            <v>42201717</v>
          </cell>
          <cell r="B9068" t="str">
            <v>Almohadillas de transmisión de ultrasonido para uso médico</v>
          </cell>
        </row>
        <row r="9069">
          <cell r="A9069">
            <v>42201718</v>
          </cell>
          <cell r="B9069" t="str">
            <v>Escáneres oftálmicos de ultrasonido para uso médico</v>
          </cell>
        </row>
        <row r="9070">
          <cell r="A9070">
            <v>42201719</v>
          </cell>
          <cell r="B9070" t="str">
            <v>Lociones de escáner por ultrasonido para uso médico</v>
          </cell>
        </row>
        <row r="9071">
          <cell r="A9071">
            <v>42201801</v>
          </cell>
          <cell r="B9071" t="str">
            <v>Películas de rayos x para cardiología</v>
          </cell>
        </row>
        <row r="9072">
          <cell r="A9072">
            <v>42201802</v>
          </cell>
          <cell r="B9072" t="str">
            <v>Equipos de rayos x para cardiología</v>
          </cell>
        </row>
        <row r="9073">
          <cell r="A9073">
            <v>42201803</v>
          </cell>
          <cell r="B9073" t="str">
            <v>Equipos de rayos x para mamografías</v>
          </cell>
        </row>
        <row r="9074">
          <cell r="A9074">
            <v>42201804</v>
          </cell>
          <cell r="B9074" t="str">
            <v>Unidades de brazo c de rayos x para uso médico</v>
          </cell>
        </row>
        <row r="9075">
          <cell r="A9075">
            <v>42201805</v>
          </cell>
          <cell r="B9075" t="str">
            <v>Equipo de cine fluoroscopio para uso médico</v>
          </cell>
        </row>
        <row r="9076">
          <cell r="A9076">
            <v>42201806</v>
          </cell>
          <cell r="B9076" t="str">
            <v>Equipo de radiología y fluoroscopia rf para uso médico</v>
          </cell>
        </row>
        <row r="9077">
          <cell r="A9077">
            <v>42201807</v>
          </cell>
          <cell r="B9077" t="str">
            <v>Escáneres de radioisótopos para uso médico</v>
          </cell>
        </row>
        <row r="9078">
          <cell r="A9078">
            <v>42201808</v>
          </cell>
          <cell r="B9078" t="str">
            <v>Rejillas móviles de rayos x para uso médico</v>
          </cell>
        </row>
        <row r="9079">
          <cell r="A9079">
            <v>42201809</v>
          </cell>
          <cell r="B9079" t="str">
            <v>Inyectores o accesorios de agentes de contraste para imágenes para uso médico</v>
          </cell>
        </row>
        <row r="9080">
          <cell r="A9080">
            <v>42201810</v>
          </cell>
          <cell r="B9080" t="str">
            <v>Casetes o película de rayos x de uso general para uso médico</v>
          </cell>
        </row>
        <row r="9081">
          <cell r="A9081">
            <v>42201811</v>
          </cell>
          <cell r="B9081" t="str">
            <v>Dispositivos de aseguramiento de calidad o calibración de rayos x para uso médico</v>
          </cell>
        </row>
        <row r="9082">
          <cell r="A9082">
            <v>42201812</v>
          </cell>
          <cell r="B9082" t="str">
            <v>Mesas o puestos o asientos o gabinetes o accesorios de rayos x para uso médico</v>
          </cell>
        </row>
        <row r="9083">
          <cell r="A9083">
            <v>42201813</v>
          </cell>
          <cell r="B9083" t="str">
            <v>Unidades de tomografía de rayos x para uso médico</v>
          </cell>
        </row>
        <row r="9084">
          <cell r="A9084">
            <v>42201814</v>
          </cell>
          <cell r="B9084" t="str">
            <v>Tubos de rayos x para uso médico</v>
          </cell>
        </row>
        <row r="9085">
          <cell r="A9085">
            <v>42201815</v>
          </cell>
          <cell r="B9085" t="str">
            <v>Unidades de rayos x de uso diagnóstico general para uso médico</v>
          </cell>
        </row>
        <row r="9086">
          <cell r="A9086">
            <v>42201816</v>
          </cell>
          <cell r="B9086" t="str">
            <v>Unidades de xerorradiografía para uso médico</v>
          </cell>
        </row>
        <row r="9087">
          <cell r="A9087">
            <v>42201817</v>
          </cell>
          <cell r="B9087" t="str">
            <v>Densitómetros de hueso de rayos x</v>
          </cell>
        </row>
        <row r="9088">
          <cell r="A9088">
            <v>42201818</v>
          </cell>
          <cell r="B9088" t="str">
            <v>Cuñas de pisada y trompos de combinación para equipo radiográfico</v>
          </cell>
        </row>
        <row r="9089">
          <cell r="A9089">
            <v>42201819</v>
          </cell>
          <cell r="B9089" t="str">
            <v>Colgadores o sus accesorios para películas de rayos x</v>
          </cell>
        </row>
        <row r="9090">
          <cell r="A9090">
            <v>42201820</v>
          </cell>
          <cell r="B9090" t="str">
            <v>Rejillas de equipo radiográfico para uso médico</v>
          </cell>
        </row>
        <row r="9091">
          <cell r="A9091">
            <v>42201821</v>
          </cell>
          <cell r="B9091" t="str">
            <v>Sujeta casetes de película radiográfica</v>
          </cell>
        </row>
        <row r="9092">
          <cell r="A9092">
            <v>42201822</v>
          </cell>
          <cell r="B9092" t="str">
            <v>Estuches o fundas o accesorios para equipos de rayos x para uso médico</v>
          </cell>
        </row>
        <row r="9093">
          <cell r="A9093">
            <v>42201823</v>
          </cell>
          <cell r="B9093" t="str">
            <v>Unidad de tubo y transformador de rayos x para uso médico</v>
          </cell>
        </row>
        <row r="9094">
          <cell r="A9094">
            <v>42201824</v>
          </cell>
          <cell r="B9094" t="str">
            <v>Sets de artrografía para uso médico</v>
          </cell>
        </row>
        <row r="9095">
          <cell r="A9095">
            <v>42201825</v>
          </cell>
          <cell r="B9095" t="str">
            <v>Insertos de tubo de aparatos de rayos x para uso médico</v>
          </cell>
        </row>
        <row r="9096">
          <cell r="A9096">
            <v>42201826</v>
          </cell>
          <cell r="B9096" t="str">
            <v>Kits de reparación de aparatos de rayos x para uso médico</v>
          </cell>
        </row>
        <row r="9097">
          <cell r="A9097">
            <v>42201827</v>
          </cell>
          <cell r="B9097" t="str">
            <v>Kits de reparación de carpa de cuarto oscuro de rayos x para uso médico</v>
          </cell>
        </row>
        <row r="9098">
          <cell r="A9098">
            <v>42201828</v>
          </cell>
          <cell r="B9098" t="str">
            <v>Filtros de aparatos de rayos x para uso médico</v>
          </cell>
        </row>
        <row r="9099">
          <cell r="A9099">
            <v>42201829</v>
          </cell>
          <cell r="B9099" t="str">
            <v>Localizadores radiográficos</v>
          </cell>
        </row>
        <row r="9100">
          <cell r="A9100">
            <v>42201830</v>
          </cell>
          <cell r="B9100" t="str">
            <v>Pantallas intensificadoras de rayos x para uso médico</v>
          </cell>
        </row>
        <row r="9101">
          <cell r="A9101">
            <v>42201831</v>
          </cell>
          <cell r="B9101" t="str">
            <v>Tapas de casetes o películas de rayos x para uso médico</v>
          </cell>
        </row>
        <row r="9102">
          <cell r="A9102">
            <v>42201832</v>
          </cell>
          <cell r="B9102" t="str">
            <v>Cubiertas de casetes o película radiográfica</v>
          </cell>
        </row>
        <row r="9103">
          <cell r="A9103">
            <v>42201833</v>
          </cell>
          <cell r="B9103" t="str">
            <v>Cambiadores de casetes o película radiográfica</v>
          </cell>
        </row>
        <row r="9104">
          <cell r="A9104">
            <v>42201834</v>
          </cell>
          <cell r="B9104" t="str">
            <v>Ensamblajes rectificadores de aparatos de rayos x radiográficos para uso médico</v>
          </cell>
        </row>
        <row r="9105">
          <cell r="A9105">
            <v>42201835</v>
          </cell>
          <cell r="B9105" t="str">
            <v>Ensamblajes de unidades de tubos de aparatos de rayos x para uso médico</v>
          </cell>
        </row>
        <row r="9106">
          <cell r="A9106">
            <v>42201836</v>
          </cell>
          <cell r="B9106" t="str">
            <v>Ensamblajes de bandas de compresión de aparatos de rayos x para uso médico</v>
          </cell>
        </row>
        <row r="9107">
          <cell r="A9107">
            <v>42201837</v>
          </cell>
          <cell r="B9107" t="str">
            <v>Enfriadores de agua de rayos x para uso médico</v>
          </cell>
        </row>
        <row r="9108">
          <cell r="A9108">
            <v>42201838</v>
          </cell>
          <cell r="B9108" t="str">
            <v>Catéteres o kits de catéteres de enteroclisis para uso médico</v>
          </cell>
        </row>
        <row r="9109">
          <cell r="A9109">
            <v>42201839</v>
          </cell>
          <cell r="B9109" t="str">
            <v>Bandejas de procedimientos de imágenes para uso médico</v>
          </cell>
        </row>
        <row r="9110">
          <cell r="A9110">
            <v>42201840</v>
          </cell>
          <cell r="B9110" t="str">
            <v>Dispositivos sellantes vasculares</v>
          </cell>
        </row>
        <row r="9111">
          <cell r="A9111">
            <v>42201841</v>
          </cell>
          <cell r="B9111" t="str">
            <v>Papeles de rayos x diagnósticos para uso médico</v>
          </cell>
        </row>
        <row r="9112">
          <cell r="A9112">
            <v>42201901</v>
          </cell>
          <cell r="B9112" t="str">
            <v>Luces de punto caliente de película de rayos x para uso médico</v>
          </cell>
        </row>
        <row r="9113">
          <cell r="A9113">
            <v>42201902</v>
          </cell>
          <cell r="B9113" t="str">
            <v>Sistemas de estanterías de despliegue largas de rayos x para uso médico</v>
          </cell>
        </row>
        <row r="9114">
          <cell r="A9114">
            <v>42201903</v>
          </cell>
          <cell r="B9114" t="str">
            <v>Cajas de despliegue de película de rayos x para uso médico</v>
          </cell>
        </row>
        <row r="9115">
          <cell r="A9115">
            <v>42201904</v>
          </cell>
          <cell r="B9115" t="str">
            <v>Ventanas o pantallas iluminadoras de película de rayos x para uso médico</v>
          </cell>
        </row>
        <row r="9116">
          <cell r="A9116">
            <v>42201905</v>
          </cell>
          <cell r="B9116" t="str">
            <v>Estuches de transferencia de película de rayos x para uso médico</v>
          </cell>
        </row>
        <row r="9117">
          <cell r="A9117">
            <v>42201906</v>
          </cell>
          <cell r="B9117" t="str">
            <v>Ganchos iluminadores de película de rayos x para uso médico</v>
          </cell>
        </row>
        <row r="9118">
          <cell r="A9118">
            <v>42201907</v>
          </cell>
          <cell r="B9118" t="str">
            <v>Estereoscopios de película de rayos x para uso médico</v>
          </cell>
        </row>
        <row r="9119">
          <cell r="A9119">
            <v>42201908</v>
          </cell>
          <cell r="B9119" t="str">
            <v>Viseras para monitores fluoroscopios para uso médico</v>
          </cell>
        </row>
        <row r="9120">
          <cell r="A9120">
            <v>42202001</v>
          </cell>
          <cell r="B9120" t="str">
            <v>Cámaras gamma de uso general para uso médico</v>
          </cell>
        </row>
        <row r="9121">
          <cell r="A9121">
            <v>42202002</v>
          </cell>
          <cell r="B9121" t="str">
            <v>Sistemas de navegación o accesorios para mapeo linfático</v>
          </cell>
        </row>
        <row r="9122">
          <cell r="A9122">
            <v>42202003</v>
          </cell>
          <cell r="B9122" t="str">
            <v>Sondas para mapeo linfático</v>
          </cell>
        </row>
        <row r="9123">
          <cell r="A9123">
            <v>42202004</v>
          </cell>
          <cell r="B9123" t="str">
            <v>Colimadores para mapeo linfático</v>
          </cell>
        </row>
        <row r="9124">
          <cell r="A9124">
            <v>42202005</v>
          </cell>
          <cell r="B9124" t="str">
            <v>Paquete de procedimiento para mapeo linfático</v>
          </cell>
        </row>
        <row r="9125">
          <cell r="A9125">
            <v>42202101</v>
          </cell>
          <cell r="B9125" t="str">
            <v>Contenedores o semillas de intra cavidad para braquiterapia</v>
          </cell>
        </row>
        <row r="9126">
          <cell r="A9126">
            <v>42202102</v>
          </cell>
          <cell r="B9126" t="str">
            <v>Catéteres o jeringas o insertores o aplicadores para braquiterapia</v>
          </cell>
        </row>
        <row r="9127">
          <cell r="A9127">
            <v>42202103</v>
          </cell>
          <cell r="B9127" t="str">
            <v>Contenedores de almacenamiento de semillas para braquiterapia</v>
          </cell>
        </row>
        <row r="9128">
          <cell r="A9128">
            <v>42202104</v>
          </cell>
          <cell r="B9128" t="str">
            <v>Kits de captura de semillas para braquiterapia</v>
          </cell>
        </row>
        <row r="9129">
          <cell r="A9129">
            <v>42202105</v>
          </cell>
          <cell r="B9129" t="str">
            <v>Unidades de braquiterapia</v>
          </cell>
        </row>
        <row r="9130">
          <cell r="A9130">
            <v>42202201</v>
          </cell>
          <cell r="B9130" t="str">
            <v>Colimadores o cascos de cuchillo gamma para radio cirugía</v>
          </cell>
        </row>
        <row r="9131">
          <cell r="A9131">
            <v>42202202</v>
          </cell>
          <cell r="B9131" t="str">
            <v>Unidades o centelladores de cuchillos gamma radio quirúrgicos</v>
          </cell>
        </row>
        <row r="9132">
          <cell r="A9132">
            <v>42202203</v>
          </cell>
          <cell r="B9132" t="str">
            <v>Sets de almohadillas para cascos de radio cirugía</v>
          </cell>
        </row>
        <row r="9133">
          <cell r="A9133">
            <v>42202301</v>
          </cell>
          <cell r="B9133" t="str">
            <v>Unidades bidimensionales de terapia de radiación de intensidad modulada de acelerador lineal imrt para uso médico</v>
          </cell>
        </row>
        <row r="9134">
          <cell r="A9134">
            <v>42202302</v>
          </cell>
          <cell r="B9134" t="str">
            <v>Unidades tridimensionales de terapia de radiación de intensidad modulada de acelerador lineal imrt para uso médico</v>
          </cell>
        </row>
        <row r="9135">
          <cell r="A9135">
            <v>42202303</v>
          </cell>
          <cell r="B9135" t="str">
            <v>Colimadores de terapia de radiación de intensidad modulada de acelerador lineal imrt para uso médico</v>
          </cell>
        </row>
        <row r="9136">
          <cell r="A9136">
            <v>42202401</v>
          </cell>
          <cell r="B9136" t="str">
            <v>Unidades de tomografía de emisión de positrones pet para uso médico</v>
          </cell>
        </row>
        <row r="9137">
          <cell r="A9137">
            <v>42202501</v>
          </cell>
          <cell r="B9137" t="str">
            <v>Unidades de tomografía de emisión computarizada de fotones únicos spect para uso médico</v>
          </cell>
        </row>
        <row r="9138">
          <cell r="A9138">
            <v>42202601</v>
          </cell>
          <cell r="B9138" t="str">
            <v>Suministros para terapia de irradiación de tiroides</v>
          </cell>
        </row>
        <row r="9139">
          <cell r="A9139">
            <v>42202602</v>
          </cell>
          <cell r="B9139" t="str">
            <v>Kits de pruebas para radio inmunoterapia</v>
          </cell>
        </row>
        <row r="9140">
          <cell r="A9140">
            <v>42202701</v>
          </cell>
          <cell r="B9140" t="str">
            <v>Equipo de cobalto 60 para teleterapia radioterapia</v>
          </cell>
        </row>
        <row r="9141">
          <cell r="A9141">
            <v>42202702</v>
          </cell>
          <cell r="B9141" t="str">
            <v>Aceleradores lineales para teleterapia radioterapia</v>
          </cell>
        </row>
        <row r="9142">
          <cell r="A9142">
            <v>42202703</v>
          </cell>
          <cell r="B9142" t="str">
            <v>Máquinas de rayos x de ortovoltaje para teleterapia radioterapia</v>
          </cell>
        </row>
        <row r="9143">
          <cell r="A9143">
            <v>42202704</v>
          </cell>
          <cell r="B9143" t="str">
            <v>Máquinas de rayos x superficiales para teleterapia radioterapia</v>
          </cell>
        </row>
        <row r="9144">
          <cell r="A9144">
            <v>42202801</v>
          </cell>
          <cell r="B9144" t="str">
            <v>Litotriptores de ultrasonido</v>
          </cell>
        </row>
        <row r="9145">
          <cell r="A9145">
            <v>42202802</v>
          </cell>
          <cell r="B9145" t="str">
            <v>Electrodos o sondas de litotripia</v>
          </cell>
        </row>
        <row r="9146">
          <cell r="A9146">
            <v>42202901</v>
          </cell>
          <cell r="B9146" t="str">
            <v>Unidades de rayos x de baja energía para uso médico</v>
          </cell>
        </row>
        <row r="9147">
          <cell r="A9147">
            <v>42203001</v>
          </cell>
          <cell r="B9147" t="str">
            <v>Aceleradores lineales móviles o transportables para uso médico</v>
          </cell>
        </row>
        <row r="9148">
          <cell r="A9148">
            <v>42203101</v>
          </cell>
          <cell r="B9148" t="str">
            <v>Micro dosímetros de efecto radio biológico</v>
          </cell>
        </row>
        <row r="9149">
          <cell r="A9149">
            <v>42203201</v>
          </cell>
          <cell r="B9149" t="str">
            <v>Simuladores de planeación de radioterapia rf de fluoroscopia y rayos x</v>
          </cell>
        </row>
        <row r="9150">
          <cell r="A9150">
            <v>42203202</v>
          </cell>
          <cell r="B9150" t="str">
            <v>Simuladores de radioterapia de tomografía computarizada ct o cat</v>
          </cell>
        </row>
        <row r="9151">
          <cell r="A9151">
            <v>42203301</v>
          </cell>
          <cell r="B9151" t="str">
            <v>Sistemas de terapia estereotáctica sin marco</v>
          </cell>
        </row>
        <row r="9152">
          <cell r="A9152">
            <v>42203302</v>
          </cell>
          <cell r="B9152" t="str">
            <v>Marcos para la cabeza para terapia estereotáctica</v>
          </cell>
        </row>
        <row r="9153">
          <cell r="A9153">
            <v>42203303</v>
          </cell>
          <cell r="B9153" t="str">
            <v>Sistemas de biopsia estereotáctica</v>
          </cell>
        </row>
        <row r="9154">
          <cell r="A9154">
            <v>42203401</v>
          </cell>
          <cell r="B9154" t="str">
            <v>Stents coronarios</v>
          </cell>
        </row>
        <row r="9155">
          <cell r="A9155">
            <v>42203402</v>
          </cell>
          <cell r="B9155" t="str">
            <v>Catéteres o sets de diagnóstico o intervención vascular</v>
          </cell>
        </row>
        <row r="9156">
          <cell r="A9156">
            <v>42203403</v>
          </cell>
          <cell r="B9156" t="str">
            <v>Introductores de catéteres o sets de diagnóstico o intervención vascular</v>
          </cell>
        </row>
        <row r="9157">
          <cell r="A9157">
            <v>42203404</v>
          </cell>
          <cell r="B9157" t="str">
            <v>Alambre guía para imágenes vasculares</v>
          </cell>
        </row>
        <row r="9158">
          <cell r="A9158">
            <v>42203405</v>
          </cell>
          <cell r="B9158" t="str">
            <v>Catéter inflable para angioplastia</v>
          </cell>
        </row>
        <row r="9159">
          <cell r="A9159">
            <v>42203406</v>
          </cell>
          <cell r="B9159" t="str">
            <v>Dispositivos de remoción de catéteres o sets de diagnóstico o intervención vascular</v>
          </cell>
        </row>
        <row r="9160">
          <cell r="A9160">
            <v>42203407</v>
          </cell>
          <cell r="B9160" t="str">
            <v>Sets de entrega de medios de contraste para angiografía</v>
          </cell>
        </row>
        <row r="9161">
          <cell r="A9161">
            <v>42203408</v>
          </cell>
          <cell r="B9161" t="str">
            <v>Kits de fundas cardiovasculares</v>
          </cell>
        </row>
        <row r="9162">
          <cell r="A9162">
            <v>42203409</v>
          </cell>
          <cell r="B9162" t="str">
            <v>Valvulotomos angioscópicos</v>
          </cell>
        </row>
        <row r="9163">
          <cell r="A9163">
            <v>42203410</v>
          </cell>
          <cell r="B9163" t="str">
            <v>Funda de catéter cardiovascular</v>
          </cell>
        </row>
        <row r="9164">
          <cell r="A9164">
            <v>42203411</v>
          </cell>
          <cell r="B9164" t="str">
            <v>Carritos para catéteres</v>
          </cell>
        </row>
        <row r="9165">
          <cell r="A9165">
            <v>42203412</v>
          </cell>
          <cell r="B9165" t="str">
            <v>Stents periféricos</v>
          </cell>
        </row>
        <row r="9166">
          <cell r="A9166">
            <v>42203501</v>
          </cell>
          <cell r="B9166" t="str">
            <v>Generador de marcapasos cardíaco o marcapasos de terapia de re sincronización cardíaca</v>
          </cell>
        </row>
        <row r="9167">
          <cell r="A9167">
            <v>42203502</v>
          </cell>
          <cell r="B9167" t="str">
            <v>Cables o electrodos o accesorios para marcapasos cardíacos</v>
          </cell>
        </row>
        <row r="9168">
          <cell r="A9168">
            <v>42203503</v>
          </cell>
          <cell r="B9168" t="str">
            <v>Introductores de cables o sets para marcapasos cardíacos</v>
          </cell>
        </row>
        <row r="9169">
          <cell r="A9169">
            <v>42203504</v>
          </cell>
          <cell r="B9169" t="str">
            <v>Grabadora cardíaca</v>
          </cell>
        </row>
        <row r="9170">
          <cell r="A9170">
            <v>42203601</v>
          </cell>
          <cell r="B9170" t="str">
            <v>Equipos de sistema de red de imágenes digitales de defensa din</v>
          </cell>
        </row>
        <row r="9171">
          <cell r="A9171">
            <v>42203602</v>
          </cell>
          <cell r="B9171" t="str">
            <v>Equipos de sistema estándar de comunicaciones de imágenes digitales en medicina dicom</v>
          </cell>
        </row>
        <row r="9172">
          <cell r="A9172">
            <v>42203603</v>
          </cell>
          <cell r="B9172" t="str">
            <v>Sistemas de computador para archivo de fotografías médicas pacs</v>
          </cell>
        </row>
        <row r="9173">
          <cell r="A9173">
            <v>42203604</v>
          </cell>
          <cell r="B9173" t="str">
            <v>Hardware de sistema de archivo de película de rayos x para usos médicos</v>
          </cell>
        </row>
        <row r="9174">
          <cell r="A9174">
            <v>42203605</v>
          </cell>
          <cell r="B9174" t="str">
            <v>Software de sistema de archivo de película de rayos x para usos médicos</v>
          </cell>
        </row>
        <row r="9175">
          <cell r="A9175">
            <v>42203701</v>
          </cell>
          <cell r="B9175" t="str">
            <v>Estampadores de luz del día para películas de rayos x o impresoras de identificación para uso médico</v>
          </cell>
        </row>
        <row r="9176">
          <cell r="A9176">
            <v>42203702</v>
          </cell>
          <cell r="B9176" t="str">
            <v>Procesadores para luz del día o cuarto oscuro de imágenes médicas</v>
          </cell>
        </row>
        <row r="9177">
          <cell r="A9177">
            <v>42203703</v>
          </cell>
          <cell r="B9177" t="str">
            <v>Cajas de paso de seguridad de rayos x para uso médico</v>
          </cell>
        </row>
        <row r="9178">
          <cell r="A9178">
            <v>42203704</v>
          </cell>
          <cell r="B9178" t="str">
            <v>Toners o desarrolladores para uso médico</v>
          </cell>
        </row>
        <row r="9179">
          <cell r="A9179">
            <v>42203705</v>
          </cell>
          <cell r="B9179" t="str">
            <v>Impresoras láser en seco para imágenes o reproductores de imágenes para uso médico</v>
          </cell>
        </row>
        <row r="9180">
          <cell r="A9180">
            <v>42203706</v>
          </cell>
          <cell r="B9180" t="str">
            <v>Kits de químicos para procesar películas de rayos x de uso médico</v>
          </cell>
        </row>
        <row r="9181">
          <cell r="A9181">
            <v>42203707</v>
          </cell>
          <cell r="B9181" t="str">
            <v>Equipos o suministros de cuarto oscuro de rayos x para uso médico</v>
          </cell>
        </row>
        <row r="9182">
          <cell r="A9182">
            <v>42203708</v>
          </cell>
          <cell r="B9182" t="str">
            <v>Fijadores para procesar película de rayos x para uso médico</v>
          </cell>
        </row>
        <row r="9183">
          <cell r="A9183">
            <v>42203709</v>
          </cell>
          <cell r="B9183" t="str">
            <v>Sets de calibradores para sistemas de combinación de desplegadores e impresoras de rayos x</v>
          </cell>
        </row>
        <row r="9184">
          <cell r="A9184">
            <v>42203710</v>
          </cell>
          <cell r="B9184" t="str">
            <v>Marcadores de películas de rayos x para uso médico</v>
          </cell>
        </row>
        <row r="9185">
          <cell r="A9185">
            <v>42203801</v>
          </cell>
          <cell r="B9185" t="str">
            <v>Ayudas de posicionamiento para tomografía computarizada ct o cat para uso médico</v>
          </cell>
        </row>
        <row r="9186">
          <cell r="A9186">
            <v>42203802</v>
          </cell>
          <cell r="B9186" t="str">
            <v>Ayudas de posicionamiento para imágenes de resonancia magnética mri para uso médico</v>
          </cell>
        </row>
        <row r="9187">
          <cell r="A9187">
            <v>42203803</v>
          </cell>
          <cell r="B9187" t="str">
            <v>Ayudas de posicionamiento para uso radiológico general para uso médico</v>
          </cell>
        </row>
        <row r="9188">
          <cell r="A9188">
            <v>42203901</v>
          </cell>
          <cell r="B9188" t="str">
            <v>Dosímetros de radiación para uso médico</v>
          </cell>
        </row>
        <row r="9189">
          <cell r="A9189">
            <v>42203902</v>
          </cell>
          <cell r="B9189" t="str">
            <v>Películas o brazaletes de radiación para uso médico</v>
          </cell>
        </row>
        <row r="9190">
          <cell r="A9190">
            <v>42204001</v>
          </cell>
          <cell r="B9190" t="str">
            <v>Estantes para delantales de protección radiológica para uso médico</v>
          </cell>
        </row>
        <row r="9191">
          <cell r="A9191">
            <v>42204002</v>
          </cell>
          <cell r="B9191" t="str">
            <v>Delantales o máscaras o cortinas de protección radiológica para uso médico</v>
          </cell>
        </row>
        <row r="9192">
          <cell r="A9192">
            <v>42204003</v>
          </cell>
          <cell r="B9192" t="str">
            <v>Contenedores portátiles de protección para materiales radiológicos radiactivos para uso médico</v>
          </cell>
        </row>
        <row r="9193">
          <cell r="A9193">
            <v>42204004</v>
          </cell>
          <cell r="B9193" t="str">
            <v>Auriculares de protección radiológica para uso médico</v>
          </cell>
        </row>
        <row r="9194">
          <cell r="A9194">
            <v>42204005</v>
          </cell>
          <cell r="B9194" t="str">
            <v>Guantes de protección radiológica para uso médico</v>
          </cell>
        </row>
        <row r="9195">
          <cell r="A9195">
            <v>42204006</v>
          </cell>
          <cell r="B9195" t="str">
            <v>Pantallas de pie o portátiles de protección radiológica para uso médico</v>
          </cell>
        </row>
        <row r="9196">
          <cell r="A9196">
            <v>42204007</v>
          </cell>
          <cell r="B9196" t="str">
            <v>Paneles instalados de piso o techo o pared de protección radiológica para uso médico</v>
          </cell>
        </row>
        <row r="9197">
          <cell r="A9197">
            <v>42204008</v>
          </cell>
          <cell r="B9197" t="str">
            <v>Cámaras o habitaciones o cajas fuertes de protección radiológica para uso médico</v>
          </cell>
        </row>
        <row r="9198">
          <cell r="A9198">
            <v>42211501</v>
          </cell>
          <cell r="B9198" t="str">
            <v>Bastones o accesorios para bastones</v>
          </cell>
        </row>
        <row r="9199">
          <cell r="A9199">
            <v>42211502</v>
          </cell>
          <cell r="B9199" t="str">
            <v>Muletas o accesorios para muletas</v>
          </cell>
        </row>
        <row r="9200">
          <cell r="A9200">
            <v>42211503</v>
          </cell>
          <cell r="B9200" t="str">
            <v>Dispositivos de posicionamiento</v>
          </cell>
        </row>
        <row r="9201">
          <cell r="A9201">
            <v>42211504</v>
          </cell>
          <cell r="B9201" t="str">
            <v>Levantadores o ayudas para ponerse de pie</v>
          </cell>
        </row>
        <row r="9202">
          <cell r="A9202">
            <v>42211505</v>
          </cell>
          <cell r="B9202" t="str">
            <v>Accesorios para caminadores o andadores</v>
          </cell>
        </row>
        <row r="9203">
          <cell r="A9203">
            <v>42211506</v>
          </cell>
          <cell r="B9203" t="str">
            <v>Caminadores o andadores</v>
          </cell>
        </row>
        <row r="9204">
          <cell r="A9204">
            <v>42211507</v>
          </cell>
          <cell r="B9204" t="str">
            <v>Dispositivos de cuerpo entero para deslizarse o voltearse</v>
          </cell>
        </row>
        <row r="9205">
          <cell r="A9205">
            <v>42211508</v>
          </cell>
          <cell r="B9205" t="str">
            <v>Dispositivos o accesorios de movilidad multifuncional</v>
          </cell>
        </row>
        <row r="9206">
          <cell r="A9206">
            <v>42211509</v>
          </cell>
          <cell r="B9206" t="str">
            <v>Cascos protectores de cabeza o cara o dispositivos o accesorios para los discapacitados físicamente</v>
          </cell>
        </row>
        <row r="9207">
          <cell r="A9207">
            <v>42211601</v>
          </cell>
          <cell r="B9207" t="str">
            <v>Tablas para bañarse para los discapacitados físicamente</v>
          </cell>
        </row>
        <row r="9208">
          <cell r="A9208">
            <v>42211602</v>
          </cell>
          <cell r="B9208" t="str">
            <v>Cepillos de baño o esponjas o estropajos para los discapacitados físicamente</v>
          </cell>
        </row>
        <row r="9209">
          <cell r="A9209">
            <v>42211603</v>
          </cell>
          <cell r="B9209" t="str">
            <v>Elevadores para baño o accesorios para los discapacitados físicamente</v>
          </cell>
        </row>
        <row r="9210">
          <cell r="A9210">
            <v>42211604</v>
          </cell>
          <cell r="B9210" t="str">
            <v>Guantes de baño para los discapacitados físicamente</v>
          </cell>
        </row>
        <row r="9211">
          <cell r="A9211">
            <v>42211605</v>
          </cell>
          <cell r="B9211" t="str">
            <v>Almohadas de baño para los discapacitados físicamente</v>
          </cell>
        </row>
        <row r="9212">
          <cell r="A9212">
            <v>42211606</v>
          </cell>
          <cell r="B9212" t="str">
            <v>Cómodas o accesorios para los discapacitados físicamente</v>
          </cell>
        </row>
        <row r="9213">
          <cell r="A9213">
            <v>42211607</v>
          </cell>
          <cell r="B9213" t="str">
            <v>Asientos de inodoro elevados para los discapacitados físicamente</v>
          </cell>
        </row>
        <row r="9214">
          <cell r="A9214">
            <v>42211608</v>
          </cell>
          <cell r="B9214" t="str">
            <v>Barras de sujeción o barandas para la tina para los discapacitados físicamente</v>
          </cell>
        </row>
        <row r="9215">
          <cell r="A9215">
            <v>42211609</v>
          </cell>
          <cell r="B9215" t="str">
            <v>Ducha de mano para personas con desafíos físicos</v>
          </cell>
        </row>
        <row r="9216">
          <cell r="A9216">
            <v>42211610</v>
          </cell>
          <cell r="B9216" t="str">
            <v>Asientos o sillas para la ducha o el baño para los discapacitados físicamente</v>
          </cell>
        </row>
        <row r="9217">
          <cell r="A9217">
            <v>42211611</v>
          </cell>
          <cell r="B9217" t="str">
            <v>Baños de asiento para los discapacitados físicamente</v>
          </cell>
        </row>
        <row r="9218">
          <cell r="A9218">
            <v>42211612</v>
          </cell>
          <cell r="B9218" t="str">
            <v>Soportes de brazos para el inodoro para los discapacitados físicamente</v>
          </cell>
        </row>
        <row r="9219">
          <cell r="A9219">
            <v>42211613</v>
          </cell>
          <cell r="B9219" t="str">
            <v>Marcos para el inodoro para los discapacitados físicamente</v>
          </cell>
        </row>
        <row r="9220">
          <cell r="A9220">
            <v>42211614</v>
          </cell>
          <cell r="B9220" t="str">
            <v>Asientos de inodoro para los discapacitados físicamente</v>
          </cell>
        </row>
        <row r="9221">
          <cell r="A9221">
            <v>42211615</v>
          </cell>
          <cell r="B9221" t="str">
            <v>Levantadores de asientos de inodoro para los discapacitados físicamente</v>
          </cell>
        </row>
        <row r="9222">
          <cell r="A9222">
            <v>42211616</v>
          </cell>
          <cell r="B9222" t="str">
            <v>Ayudas de higiene o estimulación de tocador para los discapacitados físicamente</v>
          </cell>
        </row>
        <row r="9223">
          <cell r="A9223">
            <v>42211617</v>
          </cell>
          <cell r="B9223" t="str">
            <v>Bancos de transferencia para los discapacitados físicamente</v>
          </cell>
        </row>
        <row r="9224">
          <cell r="A9224">
            <v>42211618</v>
          </cell>
          <cell r="B9224" t="str">
            <v>Alarma de pulso de mojada en la cama para los discapacitados físicamente</v>
          </cell>
        </row>
        <row r="9225">
          <cell r="A9225">
            <v>42211701</v>
          </cell>
          <cell r="B9225" t="str">
            <v>Interruptores de comunicación adaptativa para los discapacitados físicamente</v>
          </cell>
        </row>
        <row r="9226">
          <cell r="A9226">
            <v>42211702</v>
          </cell>
          <cell r="B9226" t="str">
            <v>Dispositivos braille para los discapacitados físicamente</v>
          </cell>
        </row>
        <row r="9227">
          <cell r="A9227">
            <v>42211703</v>
          </cell>
          <cell r="B9227" t="str">
            <v>Papel o plástico para escribir braille para los discapacitados físicamente</v>
          </cell>
        </row>
        <row r="9228">
          <cell r="A9228">
            <v>42211704</v>
          </cell>
          <cell r="B9228" t="str">
            <v>Señaladores de cabeza o palitos para la boca para los discapacitados físicamente</v>
          </cell>
        </row>
        <row r="9229">
          <cell r="A9229">
            <v>42211705</v>
          </cell>
          <cell r="B9229" t="str">
            <v>Ayudas auditivas para los discapacitados físicamente</v>
          </cell>
        </row>
        <row r="9230">
          <cell r="A9230">
            <v>42211706</v>
          </cell>
          <cell r="B9230" t="str">
            <v>Tableros de letras o símbolos para los discapacitados físicamente</v>
          </cell>
        </row>
        <row r="9231">
          <cell r="A9231">
            <v>42211707</v>
          </cell>
          <cell r="B9231" t="str">
            <v>Dispositivos de telecomunicación tdd o teletipos tty para los discapacitados físicamente</v>
          </cell>
        </row>
        <row r="9232">
          <cell r="A9232">
            <v>42211708</v>
          </cell>
          <cell r="B9232" t="str">
            <v>Ayudas telefónicas para los discapacitados físicamente</v>
          </cell>
        </row>
        <row r="9233">
          <cell r="A9233">
            <v>42211709</v>
          </cell>
          <cell r="B9233" t="str">
            <v>Ayudas de mecanografía para los discapacitados físicamente</v>
          </cell>
        </row>
        <row r="9234">
          <cell r="A9234">
            <v>42211710</v>
          </cell>
          <cell r="B9234" t="str">
            <v>Ayudas de escritura para los discapacitados físicamente</v>
          </cell>
        </row>
        <row r="9235">
          <cell r="A9235">
            <v>42211711</v>
          </cell>
          <cell r="B9235" t="str">
            <v>Sintetizadores de voz para los discapacitados físicamente</v>
          </cell>
        </row>
        <row r="9236">
          <cell r="A9236">
            <v>42211712</v>
          </cell>
          <cell r="B9236" t="str">
            <v>Estuches para ayudas auditivas</v>
          </cell>
        </row>
        <row r="9237">
          <cell r="A9237">
            <v>42211801</v>
          </cell>
          <cell r="B9237" t="str">
            <v>Ganchos para abotonarse para los discapacitados físicamente</v>
          </cell>
        </row>
        <row r="9238">
          <cell r="A9238">
            <v>42211802</v>
          </cell>
          <cell r="B9238" t="str">
            <v>Kits para vestirse para los discapacitados físicamente</v>
          </cell>
        </row>
        <row r="9239">
          <cell r="A9239">
            <v>42211803</v>
          </cell>
          <cell r="B9239" t="str">
            <v>Palos para vestirse para los discapacitados físicamente</v>
          </cell>
        </row>
        <row r="9240">
          <cell r="A9240">
            <v>42211804</v>
          </cell>
          <cell r="B9240" t="str">
            <v>Cepillos de pelo o peinillas para los discapacitados físicamente</v>
          </cell>
        </row>
        <row r="9241">
          <cell r="A9241">
            <v>42211805</v>
          </cell>
          <cell r="B9241" t="str">
            <v>Espejo de inspección para los discapacitados físicamente</v>
          </cell>
        </row>
        <row r="9242">
          <cell r="A9242">
            <v>42211806</v>
          </cell>
          <cell r="B9242" t="str">
            <v>Aplicadores de lociones para los discapacitados físicamente</v>
          </cell>
        </row>
        <row r="9243">
          <cell r="A9243">
            <v>42211807</v>
          </cell>
          <cell r="B9243" t="str">
            <v>Cuidado de la boca para los discapacitados físicamente</v>
          </cell>
        </row>
        <row r="9244">
          <cell r="A9244">
            <v>42211808</v>
          </cell>
          <cell r="B9244" t="str">
            <v>Cortaúñas o limas para los discapacitados físicamente</v>
          </cell>
        </row>
        <row r="9245">
          <cell r="A9245">
            <v>42211809</v>
          </cell>
          <cell r="B9245" t="str">
            <v>Ganchos para sujetarse los pantalones para los discapacitados físicamente</v>
          </cell>
        </row>
        <row r="9246">
          <cell r="A9246">
            <v>42211810</v>
          </cell>
          <cell r="B9246" t="str">
            <v>Calzadores para los discapacitados físicamente</v>
          </cell>
        </row>
        <row r="9247">
          <cell r="A9247">
            <v>42211811</v>
          </cell>
          <cell r="B9247" t="str">
            <v>Hormas de zapatos para los discapacitados físicamente</v>
          </cell>
        </row>
        <row r="9248">
          <cell r="A9248">
            <v>42211812</v>
          </cell>
          <cell r="B9248" t="str">
            <v>Media o ayudas para apilar para los discapacitados físicamente</v>
          </cell>
        </row>
        <row r="9249">
          <cell r="A9249">
            <v>42211813</v>
          </cell>
          <cell r="B9249" t="str">
            <v>Jaladores de cremalleras para los discapacitados físicamente</v>
          </cell>
        </row>
        <row r="9250">
          <cell r="A9250">
            <v>42211901</v>
          </cell>
          <cell r="B9250" t="str">
            <v>Materiales anti resbalón para los discapacitados físicamente</v>
          </cell>
        </row>
        <row r="9251">
          <cell r="A9251">
            <v>42211902</v>
          </cell>
          <cell r="B9251" t="str">
            <v>Dispositivos de ayuda para cocinar para los discapacitados físicamente</v>
          </cell>
        </row>
        <row r="9252">
          <cell r="A9252">
            <v>42211903</v>
          </cell>
          <cell r="B9252" t="str">
            <v>Abre latas para los físicamente discapacitados</v>
          </cell>
        </row>
        <row r="9253">
          <cell r="A9253">
            <v>42211904</v>
          </cell>
          <cell r="B9253" t="str">
            <v>Picadores para los discapacitados físicamente</v>
          </cell>
        </row>
        <row r="9254">
          <cell r="A9254">
            <v>42211905</v>
          </cell>
          <cell r="B9254" t="str">
            <v>Tazas o tazones (mugs) para los discapacitados físicamente</v>
          </cell>
        </row>
        <row r="9255">
          <cell r="A9255">
            <v>42211906</v>
          </cell>
          <cell r="B9255" t="str">
            <v>Sujetadores de cubiertos o de utensilios para los discapacitados físicamente</v>
          </cell>
        </row>
        <row r="9256">
          <cell r="A9256">
            <v>42211907</v>
          </cell>
          <cell r="B9256" t="str">
            <v>Cubiertos o utensilios para los discapacitados físicamente</v>
          </cell>
        </row>
        <row r="9257">
          <cell r="A9257">
            <v>42211908</v>
          </cell>
          <cell r="B9257" t="str">
            <v>Tablas para cortar o pelar para los discapacitados físicamente</v>
          </cell>
        </row>
        <row r="9258">
          <cell r="A9258">
            <v>42211909</v>
          </cell>
          <cell r="B9258" t="str">
            <v>Sujetadores de bebida para los discapacitados físicamente</v>
          </cell>
        </row>
        <row r="9259">
          <cell r="A9259">
            <v>42211910</v>
          </cell>
          <cell r="B9259" t="str">
            <v>Baberos o recogedores de comida para los discapacitados físicamente</v>
          </cell>
        </row>
        <row r="9260">
          <cell r="A9260">
            <v>42211911</v>
          </cell>
          <cell r="B9260" t="str">
            <v>Forros para comida para los discapacitados físicamente</v>
          </cell>
        </row>
        <row r="9261">
          <cell r="A9261">
            <v>42211912</v>
          </cell>
          <cell r="B9261" t="str">
            <v>Sujetadores para dispositivos de cocina para los discapacitados físicamente</v>
          </cell>
        </row>
        <row r="9262">
          <cell r="A9262">
            <v>42211913</v>
          </cell>
          <cell r="B9262" t="str">
            <v>Temporizadores digitales jumbo para los discapacitados físicamente</v>
          </cell>
        </row>
        <row r="9263">
          <cell r="A9263">
            <v>42211914</v>
          </cell>
          <cell r="B9263" t="str">
            <v>Ayudas para medir para los discapacitados físicamente</v>
          </cell>
        </row>
        <row r="9264">
          <cell r="A9264">
            <v>42211915</v>
          </cell>
          <cell r="B9264" t="str">
            <v>Auto alimentadores o accesorios para los discapacitados físicamente</v>
          </cell>
        </row>
        <row r="9265">
          <cell r="A9265">
            <v>42211916</v>
          </cell>
          <cell r="B9265" t="str">
            <v>Pitillos o sujeta pitillos para los discapacitados físicamente</v>
          </cell>
        </row>
        <row r="9266">
          <cell r="A9266">
            <v>42211917</v>
          </cell>
          <cell r="B9266" t="str">
            <v>Vajillas para los discapacitados físicamente</v>
          </cell>
        </row>
        <row r="9267">
          <cell r="A9267">
            <v>42211918</v>
          </cell>
          <cell r="B9267" t="str">
            <v>Balanzas de comida habladoras para los discapacitados físicamente</v>
          </cell>
        </row>
        <row r="9268">
          <cell r="A9268">
            <v>42212001</v>
          </cell>
          <cell r="B9268" t="str">
            <v>Abridores de puertas para los discapacitados físicamente</v>
          </cell>
        </row>
        <row r="9269">
          <cell r="A9269">
            <v>42212002</v>
          </cell>
          <cell r="B9269" t="str">
            <v>Dispositivos para echar llave o sujetadores para los discapacitados físicamente</v>
          </cell>
        </row>
        <row r="9270">
          <cell r="A9270">
            <v>42212003</v>
          </cell>
          <cell r="B9270" t="str">
            <v>Dispositivos para abrir puertas para los discapacitados físicamente</v>
          </cell>
        </row>
        <row r="9271">
          <cell r="A9271">
            <v>42212004</v>
          </cell>
          <cell r="B9271" t="str">
            <v>Extensiones de interruptores de luz para los discapacitados físicamente</v>
          </cell>
        </row>
        <row r="9272">
          <cell r="A9272">
            <v>42212005</v>
          </cell>
          <cell r="B9272" t="str">
            <v>Plumeros o cepillos de mango largo para los discapacitados físicamente</v>
          </cell>
        </row>
        <row r="9273">
          <cell r="A9273">
            <v>42212006</v>
          </cell>
          <cell r="B9273" t="str">
            <v>Tijeras que se abren solas para los discapacitados físicamente</v>
          </cell>
        </row>
        <row r="9274">
          <cell r="A9274">
            <v>42212007</v>
          </cell>
          <cell r="B9274" t="str">
            <v>Cepillos de succión para los discapacitados físicamente</v>
          </cell>
        </row>
        <row r="9275">
          <cell r="A9275">
            <v>42212101</v>
          </cell>
          <cell r="B9275" t="str">
            <v>Barajadores de naipe automáticos para los discapacitados físicamente</v>
          </cell>
        </row>
        <row r="9276">
          <cell r="A9276">
            <v>42212102</v>
          </cell>
          <cell r="B9276" t="str">
            <v>Juegos de mesa para los discapacitados físicamente</v>
          </cell>
        </row>
        <row r="9277">
          <cell r="A9277">
            <v>42212103</v>
          </cell>
          <cell r="B9277" t="str">
            <v>Sujetadores de libros para los discapacitados físicamente</v>
          </cell>
        </row>
        <row r="9278">
          <cell r="A9278">
            <v>42212104</v>
          </cell>
          <cell r="B9278" t="str">
            <v>Naipes de figuras grandes o braille para los discapacitados físicamente</v>
          </cell>
        </row>
        <row r="9279">
          <cell r="A9279">
            <v>42212105</v>
          </cell>
          <cell r="B9279" t="str">
            <v>Equipo de camping para los discapacitados físicamente</v>
          </cell>
        </row>
        <row r="9280">
          <cell r="A9280">
            <v>42212106</v>
          </cell>
          <cell r="B9280" t="str">
            <v>Ayudas de pesca o cacería para los discapacitados físicamente</v>
          </cell>
        </row>
        <row r="9281">
          <cell r="A9281">
            <v>42212107</v>
          </cell>
          <cell r="B9281" t="str">
            <v>Ayudas de flotación o natación para los discapacitados físicamente</v>
          </cell>
        </row>
        <row r="9282">
          <cell r="A9282">
            <v>42212108</v>
          </cell>
          <cell r="B9282" t="str">
            <v>Herramientas de jardinería para los discapacitados físicamente</v>
          </cell>
        </row>
        <row r="9283">
          <cell r="A9283">
            <v>42212109</v>
          </cell>
          <cell r="B9283" t="str">
            <v>Herramientas o materiales o equipos de manualidades para los discapacitados físicamente</v>
          </cell>
        </row>
        <row r="9284">
          <cell r="A9284">
            <v>42212110</v>
          </cell>
          <cell r="B9284" t="str">
            <v>Volteadores de páginas para los discapacitados físicamente</v>
          </cell>
        </row>
        <row r="9285">
          <cell r="A9285">
            <v>42212111</v>
          </cell>
          <cell r="B9285" t="str">
            <v>Sujetadores de naipes para los discapacitados físicamente</v>
          </cell>
        </row>
        <row r="9286">
          <cell r="A9286">
            <v>42212112</v>
          </cell>
          <cell r="B9286" t="str">
            <v>Ayudas de costura para los discapacitados físicamente</v>
          </cell>
        </row>
        <row r="9287">
          <cell r="A9287">
            <v>42212113</v>
          </cell>
          <cell r="B9287" t="str">
            <v>Ayudas para fumar para los discapacitados físicamente</v>
          </cell>
        </row>
        <row r="9288">
          <cell r="A9288">
            <v>42212201</v>
          </cell>
          <cell r="B9288" t="str">
            <v>Trituradores o partidores de píldoras para los discapacitados físicamente</v>
          </cell>
        </row>
        <row r="9289">
          <cell r="A9289">
            <v>42212202</v>
          </cell>
          <cell r="B9289" t="str">
            <v>Organizadores de píldoras para los discapacitados físicamente</v>
          </cell>
        </row>
        <row r="9290">
          <cell r="A9290">
            <v>42212203</v>
          </cell>
          <cell r="B9290" t="str">
            <v>Recordadores de píldoras para los discapacitados físicamente</v>
          </cell>
        </row>
        <row r="9291">
          <cell r="A9291">
            <v>42212204</v>
          </cell>
          <cell r="B9291" t="str">
            <v>Exprimidores de tubos para los discapacitados físicamente</v>
          </cell>
        </row>
        <row r="9292">
          <cell r="A9292">
            <v>42212301</v>
          </cell>
          <cell r="B9292" t="str">
            <v>Materiales o dispositivos de agarre para los discapacitados físicamente</v>
          </cell>
        </row>
        <row r="9293">
          <cell r="A9293">
            <v>42212302</v>
          </cell>
          <cell r="B9293" t="str">
            <v>Sujetadores para los discapacitados físicamente</v>
          </cell>
        </row>
        <row r="9294">
          <cell r="A9294">
            <v>42212303</v>
          </cell>
          <cell r="B9294" t="str">
            <v>Abridores de contenedores para los discapacitados físicamente</v>
          </cell>
        </row>
        <row r="9295">
          <cell r="A9295">
            <v>42212304</v>
          </cell>
          <cell r="B9295" t="str">
            <v>Alcanzadores para los discapacitados físicamente</v>
          </cell>
        </row>
        <row r="9296">
          <cell r="A9296">
            <v>42221501</v>
          </cell>
          <cell r="B9296" t="str">
            <v>Catéteres de línea arterial</v>
          </cell>
        </row>
        <row r="9297">
          <cell r="A9297">
            <v>42221502</v>
          </cell>
          <cell r="B9297" t="str">
            <v>Válvulas de descarga de catéteres arteriales de línea continua</v>
          </cell>
        </row>
        <row r="9298">
          <cell r="A9298">
            <v>42221503</v>
          </cell>
          <cell r="B9298" t="str">
            <v>Catéteres venosos centrales</v>
          </cell>
        </row>
        <row r="9299">
          <cell r="A9299">
            <v>42221504</v>
          </cell>
          <cell r="B9299" t="str">
            <v>Catéteres intravenosos periféricos para uso general</v>
          </cell>
        </row>
        <row r="9300">
          <cell r="A9300">
            <v>42221505</v>
          </cell>
          <cell r="B9300" t="str">
            <v>Catéteres pediátricos o intravenosos para venas del cuero cabelludo o arteriales</v>
          </cell>
        </row>
        <row r="9301">
          <cell r="A9301">
            <v>42221506</v>
          </cell>
          <cell r="B9301" t="str">
            <v>Catéteres umbilicales</v>
          </cell>
        </row>
        <row r="9302">
          <cell r="A9302">
            <v>42221507</v>
          </cell>
          <cell r="B9302" t="str">
            <v>Kits de arranque intravenoso o arterial sin catéter</v>
          </cell>
        </row>
        <row r="9303">
          <cell r="A9303">
            <v>42221508</v>
          </cell>
          <cell r="B9303" t="str">
            <v>Kits de cuidado de la piel para catéter arterial o intravenoso</v>
          </cell>
        </row>
        <row r="9304">
          <cell r="A9304">
            <v>42221509</v>
          </cell>
          <cell r="B9304" t="str">
            <v>Bandejas para catéteres intravenosos o arteriales</v>
          </cell>
        </row>
        <row r="9305">
          <cell r="A9305">
            <v>42221512</v>
          </cell>
          <cell r="B9305" t="str">
            <v>Cánulas intravenosas o arteriales y accesorios</v>
          </cell>
        </row>
        <row r="9306">
          <cell r="A9306">
            <v>42221513</v>
          </cell>
          <cell r="B9306" t="str">
            <v>Kits de cateterización cardiovascular</v>
          </cell>
        </row>
        <row r="9307">
          <cell r="A9307">
            <v>42221601</v>
          </cell>
          <cell r="B9307" t="str">
            <v>Detectores de burbujas de aire para administración arterial o intravenosa</v>
          </cell>
        </row>
        <row r="9308">
          <cell r="A9308">
            <v>42221602</v>
          </cell>
          <cell r="B9308" t="str">
            <v>Puertos o lugares de inyección o tapas o protectores para administración arterial o intravenosa</v>
          </cell>
        </row>
        <row r="9309">
          <cell r="A9309">
            <v>42221603</v>
          </cell>
          <cell r="B9309" t="str">
            <v>Tubos de extensión arteriales o intravenosos</v>
          </cell>
        </row>
        <row r="9310">
          <cell r="A9310">
            <v>42221604</v>
          </cell>
          <cell r="B9310" t="str">
            <v>Adaptadores o conectores o candados o tapas o protectores para tubos arteriales o intravenosos</v>
          </cell>
        </row>
        <row r="9311">
          <cell r="A9311">
            <v>42221605</v>
          </cell>
          <cell r="B9311" t="str">
            <v>Válvulas de chequeo de tubos arteriales o intravenosos</v>
          </cell>
        </row>
        <row r="9312">
          <cell r="A9312">
            <v>42221606</v>
          </cell>
          <cell r="B9312" t="str">
            <v>Pinzas de tubos intravenosos o arteriales</v>
          </cell>
        </row>
        <row r="9313">
          <cell r="A9313">
            <v>42221607</v>
          </cell>
          <cell r="B9313" t="str">
            <v>Filtros o pantallas para tubos arteriales o intravenosos de uso general</v>
          </cell>
        </row>
        <row r="9314">
          <cell r="A9314">
            <v>42221608</v>
          </cell>
          <cell r="B9314" t="str">
            <v>Etiquetas o cintas de identificación de tubos intravenosos o arteriales</v>
          </cell>
        </row>
        <row r="9315">
          <cell r="A9315">
            <v>42221609</v>
          </cell>
          <cell r="B9315" t="str">
            <v>Sets de administración de tubos intravenosos o arteriales</v>
          </cell>
        </row>
        <row r="9316">
          <cell r="A9316">
            <v>42221610</v>
          </cell>
          <cell r="B9316" t="str">
            <v>Puertos o tapas o protectores de entrada de espiga de tubos intravenosos</v>
          </cell>
        </row>
        <row r="9317">
          <cell r="A9317">
            <v>42221611</v>
          </cell>
          <cell r="B9317" t="str">
            <v>Espigas o tapas o protectores de tubos intravenosos</v>
          </cell>
        </row>
        <row r="9318">
          <cell r="A9318">
            <v>42221612</v>
          </cell>
          <cell r="B9318" t="str">
            <v>Puertos de inyección o llaves de paso o colectores sin aguja de tubos arteriales o intravenosos</v>
          </cell>
        </row>
        <row r="9319">
          <cell r="A9319">
            <v>42221613</v>
          </cell>
          <cell r="B9319" t="str">
            <v>Cierres o broches de extensión de transferencia de tubos intravenosos</v>
          </cell>
        </row>
        <row r="9320">
          <cell r="A9320">
            <v>42221614</v>
          </cell>
          <cell r="B9320" t="str">
            <v>Kits de administración de tubos intravenosos con catéter</v>
          </cell>
        </row>
        <row r="9321">
          <cell r="A9321">
            <v>42221615</v>
          </cell>
          <cell r="B9321" t="str">
            <v>Tubos intravenosos de medicación secundaria</v>
          </cell>
        </row>
        <row r="9322">
          <cell r="A9322">
            <v>42221616</v>
          </cell>
          <cell r="B9322" t="str">
            <v>Sets de extensión arterial o intravenosa</v>
          </cell>
        </row>
        <row r="9323">
          <cell r="A9323">
            <v>42221617</v>
          </cell>
          <cell r="B9323" t="str">
            <v>Calentadores de resistencia para agujas</v>
          </cell>
        </row>
        <row r="9324">
          <cell r="A9324">
            <v>42221618</v>
          </cell>
          <cell r="B9324" t="str">
            <v>Bandejas para procedimientos arteriales o intravenosos</v>
          </cell>
        </row>
        <row r="9325">
          <cell r="A9325">
            <v>42221701</v>
          </cell>
          <cell r="B9325" t="str">
            <v>Bolsas o contenedores de infusión arterial o intravenosa de único puerto</v>
          </cell>
        </row>
        <row r="9326">
          <cell r="A9326">
            <v>42221702</v>
          </cell>
          <cell r="B9326" t="str">
            <v>Bolsas o contenedores de transferencia de infusión arterial o intravenosa</v>
          </cell>
        </row>
        <row r="9327">
          <cell r="A9327">
            <v>42221703</v>
          </cell>
          <cell r="B9327" t="str">
            <v>Calentadores de fluido de infusión arterial o intravenosa</v>
          </cell>
        </row>
        <row r="9328">
          <cell r="A9328">
            <v>42221704</v>
          </cell>
          <cell r="B9328" t="str">
            <v>Bolsas de infusión de presión arterial o intravenosa</v>
          </cell>
        </row>
        <row r="9329">
          <cell r="A9329">
            <v>42221705</v>
          </cell>
          <cell r="B9329" t="str">
            <v>Ensamblajes de vial de infusión de analgésicos</v>
          </cell>
        </row>
        <row r="9330">
          <cell r="A9330">
            <v>42221706</v>
          </cell>
          <cell r="B9330" t="str">
            <v>Picos de bolsas o contenedores de transferencia de infusión arterial o intravenosa</v>
          </cell>
        </row>
        <row r="9331">
          <cell r="A9331">
            <v>42221707</v>
          </cell>
          <cell r="B9331" t="str">
            <v>Sets o kits de infusión de analgésicos</v>
          </cell>
        </row>
        <row r="9332">
          <cell r="A9332">
            <v>42221801</v>
          </cell>
          <cell r="B9332" t="str">
            <v>Forros para tablas de brazo arterial o intravenoso</v>
          </cell>
        </row>
        <row r="9333">
          <cell r="A9333">
            <v>42221802</v>
          </cell>
          <cell r="B9333" t="str">
            <v>Tablas de brazo arterial o intravenoso</v>
          </cell>
        </row>
        <row r="9334">
          <cell r="A9334">
            <v>42221803</v>
          </cell>
          <cell r="B9334" t="str">
            <v>Cintas o vendajes o correas o mangas para posicionamiento de catéter arterial o intravenoso</v>
          </cell>
        </row>
        <row r="9335">
          <cell r="A9335">
            <v>42221901</v>
          </cell>
          <cell r="B9335" t="str">
            <v>Flujómetros o reguladores intravenosos calibrados por dial</v>
          </cell>
        </row>
        <row r="9336">
          <cell r="A9336">
            <v>42221902</v>
          </cell>
          <cell r="B9336" t="str">
            <v>Contadores o reguladores de goteo intravenoso</v>
          </cell>
        </row>
        <row r="9337">
          <cell r="A9337">
            <v>42221903</v>
          </cell>
          <cell r="B9337" t="str">
            <v>Detectores ultrasónicos de flujo de sangre</v>
          </cell>
        </row>
        <row r="9338">
          <cell r="A9338">
            <v>42222001</v>
          </cell>
          <cell r="B9338" t="str">
            <v>Bombas de infusión intravenosa de uso general</v>
          </cell>
        </row>
        <row r="9339">
          <cell r="A9339">
            <v>42222002</v>
          </cell>
          <cell r="B9339" t="str">
            <v>Bombas de infusión de jeringa intravenosa</v>
          </cell>
        </row>
        <row r="9340">
          <cell r="A9340">
            <v>42222003</v>
          </cell>
          <cell r="B9340" t="str">
            <v>Bombas de infusión intravenosa multicanal</v>
          </cell>
        </row>
        <row r="9341">
          <cell r="A9341">
            <v>42222004</v>
          </cell>
          <cell r="B9341" t="str">
            <v>Bombas de infusión controlada de analgésicos para pacientes</v>
          </cell>
        </row>
        <row r="9342">
          <cell r="A9342">
            <v>42222005</v>
          </cell>
          <cell r="B9342" t="str">
            <v>Partes o accesorios de bombas intravenosas</v>
          </cell>
        </row>
        <row r="9343">
          <cell r="A9343">
            <v>42222006</v>
          </cell>
          <cell r="B9343" t="str">
            <v>Analizadores o sensores de bombas de infusión intravenosas</v>
          </cell>
        </row>
        <row r="9344">
          <cell r="A9344">
            <v>42222007</v>
          </cell>
          <cell r="B9344" t="str">
            <v>Transductores de bombas de infusión intravenosas</v>
          </cell>
        </row>
        <row r="9345">
          <cell r="A9345">
            <v>42222008</v>
          </cell>
          <cell r="B9345" t="str">
            <v>Kits o accesorios de bombas de infusión</v>
          </cell>
        </row>
        <row r="9346">
          <cell r="A9346">
            <v>42222101</v>
          </cell>
          <cell r="B9346" t="str">
            <v>Colgadores de equipos de línea arterial o intravenosa</v>
          </cell>
        </row>
        <row r="9347">
          <cell r="A9347">
            <v>42222102</v>
          </cell>
          <cell r="B9347" t="str">
            <v>Rieles o colgadores montados para sistemas de infusión intravenosa por gravedad</v>
          </cell>
        </row>
        <row r="9348">
          <cell r="A9348">
            <v>42222103</v>
          </cell>
          <cell r="B9348" t="str">
            <v>Postes de infusión intravenosa para sillas de ruedas</v>
          </cell>
        </row>
        <row r="9349">
          <cell r="A9349">
            <v>42222104</v>
          </cell>
          <cell r="B9349" t="str">
            <v>Postes o puestos de línea arterial o intravenosa</v>
          </cell>
        </row>
        <row r="9350">
          <cell r="A9350">
            <v>42222201</v>
          </cell>
          <cell r="B9350" t="str">
            <v>Sets de jeringas de inyección intravenosa sin aguja o cánula de inyección</v>
          </cell>
        </row>
        <row r="9351">
          <cell r="A9351">
            <v>42222202</v>
          </cell>
          <cell r="B9351" t="str">
            <v>Cánulas o adaptadores o decantadores para el retiro de vial o bolsa sin aguja</v>
          </cell>
        </row>
        <row r="9352">
          <cell r="A9352">
            <v>42222301</v>
          </cell>
          <cell r="B9352" t="str">
            <v>Kits de administración de transfusión de sangre</v>
          </cell>
        </row>
        <row r="9353">
          <cell r="A9353">
            <v>42222302</v>
          </cell>
          <cell r="B9353" t="str">
            <v>Filtros o accesorios o pantallas para transfusión de sangre</v>
          </cell>
        </row>
        <row r="9354">
          <cell r="A9354">
            <v>42222303</v>
          </cell>
          <cell r="B9354" t="str">
            <v>Sistemas de identificación para administración o transfusión de sangre</v>
          </cell>
        </row>
        <row r="9355">
          <cell r="A9355">
            <v>42222304</v>
          </cell>
          <cell r="B9355" t="str">
            <v>Tubos para administración o transfusión de sangre</v>
          </cell>
        </row>
        <row r="9356">
          <cell r="A9356">
            <v>42222305</v>
          </cell>
          <cell r="B9356" t="str">
            <v>Pinzas para tubos de administración o transfusión de sangre</v>
          </cell>
        </row>
        <row r="9357">
          <cell r="A9357">
            <v>42222306</v>
          </cell>
          <cell r="B9357" t="str">
            <v>Sistemas de recolección de desechos para administración o transfusión de sangre</v>
          </cell>
        </row>
        <row r="9358">
          <cell r="A9358">
            <v>42222307</v>
          </cell>
          <cell r="B9358" t="str">
            <v>Sistemas de calentamiento o transfusión de sangre</v>
          </cell>
        </row>
        <row r="9359">
          <cell r="A9359">
            <v>42222308</v>
          </cell>
          <cell r="B9359" t="str">
            <v>Bolsas o contenedores para administración o transfusión de sangre</v>
          </cell>
        </row>
        <row r="9360">
          <cell r="A9360">
            <v>42222309</v>
          </cell>
          <cell r="B9360" t="str">
            <v>Sistemas de conservación para administración o transfusión de sangre</v>
          </cell>
        </row>
        <row r="9361">
          <cell r="A9361">
            <v>42231501</v>
          </cell>
          <cell r="B9361" t="str">
            <v>Bombas de infusión para alimentación enteral</v>
          </cell>
        </row>
        <row r="9362">
          <cell r="A9362">
            <v>42231502</v>
          </cell>
          <cell r="B9362" t="str">
            <v>Sets de administración de alimentación enteral</v>
          </cell>
        </row>
        <row r="9363">
          <cell r="A9363">
            <v>42231503</v>
          </cell>
          <cell r="B9363" t="str">
            <v>Sets o bandejas de irrigación para alimentación enteral</v>
          </cell>
        </row>
        <row r="9364">
          <cell r="A9364">
            <v>42231504</v>
          </cell>
          <cell r="B9364" t="str">
            <v>Bolsas o contenedores para nutrición enteral</v>
          </cell>
        </row>
        <row r="9365">
          <cell r="A9365">
            <v>42231505</v>
          </cell>
          <cell r="B9365" t="str">
            <v>Adaptadores o conectores o extensiones para alimentación enteral</v>
          </cell>
        </row>
        <row r="9366">
          <cell r="A9366">
            <v>42231506</v>
          </cell>
          <cell r="B9366" t="str">
            <v>Dispositivos para asegurar tubos naso entéricos</v>
          </cell>
        </row>
        <row r="9367">
          <cell r="A9367">
            <v>42231507</v>
          </cell>
          <cell r="B9367" t="str">
            <v>Cepillos para limpiar tubos enterales</v>
          </cell>
        </row>
        <row r="9368">
          <cell r="A9368">
            <v>42231508</v>
          </cell>
          <cell r="B9368" t="str">
            <v>Válvulas de fijación de alimentación enteral</v>
          </cell>
        </row>
        <row r="9369">
          <cell r="A9369">
            <v>42231509</v>
          </cell>
          <cell r="B9369" t="str">
            <v>Cámaras de pesaje de nutrición enteral</v>
          </cell>
        </row>
        <row r="9370">
          <cell r="A9370">
            <v>42231510</v>
          </cell>
          <cell r="B9370" t="str">
            <v>Sets de tubos de bombeo de infusión para alimentación enteral</v>
          </cell>
        </row>
        <row r="9371">
          <cell r="A9371">
            <v>42231601</v>
          </cell>
          <cell r="B9371" t="str">
            <v>Tubos de gastrostomía para uso general</v>
          </cell>
        </row>
        <row r="9372">
          <cell r="A9372">
            <v>42231602</v>
          </cell>
          <cell r="B9372" t="str">
            <v>Tubos para gastrostomía endoscópica percutánea</v>
          </cell>
        </row>
        <row r="9373">
          <cell r="A9373">
            <v>42231603</v>
          </cell>
          <cell r="B9373" t="str">
            <v>Tubos para yeyunostomía</v>
          </cell>
        </row>
        <row r="9374">
          <cell r="A9374">
            <v>42231604</v>
          </cell>
          <cell r="B9374" t="str">
            <v>Botones de acceso gástrico</v>
          </cell>
        </row>
        <row r="9375">
          <cell r="A9375">
            <v>42231605</v>
          </cell>
          <cell r="B9375" t="str">
            <v>Sujetadores de tubos de gastrostomía o yeyunostomía</v>
          </cell>
        </row>
        <row r="9376">
          <cell r="A9376">
            <v>42231606</v>
          </cell>
          <cell r="B9376" t="str">
            <v>Kits de descompresión del colon</v>
          </cell>
        </row>
        <row r="9377">
          <cell r="A9377">
            <v>42231608</v>
          </cell>
          <cell r="B9377" t="str">
            <v>Sets de catéter y aguja para yeyunostomía</v>
          </cell>
        </row>
        <row r="9378">
          <cell r="A9378">
            <v>42231609</v>
          </cell>
          <cell r="B9378" t="str">
            <v>Kits de tubos de alimentación para gastrostomía</v>
          </cell>
        </row>
        <row r="9379">
          <cell r="A9379">
            <v>42231701</v>
          </cell>
          <cell r="B9379" t="str">
            <v>Tubos nasogástricos</v>
          </cell>
        </row>
        <row r="9380">
          <cell r="A9380">
            <v>42231702</v>
          </cell>
          <cell r="B9380" t="str">
            <v>Tubos nasoyeyunales</v>
          </cell>
        </row>
        <row r="9381">
          <cell r="A9381">
            <v>42231703</v>
          </cell>
          <cell r="B9381" t="str">
            <v>Tubos de descompresión gástrica</v>
          </cell>
        </row>
        <row r="9382">
          <cell r="A9382">
            <v>42231704</v>
          </cell>
          <cell r="B9382" t="str">
            <v>Tubos naso entéricos no clasificados en otra parte</v>
          </cell>
        </row>
        <row r="9383">
          <cell r="A9383">
            <v>42231705</v>
          </cell>
          <cell r="B9383" t="str">
            <v>Filtros nasogástricos</v>
          </cell>
        </row>
        <row r="9384">
          <cell r="A9384">
            <v>42231801</v>
          </cell>
          <cell r="B9384" t="str">
            <v>Fórmulas de suplementos para adultos de uso general</v>
          </cell>
        </row>
        <row r="9385">
          <cell r="A9385">
            <v>42231802</v>
          </cell>
          <cell r="B9385" t="str">
            <v>Fórmulas de suplementos pediátricos</v>
          </cell>
        </row>
        <row r="9386">
          <cell r="A9386">
            <v>42231803</v>
          </cell>
          <cell r="B9386" t="str">
            <v>Fórmulas de suplementos específicos para enfermedades de adultos</v>
          </cell>
        </row>
        <row r="9387">
          <cell r="A9387">
            <v>42231804</v>
          </cell>
          <cell r="B9387" t="str">
            <v>Fórmulas de suplementos específicos para enfermedades pediátricas</v>
          </cell>
        </row>
        <row r="9388">
          <cell r="A9388">
            <v>42231805</v>
          </cell>
          <cell r="B9388" t="str">
            <v>Barras nutricionales o pudín u otros suplementos</v>
          </cell>
        </row>
        <row r="9389">
          <cell r="A9389">
            <v>42231806</v>
          </cell>
          <cell r="B9389" t="str">
            <v>Espesantes de comidas o bebidas nutricionales para uso médico</v>
          </cell>
        </row>
        <row r="9390">
          <cell r="A9390">
            <v>42231807</v>
          </cell>
          <cell r="B9390" t="str">
            <v>Chupos de teteros</v>
          </cell>
        </row>
        <row r="9391">
          <cell r="A9391">
            <v>42231901</v>
          </cell>
          <cell r="B9391" t="str">
            <v>Bombas de seno o sus accesorios</v>
          </cell>
        </row>
        <row r="9392">
          <cell r="A9392">
            <v>42231902</v>
          </cell>
          <cell r="B9392" t="str">
            <v>Conchas o protectores de senos</v>
          </cell>
        </row>
        <row r="9393">
          <cell r="A9393">
            <v>42231903</v>
          </cell>
          <cell r="B9393" t="str">
            <v>Kits de bombas de senos</v>
          </cell>
        </row>
        <row r="9394">
          <cell r="A9394">
            <v>42232001</v>
          </cell>
          <cell r="B9394" t="str">
            <v>Pulverizadores de tabletas o accesorios</v>
          </cell>
        </row>
        <row r="9395">
          <cell r="A9395">
            <v>42232002</v>
          </cell>
          <cell r="B9395" t="str">
            <v>Dispensadores o accesorios de pulverizadores de tabletas</v>
          </cell>
        </row>
        <row r="9396">
          <cell r="A9396">
            <v>42232003</v>
          </cell>
          <cell r="B9396" t="str">
            <v>Cortadores de tabletas o accesorios</v>
          </cell>
        </row>
        <row r="9397">
          <cell r="A9397">
            <v>42241501</v>
          </cell>
          <cell r="B9397" t="str">
            <v>Zapatos de yeso</v>
          </cell>
        </row>
        <row r="9398">
          <cell r="A9398">
            <v>42241502</v>
          </cell>
          <cell r="B9398" t="str">
            <v>Materiales para acolchonar yesos o tablillas</v>
          </cell>
        </row>
        <row r="9399">
          <cell r="A9399">
            <v>42241503</v>
          </cell>
          <cell r="B9399" t="str">
            <v>Protectores de yesos o tablillas</v>
          </cell>
        </row>
        <row r="9400">
          <cell r="A9400">
            <v>42241504</v>
          </cell>
          <cell r="B9400" t="str">
            <v>Media o revestimientos para yeso o tablillas</v>
          </cell>
        </row>
        <row r="9401">
          <cell r="A9401">
            <v>42241505</v>
          </cell>
          <cell r="B9401" t="str">
            <v>Rollos o cintas para enyesar para uso ortopédico</v>
          </cell>
        </row>
        <row r="9402">
          <cell r="A9402">
            <v>42241506</v>
          </cell>
          <cell r="B9402" t="str">
            <v>Material de yeso para tablillas para uso ortopédico</v>
          </cell>
        </row>
        <row r="9403">
          <cell r="A9403">
            <v>42241507</v>
          </cell>
          <cell r="B9403" t="str">
            <v>Sistemas de tablillas ortopédicas</v>
          </cell>
        </row>
        <row r="9404">
          <cell r="A9404">
            <v>42241509</v>
          </cell>
          <cell r="B9404" t="str">
            <v>Componentes de ortesis termoplástica</v>
          </cell>
        </row>
        <row r="9405">
          <cell r="A9405">
            <v>42241510</v>
          </cell>
          <cell r="B9405" t="str">
            <v>Kits o materiales para tablillas termoplásticas</v>
          </cell>
        </row>
        <row r="9406">
          <cell r="A9406">
            <v>42241511</v>
          </cell>
          <cell r="B9406" t="str">
            <v>Sets de tablillas de tracción</v>
          </cell>
        </row>
        <row r="9407">
          <cell r="A9407">
            <v>42241512</v>
          </cell>
          <cell r="B9407" t="str">
            <v>Materiales de unión de yesos o tablillas</v>
          </cell>
        </row>
        <row r="9408">
          <cell r="A9408">
            <v>42241513</v>
          </cell>
          <cell r="B9408" t="str">
            <v>Estuches para transportar y almacenar tablillas o tablillas pre cortadas o sistemas de tablillas</v>
          </cell>
        </row>
        <row r="9409">
          <cell r="A9409">
            <v>42241514</v>
          </cell>
          <cell r="B9409" t="str">
            <v>Rollos de instrumentos para sets o accesorios de tablillas</v>
          </cell>
        </row>
        <row r="9410">
          <cell r="A9410">
            <v>42241515</v>
          </cell>
          <cell r="B9410" t="str">
            <v>Estuches para tablillas o accesorios</v>
          </cell>
        </row>
        <row r="9411">
          <cell r="A9411">
            <v>42241601</v>
          </cell>
          <cell r="B9411" t="str">
            <v>Carritos para yeso o tablillas</v>
          </cell>
        </row>
        <row r="9412">
          <cell r="A9412">
            <v>42241602</v>
          </cell>
          <cell r="B9412" t="str">
            <v>Cortadores o sierras para yeso</v>
          </cell>
        </row>
        <row r="9413">
          <cell r="A9413">
            <v>42241603</v>
          </cell>
          <cell r="B9413" t="str">
            <v>Sistemas de remoción de yeso</v>
          </cell>
        </row>
        <row r="9414">
          <cell r="A9414">
            <v>42241604</v>
          </cell>
          <cell r="B9414" t="str">
            <v>Vacíos de yeso</v>
          </cell>
        </row>
        <row r="9415">
          <cell r="A9415">
            <v>42241606</v>
          </cell>
          <cell r="B9415" t="str">
            <v>Bandejas de impresión de yeso</v>
          </cell>
        </row>
        <row r="9416">
          <cell r="A9416">
            <v>42241607</v>
          </cell>
          <cell r="B9416" t="str">
            <v>Puestos de yeso</v>
          </cell>
        </row>
        <row r="9417">
          <cell r="A9417">
            <v>42241701</v>
          </cell>
          <cell r="B9417" t="str">
            <v>Fieltros de recubrimiento ortopédico para tobillo o pie</v>
          </cell>
        </row>
        <row r="9418">
          <cell r="A9418">
            <v>42241702</v>
          </cell>
          <cell r="B9418" t="str">
            <v>Fieltros de recubrimiento ortopédico para cadera</v>
          </cell>
        </row>
        <row r="9419">
          <cell r="A9419">
            <v>42241703</v>
          </cell>
          <cell r="B9419" t="str">
            <v>Soportes de abrazaderas de rodilla o de abrazaderas de rodilla articuladas</v>
          </cell>
        </row>
        <row r="9420">
          <cell r="A9420">
            <v>42241704</v>
          </cell>
          <cell r="B9420" t="str">
            <v>Inmovilizadores o vendas artroscópicas para rodilla</v>
          </cell>
        </row>
        <row r="9421">
          <cell r="A9421">
            <v>42241705</v>
          </cell>
          <cell r="B9421" t="str">
            <v>Fieltros de recubrimiento ortopédico para pierna o accesorios</v>
          </cell>
        </row>
        <row r="9422">
          <cell r="A9422">
            <v>42241706</v>
          </cell>
          <cell r="B9422" t="str">
            <v>Productos ortóticos o para el cuidado de los pies</v>
          </cell>
        </row>
        <row r="9423">
          <cell r="A9423">
            <v>42241707</v>
          </cell>
          <cell r="B9423" t="str">
            <v>Abrazaderas para caminar</v>
          </cell>
        </row>
        <row r="9424">
          <cell r="A9424">
            <v>42241708</v>
          </cell>
          <cell r="B9424" t="str">
            <v>Almohadas para fractura del fémur</v>
          </cell>
        </row>
        <row r="9425">
          <cell r="A9425">
            <v>42241801</v>
          </cell>
          <cell r="B9425" t="str">
            <v>Fieltros de recubrimiento ortopédico para el brazo</v>
          </cell>
        </row>
        <row r="9426">
          <cell r="A9426">
            <v>42241802</v>
          </cell>
          <cell r="B9426" t="str">
            <v>Fieltros de recubrimiento ortopédico para la espalda o lumbares o para el sacro</v>
          </cell>
        </row>
        <row r="9427">
          <cell r="A9427">
            <v>42241803</v>
          </cell>
          <cell r="B9427" t="str">
            <v>Collares cervicales o abrazaderas para el cuello</v>
          </cell>
        </row>
        <row r="9428">
          <cell r="A9428">
            <v>42241804</v>
          </cell>
          <cell r="B9428" t="str">
            <v>Fieltros de recubrimiento ortopédico para la clavícula</v>
          </cell>
        </row>
        <row r="9429">
          <cell r="A9429">
            <v>42241805</v>
          </cell>
          <cell r="B9429" t="str">
            <v>Fieltros de recubrimiento ortopédico para el codo</v>
          </cell>
        </row>
        <row r="9430">
          <cell r="A9430">
            <v>42241806</v>
          </cell>
          <cell r="B9430" t="str">
            <v>Fieltros de recubrimiento ortopédico para el antebrazo o la muñeca o el pulgar</v>
          </cell>
        </row>
        <row r="9431">
          <cell r="A9431">
            <v>42241807</v>
          </cell>
          <cell r="B9431" t="str">
            <v>Fieltros de recubrimiento ortopédico para la mano o el dedo</v>
          </cell>
        </row>
        <row r="9432">
          <cell r="A9432">
            <v>42241808</v>
          </cell>
          <cell r="B9432" t="str">
            <v>Fieltros de recubrimiento ortopédico para las costillas o el abdomen</v>
          </cell>
        </row>
        <row r="9433">
          <cell r="A9433">
            <v>42241809</v>
          </cell>
          <cell r="B9433" t="str">
            <v>Fieltros de recubrimiento ortopédico para los hombros</v>
          </cell>
        </row>
        <row r="9434">
          <cell r="A9434">
            <v>42241810</v>
          </cell>
          <cell r="B9434" t="str">
            <v>Órtosis ortopédicas espinales</v>
          </cell>
        </row>
        <row r="9435">
          <cell r="A9435">
            <v>42241811</v>
          </cell>
          <cell r="B9435" t="str">
            <v>Faja para hernias</v>
          </cell>
        </row>
        <row r="9436">
          <cell r="A9436">
            <v>42241901</v>
          </cell>
          <cell r="B9436" t="str">
            <v>Kits de tablillas estabilizadoras</v>
          </cell>
        </row>
        <row r="9437">
          <cell r="A9437">
            <v>42241902</v>
          </cell>
          <cell r="B9437" t="str">
            <v>Partes o accesorios de tablillas estabilizadoras</v>
          </cell>
        </row>
        <row r="9438">
          <cell r="A9438">
            <v>42242001</v>
          </cell>
          <cell r="B9438" t="str">
            <v>Dispositivos prostéticos para las extremidades inferiores</v>
          </cell>
        </row>
        <row r="9439">
          <cell r="A9439">
            <v>42242002</v>
          </cell>
          <cell r="B9439" t="str">
            <v>Dispositivos prostéticos para las extremidades superiores</v>
          </cell>
        </row>
        <row r="9440">
          <cell r="A9440">
            <v>42242003</v>
          </cell>
          <cell r="B9440" t="str">
            <v>Dispositivos o accesorios de sujeción prostética</v>
          </cell>
        </row>
        <row r="9441">
          <cell r="A9441">
            <v>42242004</v>
          </cell>
          <cell r="B9441" t="str">
            <v>Media o forro prostético de muñón</v>
          </cell>
        </row>
        <row r="9442">
          <cell r="A9442">
            <v>42242101</v>
          </cell>
          <cell r="B9442" t="str">
            <v>Suministros de tracción de brazo</v>
          </cell>
        </row>
        <row r="9443">
          <cell r="A9443">
            <v>42242102</v>
          </cell>
          <cell r="B9443" t="str">
            <v>Suministros de tracción de mano o dedos</v>
          </cell>
        </row>
        <row r="9444">
          <cell r="A9444">
            <v>42242103</v>
          </cell>
          <cell r="B9444" t="str">
            <v>Suministros de tracción de cabeza o cuello</v>
          </cell>
        </row>
        <row r="9445">
          <cell r="A9445">
            <v>42242104</v>
          </cell>
          <cell r="B9445" t="str">
            <v>Suministros de tracción de piernas</v>
          </cell>
        </row>
        <row r="9446">
          <cell r="A9446">
            <v>42242105</v>
          </cell>
          <cell r="B9446" t="str">
            <v>Carritos móviles de tracción</v>
          </cell>
        </row>
        <row r="9447">
          <cell r="A9447">
            <v>42242106</v>
          </cell>
          <cell r="B9447" t="str">
            <v>Suministros de tracción de pelvis o espalda</v>
          </cell>
        </row>
        <row r="9448">
          <cell r="A9448">
            <v>42242107</v>
          </cell>
          <cell r="B9448" t="str">
            <v>Suministros de terapia de tracción de perno</v>
          </cell>
        </row>
        <row r="9449">
          <cell r="A9449">
            <v>42242108</v>
          </cell>
          <cell r="B9449" t="str">
            <v>Hardware o pesas de tracción ortopédica</v>
          </cell>
        </row>
        <row r="9450">
          <cell r="A9450">
            <v>42242109</v>
          </cell>
          <cell r="B9450" t="str">
            <v>Fieltros de recubrimiento de tracción ortopédica para uso general</v>
          </cell>
        </row>
        <row r="9451">
          <cell r="A9451">
            <v>42242301</v>
          </cell>
          <cell r="B9451" t="str">
            <v>Bombas de cicatriz ortopédica</v>
          </cell>
        </row>
        <row r="9452">
          <cell r="A9452">
            <v>42242302</v>
          </cell>
          <cell r="B9452" t="str">
            <v>Aplicaciones ortopédicas de miembro superior</v>
          </cell>
        </row>
        <row r="9453">
          <cell r="A9453">
            <v>42251501</v>
          </cell>
          <cell r="B9453" t="str">
            <v>Productos de enseñanza para vestirse</v>
          </cell>
        </row>
        <row r="9454">
          <cell r="A9454">
            <v>42251502</v>
          </cell>
          <cell r="B9454" t="str">
            <v>Productos para evaluación o pruebas cognitivas o de destreza o de percepción o sensoriales</v>
          </cell>
        </row>
        <row r="9455">
          <cell r="A9455">
            <v>42251503</v>
          </cell>
          <cell r="B9455" t="str">
            <v>Juegos terapéuticos</v>
          </cell>
        </row>
        <row r="9456">
          <cell r="A9456">
            <v>42251504</v>
          </cell>
          <cell r="B9456" t="str">
            <v>Tableros perforados o tableros de actividades de uso terapéutico</v>
          </cell>
        </row>
        <row r="9457">
          <cell r="A9457">
            <v>42251505</v>
          </cell>
          <cell r="B9457" t="str">
            <v>Rompecabezas de uso terapéutico</v>
          </cell>
        </row>
        <row r="9458">
          <cell r="A9458">
            <v>42251506</v>
          </cell>
          <cell r="B9458" t="str">
            <v>Cajas de decoración de uso terapéutico</v>
          </cell>
        </row>
        <row r="9459">
          <cell r="A9459">
            <v>42251601</v>
          </cell>
          <cell r="B9459" t="str">
            <v>Vigas de balance o de soporte o mecedoras para rehabilitación o terapia</v>
          </cell>
        </row>
        <row r="9460">
          <cell r="A9460">
            <v>42251602</v>
          </cell>
          <cell r="B9460" t="str">
            <v>Dispositivos para escalar para rehabilitación o terapia</v>
          </cell>
        </row>
        <row r="9461">
          <cell r="A9461">
            <v>42251603</v>
          </cell>
          <cell r="B9461" t="str">
            <v>Dispositivos o accesorios de moción pasiva continua cpm</v>
          </cell>
        </row>
        <row r="9462">
          <cell r="A9462">
            <v>42251604</v>
          </cell>
          <cell r="B9462" t="str">
            <v>Patines de ejercicio de extremidades para rehabilitación o terapia</v>
          </cell>
        </row>
        <row r="9463">
          <cell r="A9463">
            <v>42251605</v>
          </cell>
          <cell r="B9463" t="str">
            <v>Pedales de ejercicio para rehabilitación o terapia</v>
          </cell>
        </row>
        <row r="9464">
          <cell r="A9464">
            <v>42251606</v>
          </cell>
          <cell r="B9464" t="str">
            <v>Tablas para ejercicios sin gravedad para rehabilitación o terapia</v>
          </cell>
        </row>
        <row r="9465">
          <cell r="A9465">
            <v>42251607</v>
          </cell>
          <cell r="B9465" t="str">
            <v>Poleas o accesorios para rehabilitación o terapia</v>
          </cell>
        </row>
        <row r="9466">
          <cell r="A9466">
            <v>42251608</v>
          </cell>
          <cell r="B9466" t="str">
            <v>Bandas de ejercicio o masilla o tubos o accesorios para rehabilitación o terapia</v>
          </cell>
        </row>
        <row r="9467">
          <cell r="A9467">
            <v>42251609</v>
          </cell>
          <cell r="B9467" t="str">
            <v>Patinetas o patines de ocho figuras para rehabilitación o terapia</v>
          </cell>
        </row>
        <row r="9468">
          <cell r="A9468">
            <v>42251610</v>
          </cell>
          <cell r="B9468" t="str">
            <v>Pelotas o accesorios terapéuticos</v>
          </cell>
        </row>
        <row r="9469">
          <cell r="A9469">
            <v>42251611</v>
          </cell>
          <cell r="B9469" t="str">
            <v>Dispositivos de movimiento vestibular para rehabilitación o terapia</v>
          </cell>
        </row>
        <row r="9470">
          <cell r="A9470">
            <v>42251612</v>
          </cell>
          <cell r="B9470" t="str">
            <v>Pesas o sets o accesorios para rehabilitación o terapia</v>
          </cell>
        </row>
        <row r="9471">
          <cell r="A9471">
            <v>42251613</v>
          </cell>
          <cell r="B9471" t="str">
            <v>Bandas caminadoras ejercitadoras para rehabilitación o terapia</v>
          </cell>
        </row>
        <row r="9472">
          <cell r="A9472">
            <v>42251614</v>
          </cell>
          <cell r="B9472" t="str">
            <v>Bolsas de arena o sets de bolsas de arena para rehabilitación o terapia</v>
          </cell>
        </row>
        <row r="9473">
          <cell r="A9473">
            <v>42251615</v>
          </cell>
          <cell r="B9473" t="str">
            <v>Cinturones de pesas o kits para rehabilitación o terapia</v>
          </cell>
        </row>
        <row r="9474">
          <cell r="A9474">
            <v>42251616</v>
          </cell>
          <cell r="B9474" t="str">
            <v>Vibradores eléctricos para rehabilitación o terapia</v>
          </cell>
        </row>
        <row r="9475">
          <cell r="A9475">
            <v>42251617</v>
          </cell>
          <cell r="B9475" t="str">
            <v>Asientos acolchonados o accesorios terapéuticos</v>
          </cell>
        </row>
        <row r="9476">
          <cell r="A9476">
            <v>42251618</v>
          </cell>
          <cell r="B9476" t="str">
            <v>Ejercitadoras de muñecas para rehabilitación o terapia</v>
          </cell>
        </row>
        <row r="9477">
          <cell r="A9477">
            <v>42251619</v>
          </cell>
          <cell r="B9477" t="str">
            <v>Arcilla cerámica terapéutica o accesorios</v>
          </cell>
        </row>
        <row r="9478">
          <cell r="A9478">
            <v>42251620</v>
          </cell>
          <cell r="B9478" t="str">
            <v>Esterillas o plataformas para rehabilitación o terapia</v>
          </cell>
        </row>
        <row r="9479">
          <cell r="A9479">
            <v>42251621</v>
          </cell>
          <cell r="B9479" t="str">
            <v>Ejercitadoras de bota para rehabilitación o terapia</v>
          </cell>
        </row>
        <row r="9480">
          <cell r="A9480">
            <v>42251622</v>
          </cell>
          <cell r="B9480" t="str">
            <v>Ejercitadoras de pulmón para rehabilitación o terapia</v>
          </cell>
        </row>
        <row r="9481">
          <cell r="A9481">
            <v>42251623</v>
          </cell>
          <cell r="B9481" t="str">
            <v>Aparatos o suministros para terapia ultrasónica</v>
          </cell>
        </row>
        <row r="9482">
          <cell r="A9482">
            <v>42251624</v>
          </cell>
          <cell r="B9482" t="str">
            <v>Máquinas de pesas para rehabilitación o terapia</v>
          </cell>
        </row>
        <row r="9483">
          <cell r="A9483">
            <v>42251701</v>
          </cell>
          <cell r="B9483" t="str">
            <v>Cinturones de manera de caminar para rehabilitación o terapia</v>
          </cell>
        </row>
        <row r="9484">
          <cell r="A9484">
            <v>42251702</v>
          </cell>
          <cell r="B9484" t="str">
            <v>Rampas de entrenamiento para rehabilitación o terapia</v>
          </cell>
        </row>
        <row r="9485">
          <cell r="A9485">
            <v>42251703</v>
          </cell>
          <cell r="B9485" t="str">
            <v>Escaleras de entrenamiento para rehabilitación o terapia</v>
          </cell>
        </row>
        <row r="9486">
          <cell r="A9486">
            <v>42251704</v>
          </cell>
          <cell r="B9486" t="str">
            <v>Barras de manera de caminar para rehabilitación o terapia</v>
          </cell>
        </row>
        <row r="9487">
          <cell r="A9487">
            <v>42251705</v>
          </cell>
          <cell r="B9487" t="str">
            <v>Barras paralelas para rehabilitación o terapia</v>
          </cell>
        </row>
        <row r="9488">
          <cell r="A9488">
            <v>42251706</v>
          </cell>
          <cell r="B9488" t="str">
            <v>Caminadoras o bicicletas o ejercitadoras de manera de caminar</v>
          </cell>
        </row>
        <row r="9489">
          <cell r="A9489">
            <v>42251801</v>
          </cell>
          <cell r="B9489" t="str">
            <v>Tableros de salto o accesorios para rehabilitación o terapia</v>
          </cell>
        </row>
        <row r="9490">
          <cell r="A9490">
            <v>42251802</v>
          </cell>
          <cell r="B9490" t="str">
            <v>Cajas de levantar o accesorios para rehabilitación o terapia</v>
          </cell>
        </row>
        <row r="9491">
          <cell r="A9491">
            <v>42251803</v>
          </cell>
          <cell r="B9491" t="str">
            <v>Árboles de tubos o accesorios para rehabilitación o terapia</v>
          </cell>
        </row>
        <row r="9492">
          <cell r="A9492">
            <v>42251804</v>
          </cell>
          <cell r="B9492" t="str">
            <v>Carros de halar o empujar o accesorios para rehabilitación o terapia</v>
          </cell>
        </row>
        <row r="9493">
          <cell r="A9493">
            <v>42251805</v>
          </cell>
          <cell r="B9493" t="str">
            <v>Mesas o estaciones de trabajo o accesorios para rehabilitación o terapia</v>
          </cell>
        </row>
        <row r="9494">
          <cell r="A9494">
            <v>42261501</v>
          </cell>
          <cell r="B9494" t="str">
            <v>Tijeras para autopsias</v>
          </cell>
        </row>
        <row r="9495">
          <cell r="A9495">
            <v>42261502</v>
          </cell>
          <cell r="B9495" t="str">
            <v>Fórceps de disección de uso general para autopsias</v>
          </cell>
        </row>
        <row r="9496">
          <cell r="A9496">
            <v>42261503</v>
          </cell>
          <cell r="B9496" t="str">
            <v>Sondas de bala para autopsias</v>
          </cell>
        </row>
        <row r="9497">
          <cell r="A9497">
            <v>42261504</v>
          </cell>
          <cell r="B9497" t="str">
            <v>Jaladores de hilo o aguja para autopsias</v>
          </cell>
        </row>
        <row r="9498">
          <cell r="A9498">
            <v>42261505</v>
          </cell>
          <cell r="B9498" t="str">
            <v>Cuchillos o cuchillas para autopsias</v>
          </cell>
        </row>
        <row r="9499">
          <cell r="A9499">
            <v>42261506</v>
          </cell>
          <cell r="B9499" t="str">
            <v>Cinceles u osteotomos para autopsias</v>
          </cell>
        </row>
        <row r="9500">
          <cell r="A9500">
            <v>42261507</v>
          </cell>
          <cell r="B9500" t="str">
            <v>Hilo post mortem</v>
          </cell>
        </row>
        <row r="9501">
          <cell r="A9501">
            <v>42261508</v>
          </cell>
          <cell r="B9501" t="str">
            <v>Agujas post mortem</v>
          </cell>
        </row>
        <row r="9502">
          <cell r="A9502">
            <v>42261509</v>
          </cell>
          <cell r="B9502" t="str">
            <v>Kits de disección para autopsias</v>
          </cell>
        </row>
        <row r="9503">
          <cell r="A9503">
            <v>42261510</v>
          </cell>
          <cell r="B9503" t="str">
            <v>Ganchos de incisión post mortem</v>
          </cell>
        </row>
        <row r="9504">
          <cell r="A9504">
            <v>42261511</v>
          </cell>
          <cell r="B9504" t="str">
            <v>Directores de vena para autopsias</v>
          </cell>
        </row>
        <row r="9505">
          <cell r="A9505">
            <v>42261512</v>
          </cell>
          <cell r="B9505" t="str">
            <v>Sierras para autopsias</v>
          </cell>
        </row>
        <row r="9506">
          <cell r="A9506">
            <v>42261513</v>
          </cell>
          <cell r="B9506" t="str">
            <v>Cuchillas de sierra o accesorios para autopsias</v>
          </cell>
        </row>
        <row r="9507">
          <cell r="A9507">
            <v>42261514</v>
          </cell>
          <cell r="B9507" t="str">
            <v>Tablas o almohadillas de disección</v>
          </cell>
        </row>
        <row r="9508">
          <cell r="A9508">
            <v>42261515</v>
          </cell>
          <cell r="B9508" t="str">
            <v>Estuches para instrumentos o accesorios quirúrgicos post mortem</v>
          </cell>
        </row>
        <row r="9509">
          <cell r="A9509">
            <v>42261516</v>
          </cell>
          <cell r="B9509" t="str">
            <v>Rollos de instrumentos para instrumentos o accesorios quirúrgicos post mortem</v>
          </cell>
        </row>
        <row r="9510">
          <cell r="A9510">
            <v>42261601</v>
          </cell>
          <cell r="B9510" t="str">
            <v>Recolectores de polvo de huesos</v>
          </cell>
        </row>
        <row r="9511">
          <cell r="A9511">
            <v>42261602</v>
          </cell>
          <cell r="B9511" t="str">
            <v>Bolsa para cadáver de uso médico</v>
          </cell>
        </row>
        <row r="9512">
          <cell r="A9512">
            <v>42261603</v>
          </cell>
          <cell r="B9512" t="str">
            <v>Bolsas de transporte del cadáver</v>
          </cell>
        </row>
        <row r="9513">
          <cell r="A9513">
            <v>42261604</v>
          </cell>
          <cell r="B9513" t="str">
            <v>Apoya cabezas para autopsias</v>
          </cell>
        </row>
        <row r="9514">
          <cell r="A9514">
            <v>42261605</v>
          </cell>
          <cell r="B9514" t="str">
            <v>Tablas de cuerpo para autopsias</v>
          </cell>
        </row>
        <row r="9515">
          <cell r="A9515">
            <v>42261606</v>
          </cell>
          <cell r="B9515" t="str">
            <v>Balanzas colgantes para autopsias</v>
          </cell>
        </row>
        <row r="9516">
          <cell r="A9516">
            <v>42261607</v>
          </cell>
          <cell r="B9516" t="str">
            <v>Bolsas o contenedores para especímenes para autopsias</v>
          </cell>
        </row>
        <row r="9517">
          <cell r="A9517">
            <v>42261608</v>
          </cell>
          <cell r="B9517" t="str">
            <v>Kits de enfermedades infecciosas para autopsias</v>
          </cell>
        </row>
        <row r="9518">
          <cell r="A9518">
            <v>42261609</v>
          </cell>
          <cell r="B9518" t="str">
            <v>Cintas o brazaletes de identificación post mortem</v>
          </cell>
        </row>
        <row r="9519">
          <cell r="A9519">
            <v>42261610</v>
          </cell>
          <cell r="B9519" t="str">
            <v>Aspiradoras o tubos de vacío para recolección de fluidos para autopsias</v>
          </cell>
        </row>
        <row r="9520">
          <cell r="A9520">
            <v>42261611</v>
          </cell>
          <cell r="B9520" t="str">
            <v>Termómetros rectales post mortem</v>
          </cell>
        </row>
        <row r="9521">
          <cell r="A9521">
            <v>42261612</v>
          </cell>
          <cell r="B9521" t="str">
            <v>Dispositivos para enderezar dedos post mortem</v>
          </cell>
        </row>
        <row r="9522">
          <cell r="A9522">
            <v>42261613</v>
          </cell>
          <cell r="B9522" t="str">
            <v>Kits de construcción de tejidos de cadáveres</v>
          </cell>
        </row>
        <row r="9523">
          <cell r="A9523">
            <v>42261701</v>
          </cell>
          <cell r="B9523" t="str">
            <v>Estaciones de trabajo para autopsia macroscópica o accesorios</v>
          </cell>
        </row>
        <row r="9524">
          <cell r="A9524">
            <v>42261702</v>
          </cell>
          <cell r="B9524" t="str">
            <v>Lavaderos o accesorios para autopsias</v>
          </cell>
        </row>
        <row r="9525">
          <cell r="A9525">
            <v>42261703</v>
          </cell>
          <cell r="B9525" t="str">
            <v>Tablas o accesorios para autopsias</v>
          </cell>
        </row>
        <row r="9526">
          <cell r="A9526">
            <v>42261704</v>
          </cell>
          <cell r="B9526" t="str">
            <v>Tablas para necropsia o accesorios</v>
          </cell>
        </row>
        <row r="9527">
          <cell r="A9527">
            <v>42261705</v>
          </cell>
          <cell r="B9527" t="str">
            <v>Tablas o accesorios para disección de animales post mortem</v>
          </cell>
        </row>
        <row r="9528">
          <cell r="A9528">
            <v>42261706</v>
          </cell>
          <cell r="B9528" t="str">
            <v>Estaciones de trabajo para embalsamar o accesorios</v>
          </cell>
        </row>
        <row r="9529">
          <cell r="A9529">
            <v>42261707</v>
          </cell>
          <cell r="B9529" t="str">
            <v>Estaciones de trabajo para autopsias de drenaje o accesorios</v>
          </cell>
        </row>
        <row r="9530">
          <cell r="A9530">
            <v>42261801</v>
          </cell>
          <cell r="B9530" t="str">
            <v>Gabinetes de almacenamiento de cadáveres</v>
          </cell>
        </row>
        <row r="9531">
          <cell r="A9531">
            <v>42261802</v>
          </cell>
          <cell r="B9531" t="str">
            <v>Transportadores de cadáveres</v>
          </cell>
        </row>
        <row r="9532">
          <cell r="A9532">
            <v>42261803</v>
          </cell>
          <cell r="B9532" t="str">
            <v>Poleas de elevación de tijeras para cadáveres</v>
          </cell>
        </row>
        <row r="9533">
          <cell r="A9533">
            <v>42261804</v>
          </cell>
          <cell r="B9533" t="str">
            <v>Gabinetes refrigeradores para las morgues</v>
          </cell>
        </row>
        <row r="9534">
          <cell r="A9534">
            <v>42261805</v>
          </cell>
          <cell r="B9534" t="str">
            <v>Cuartos refrigeradores para la morgue</v>
          </cell>
        </row>
        <row r="9535">
          <cell r="A9535">
            <v>42261806</v>
          </cell>
          <cell r="B9535" t="str">
            <v>Congeladores para morgues</v>
          </cell>
        </row>
        <row r="9536">
          <cell r="A9536">
            <v>42261807</v>
          </cell>
          <cell r="B9536" t="str">
            <v>Carritos de autopsia</v>
          </cell>
        </row>
        <row r="9537">
          <cell r="A9537">
            <v>42261808</v>
          </cell>
          <cell r="B9537" t="str">
            <v>Bandejas para cadáveres</v>
          </cell>
        </row>
        <row r="9538">
          <cell r="A9538">
            <v>42261809</v>
          </cell>
          <cell r="B9538" t="str">
            <v>Dispositivos de elevación o transferencia de cadáveres</v>
          </cell>
        </row>
        <row r="9539">
          <cell r="A9539">
            <v>42261810</v>
          </cell>
          <cell r="B9539" t="str">
            <v>Contenedores para transporte de cuerpos</v>
          </cell>
        </row>
        <row r="9540">
          <cell r="A9540">
            <v>42261901</v>
          </cell>
          <cell r="B9540" t="str">
            <v>Materiales de huellas dactilares o impresión post mortem</v>
          </cell>
        </row>
        <row r="9541">
          <cell r="A9541">
            <v>42261902</v>
          </cell>
          <cell r="B9541" t="str">
            <v>Máscaras anti putrefacción</v>
          </cell>
        </row>
        <row r="9542">
          <cell r="A9542">
            <v>42261903</v>
          </cell>
          <cell r="B9542" t="str">
            <v>Kits o suministros de detección de sangre post mortem</v>
          </cell>
        </row>
        <row r="9543">
          <cell r="A9543">
            <v>42261904</v>
          </cell>
          <cell r="B9543" t="str">
            <v>Kits de recolección de evidencia biológica</v>
          </cell>
        </row>
        <row r="9544">
          <cell r="A9544">
            <v>42262001</v>
          </cell>
          <cell r="B9544" t="str">
            <v>Inyectores de cavidad para embalsamar</v>
          </cell>
        </row>
        <row r="9545">
          <cell r="A9545">
            <v>42262002</v>
          </cell>
          <cell r="B9545" t="str">
            <v>Tubos de drenaje de venas para embalsamar</v>
          </cell>
        </row>
        <row r="9546">
          <cell r="A9546">
            <v>42262003</v>
          </cell>
          <cell r="B9546" t="str">
            <v>Fluidos para embalsamar o tratamientos químicos</v>
          </cell>
        </row>
        <row r="9547">
          <cell r="A9547">
            <v>42262004</v>
          </cell>
          <cell r="B9547" t="str">
            <v>Tubos de inyección para embalsamar</v>
          </cell>
        </row>
        <row r="9548">
          <cell r="A9548">
            <v>42262005</v>
          </cell>
          <cell r="B9548" t="str">
            <v>Lavaderos o accesorios para embalsamar</v>
          </cell>
        </row>
        <row r="9549">
          <cell r="A9549">
            <v>42262006</v>
          </cell>
          <cell r="B9549" t="str">
            <v>Kits para embalsamar</v>
          </cell>
        </row>
        <row r="9550">
          <cell r="A9550">
            <v>42262007</v>
          </cell>
          <cell r="B9550" t="str">
            <v>Agujas inyectoras para embalsamar</v>
          </cell>
        </row>
        <row r="9551">
          <cell r="A9551">
            <v>42262008</v>
          </cell>
          <cell r="B9551" t="str">
            <v>Protectores de ojos</v>
          </cell>
        </row>
        <row r="9552">
          <cell r="A9552">
            <v>42262101</v>
          </cell>
          <cell r="B9552" t="str">
            <v>Trajes mortuorios</v>
          </cell>
        </row>
        <row r="9553">
          <cell r="A9553">
            <v>42262102</v>
          </cell>
          <cell r="B9553" t="str">
            <v>Paquetes mortuorios</v>
          </cell>
        </row>
        <row r="9554">
          <cell r="A9554">
            <v>42262103</v>
          </cell>
          <cell r="B9554" t="str">
            <v>Lienzos mortuorios</v>
          </cell>
        </row>
        <row r="9555">
          <cell r="A9555">
            <v>42262104</v>
          </cell>
          <cell r="B9555" t="str">
            <v>Aspiradoras mortuorias</v>
          </cell>
        </row>
        <row r="9556">
          <cell r="A9556">
            <v>42262105</v>
          </cell>
          <cell r="B9556" t="str">
            <v>Compuestos endurecedores mortuorios</v>
          </cell>
        </row>
        <row r="9557">
          <cell r="A9557">
            <v>42271501</v>
          </cell>
          <cell r="B9557" t="str">
            <v>Monitores de apnea o accesorios</v>
          </cell>
        </row>
        <row r="9558">
          <cell r="A9558">
            <v>42271502</v>
          </cell>
          <cell r="B9558" t="str">
            <v>Monitores de gas arterial o accesorios</v>
          </cell>
        </row>
        <row r="9559">
          <cell r="A9559">
            <v>42271503</v>
          </cell>
          <cell r="B9559" t="str">
            <v>Monitores de óxido de carbono exhalado o suministros</v>
          </cell>
        </row>
        <row r="9560">
          <cell r="A9560">
            <v>42271504</v>
          </cell>
          <cell r="B9560" t="str">
            <v>Estetoscopios esofágicos</v>
          </cell>
        </row>
        <row r="9561">
          <cell r="A9561">
            <v>42271505</v>
          </cell>
          <cell r="B9561" t="str">
            <v>Kits de monitoreo respiratorio o sus accesorios</v>
          </cell>
        </row>
        <row r="9562">
          <cell r="A9562">
            <v>42271506</v>
          </cell>
          <cell r="B9562" t="str">
            <v>Monitores de oxígeno o suministros</v>
          </cell>
        </row>
        <row r="9563">
          <cell r="A9563">
            <v>42271601</v>
          </cell>
          <cell r="B9563" t="str">
            <v>Pletismógrafos de cuerpo</v>
          </cell>
        </row>
        <row r="9564">
          <cell r="A9564">
            <v>42271602</v>
          </cell>
          <cell r="B9564" t="str">
            <v>Espirómetros o sus accesorios o suministros</v>
          </cell>
        </row>
        <row r="9565">
          <cell r="A9565">
            <v>42271603</v>
          </cell>
          <cell r="B9565" t="str">
            <v>Pantallas de función pulmonar para junto a la cama</v>
          </cell>
        </row>
        <row r="9566">
          <cell r="A9566">
            <v>42271604</v>
          </cell>
          <cell r="B9566" t="str">
            <v>Flujómetros de pico</v>
          </cell>
        </row>
        <row r="9567">
          <cell r="A9567">
            <v>42271605</v>
          </cell>
          <cell r="B9567" t="str">
            <v>Calculadoras de función pulmonar</v>
          </cell>
        </row>
        <row r="9568">
          <cell r="A9568">
            <v>42271606</v>
          </cell>
          <cell r="B9568" t="str">
            <v>Dispositivos de calibración pulmonar</v>
          </cell>
        </row>
        <row r="9569">
          <cell r="A9569">
            <v>42271607</v>
          </cell>
          <cell r="B9569" t="str">
            <v>Tubos de función pulmonar o accesorios</v>
          </cell>
        </row>
        <row r="9570">
          <cell r="A9570">
            <v>42271608</v>
          </cell>
          <cell r="B9570" t="str">
            <v>Productos de prueba de estrés pulmonar</v>
          </cell>
        </row>
        <row r="9571">
          <cell r="A9571">
            <v>42271609</v>
          </cell>
          <cell r="B9571" t="str">
            <v>Monitores de estudio de sueño o accesorios</v>
          </cell>
        </row>
        <row r="9572">
          <cell r="A9572">
            <v>42271610</v>
          </cell>
          <cell r="B9572" t="str">
            <v>Monitores transcutáneos o productos relacionados</v>
          </cell>
        </row>
        <row r="9573">
          <cell r="A9573">
            <v>42271611</v>
          </cell>
          <cell r="B9573" t="str">
            <v>Monitores de ventilación pulmonar</v>
          </cell>
        </row>
        <row r="9574">
          <cell r="A9574">
            <v>42271612</v>
          </cell>
          <cell r="B9574" t="str">
            <v>Analizadores o monitores de gas pulmonar</v>
          </cell>
        </row>
        <row r="9575">
          <cell r="A9575">
            <v>42271613</v>
          </cell>
          <cell r="B9575" t="str">
            <v>Monitores de presión pulmonar</v>
          </cell>
        </row>
        <row r="9576">
          <cell r="A9576">
            <v>42271614</v>
          </cell>
          <cell r="B9576" t="str">
            <v>Monitores de temperatura respiratoria</v>
          </cell>
        </row>
        <row r="9577">
          <cell r="A9577">
            <v>42271615</v>
          </cell>
          <cell r="B9577" t="str">
            <v>Neumotacos</v>
          </cell>
        </row>
        <row r="9578">
          <cell r="A9578">
            <v>42271616</v>
          </cell>
          <cell r="B9578" t="str">
            <v>Filtros de monitoreo de función pulmonar</v>
          </cell>
        </row>
        <row r="9579">
          <cell r="A9579">
            <v>42271617</v>
          </cell>
          <cell r="B9579" t="str">
            <v>Percusores de pecho</v>
          </cell>
        </row>
        <row r="9580">
          <cell r="A9580">
            <v>42271618</v>
          </cell>
          <cell r="B9580" t="str">
            <v>Estilógrafos grabadores para espirómetros</v>
          </cell>
        </row>
        <row r="9581">
          <cell r="A9581">
            <v>42271701</v>
          </cell>
          <cell r="B9581" t="str">
            <v>Cilindros de gas o dispositivos relacionados para uso médico</v>
          </cell>
        </row>
        <row r="9582">
          <cell r="A9582">
            <v>42271702</v>
          </cell>
          <cell r="B9582" t="str">
            <v>Concentradores de oxígeno</v>
          </cell>
        </row>
        <row r="9583">
          <cell r="A9583">
            <v>42271703</v>
          </cell>
          <cell r="B9583" t="str">
            <v>Mezcladores de aire de oxígeno</v>
          </cell>
        </row>
        <row r="9584">
          <cell r="A9584">
            <v>42271704</v>
          </cell>
          <cell r="B9584" t="str">
            <v>Temporizadores de oxígeno</v>
          </cell>
        </row>
        <row r="9585">
          <cell r="A9585">
            <v>42271705</v>
          </cell>
          <cell r="B9585" t="str">
            <v>Conectores o adaptadores de suministro de oxígeno</v>
          </cell>
        </row>
        <row r="9586">
          <cell r="A9586">
            <v>42271706</v>
          </cell>
          <cell r="B9586" t="str">
            <v>Compresores para terapia respiratoria</v>
          </cell>
        </row>
        <row r="9587">
          <cell r="A9587">
            <v>42271707</v>
          </cell>
          <cell r="B9587" t="str">
            <v>Sensores de flujo o reguladores o componentes</v>
          </cell>
        </row>
        <row r="9588">
          <cell r="A9588">
            <v>42271708</v>
          </cell>
          <cell r="B9588" t="str">
            <v>Máscaras de oxígeno o partes para uso médico</v>
          </cell>
        </row>
        <row r="9589">
          <cell r="A9589">
            <v>42271709</v>
          </cell>
          <cell r="B9589" t="str">
            <v>Cánulas nasales para uso médico</v>
          </cell>
        </row>
        <row r="9590">
          <cell r="A9590">
            <v>42271710</v>
          </cell>
          <cell r="B9590" t="str">
            <v>Catéteres nasales o kits de cateterización para uso médico</v>
          </cell>
        </row>
        <row r="9591">
          <cell r="A9591">
            <v>42271711</v>
          </cell>
          <cell r="B9591" t="str">
            <v>Capuchas para la cabeza para uso médico</v>
          </cell>
        </row>
        <row r="9592">
          <cell r="A9592">
            <v>42271712</v>
          </cell>
          <cell r="B9592" t="str">
            <v>Carpas de aerosol para uso médico</v>
          </cell>
        </row>
        <row r="9593">
          <cell r="A9593">
            <v>42271713</v>
          </cell>
          <cell r="B9593" t="str">
            <v>Cámaras hiperbáricas para uso médico</v>
          </cell>
        </row>
        <row r="9594">
          <cell r="A9594">
            <v>42271714</v>
          </cell>
          <cell r="B9594" t="str">
            <v>Incubadoras para uso médico</v>
          </cell>
        </row>
        <row r="9595">
          <cell r="A9595">
            <v>42271715</v>
          </cell>
          <cell r="B9595" t="str">
            <v>Tubos o conectores de oxígeno para uso médico</v>
          </cell>
        </row>
        <row r="9596">
          <cell r="A9596">
            <v>42271716</v>
          </cell>
          <cell r="B9596" t="str">
            <v>Estuches para insufladores nasales</v>
          </cell>
        </row>
        <row r="9597">
          <cell r="A9597">
            <v>42271717</v>
          </cell>
          <cell r="B9597" t="str">
            <v>Inhaladores o sets</v>
          </cell>
        </row>
        <row r="9598">
          <cell r="A9598">
            <v>42271718</v>
          </cell>
          <cell r="B9598" t="str">
            <v>Accesorios para productos de sistemas de entrega de oxígeno para terapia o sus suministros</v>
          </cell>
        </row>
        <row r="9599">
          <cell r="A9599">
            <v>42271719</v>
          </cell>
          <cell r="B9599" t="str">
            <v>Insuflador de oxígeno o sus accesorios</v>
          </cell>
        </row>
        <row r="9600">
          <cell r="A9600">
            <v>42271720</v>
          </cell>
          <cell r="B9600" t="str">
            <v>Convertidores de oxígeno líquido</v>
          </cell>
        </row>
        <row r="9601">
          <cell r="A9601">
            <v>42271721</v>
          </cell>
          <cell r="B9601" t="str">
            <v>Filtros de concentradores de oxígeno</v>
          </cell>
        </row>
        <row r="9602">
          <cell r="A9602">
            <v>42271801</v>
          </cell>
          <cell r="B9602" t="str">
            <v>Humidificadores o vaporizadores respiratorios</v>
          </cell>
        </row>
        <row r="9603">
          <cell r="A9603">
            <v>42271802</v>
          </cell>
          <cell r="B9603" t="str">
            <v>Nebulizadores o accesorios</v>
          </cell>
        </row>
        <row r="9604">
          <cell r="A9604">
            <v>42271803</v>
          </cell>
          <cell r="B9604" t="str">
            <v>Sets de transferencia para terapia respiratoria</v>
          </cell>
        </row>
        <row r="9605">
          <cell r="A9605">
            <v>42271901</v>
          </cell>
          <cell r="B9605" t="str">
            <v>Vías aéreas faríngeas</v>
          </cell>
        </row>
        <row r="9606">
          <cell r="A9606">
            <v>42271902</v>
          </cell>
          <cell r="B9606" t="str">
            <v>Tubos esofágicos</v>
          </cell>
        </row>
        <row r="9607">
          <cell r="A9607">
            <v>42271903</v>
          </cell>
          <cell r="B9607" t="str">
            <v>Tubos endotraqueales</v>
          </cell>
        </row>
        <row r="9608">
          <cell r="A9608">
            <v>42271904</v>
          </cell>
          <cell r="B9608" t="str">
            <v>Tubos de traqueotomía</v>
          </cell>
        </row>
        <row r="9609">
          <cell r="A9609">
            <v>42271905</v>
          </cell>
          <cell r="B9609" t="str">
            <v>Tubos endobronquiales</v>
          </cell>
        </row>
        <row r="9610">
          <cell r="A9610">
            <v>42271906</v>
          </cell>
          <cell r="B9610" t="str">
            <v>Kits de reparación de tubos endotraqueales o de traqueotomía</v>
          </cell>
        </row>
        <row r="9611">
          <cell r="A9611">
            <v>42271907</v>
          </cell>
          <cell r="B9611" t="str">
            <v>Productos de aspiradores respiratorios o accesorios</v>
          </cell>
        </row>
        <row r="9612">
          <cell r="A9612">
            <v>42271908</v>
          </cell>
          <cell r="B9612" t="str">
            <v>Sujetadores de vías aéreas artificiales</v>
          </cell>
        </row>
        <row r="9613">
          <cell r="A9613">
            <v>42271909</v>
          </cell>
          <cell r="B9613" t="str">
            <v>Accesorios de vías aéreas artificiales</v>
          </cell>
        </row>
        <row r="9614">
          <cell r="A9614">
            <v>42271910</v>
          </cell>
          <cell r="B9614" t="str">
            <v>Sets endotraqueales o de traqueotomía</v>
          </cell>
        </row>
        <row r="9615">
          <cell r="A9615">
            <v>42271911</v>
          </cell>
          <cell r="B9615" t="str">
            <v>Kits de manómetros respiratorios</v>
          </cell>
        </row>
        <row r="9616">
          <cell r="A9616">
            <v>42271912</v>
          </cell>
          <cell r="B9616" t="str">
            <v>Tubos nasofaríngeos</v>
          </cell>
        </row>
        <row r="9617">
          <cell r="A9617">
            <v>42271913</v>
          </cell>
          <cell r="B9617" t="str">
            <v>Vías aéreas faríngeas o kits de vías aéreas</v>
          </cell>
        </row>
        <row r="9618">
          <cell r="A9618">
            <v>42271914</v>
          </cell>
          <cell r="B9618" t="str">
            <v>Mordazas de presión de vías aéreas</v>
          </cell>
        </row>
        <row r="9619">
          <cell r="A9619">
            <v>42271915</v>
          </cell>
          <cell r="B9619" t="str">
            <v>Accesorios de traqueotomía</v>
          </cell>
        </row>
        <row r="9620">
          <cell r="A9620">
            <v>42272001</v>
          </cell>
          <cell r="B9620" t="str">
            <v>Laringoscopios o accesorios</v>
          </cell>
        </row>
        <row r="9621">
          <cell r="A9621">
            <v>42272002</v>
          </cell>
          <cell r="B9621" t="str">
            <v>Aerosoles laríngeos</v>
          </cell>
        </row>
        <row r="9622">
          <cell r="A9622">
            <v>42272003</v>
          </cell>
          <cell r="B9622" t="str">
            <v>Bloques de mordida</v>
          </cell>
        </row>
        <row r="9623">
          <cell r="A9623">
            <v>42272004</v>
          </cell>
          <cell r="B9623" t="str">
            <v>Estiletes de intubación</v>
          </cell>
        </row>
        <row r="9624">
          <cell r="A9624">
            <v>42272005</v>
          </cell>
          <cell r="B9624" t="str">
            <v>Fórceps de intubación</v>
          </cell>
        </row>
        <row r="9625">
          <cell r="A9625">
            <v>42272006</v>
          </cell>
          <cell r="B9625" t="str">
            <v>Introductores</v>
          </cell>
        </row>
        <row r="9626">
          <cell r="A9626">
            <v>42272007</v>
          </cell>
          <cell r="B9626" t="str">
            <v>Herramientas de doblado</v>
          </cell>
        </row>
        <row r="9627">
          <cell r="A9627">
            <v>42272008</v>
          </cell>
          <cell r="B9627" t="str">
            <v>Sondas o guías de intubación</v>
          </cell>
        </row>
        <row r="9628">
          <cell r="A9628">
            <v>42272009</v>
          </cell>
          <cell r="B9628" t="str">
            <v>Detectores de dióxido de carbono para pacientes</v>
          </cell>
        </row>
        <row r="9629">
          <cell r="A9629">
            <v>42272010</v>
          </cell>
          <cell r="B9629" t="str">
            <v>Bombas de succión</v>
          </cell>
        </row>
        <row r="9630">
          <cell r="A9630">
            <v>42272011</v>
          </cell>
          <cell r="B9630" t="str">
            <v>Catéteres de succión o sus accesorios</v>
          </cell>
        </row>
        <row r="9631">
          <cell r="A9631">
            <v>42272012</v>
          </cell>
          <cell r="B9631" t="str">
            <v>Tubos o tuberías de succión</v>
          </cell>
        </row>
        <row r="9632">
          <cell r="A9632">
            <v>42272013</v>
          </cell>
          <cell r="B9632" t="str">
            <v>Forros o cajitas pequeñas de succión</v>
          </cell>
        </row>
        <row r="9633">
          <cell r="A9633">
            <v>42272014</v>
          </cell>
          <cell r="B9633" t="str">
            <v>Adaptadores o conectores de succión</v>
          </cell>
        </row>
        <row r="9634">
          <cell r="A9634">
            <v>42272015</v>
          </cell>
          <cell r="B9634" t="str">
            <v>Kits de succión</v>
          </cell>
        </row>
        <row r="9635">
          <cell r="A9635">
            <v>42272016</v>
          </cell>
          <cell r="B9635" t="str">
            <v>Quillas laríngeas o accesorios</v>
          </cell>
        </row>
        <row r="9636">
          <cell r="A9636">
            <v>42272017</v>
          </cell>
          <cell r="B9636" t="str">
            <v>Componentes o accesorios de intubación</v>
          </cell>
        </row>
        <row r="9637">
          <cell r="A9637">
            <v>42272101</v>
          </cell>
          <cell r="B9637" t="str">
            <v>Pulmón de hierro</v>
          </cell>
        </row>
        <row r="9638">
          <cell r="A9638">
            <v>42272102</v>
          </cell>
          <cell r="B9638" t="str">
            <v>Productos de coraza de pecho</v>
          </cell>
        </row>
        <row r="9639">
          <cell r="A9639">
            <v>42272201</v>
          </cell>
          <cell r="B9639" t="str">
            <v>Máquinas respiradoras de presión positiva intermitente ippb</v>
          </cell>
        </row>
        <row r="9640">
          <cell r="A9640">
            <v>42272202</v>
          </cell>
          <cell r="B9640" t="str">
            <v>Máquinas de presión de aire positivo continuo no invasivo</v>
          </cell>
        </row>
        <row r="9641">
          <cell r="A9641">
            <v>42272203</v>
          </cell>
          <cell r="B9641" t="str">
            <v>Máquinas de doble nivel no invasivas</v>
          </cell>
        </row>
        <row r="9642">
          <cell r="A9642">
            <v>42272204</v>
          </cell>
          <cell r="B9642" t="str">
            <v>Ventiladores de transporte</v>
          </cell>
        </row>
        <row r="9643">
          <cell r="A9643">
            <v>42272205</v>
          </cell>
          <cell r="B9643" t="str">
            <v>Ventiladores para cuidados intensivos de adultos o pediátricos</v>
          </cell>
        </row>
        <row r="9644">
          <cell r="A9644">
            <v>42272206</v>
          </cell>
          <cell r="B9644" t="str">
            <v>Ventiladores para cuidado intensivo de bebés</v>
          </cell>
        </row>
        <row r="9645">
          <cell r="A9645">
            <v>42272207</v>
          </cell>
          <cell r="B9645" t="str">
            <v>Ventiladores de alta frecuencia</v>
          </cell>
        </row>
        <row r="9646">
          <cell r="A9646">
            <v>42272208</v>
          </cell>
          <cell r="B9646" t="str">
            <v>Ventiladores de cuidado en casa</v>
          </cell>
        </row>
        <row r="9647">
          <cell r="A9647">
            <v>42272209</v>
          </cell>
          <cell r="B9647" t="str">
            <v>Circuitos de ventiladores o de respiración</v>
          </cell>
        </row>
        <row r="9648">
          <cell r="A9648">
            <v>42272210</v>
          </cell>
          <cell r="B9648" t="str">
            <v>Bolsas de circuito de respiración</v>
          </cell>
        </row>
        <row r="9649">
          <cell r="A9649">
            <v>42272211</v>
          </cell>
          <cell r="B9649" t="str">
            <v>Productos de hiperventilación</v>
          </cell>
        </row>
        <row r="9650">
          <cell r="A9650">
            <v>42272212</v>
          </cell>
          <cell r="B9650" t="str">
            <v>Válvulas de presión de exhalación y positiva peep</v>
          </cell>
        </row>
        <row r="9651">
          <cell r="A9651">
            <v>42272213</v>
          </cell>
          <cell r="B9651" t="str">
            <v>Máscaras o correas de presión de vías aéreas positivas continuas cpap</v>
          </cell>
        </row>
        <row r="9652">
          <cell r="A9652">
            <v>42272214</v>
          </cell>
          <cell r="B9652" t="str">
            <v>Conectores o adaptadores o válvulas de circuitos</v>
          </cell>
        </row>
        <row r="9653">
          <cell r="A9653">
            <v>42272215</v>
          </cell>
          <cell r="B9653" t="str">
            <v>Suministros de chequeo de ventiladores</v>
          </cell>
        </row>
        <row r="9654">
          <cell r="A9654">
            <v>42272216</v>
          </cell>
          <cell r="B9654" t="str">
            <v>Termómetros de ventiladores</v>
          </cell>
        </row>
        <row r="9655">
          <cell r="A9655">
            <v>42272217</v>
          </cell>
          <cell r="B9655" t="str">
            <v>Trampas de agua para ventiladores</v>
          </cell>
        </row>
        <row r="9656">
          <cell r="A9656">
            <v>42272218</v>
          </cell>
          <cell r="B9656" t="str">
            <v>Puertos o líneas de muestreo de gas para ventiladores</v>
          </cell>
        </row>
        <row r="9657">
          <cell r="A9657">
            <v>42272219</v>
          </cell>
          <cell r="B9657" t="str">
            <v>Intercambiadores o filtros de calor o humedad para ventiladores</v>
          </cell>
        </row>
        <row r="9658">
          <cell r="A9658">
            <v>42272220</v>
          </cell>
          <cell r="B9658" t="str">
            <v>Accesorios para ventiladores</v>
          </cell>
        </row>
        <row r="9659">
          <cell r="A9659">
            <v>42272221</v>
          </cell>
          <cell r="B9659" t="str">
            <v>Productos de humidificación para ventiladores</v>
          </cell>
        </row>
        <row r="9660">
          <cell r="A9660">
            <v>42272222</v>
          </cell>
          <cell r="B9660" t="str">
            <v>Productos de retiro del tubo para ventiladores</v>
          </cell>
        </row>
        <row r="9661">
          <cell r="A9661">
            <v>42272223</v>
          </cell>
          <cell r="B9661" t="str">
            <v>Accesorios o suministros para respiradores</v>
          </cell>
        </row>
        <row r="9662">
          <cell r="A9662">
            <v>42272224</v>
          </cell>
          <cell r="B9662" t="str">
            <v>Kits de circuitos para ventiladores</v>
          </cell>
        </row>
        <row r="9663">
          <cell r="A9663">
            <v>42272225</v>
          </cell>
          <cell r="B9663" t="str">
            <v>Accesorios de presión para vías aéreas positivas de doble nivel bi pap</v>
          </cell>
        </row>
        <row r="9664">
          <cell r="A9664">
            <v>42272301</v>
          </cell>
          <cell r="B9664" t="str">
            <v>Resucitadores manuales</v>
          </cell>
        </row>
        <row r="9665">
          <cell r="A9665">
            <v>42272302</v>
          </cell>
          <cell r="B9665" t="str">
            <v>Resucitadores neumáticos</v>
          </cell>
        </row>
        <row r="9666">
          <cell r="A9666">
            <v>42272303</v>
          </cell>
          <cell r="B9666" t="str">
            <v>Máscaras o accesorios de resucitación</v>
          </cell>
        </row>
        <row r="9667">
          <cell r="A9667">
            <v>42272304</v>
          </cell>
          <cell r="B9667" t="str">
            <v>Componentes o accesorios de resucitación</v>
          </cell>
        </row>
        <row r="9668">
          <cell r="A9668">
            <v>42272305</v>
          </cell>
          <cell r="B9668" t="str">
            <v>Conectores de resucitación</v>
          </cell>
        </row>
        <row r="9669">
          <cell r="A9669">
            <v>42272306</v>
          </cell>
          <cell r="B9669" t="str">
            <v>Kits de resucitación</v>
          </cell>
        </row>
        <row r="9670">
          <cell r="A9670">
            <v>42272307</v>
          </cell>
          <cell r="B9670" t="str">
            <v>Estuches para aparatos o accesorios de resucitación</v>
          </cell>
        </row>
        <row r="9671">
          <cell r="A9671">
            <v>42272401</v>
          </cell>
          <cell r="B9671" t="str">
            <v>Agujas de toracentesis</v>
          </cell>
        </row>
        <row r="9672">
          <cell r="A9672">
            <v>42272402</v>
          </cell>
          <cell r="B9672" t="str">
            <v>Bandejas o juegos de toracentesis</v>
          </cell>
        </row>
        <row r="9673">
          <cell r="A9673">
            <v>42272403</v>
          </cell>
          <cell r="B9673" t="str">
            <v>Catéteres o kits de cateterización de toracentesis o accesorios</v>
          </cell>
        </row>
        <row r="9674">
          <cell r="A9674">
            <v>42272404</v>
          </cell>
          <cell r="B9674" t="str">
            <v>Unidad de drenaje de la cavidad pleural o accesorios</v>
          </cell>
        </row>
        <row r="9675">
          <cell r="A9675">
            <v>42272501</v>
          </cell>
          <cell r="B9675" t="str">
            <v>Aparatos de gas de anestesia</v>
          </cell>
        </row>
        <row r="9676">
          <cell r="A9676">
            <v>42272502</v>
          </cell>
          <cell r="B9676" t="str">
            <v>Unidades de absorción para aparatos de gas de anestesia</v>
          </cell>
        </row>
        <row r="9677">
          <cell r="A9677">
            <v>42272503</v>
          </cell>
          <cell r="B9677" t="str">
            <v>Inhaladores de anestesia o unidades de inhalación o accesorios</v>
          </cell>
        </row>
        <row r="9678">
          <cell r="A9678">
            <v>42272504</v>
          </cell>
          <cell r="B9678" t="str">
            <v>Sets o kits de anestesia</v>
          </cell>
        </row>
        <row r="9679">
          <cell r="A9679">
            <v>42272505</v>
          </cell>
          <cell r="B9679" t="str">
            <v>Tubos para aparatos de gas de anestesia o ensamblajes de tubos o ajustes de tubos o accesorios</v>
          </cell>
        </row>
        <row r="9680">
          <cell r="A9680">
            <v>42272506</v>
          </cell>
          <cell r="B9680" t="str">
            <v>Filtros de pantalla para aparatos de anestesia</v>
          </cell>
        </row>
        <row r="9681">
          <cell r="A9681">
            <v>42272507</v>
          </cell>
          <cell r="B9681" t="str">
            <v>Control de temperatura para aparatos de anestesia</v>
          </cell>
        </row>
        <row r="9682">
          <cell r="A9682">
            <v>42272508</v>
          </cell>
          <cell r="B9682" t="str">
            <v>Bomba intratecal</v>
          </cell>
        </row>
        <row r="9683">
          <cell r="A9683">
            <v>42281501</v>
          </cell>
          <cell r="B9683" t="str">
            <v>Esterilizadores químicos o de gas</v>
          </cell>
        </row>
        <row r="9684">
          <cell r="A9684">
            <v>42281502</v>
          </cell>
          <cell r="B9684" t="str">
            <v>Esterilizadores de aire seco o de aire caliente</v>
          </cell>
        </row>
        <row r="9685">
          <cell r="A9685">
            <v>42281503</v>
          </cell>
          <cell r="B9685" t="str">
            <v>Esterilizadores de filtro</v>
          </cell>
        </row>
        <row r="9686">
          <cell r="A9686">
            <v>42281504</v>
          </cell>
          <cell r="B9686" t="str">
            <v>Esterilizadores de bolas de vidrio</v>
          </cell>
        </row>
        <row r="9687">
          <cell r="A9687">
            <v>42281505</v>
          </cell>
          <cell r="B9687" t="str">
            <v>Manijas de elevación para contenedores o bandejas de esterilización</v>
          </cell>
        </row>
        <row r="9688">
          <cell r="A9688">
            <v>42281506</v>
          </cell>
          <cell r="B9688" t="str">
            <v>Dispositivos o accesorios eléctricos para limpieza de instrumentos</v>
          </cell>
        </row>
        <row r="9689">
          <cell r="A9689">
            <v>42281507</v>
          </cell>
          <cell r="B9689" t="str">
            <v>Esterilizadores de radiación</v>
          </cell>
        </row>
        <row r="9690">
          <cell r="A9690">
            <v>42281508</v>
          </cell>
          <cell r="B9690" t="str">
            <v>Autoclaves o esterilizadores de vapor</v>
          </cell>
        </row>
        <row r="9691">
          <cell r="A9691">
            <v>42281509</v>
          </cell>
          <cell r="B9691" t="str">
            <v>Contenedores o bandejas de esterilización</v>
          </cell>
        </row>
        <row r="9692">
          <cell r="A9692">
            <v>42281510</v>
          </cell>
          <cell r="B9692" t="str">
            <v>Ganchos o estantes o sujetadores para instrumentos de esterilización</v>
          </cell>
        </row>
        <row r="9693">
          <cell r="A9693">
            <v>42281511</v>
          </cell>
          <cell r="B9693" t="str">
            <v>Lámparas de esterilización</v>
          </cell>
        </row>
        <row r="9694">
          <cell r="A9694">
            <v>42281512</v>
          </cell>
          <cell r="B9694" t="str">
            <v>Tapas de esterilización</v>
          </cell>
        </row>
        <row r="9695">
          <cell r="A9695">
            <v>42281513</v>
          </cell>
          <cell r="B9695" t="str">
            <v>Placas de identificación de esterilización</v>
          </cell>
        </row>
        <row r="9696">
          <cell r="A9696">
            <v>42281514</v>
          </cell>
          <cell r="B9696" t="str">
            <v>Calentadores sanitarios o accesorios</v>
          </cell>
        </row>
        <row r="9697">
          <cell r="A9697">
            <v>42281515</v>
          </cell>
          <cell r="B9697" t="str">
            <v>Gabinetes de esterilización</v>
          </cell>
        </row>
        <row r="9698">
          <cell r="A9698">
            <v>42281516</v>
          </cell>
          <cell r="B9698" t="str">
            <v>Filtros de esterilización</v>
          </cell>
        </row>
        <row r="9699">
          <cell r="A9699">
            <v>42281517</v>
          </cell>
          <cell r="B9699" t="str">
            <v>Sistemas de recuperación de agua de esterilización</v>
          </cell>
        </row>
        <row r="9700">
          <cell r="A9700">
            <v>42281518</v>
          </cell>
          <cell r="B9700" t="str">
            <v>Barras para cánulas de esterilización</v>
          </cell>
        </row>
        <row r="9701">
          <cell r="A9701">
            <v>42281519</v>
          </cell>
          <cell r="B9701" t="str">
            <v>Esterilizadores de agujas</v>
          </cell>
        </row>
        <row r="9702">
          <cell r="A9702">
            <v>42281520</v>
          </cell>
          <cell r="B9702" t="str">
            <v>Packs de comprobación para esterilizadores de vapor</v>
          </cell>
        </row>
        <row r="9703">
          <cell r="A9703">
            <v>42281521</v>
          </cell>
          <cell r="B9703" t="str">
            <v>Sets de esterilización</v>
          </cell>
        </row>
        <row r="9704">
          <cell r="A9704">
            <v>42281522</v>
          </cell>
          <cell r="B9704" t="str">
            <v>Instrumentos de esterilización o insertos de estuches de esterilización</v>
          </cell>
        </row>
        <row r="9705">
          <cell r="A9705">
            <v>42281523</v>
          </cell>
          <cell r="B9705" t="str">
            <v>Mangas de filtro de esterilización</v>
          </cell>
        </row>
        <row r="9706">
          <cell r="A9706">
            <v>42281524</v>
          </cell>
          <cell r="B9706" t="str">
            <v>Adaptadores o ensamblajes de adaptadores de esterilización</v>
          </cell>
        </row>
        <row r="9707">
          <cell r="A9707">
            <v>42281601</v>
          </cell>
          <cell r="B9707" t="str">
            <v>Soluciones de decontaminación</v>
          </cell>
        </row>
        <row r="9708">
          <cell r="A9708">
            <v>42281602</v>
          </cell>
          <cell r="B9708" t="str">
            <v>Soluciones de glutaraldehida</v>
          </cell>
        </row>
        <row r="9709">
          <cell r="A9709">
            <v>42281603</v>
          </cell>
          <cell r="B9709" t="str">
            <v>Desinfectante o esterilizador de instrumentos</v>
          </cell>
        </row>
        <row r="9710">
          <cell r="A9710">
            <v>42281604</v>
          </cell>
          <cell r="B9710" t="str">
            <v>Desinfectantes de superficies para uso médico</v>
          </cell>
        </row>
        <row r="9711">
          <cell r="A9711">
            <v>42281605</v>
          </cell>
          <cell r="B9711" t="str">
            <v>Compuestos anti fijación para uso médico</v>
          </cell>
        </row>
        <row r="9712">
          <cell r="A9712">
            <v>42281606</v>
          </cell>
          <cell r="B9712" t="str">
            <v>Fumigadores de gas para uso médico</v>
          </cell>
        </row>
        <row r="9713">
          <cell r="A9713">
            <v>42281701</v>
          </cell>
          <cell r="B9713" t="str">
            <v>Limpiadores de cámara para autoclaves o esterilizadores</v>
          </cell>
        </row>
        <row r="9714">
          <cell r="A9714">
            <v>42281702</v>
          </cell>
          <cell r="B9714" t="str">
            <v>Baldes de remojo desinfectantes</v>
          </cell>
        </row>
        <row r="9715">
          <cell r="A9715">
            <v>42281703</v>
          </cell>
          <cell r="B9715" t="str">
            <v>Kits de cuidado de instrumentos</v>
          </cell>
        </row>
        <row r="9716">
          <cell r="A9716">
            <v>42281704</v>
          </cell>
          <cell r="B9716" t="str">
            <v>Limpiadores o detergentes para instrumentos</v>
          </cell>
        </row>
        <row r="9717">
          <cell r="A9717">
            <v>42281705</v>
          </cell>
          <cell r="B9717" t="str">
            <v>Equipo de lavado desinfectante para equipos e instrumentos de uso médico</v>
          </cell>
        </row>
        <row r="9718">
          <cell r="A9718">
            <v>42281706</v>
          </cell>
          <cell r="B9718" t="str">
            <v>Lubricantes o leche para instrumentos</v>
          </cell>
        </row>
        <row r="9719">
          <cell r="A9719">
            <v>42281707</v>
          </cell>
          <cell r="B9719" t="str">
            <v>Almohadillas para remover manchas de los instrumentos</v>
          </cell>
        </row>
        <row r="9720">
          <cell r="A9720">
            <v>42281708</v>
          </cell>
          <cell r="B9720" t="str">
            <v>Limpiadores de carros de esterilización</v>
          </cell>
        </row>
        <row r="9721">
          <cell r="A9721">
            <v>42281709</v>
          </cell>
          <cell r="B9721" t="str">
            <v>Cepillos de limpieza de esterilización</v>
          </cell>
        </row>
        <row r="9722">
          <cell r="A9722">
            <v>42281710</v>
          </cell>
          <cell r="B9722" t="str">
            <v>Desodorantes de esterilización</v>
          </cell>
        </row>
        <row r="9723">
          <cell r="A9723">
            <v>42281711</v>
          </cell>
          <cell r="B9723" t="str">
            <v>Desincrustadores de esterilización</v>
          </cell>
        </row>
        <row r="9724">
          <cell r="A9724">
            <v>42281712</v>
          </cell>
          <cell r="B9724" t="str">
            <v>Equipo de limpieza ultrasónica</v>
          </cell>
        </row>
        <row r="9725">
          <cell r="A9725">
            <v>42281713</v>
          </cell>
          <cell r="B9725" t="str">
            <v>Baldes de escurrido de esterilización</v>
          </cell>
        </row>
        <row r="9726">
          <cell r="A9726">
            <v>42281801</v>
          </cell>
          <cell r="B9726" t="str">
            <v>Tiras de prueba de desinfección</v>
          </cell>
        </row>
        <row r="9727">
          <cell r="A9727">
            <v>42281802</v>
          </cell>
          <cell r="B9727" t="str">
            <v>Etiquetas de esterilización</v>
          </cell>
        </row>
        <row r="9728">
          <cell r="A9728">
            <v>42281803</v>
          </cell>
          <cell r="B9728" t="str">
            <v>Kits biológicos de esterilización</v>
          </cell>
        </row>
        <row r="9729">
          <cell r="A9729">
            <v>42281804</v>
          </cell>
          <cell r="B9729" t="str">
            <v>Controles de esterilización</v>
          </cell>
        </row>
        <row r="9730">
          <cell r="A9730">
            <v>42281805</v>
          </cell>
          <cell r="B9730" t="str">
            <v>Registros indicadores de esterilización</v>
          </cell>
        </row>
        <row r="9731">
          <cell r="A9731">
            <v>42281806</v>
          </cell>
          <cell r="B9731" t="str">
            <v>Tiras indicadoras de esterilización</v>
          </cell>
        </row>
        <row r="9732">
          <cell r="A9732">
            <v>42281807</v>
          </cell>
          <cell r="B9732" t="str">
            <v>Cintas indicadoras de esterilización</v>
          </cell>
        </row>
        <row r="9733">
          <cell r="A9733">
            <v>42281808</v>
          </cell>
          <cell r="B9733" t="str">
            <v>Papeles u hojas de esterilización</v>
          </cell>
        </row>
        <row r="9734">
          <cell r="A9734">
            <v>42281809</v>
          </cell>
          <cell r="B9734" t="str">
            <v>Sobres de almacenamiento de registros de esterilización</v>
          </cell>
        </row>
        <row r="9735">
          <cell r="A9735">
            <v>42281810</v>
          </cell>
          <cell r="B9735" t="str">
            <v>Paquetes de prueba y accesorios de esterilización</v>
          </cell>
        </row>
        <row r="9736">
          <cell r="A9736">
            <v>42281901</v>
          </cell>
          <cell r="B9736" t="str">
            <v>Sujetadores o carritos para envoltorios o sobres de esterilización</v>
          </cell>
        </row>
        <row r="9737">
          <cell r="A9737">
            <v>42281902</v>
          </cell>
          <cell r="B9737" t="str">
            <v>Fundas o sobre fundas de esterilización</v>
          </cell>
        </row>
        <row r="9738">
          <cell r="A9738">
            <v>42281903</v>
          </cell>
          <cell r="B9738" t="str">
            <v>Cubiertas contra el polvo de esterilización</v>
          </cell>
        </row>
        <row r="9739">
          <cell r="A9739">
            <v>42281904</v>
          </cell>
          <cell r="B9739" t="str">
            <v>Bolsas de esterilización</v>
          </cell>
        </row>
        <row r="9740">
          <cell r="A9740">
            <v>42281905</v>
          </cell>
          <cell r="B9740" t="str">
            <v>Selladores en caliente de esterilización</v>
          </cell>
        </row>
        <row r="9741">
          <cell r="A9741">
            <v>42281906</v>
          </cell>
          <cell r="B9741" t="str">
            <v>Bandas de instrumentos de esterilización</v>
          </cell>
        </row>
        <row r="9742">
          <cell r="A9742">
            <v>42281907</v>
          </cell>
          <cell r="B9742" t="str">
            <v>Protectores de instrumentos de esterilización</v>
          </cell>
        </row>
        <row r="9743">
          <cell r="A9743">
            <v>42281908</v>
          </cell>
          <cell r="B9743" t="str">
            <v>Recubrimientos de bandejas de instrumentos de esterilización</v>
          </cell>
        </row>
        <row r="9744">
          <cell r="A9744">
            <v>42281909</v>
          </cell>
          <cell r="B9744" t="str">
            <v>Pistolas o cintas o esferos etiquetadores de esterilización</v>
          </cell>
        </row>
        <row r="9745">
          <cell r="A9745">
            <v>42281912</v>
          </cell>
          <cell r="B9745" t="str">
            <v>Toallas de esterilización</v>
          </cell>
        </row>
        <row r="9746">
          <cell r="A9746">
            <v>42281913</v>
          </cell>
          <cell r="B9746" t="str">
            <v>Tunos de esterilización</v>
          </cell>
        </row>
        <row r="9747">
          <cell r="A9747">
            <v>42281914</v>
          </cell>
          <cell r="B9747" t="str">
            <v>Contenedores desechables de esterilización</v>
          </cell>
        </row>
        <row r="9748">
          <cell r="A9748">
            <v>42281915</v>
          </cell>
          <cell r="B9748" t="str">
            <v>Rollos de esterilización</v>
          </cell>
        </row>
        <row r="9749">
          <cell r="A9749">
            <v>42281916</v>
          </cell>
          <cell r="B9749" t="str">
            <v>Talegos de esterilización</v>
          </cell>
        </row>
        <row r="9750">
          <cell r="A9750">
            <v>42291501</v>
          </cell>
          <cell r="B9750" t="str">
            <v>Molinos para biopsia de hueso para uso quirúrgico o productos relacionados</v>
          </cell>
        </row>
        <row r="9751">
          <cell r="A9751">
            <v>42291502</v>
          </cell>
          <cell r="B9751" t="str">
            <v>Trepanadores para biopsia de hueso para uso quirúrgico</v>
          </cell>
        </row>
        <row r="9752">
          <cell r="A9752">
            <v>42291601</v>
          </cell>
          <cell r="B9752" t="str">
            <v>Escalpelos o cuchillos o manijas de cuchillos láser para uso quirúrgico</v>
          </cell>
        </row>
        <row r="9753">
          <cell r="A9753">
            <v>42291602</v>
          </cell>
          <cell r="B9753" t="str">
            <v>Tornillos o cables o alfileres o instrumentos para cortar alambre para uso quirúrgico</v>
          </cell>
        </row>
        <row r="9754">
          <cell r="A9754">
            <v>42291603</v>
          </cell>
          <cell r="B9754" t="str">
            <v>Fórceps para cortar hueso para uso quirúrgico</v>
          </cell>
        </row>
        <row r="9755">
          <cell r="A9755">
            <v>42291604</v>
          </cell>
          <cell r="B9755" t="str">
            <v>Sierras de mano o sierras de alambre o manijas para sierras para huesos para uso quirúrgico</v>
          </cell>
        </row>
        <row r="9756">
          <cell r="A9756">
            <v>42291605</v>
          </cell>
          <cell r="B9756" t="str">
            <v>Brocas para uso quirúrgico</v>
          </cell>
        </row>
        <row r="9757">
          <cell r="A9757">
            <v>42291606</v>
          </cell>
          <cell r="B9757" t="str">
            <v>Cinceles o perforadoras para uso quirúrgico</v>
          </cell>
        </row>
        <row r="9758">
          <cell r="A9758">
            <v>42291607</v>
          </cell>
          <cell r="B9758" t="str">
            <v>Curetas o lanzaderas para uso quirúrgico</v>
          </cell>
        </row>
        <row r="9759">
          <cell r="A9759">
            <v>42291608</v>
          </cell>
          <cell r="B9759" t="str">
            <v>Bloques o tablas o plataformas de cortado para uso quirúrgico</v>
          </cell>
        </row>
        <row r="9760">
          <cell r="A9760">
            <v>42291609</v>
          </cell>
          <cell r="B9760" t="str">
            <v>Pinzas para uso quirúrgico</v>
          </cell>
        </row>
        <row r="9761">
          <cell r="A9761">
            <v>42291610</v>
          </cell>
          <cell r="B9761" t="str">
            <v>Planos para uso quirúrgico</v>
          </cell>
        </row>
        <row r="9762">
          <cell r="A9762">
            <v>42291611</v>
          </cell>
          <cell r="B9762" t="str">
            <v>Raspadores para uso quirúrgico</v>
          </cell>
        </row>
        <row r="9763">
          <cell r="A9763">
            <v>42291612</v>
          </cell>
          <cell r="B9763" t="str">
            <v>Tenazas para uso quirúrgico</v>
          </cell>
        </row>
        <row r="9764">
          <cell r="A9764">
            <v>42291613</v>
          </cell>
          <cell r="B9764" t="str">
            <v>Escalpelos o cuchillos o cuchillas o trepanadores o accesorios para uso quirúrgico</v>
          </cell>
        </row>
        <row r="9765">
          <cell r="A9765">
            <v>42291614</v>
          </cell>
          <cell r="B9765" t="str">
            <v>Tijeras para uso quirúrgico</v>
          </cell>
        </row>
        <row r="9766">
          <cell r="A9766">
            <v>42291615</v>
          </cell>
          <cell r="B9766" t="str">
            <v>Tijeras para uso quirúrgico</v>
          </cell>
        </row>
        <row r="9767">
          <cell r="A9767">
            <v>42291616</v>
          </cell>
          <cell r="B9767" t="str">
            <v>Pinzas o cables de pinzas para uso quirúrgico</v>
          </cell>
        </row>
        <row r="9768">
          <cell r="A9768">
            <v>42291617</v>
          </cell>
          <cell r="B9768" t="str">
            <v>Espitas para uso quirúrgico</v>
          </cell>
        </row>
        <row r="9769">
          <cell r="A9769">
            <v>42291619</v>
          </cell>
          <cell r="B9769" t="str">
            <v>Tomos (pinzas de resección) para uso quirúrgico</v>
          </cell>
        </row>
        <row r="9770">
          <cell r="A9770">
            <v>42291620</v>
          </cell>
          <cell r="B9770" t="str">
            <v>Trocadores quirúrgicos para uso general o accesorios</v>
          </cell>
        </row>
        <row r="9771">
          <cell r="A9771">
            <v>42291621</v>
          </cell>
          <cell r="B9771" t="str">
            <v>Removedores de anillos de los dedos</v>
          </cell>
        </row>
        <row r="9772">
          <cell r="A9772">
            <v>42291622</v>
          </cell>
          <cell r="B9772" t="str">
            <v>Adenotomos</v>
          </cell>
        </row>
        <row r="9773">
          <cell r="A9773">
            <v>42291623</v>
          </cell>
          <cell r="B9773" t="str">
            <v>Periosteotomos</v>
          </cell>
        </row>
        <row r="9774">
          <cell r="A9774">
            <v>42291624</v>
          </cell>
          <cell r="B9774" t="str">
            <v>Meniscotomos</v>
          </cell>
        </row>
        <row r="9775">
          <cell r="A9775">
            <v>42291625</v>
          </cell>
          <cell r="B9775" t="str">
            <v>Instrumentos de incisión del talón de los bebés</v>
          </cell>
        </row>
        <row r="9776">
          <cell r="A9776">
            <v>42291701</v>
          </cell>
          <cell r="B9776" t="str">
            <v>Brocas de mano o de torsión o kits de brocas o accesorios para uso quirúrgico</v>
          </cell>
        </row>
        <row r="9777">
          <cell r="A9777">
            <v>42291702</v>
          </cell>
          <cell r="B9777" t="str">
            <v>Escariadores o punzones de mano para uso quirúrgico</v>
          </cell>
        </row>
        <row r="9778">
          <cell r="A9778">
            <v>42291703</v>
          </cell>
          <cell r="B9778" t="str">
            <v>Perforadoras para uso quirúrgico</v>
          </cell>
        </row>
        <row r="9779">
          <cell r="A9779">
            <v>42291704</v>
          </cell>
          <cell r="B9779" t="str">
            <v>Punzones o sujeta punzones o accesorios para uso quirúrgico</v>
          </cell>
        </row>
        <row r="9780">
          <cell r="A9780">
            <v>42291705</v>
          </cell>
          <cell r="B9780" t="str">
            <v>Adaptadores de escariadores para uso quirúrgico</v>
          </cell>
        </row>
        <row r="9781">
          <cell r="A9781">
            <v>42291706</v>
          </cell>
          <cell r="B9781" t="str">
            <v>Fresas quirúrgicas o sus accesorios</v>
          </cell>
        </row>
        <row r="9782">
          <cell r="A9782">
            <v>42291707</v>
          </cell>
          <cell r="B9782" t="str">
            <v>Kits de craneotomía</v>
          </cell>
        </row>
        <row r="9783">
          <cell r="A9783">
            <v>42291708</v>
          </cell>
          <cell r="B9783" t="str">
            <v>Brocas o accesorios para uso quirúrgico</v>
          </cell>
        </row>
        <row r="9784">
          <cell r="A9784">
            <v>42291709</v>
          </cell>
          <cell r="B9784" t="str">
            <v>Cuchillas de sierra o accesorios para uso quirúrgico</v>
          </cell>
        </row>
        <row r="9785">
          <cell r="A9785">
            <v>42291801</v>
          </cell>
          <cell r="B9785" t="str">
            <v>Aplicadores de ligantes de bandas o bandas o productos relacionados para uso quirúrgico</v>
          </cell>
        </row>
        <row r="9786">
          <cell r="A9786">
            <v>42291802</v>
          </cell>
          <cell r="B9786" t="str">
            <v>Pinzas o ganchos o fórceps o accesorios para uso quirúrgico</v>
          </cell>
        </row>
        <row r="9787">
          <cell r="A9787">
            <v>42291803</v>
          </cell>
          <cell r="B9787" t="str">
            <v>Pinzas o fórceps láser para uso quirúrgico</v>
          </cell>
        </row>
        <row r="9788">
          <cell r="A9788">
            <v>42291901</v>
          </cell>
          <cell r="B9788" t="str">
            <v>Sujetadores o posicionadores de instrumentos quirúrgicos</v>
          </cell>
        </row>
        <row r="9789">
          <cell r="A9789">
            <v>42291902</v>
          </cell>
          <cell r="B9789" t="str">
            <v>Sujetadores o posicionadores de tubos para uso quirúrgico</v>
          </cell>
        </row>
        <row r="9790">
          <cell r="A9790">
            <v>42292001</v>
          </cell>
          <cell r="B9790" t="str">
            <v>Espejos de otolaringología o accesorios para uso quirúrgico</v>
          </cell>
        </row>
        <row r="9791">
          <cell r="A9791">
            <v>42292101</v>
          </cell>
          <cell r="B9791" t="str">
            <v>Insertores o kits de insertores para uso quirúrgico</v>
          </cell>
        </row>
        <row r="9792">
          <cell r="A9792">
            <v>42292102</v>
          </cell>
          <cell r="B9792" t="str">
            <v>Extractores para uso quirúrgico</v>
          </cell>
        </row>
        <row r="9793">
          <cell r="A9793">
            <v>42292103</v>
          </cell>
          <cell r="B9793" t="str">
            <v>Porta tubos o llaves para uso quirúrgico</v>
          </cell>
        </row>
        <row r="9794">
          <cell r="A9794">
            <v>42292201</v>
          </cell>
          <cell r="B9794" t="str">
            <v>Aproximadores para uso quirúrgico</v>
          </cell>
        </row>
        <row r="9795">
          <cell r="A9795">
            <v>42292202</v>
          </cell>
          <cell r="B9795" t="str">
            <v>Compresores para uso quirúrgico</v>
          </cell>
        </row>
        <row r="9796">
          <cell r="A9796">
            <v>42292203</v>
          </cell>
          <cell r="B9796" t="str">
            <v>Depresores para uso quirúrgico</v>
          </cell>
        </row>
        <row r="9797">
          <cell r="A9797">
            <v>42292301</v>
          </cell>
          <cell r="B9797" t="str">
            <v>Instrumentos para doblar para uso quirúrgico</v>
          </cell>
        </row>
        <row r="9798">
          <cell r="A9798">
            <v>42292302</v>
          </cell>
          <cell r="B9798" t="str">
            <v>Engarzadores para uso quirúrgico</v>
          </cell>
        </row>
        <row r="9799">
          <cell r="A9799">
            <v>42292303</v>
          </cell>
          <cell r="B9799" t="str">
            <v>Alicates para uso quirúrgico</v>
          </cell>
        </row>
        <row r="9800">
          <cell r="A9800">
            <v>42292304</v>
          </cell>
          <cell r="B9800" t="str">
            <v>Tensores para uso quirúrgico</v>
          </cell>
        </row>
        <row r="9801">
          <cell r="A9801">
            <v>42292305</v>
          </cell>
          <cell r="B9801" t="str">
            <v>Agarres para uso quirúrgico</v>
          </cell>
        </row>
        <row r="9802">
          <cell r="A9802">
            <v>42292306</v>
          </cell>
          <cell r="B9802" t="str">
            <v>Fórceps o tenazas de alambre para uso quirúrgico</v>
          </cell>
        </row>
        <row r="9803">
          <cell r="A9803">
            <v>42292307</v>
          </cell>
          <cell r="B9803" t="str">
            <v>Llaves para uso quirúrgico</v>
          </cell>
        </row>
        <row r="9804">
          <cell r="A9804">
            <v>42292401</v>
          </cell>
          <cell r="B9804" t="str">
            <v>Roscas para uso quirúrgico</v>
          </cell>
        </row>
        <row r="9805">
          <cell r="A9805">
            <v>42292402</v>
          </cell>
          <cell r="B9805" t="str">
            <v>Controladores o sus partes o accesorios para uso quirúrgico</v>
          </cell>
        </row>
        <row r="9806">
          <cell r="A9806">
            <v>42292403</v>
          </cell>
          <cell r="B9806" t="str">
            <v>Mangos de hachas para uso quirúrgico</v>
          </cell>
        </row>
        <row r="9807">
          <cell r="A9807">
            <v>42292501</v>
          </cell>
          <cell r="B9807" t="str">
            <v>Tapones para uso quirúrgico</v>
          </cell>
        </row>
        <row r="9808">
          <cell r="A9808">
            <v>42292502</v>
          </cell>
          <cell r="B9808" t="str">
            <v>Martillos o martillos quirúrgicos para uso quirúrgico</v>
          </cell>
        </row>
        <row r="9809">
          <cell r="A9809">
            <v>42292503</v>
          </cell>
          <cell r="B9809" t="str">
            <v>Impactadores o empacadores para uso quirúrgico</v>
          </cell>
        </row>
        <row r="9810">
          <cell r="A9810">
            <v>42292504</v>
          </cell>
          <cell r="B9810" t="str">
            <v>Prensas para uso quirúrgico</v>
          </cell>
        </row>
        <row r="9811">
          <cell r="A9811">
            <v>42292505</v>
          </cell>
          <cell r="B9811" t="str">
            <v>Martillos o cabezas de martillo para uso quirúrgico</v>
          </cell>
        </row>
        <row r="9812">
          <cell r="A9812">
            <v>42292601</v>
          </cell>
          <cell r="B9812" t="str">
            <v>Dilatadores o accesorios para uso quirúrgico</v>
          </cell>
        </row>
        <row r="9813">
          <cell r="A9813">
            <v>42292602</v>
          </cell>
          <cell r="B9813" t="str">
            <v>Muescas para uso quirúrgico</v>
          </cell>
        </row>
        <row r="9814">
          <cell r="A9814">
            <v>42292603</v>
          </cell>
          <cell r="B9814" t="str">
            <v>Sondas o directores para uso quirúrgico</v>
          </cell>
        </row>
        <row r="9815">
          <cell r="A9815">
            <v>42292701</v>
          </cell>
          <cell r="B9815" t="str">
            <v>Disectores para uso quirúrgico</v>
          </cell>
        </row>
        <row r="9816">
          <cell r="A9816">
            <v>42292702</v>
          </cell>
          <cell r="B9816" t="str">
            <v>Levantadores o niveladores para uso quirúrgico</v>
          </cell>
        </row>
        <row r="9817">
          <cell r="A9817">
            <v>42292703</v>
          </cell>
          <cell r="B9817" t="str">
            <v>Elevadores para uso quirúrgico</v>
          </cell>
        </row>
        <row r="9818">
          <cell r="A9818">
            <v>42292704</v>
          </cell>
          <cell r="B9818" t="str">
            <v>Picas para uso quirúrgico</v>
          </cell>
        </row>
        <row r="9819">
          <cell r="A9819">
            <v>42292801</v>
          </cell>
          <cell r="B9819" t="str">
            <v>Instrumentos de marcación oftálmica</v>
          </cell>
        </row>
        <row r="9820">
          <cell r="A9820">
            <v>42292802</v>
          </cell>
          <cell r="B9820" t="str">
            <v>Instrumentos de marcación quirúrgica para uso general</v>
          </cell>
        </row>
        <row r="9821">
          <cell r="A9821">
            <v>42292901</v>
          </cell>
          <cell r="B9821" t="str">
            <v>Instrumentos de cerclaje para uso quirúrgico</v>
          </cell>
        </row>
        <row r="9822">
          <cell r="A9822">
            <v>42292902</v>
          </cell>
          <cell r="B9822" t="str">
            <v>Sujetadores de aguja láser para uso quirúrgico</v>
          </cell>
        </row>
        <row r="9823">
          <cell r="A9823">
            <v>42292903</v>
          </cell>
          <cell r="B9823" t="str">
            <v>Sujetadores de agujas quirúrgicas para uso general</v>
          </cell>
        </row>
        <row r="9824">
          <cell r="A9824">
            <v>42292904</v>
          </cell>
          <cell r="B9824" t="str">
            <v>Suturas quirúrgicas o pasadores de alambre o productos relacionados</v>
          </cell>
        </row>
        <row r="9825">
          <cell r="A9825">
            <v>42292907</v>
          </cell>
          <cell r="B9825" t="str">
            <v>Sistemas para estirar la piel</v>
          </cell>
        </row>
        <row r="9826">
          <cell r="A9826">
            <v>42292908</v>
          </cell>
          <cell r="B9826" t="str">
            <v>Dispositivos de costura de bolsa para uso quirúrgico</v>
          </cell>
        </row>
        <row r="9827">
          <cell r="A9827">
            <v>42293001</v>
          </cell>
          <cell r="B9827" t="str">
            <v>Calibradores o reglas para uso quirúrgico</v>
          </cell>
        </row>
        <row r="9828">
          <cell r="A9828">
            <v>42293002</v>
          </cell>
          <cell r="B9828" t="str">
            <v>Sondas o varas de medición para uso quirúrgico</v>
          </cell>
        </row>
        <row r="9829">
          <cell r="A9829">
            <v>42293003</v>
          </cell>
          <cell r="B9829" t="str">
            <v>Instrumentos de medición de ganchos para uso quirúrgico</v>
          </cell>
        </row>
        <row r="9830">
          <cell r="A9830">
            <v>42293004</v>
          </cell>
          <cell r="B9830" t="str">
            <v>Instrumentos quirúrgicos de determinación de tamaño para uso general</v>
          </cell>
        </row>
        <row r="9831">
          <cell r="A9831">
            <v>42293005</v>
          </cell>
          <cell r="B9831" t="str">
            <v>Instrumentos de determinación de tamaño de válvula para uso quirúrgico</v>
          </cell>
        </row>
        <row r="9832">
          <cell r="A9832">
            <v>42293006</v>
          </cell>
          <cell r="B9832" t="str">
            <v>Cintas de medición para uso quirúrgico</v>
          </cell>
        </row>
        <row r="9833">
          <cell r="A9833">
            <v>42293101</v>
          </cell>
          <cell r="B9833" t="str">
            <v>Retractores láser para uso quirúrgico</v>
          </cell>
        </row>
        <row r="9834">
          <cell r="A9834">
            <v>42293102</v>
          </cell>
          <cell r="B9834" t="str">
            <v>Ganchos de retracción para uso quirúrgico</v>
          </cell>
        </row>
        <row r="9835">
          <cell r="A9835">
            <v>42293103</v>
          </cell>
          <cell r="B9835" t="str">
            <v>Retractores de fibra óptica iluminados para uso quirúrgico</v>
          </cell>
        </row>
        <row r="9836">
          <cell r="A9836">
            <v>42293104</v>
          </cell>
          <cell r="B9836" t="str">
            <v>Mordazas o accesorios para uso quirúrgico</v>
          </cell>
        </row>
        <row r="9837">
          <cell r="A9837">
            <v>42293105</v>
          </cell>
          <cell r="B9837" t="str">
            <v>Retractores de inclinación para uso quirúrgico</v>
          </cell>
        </row>
        <row r="9838">
          <cell r="A9838">
            <v>42293106</v>
          </cell>
          <cell r="B9838" t="str">
            <v>Sets de retractores para uso quirúrgico</v>
          </cell>
        </row>
        <row r="9839">
          <cell r="A9839">
            <v>42293107</v>
          </cell>
          <cell r="B9839" t="str">
            <v>Retractores quirúrgicos para uso general</v>
          </cell>
        </row>
        <row r="9840">
          <cell r="A9840">
            <v>42293108</v>
          </cell>
          <cell r="B9840" t="str">
            <v>Estabilizadores para uso quirúrgico</v>
          </cell>
        </row>
        <row r="9841">
          <cell r="A9841">
            <v>42293109</v>
          </cell>
          <cell r="B9841" t="str">
            <v>Protectores de tejidos para uso quirúrgico</v>
          </cell>
        </row>
        <row r="9842">
          <cell r="A9842">
            <v>42293110</v>
          </cell>
          <cell r="B9842" t="str">
            <v>Retractores ortopédicos</v>
          </cell>
        </row>
        <row r="9843">
          <cell r="A9843">
            <v>42293111</v>
          </cell>
          <cell r="B9843" t="str">
            <v>Retractores oftálmicos</v>
          </cell>
        </row>
        <row r="9844">
          <cell r="A9844">
            <v>42293112</v>
          </cell>
          <cell r="B9844" t="str">
            <v>Retractores torácicos o cardiovasculares</v>
          </cell>
        </row>
        <row r="9845">
          <cell r="A9845">
            <v>42293113</v>
          </cell>
          <cell r="B9845" t="str">
            <v>Retractores de vena</v>
          </cell>
        </row>
        <row r="9846">
          <cell r="A9846">
            <v>42293114</v>
          </cell>
          <cell r="B9846" t="str">
            <v>Retractores bucales</v>
          </cell>
        </row>
        <row r="9847">
          <cell r="A9847">
            <v>42293115</v>
          </cell>
          <cell r="B9847" t="str">
            <v>Retractores traqueales</v>
          </cell>
        </row>
        <row r="9848">
          <cell r="A9848">
            <v>42293116</v>
          </cell>
          <cell r="B9848" t="str">
            <v>Retractores rectales</v>
          </cell>
        </row>
        <row r="9849">
          <cell r="A9849">
            <v>42293117</v>
          </cell>
          <cell r="B9849" t="str">
            <v>Retractores gastrointestinales</v>
          </cell>
        </row>
        <row r="9850">
          <cell r="A9850">
            <v>42293118</v>
          </cell>
          <cell r="B9850" t="str">
            <v>Retractores uterinos</v>
          </cell>
        </row>
        <row r="9851">
          <cell r="A9851">
            <v>42293119</v>
          </cell>
          <cell r="B9851" t="str">
            <v>Retractores abdominales</v>
          </cell>
        </row>
        <row r="9852">
          <cell r="A9852">
            <v>42293120</v>
          </cell>
          <cell r="B9852" t="str">
            <v>Retractores de columna o nervios</v>
          </cell>
        </row>
        <row r="9853">
          <cell r="A9853">
            <v>42293121</v>
          </cell>
          <cell r="B9853" t="str">
            <v>Retractores de glándulas</v>
          </cell>
        </row>
        <row r="9854">
          <cell r="A9854">
            <v>42293122</v>
          </cell>
          <cell r="B9854" t="str">
            <v>Retractores de oído</v>
          </cell>
        </row>
        <row r="9855">
          <cell r="A9855">
            <v>42293123</v>
          </cell>
          <cell r="B9855" t="str">
            <v>Retractores para cirugía plástica</v>
          </cell>
        </row>
        <row r="9856">
          <cell r="A9856">
            <v>42293124</v>
          </cell>
          <cell r="B9856" t="str">
            <v>Retractores de nervios</v>
          </cell>
        </row>
        <row r="9857">
          <cell r="A9857">
            <v>42293125</v>
          </cell>
          <cell r="B9857" t="str">
            <v>Retractores de esternón</v>
          </cell>
        </row>
        <row r="9858">
          <cell r="A9858">
            <v>42293126</v>
          </cell>
          <cell r="B9858" t="str">
            <v>Retractores para amputación</v>
          </cell>
        </row>
        <row r="9859">
          <cell r="A9859">
            <v>42293127</v>
          </cell>
          <cell r="B9859" t="str">
            <v>Retractores de tejidos</v>
          </cell>
        </row>
        <row r="9860">
          <cell r="A9860">
            <v>42293128</v>
          </cell>
          <cell r="B9860" t="str">
            <v>Retractores de piel</v>
          </cell>
        </row>
        <row r="9861">
          <cell r="A9861">
            <v>42293129</v>
          </cell>
          <cell r="B9861" t="str">
            <v>Retractores para micro cirugía</v>
          </cell>
        </row>
        <row r="9862">
          <cell r="A9862">
            <v>42293130</v>
          </cell>
          <cell r="B9862" t="str">
            <v>Retractores de pulmón</v>
          </cell>
        </row>
        <row r="9863">
          <cell r="A9863">
            <v>42293131</v>
          </cell>
          <cell r="B9863" t="str">
            <v>Retractores de párpado</v>
          </cell>
        </row>
        <row r="9864">
          <cell r="A9864">
            <v>42293132</v>
          </cell>
          <cell r="B9864" t="str">
            <v>Retractores de dedos</v>
          </cell>
        </row>
        <row r="9865">
          <cell r="A9865">
            <v>42293133</v>
          </cell>
          <cell r="B9865" t="str">
            <v>Anillos de retracción para uso quirúrgico</v>
          </cell>
        </row>
        <row r="9866">
          <cell r="A9866">
            <v>42293134</v>
          </cell>
          <cell r="B9866" t="str">
            <v>Retractores cervicales</v>
          </cell>
        </row>
        <row r="9867">
          <cell r="A9867">
            <v>42293135</v>
          </cell>
          <cell r="B9867" t="str">
            <v>Retractores de labios</v>
          </cell>
        </row>
        <row r="9868">
          <cell r="A9868">
            <v>42293136</v>
          </cell>
          <cell r="B9868" t="str">
            <v>Adaptadores de retractores</v>
          </cell>
        </row>
        <row r="9869">
          <cell r="A9869">
            <v>42293137</v>
          </cell>
          <cell r="B9869" t="str">
            <v>Cuchillas retractoras ortopédicas</v>
          </cell>
        </row>
        <row r="9870">
          <cell r="A9870">
            <v>42293138</v>
          </cell>
          <cell r="B9870" t="str">
            <v>Retractores para urología o sus accesorios para uso quirúrgico</v>
          </cell>
        </row>
        <row r="9871">
          <cell r="A9871">
            <v>42293139</v>
          </cell>
          <cell r="B9871" t="str">
            <v>Accesorios para retractores</v>
          </cell>
        </row>
        <row r="9872">
          <cell r="A9872">
            <v>42293201</v>
          </cell>
          <cell r="B9872" t="str">
            <v>Destornilladores para miomas para uso quirúrgico</v>
          </cell>
        </row>
        <row r="9873">
          <cell r="A9873">
            <v>42293301</v>
          </cell>
          <cell r="B9873" t="str">
            <v>Distractores o accesorios para uso quirúrgico</v>
          </cell>
        </row>
        <row r="9874">
          <cell r="A9874">
            <v>42293302</v>
          </cell>
          <cell r="B9874" t="str">
            <v>Separadores para uso quirúrgico</v>
          </cell>
        </row>
        <row r="9875">
          <cell r="A9875">
            <v>42293303</v>
          </cell>
          <cell r="B9875" t="str">
            <v>Espéculos para uso quirúrgico</v>
          </cell>
        </row>
        <row r="9876">
          <cell r="A9876">
            <v>42293304</v>
          </cell>
          <cell r="B9876" t="str">
            <v>Extensores para uso quirúrgico</v>
          </cell>
        </row>
        <row r="9877">
          <cell r="A9877">
            <v>42293401</v>
          </cell>
          <cell r="B9877" t="str">
            <v>Guías para uso quirúrgico</v>
          </cell>
        </row>
        <row r="9878">
          <cell r="A9878">
            <v>42293403</v>
          </cell>
          <cell r="B9878" t="str">
            <v>Sujetadores de implantes para uso quirúrgico</v>
          </cell>
        </row>
        <row r="9879">
          <cell r="A9879">
            <v>42293404</v>
          </cell>
          <cell r="B9879" t="str">
            <v>Empujadores para uso quirúrgico</v>
          </cell>
        </row>
        <row r="9880">
          <cell r="A9880">
            <v>42293405</v>
          </cell>
          <cell r="B9880" t="str">
            <v>Instrumentos de manipulación para uso quirúrgico</v>
          </cell>
        </row>
        <row r="9881">
          <cell r="A9881">
            <v>42293406</v>
          </cell>
          <cell r="B9881" t="str">
            <v>Posicionadores de implantes para uso quirúrgico</v>
          </cell>
        </row>
        <row r="9882">
          <cell r="A9882">
            <v>42293407</v>
          </cell>
          <cell r="B9882" t="str">
            <v>Filiforme para dilatar el uréter o la uretra</v>
          </cell>
        </row>
        <row r="9883">
          <cell r="A9883">
            <v>42293501</v>
          </cell>
          <cell r="B9883" t="str">
            <v>Piezas de mano de irrigación o succión o cánulas o puntas o productos relacionados para uso quirúrgico</v>
          </cell>
        </row>
        <row r="9884">
          <cell r="A9884">
            <v>42293502</v>
          </cell>
          <cell r="B9884" t="str">
            <v>Cánulas o puntas de succión o irrigación láser o productos relacionados para uso quirúrgico</v>
          </cell>
        </row>
        <row r="9885">
          <cell r="A9885">
            <v>42293503</v>
          </cell>
          <cell r="B9885" t="str">
            <v>Dispositivos o curetas de extracción al vacío o productos relacionados para uso quirúrgico</v>
          </cell>
        </row>
        <row r="9886">
          <cell r="A9886">
            <v>42293504</v>
          </cell>
          <cell r="B9886" t="str">
            <v>Suministros o accesorios de irrigación o aspiración oftálmica</v>
          </cell>
        </row>
        <row r="9887">
          <cell r="A9887">
            <v>42293505</v>
          </cell>
          <cell r="B9887" t="str">
            <v>Sondas de drenaje de succión para uso quirúrgico</v>
          </cell>
        </row>
        <row r="9888">
          <cell r="A9888">
            <v>42293506</v>
          </cell>
          <cell r="B9888" t="str">
            <v>Bulbos de succión para uso quirúrgico</v>
          </cell>
        </row>
        <row r="9889">
          <cell r="A9889">
            <v>42293507</v>
          </cell>
          <cell r="B9889" t="str">
            <v>Reservorios de succión para uso quirúrgico</v>
          </cell>
        </row>
        <row r="9890">
          <cell r="A9890">
            <v>42293508</v>
          </cell>
          <cell r="B9890" t="str">
            <v>Suministros o accesorios de irrigación o aspiración de oído nariz y garganta ent</v>
          </cell>
        </row>
        <row r="9891">
          <cell r="A9891">
            <v>42293509</v>
          </cell>
          <cell r="B9891" t="str">
            <v>Sets o accesorios de irrigación para uso quirúrgico</v>
          </cell>
        </row>
        <row r="9892">
          <cell r="A9892">
            <v>42293601</v>
          </cell>
          <cell r="B9892" t="str">
            <v>Bujías para uso quirúrgico</v>
          </cell>
        </row>
        <row r="9893">
          <cell r="A9893">
            <v>42293602</v>
          </cell>
          <cell r="B9893" t="str">
            <v>Obturadores para uso quirúrgico</v>
          </cell>
        </row>
        <row r="9894">
          <cell r="A9894">
            <v>42293603</v>
          </cell>
          <cell r="B9894" t="str">
            <v>Sondas para uso quirúrgico</v>
          </cell>
        </row>
        <row r="9895">
          <cell r="A9895">
            <v>42293701</v>
          </cell>
          <cell r="B9895" t="str">
            <v>Trituradores para uso quirúrgico</v>
          </cell>
        </row>
        <row r="9896">
          <cell r="A9896">
            <v>42293702</v>
          </cell>
          <cell r="B9896" t="str">
            <v>Excavadoras para uso quirúrgico</v>
          </cell>
        </row>
        <row r="9897">
          <cell r="A9897">
            <v>42293703</v>
          </cell>
          <cell r="B9897" t="str">
            <v>Molinos de hueso para uso quirúrgico</v>
          </cell>
        </row>
        <row r="9898">
          <cell r="A9898">
            <v>42293801</v>
          </cell>
          <cell r="B9898" t="str">
            <v>Pasadores para uso quirúrgico</v>
          </cell>
        </row>
        <row r="9899">
          <cell r="A9899">
            <v>42293802</v>
          </cell>
          <cell r="B9899" t="str">
            <v>Buscadores para uso quirúrgico</v>
          </cell>
        </row>
        <row r="9900">
          <cell r="A9900">
            <v>42293803</v>
          </cell>
          <cell r="B9900" t="str">
            <v>Removedores para uso quirúrgico</v>
          </cell>
        </row>
        <row r="9901">
          <cell r="A9901">
            <v>42293804</v>
          </cell>
          <cell r="B9901" t="str">
            <v>Excavadoras o accesorios quirúrgicos.</v>
          </cell>
        </row>
        <row r="9902">
          <cell r="A9902">
            <v>42293901</v>
          </cell>
          <cell r="B9902" t="str">
            <v>Anillos de laparoscopia para uso quirúrgico</v>
          </cell>
        </row>
        <row r="9903">
          <cell r="A9903">
            <v>42293902</v>
          </cell>
          <cell r="B9903" t="str">
            <v>Instrumentos para cubrir heridas para uso quirúrgico</v>
          </cell>
        </row>
        <row r="9904">
          <cell r="A9904">
            <v>42294001</v>
          </cell>
          <cell r="B9904" t="str">
            <v>Cucharas hondas para uso quirúrgico</v>
          </cell>
        </row>
        <row r="9905">
          <cell r="A9905">
            <v>42294002</v>
          </cell>
          <cell r="B9905" t="str">
            <v>Espátulas para uso quirúrgico</v>
          </cell>
        </row>
        <row r="9906">
          <cell r="A9906">
            <v>42294003</v>
          </cell>
          <cell r="B9906" t="str">
            <v>Cucharas para uso quirúrgico</v>
          </cell>
        </row>
        <row r="9907">
          <cell r="A9907">
            <v>42294101</v>
          </cell>
          <cell r="B9907" t="str">
            <v>Lazos de tracción o bucles de tracción o productos relacionados para uso quirúrgico</v>
          </cell>
        </row>
        <row r="9908">
          <cell r="A9908">
            <v>42294102</v>
          </cell>
          <cell r="B9908" t="str">
            <v>Dispositivos de tracción del cráneo para uso quirúrgico o productos relacionados</v>
          </cell>
        </row>
        <row r="9909">
          <cell r="A9909">
            <v>42294103</v>
          </cell>
          <cell r="B9909" t="str">
            <v>Collares de tracción para uso quirúrgico</v>
          </cell>
        </row>
        <row r="9910">
          <cell r="A9910">
            <v>42294201</v>
          </cell>
          <cell r="B9910" t="str">
            <v>Sets de instrumentos quirúrgicos torácicos o cardiovasculares</v>
          </cell>
        </row>
        <row r="9911">
          <cell r="A9911">
            <v>42294202</v>
          </cell>
          <cell r="B9911" t="str">
            <v>Sets o sistemas de instrumentos de fijación externa</v>
          </cell>
        </row>
        <row r="9912">
          <cell r="A9912">
            <v>42294203</v>
          </cell>
          <cell r="B9912" t="str">
            <v>Sets de instrumentos quirúrgicos generales</v>
          </cell>
        </row>
        <row r="9913">
          <cell r="A9913">
            <v>42294204</v>
          </cell>
          <cell r="B9913" t="str">
            <v>Sets de instrumentos para micro cirugía, cirugía plástica o cirugía delicada</v>
          </cell>
        </row>
        <row r="9914">
          <cell r="A9914">
            <v>42294205</v>
          </cell>
          <cell r="B9914" t="str">
            <v>Sets de instrumentos neuroquirúrgicos o espinales</v>
          </cell>
        </row>
        <row r="9915">
          <cell r="A9915">
            <v>42294206</v>
          </cell>
          <cell r="B9915" t="str">
            <v>Sets de instrumentos para cirugía oftálmica</v>
          </cell>
        </row>
        <row r="9916">
          <cell r="A9916">
            <v>42294207</v>
          </cell>
          <cell r="B9916" t="str">
            <v>Sets de instrumentos para cirugía maxilofacial</v>
          </cell>
        </row>
        <row r="9917">
          <cell r="A9917">
            <v>42294208</v>
          </cell>
          <cell r="B9917" t="str">
            <v>Sistemas de instrumentos para revisión ortopédica o completa de articulaciones</v>
          </cell>
        </row>
        <row r="9918">
          <cell r="A9918">
            <v>42294209</v>
          </cell>
          <cell r="B9918" t="str">
            <v>Sistemas de instrumentos para fijación de trauma ortopédico</v>
          </cell>
        </row>
        <row r="9919">
          <cell r="A9919">
            <v>42294210</v>
          </cell>
          <cell r="B9919" t="str">
            <v>Sets de instrumentos para cirugía otolaringológica</v>
          </cell>
        </row>
        <row r="9920">
          <cell r="A9920">
            <v>42294211</v>
          </cell>
          <cell r="B9920" t="str">
            <v>Bandejas de procedimientos o instrumentos especiales o a la medida para uso quirúrgico</v>
          </cell>
        </row>
        <row r="9921">
          <cell r="A9921">
            <v>42294212</v>
          </cell>
          <cell r="B9921" t="str">
            <v>Sets de instrumentos para cirugía urológica</v>
          </cell>
        </row>
        <row r="9922">
          <cell r="A9922">
            <v>42294213</v>
          </cell>
          <cell r="B9922" t="str">
            <v>Sets de instrumentos para cirugía por laparoscopia</v>
          </cell>
        </row>
        <row r="9923">
          <cell r="A9923">
            <v>42294214</v>
          </cell>
          <cell r="B9923" t="str">
            <v>Sets de instrumentos para cirugía de traqueotomía</v>
          </cell>
        </row>
        <row r="9924">
          <cell r="A9924">
            <v>42294215</v>
          </cell>
          <cell r="B9924" t="str">
            <v>Sets de instrumentos para cirugía de craneotomía</v>
          </cell>
        </row>
        <row r="9925">
          <cell r="A9925">
            <v>42294216</v>
          </cell>
          <cell r="B9925" t="str">
            <v>Sets de instrumentos para cirugía de angiografía</v>
          </cell>
        </row>
        <row r="9926">
          <cell r="A9926">
            <v>42294217</v>
          </cell>
          <cell r="B9926" t="str">
            <v>Sets de instrumentos para cirugía gastroscópica</v>
          </cell>
        </row>
        <row r="9927">
          <cell r="A9927">
            <v>42294218</v>
          </cell>
          <cell r="B9927" t="str">
            <v>Sets de instrumentos para cirugía de oído nariz y garganta ent</v>
          </cell>
        </row>
        <row r="9928">
          <cell r="A9928">
            <v>42294219</v>
          </cell>
          <cell r="B9928" t="str">
            <v>Sets de instrumentos para cirugía ortopédica</v>
          </cell>
        </row>
        <row r="9929">
          <cell r="A9929">
            <v>42294220</v>
          </cell>
          <cell r="B9929" t="str">
            <v>Sistemas de recuperación y entrega de sangre</v>
          </cell>
        </row>
        <row r="9930">
          <cell r="A9930">
            <v>42294301</v>
          </cell>
          <cell r="B9930" t="str">
            <v>Conductores o módulos de disparo o accesorios para biopsia de seno mínimamente invasiva</v>
          </cell>
        </row>
        <row r="9931">
          <cell r="A9931">
            <v>42294302</v>
          </cell>
          <cell r="B9931" t="str">
            <v>Unidades de carga premium para biopsia de seno mínimamente invasiva</v>
          </cell>
        </row>
        <row r="9932">
          <cell r="A9932">
            <v>42294303</v>
          </cell>
          <cell r="B9932" t="str">
            <v>Guías de aguja para biopsia de seno mínimamente invasiva</v>
          </cell>
        </row>
        <row r="9933">
          <cell r="A9933">
            <v>42294304</v>
          </cell>
          <cell r="B9933" t="str">
            <v>Instrumentos marcadores para biopsia de seno mínimamente invasiva</v>
          </cell>
        </row>
        <row r="9934">
          <cell r="A9934">
            <v>42294305</v>
          </cell>
          <cell r="B9934" t="str">
            <v>Unidades de vacío o accesorios para biopsia de seno mínimamente invasiva</v>
          </cell>
        </row>
        <row r="9935">
          <cell r="A9935">
            <v>42294306</v>
          </cell>
          <cell r="B9935" t="str">
            <v>Aguja de localización de seno</v>
          </cell>
        </row>
        <row r="9936">
          <cell r="A9936">
            <v>42294401</v>
          </cell>
          <cell r="B9936" t="str">
            <v>Sistemas de cosecha de venas</v>
          </cell>
        </row>
        <row r="9937">
          <cell r="A9937">
            <v>42294402</v>
          </cell>
          <cell r="B9937" t="str">
            <v>Sistemas de visualización coronaria</v>
          </cell>
        </row>
        <row r="9938">
          <cell r="A9938">
            <v>42294501</v>
          </cell>
          <cell r="B9938" t="str">
            <v>Conformadores o protectores para cirugía oftálmica</v>
          </cell>
        </row>
        <row r="9939">
          <cell r="A9939">
            <v>42294502</v>
          </cell>
          <cell r="B9939" t="str">
            <v>Pesas de párpados para cirugía oftálmica</v>
          </cell>
        </row>
        <row r="9940">
          <cell r="A9940">
            <v>42294503</v>
          </cell>
          <cell r="B9940" t="str">
            <v>Anillos de fijación para cirugía oftálmica</v>
          </cell>
        </row>
        <row r="9941">
          <cell r="A9941">
            <v>42294504</v>
          </cell>
          <cell r="B9941" t="str">
            <v>Instrumentos de membrana intraocular para cirugía oftálmica</v>
          </cell>
        </row>
        <row r="9942">
          <cell r="A9942">
            <v>42294505</v>
          </cell>
          <cell r="B9942" t="str">
            <v>Placas de párpado para cirugía oftálmica</v>
          </cell>
        </row>
        <row r="9943">
          <cell r="A9943">
            <v>42294506</v>
          </cell>
          <cell r="B9943" t="str">
            <v>Rotadores de núcleo para cirugía oftálmica</v>
          </cell>
        </row>
        <row r="9944">
          <cell r="A9944">
            <v>42294507</v>
          </cell>
          <cell r="B9944" t="str">
            <v>Fresas o manijas o removedores de anillos de óxido para uso oftálmico</v>
          </cell>
        </row>
        <row r="9945">
          <cell r="A9945">
            <v>42294508</v>
          </cell>
          <cell r="B9945" t="str">
            <v>Puntas de aguja de irrigación o aspiración para uso oftálmico</v>
          </cell>
        </row>
        <row r="9946">
          <cell r="A9946">
            <v>42294509</v>
          </cell>
          <cell r="B9946" t="str">
            <v>Agujas para cirugía oftálmica</v>
          </cell>
        </row>
        <row r="9947">
          <cell r="A9947">
            <v>42294510</v>
          </cell>
          <cell r="B9947" t="str">
            <v>Esponjas para cirugía oftálmica</v>
          </cell>
        </row>
        <row r="9948">
          <cell r="A9948">
            <v>42294511</v>
          </cell>
          <cell r="B9948" t="str">
            <v>Cuchillos o cuchillas o tijeras o accesorios para cirugía oftálmica</v>
          </cell>
        </row>
        <row r="9949">
          <cell r="A9949">
            <v>42294512</v>
          </cell>
          <cell r="B9949" t="str">
            <v>Protectores de ojos o sus accesorios</v>
          </cell>
        </row>
        <row r="9950">
          <cell r="A9950">
            <v>42294513</v>
          </cell>
          <cell r="B9950" t="str">
            <v>Kits de vitrectomía oftálmica</v>
          </cell>
        </row>
        <row r="9951">
          <cell r="A9951">
            <v>42294514</v>
          </cell>
          <cell r="B9951" t="str">
            <v>Sondas de borrado hemostático</v>
          </cell>
        </row>
        <row r="9952">
          <cell r="A9952">
            <v>42294515</v>
          </cell>
          <cell r="B9952" t="str">
            <v>Pulidores de lentes oftálmicos</v>
          </cell>
        </row>
        <row r="9953">
          <cell r="A9953">
            <v>42294516</v>
          </cell>
          <cell r="B9953" t="str">
            <v>Sujetadores de ojos o sus accesorios</v>
          </cell>
        </row>
        <row r="9954">
          <cell r="A9954">
            <v>42294517</v>
          </cell>
          <cell r="B9954" t="str">
            <v>Insertos ópticos</v>
          </cell>
        </row>
        <row r="9955">
          <cell r="A9955">
            <v>42294518</v>
          </cell>
          <cell r="B9955" t="str">
            <v>Sets de ajuste de insertos ópticos</v>
          </cell>
        </row>
        <row r="9956">
          <cell r="A9956">
            <v>42294519</v>
          </cell>
          <cell r="B9956" t="str">
            <v>Cucharas o curetas oftálmicas</v>
          </cell>
        </row>
        <row r="9957">
          <cell r="A9957">
            <v>42294520</v>
          </cell>
          <cell r="B9957" t="str">
            <v>Sujetadores de lentes o accesorios para uso oftálmico</v>
          </cell>
        </row>
        <row r="9958">
          <cell r="A9958">
            <v>42294521</v>
          </cell>
          <cell r="B9958" t="str">
            <v>Componentes de combado escleral</v>
          </cell>
        </row>
        <row r="9959">
          <cell r="A9959">
            <v>42294522</v>
          </cell>
          <cell r="B9959" t="str">
            <v>Sets de punctum de tapón para uso oftálmico</v>
          </cell>
        </row>
        <row r="9960">
          <cell r="A9960">
            <v>42294523</v>
          </cell>
          <cell r="B9960" t="str">
            <v>Suministros para cirugía plástica oftálmica o sus productos relacionados</v>
          </cell>
        </row>
        <row r="9961">
          <cell r="A9961">
            <v>42294524</v>
          </cell>
          <cell r="B9961" t="str">
            <v>Magnetos de ojos para cirugía oftálmica</v>
          </cell>
        </row>
        <row r="9962">
          <cell r="A9962">
            <v>42294525</v>
          </cell>
          <cell r="B9962" t="str">
            <v>Sets de instrumentos médicos oftálmicos</v>
          </cell>
        </row>
        <row r="9963">
          <cell r="A9963">
            <v>42294526</v>
          </cell>
          <cell r="B9963" t="str">
            <v>Dilatadores o sets de lagrimales</v>
          </cell>
        </row>
        <row r="9964">
          <cell r="A9964">
            <v>42294601</v>
          </cell>
          <cell r="B9964" t="str">
            <v>Bolsas de autotransfusión o transferencia de sangre</v>
          </cell>
        </row>
        <row r="9965">
          <cell r="A9965">
            <v>42294602</v>
          </cell>
          <cell r="B9965" t="str">
            <v>Kits de contenedores de autotransfusión o kits centrífugos</v>
          </cell>
        </row>
        <row r="9966">
          <cell r="A9966">
            <v>42294603</v>
          </cell>
          <cell r="B9966" t="str">
            <v>Unidades de autotransfusión</v>
          </cell>
        </row>
        <row r="9967">
          <cell r="A9967">
            <v>42294604</v>
          </cell>
          <cell r="B9967" t="str">
            <v>Filtros de autotransfusión</v>
          </cell>
        </row>
        <row r="9968">
          <cell r="A9968">
            <v>42294605</v>
          </cell>
          <cell r="B9968" t="str">
            <v>Reservorios o sus accesorios de autotransfusión</v>
          </cell>
        </row>
        <row r="9969">
          <cell r="A9969">
            <v>42294606</v>
          </cell>
          <cell r="B9969" t="str">
            <v>Sets o kits de tubos de autotransfusión</v>
          </cell>
        </row>
        <row r="9970">
          <cell r="A9970">
            <v>42294607</v>
          </cell>
          <cell r="B9970" t="str">
            <v>Válvulas de autotransfusión</v>
          </cell>
        </row>
        <row r="9971">
          <cell r="A9971">
            <v>42294701</v>
          </cell>
          <cell r="B9971" t="str">
            <v>Máquinas o accesorios de corazón y pulmones</v>
          </cell>
        </row>
        <row r="9972">
          <cell r="A9972">
            <v>42294702</v>
          </cell>
          <cell r="B9972" t="str">
            <v>Bombas y accesorios de balón intra aórtico</v>
          </cell>
        </row>
        <row r="9973">
          <cell r="A9973">
            <v>42294703</v>
          </cell>
          <cell r="B9973" t="str">
            <v>Dispositivos o accesorios de succión intra cardíaca</v>
          </cell>
        </row>
        <row r="9974">
          <cell r="A9974">
            <v>42294704</v>
          </cell>
          <cell r="B9974" t="str">
            <v>Filtros de perfusión o productos relacionados</v>
          </cell>
        </row>
        <row r="9975">
          <cell r="A9975">
            <v>42294705</v>
          </cell>
          <cell r="B9975" t="str">
            <v>Monitores de parámetros de sangre de perfusión o accesorios o productos relacionados</v>
          </cell>
        </row>
        <row r="9976">
          <cell r="A9976">
            <v>42294706</v>
          </cell>
          <cell r="B9976" t="str">
            <v>Trampas de burbujas de perfusión</v>
          </cell>
        </row>
        <row r="9977">
          <cell r="A9977">
            <v>42294707</v>
          </cell>
          <cell r="B9977" t="str">
            <v>Sets de cardioplegia de perfusión</v>
          </cell>
        </row>
        <row r="9978">
          <cell r="A9978">
            <v>42294708</v>
          </cell>
          <cell r="B9978" t="str">
            <v>Reservorios de cardiotomía de perfusión</v>
          </cell>
        </row>
        <row r="9979">
          <cell r="A9979">
            <v>42294709</v>
          </cell>
          <cell r="B9979" t="str">
            <v>Sistemas centrífugos de perfusión o accesorios</v>
          </cell>
        </row>
        <row r="9980">
          <cell r="A9980">
            <v>42294710</v>
          </cell>
          <cell r="B9980" t="str">
            <v>Equipos o accesorios calentadores o enfriadores o duales calentadores o enfriadores de perfusión</v>
          </cell>
        </row>
        <row r="9981">
          <cell r="A9981">
            <v>42294711</v>
          </cell>
          <cell r="B9981" t="str">
            <v>Hemoconcentradores de perfusión o accesorios</v>
          </cell>
        </row>
        <row r="9982">
          <cell r="A9982">
            <v>42294712</v>
          </cell>
          <cell r="B9982" t="str">
            <v>Monitores de saturación de oxígeno o hematocritos de perfusión o accesorios</v>
          </cell>
        </row>
        <row r="9983">
          <cell r="A9983">
            <v>42294713</v>
          </cell>
          <cell r="B9983" t="str">
            <v>Oxigenadores de perfusión o accesorios</v>
          </cell>
        </row>
        <row r="9984">
          <cell r="A9984">
            <v>42294714</v>
          </cell>
          <cell r="B9984" t="str">
            <v>Cabezas de bombas de perfusión</v>
          </cell>
        </row>
        <row r="9985">
          <cell r="A9985">
            <v>42294715</v>
          </cell>
          <cell r="B9985" t="str">
            <v>Tubos de empaque de bombas de perfusión</v>
          </cell>
        </row>
        <row r="9986">
          <cell r="A9986">
            <v>42294716</v>
          </cell>
          <cell r="B9986" t="str">
            <v>Reservorios venosos de perfusión</v>
          </cell>
        </row>
        <row r="9987">
          <cell r="A9987">
            <v>42294717</v>
          </cell>
          <cell r="B9987" t="str">
            <v>Dispositivos de asistencia ventricular</v>
          </cell>
        </row>
        <row r="9988">
          <cell r="A9988">
            <v>42294718</v>
          </cell>
          <cell r="B9988" t="str">
            <v>Bombas de perfusión</v>
          </cell>
        </row>
        <row r="9989">
          <cell r="A9989">
            <v>42294719</v>
          </cell>
          <cell r="B9989" t="str">
            <v>Reservorios cardiovasculares</v>
          </cell>
        </row>
        <row r="9990">
          <cell r="A9990">
            <v>42294720</v>
          </cell>
          <cell r="B9990" t="str">
            <v>Agujas de monitoreo de temperatura</v>
          </cell>
        </row>
        <row r="9991">
          <cell r="A9991">
            <v>42294721</v>
          </cell>
          <cell r="B9991" t="str">
            <v>Punzones aórticos</v>
          </cell>
        </row>
        <row r="9992">
          <cell r="A9992">
            <v>42294722</v>
          </cell>
          <cell r="B9992" t="str">
            <v>Sets de drenaje ventricular</v>
          </cell>
        </row>
        <row r="9993">
          <cell r="A9993">
            <v>42294801</v>
          </cell>
          <cell r="B9993" t="str">
            <v>Endoscopios rígidos o accesorios o productos relacionados</v>
          </cell>
        </row>
        <row r="9994">
          <cell r="A9994">
            <v>42294802</v>
          </cell>
          <cell r="B9994" t="str">
            <v>Endoscopios flexibles o accesorios o productos relacionados</v>
          </cell>
        </row>
        <row r="9995">
          <cell r="A9995">
            <v>42294803</v>
          </cell>
          <cell r="B9995" t="str">
            <v>Cistouretroscopios</v>
          </cell>
        </row>
        <row r="9996">
          <cell r="A9996">
            <v>42294804</v>
          </cell>
          <cell r="B9996" t="str">
            <v>Resectoscopios</v>
          </cell>
        </row>
        <row r="9997">
          <cell r="A9997">
            <v>42294805</v>
          </cell>
          <cell r="B9997" t="str">
            <v>Laparascopios o telescopios laparoscópicos</v>
          </cell>
        </row>
        <row r="9998">
          <cell r="A9998">
            <v>42294806</v>
          </cell>
          <cell r="B9998" t="str">
            <v>Cistoscopios</v>
          </cell>
        </row>
        <row r="9999">
          <cell r="A9999">
            <v>42294807</v>
          </cell>
          <cell r="B9999" t="str">
            <v>Esfinterómetros endoscópicos</v>
          </cell>
        </row>
        <row r="10000">
          <cell r="A10000">
            <v>42294808</v>
          </cell>
          <cell r="B10000" t="str">
            <v>Esofagoscopios o sus accesorios</v>
          </cell>
        </row>
        <row r="10001">
          <cell r="A10001">
            <v>42294901</v>
          </cell>
          <cell r="B10001" t="str">
            <v>Posicionadores o sujetadores de endoscopios o instrumentos</v>
          </cell>
        </row>
        <row r="10002">
          <cell r="A10002">
            <v>42294902</v>
          </cell>
          <cell r="B10002" t="str">
            <v>Aplicadores o elevadores de endoscopios</v>
          </cell>
        </row>
        <row r="10003">
          <cell r="A10003">
            <v>42294903</v>
          </cell>
          <cell r="B10003" t="str">
            <v>Agujas de aspiración o biopsia endoscópica</v>
          </cell>
        </row>
        <row r="10004">
          <cell r="A10004">
            <v>42294904</v>
          </cell>
          <cell r="B10004" t="str">
            <v>Bloques de mordida o correas endoscópicas</v>
          </cell>
        </row>
        <row r="10005">
          <cell r="A10005">
            <v>42294905</v>
          </cell>
          <cell r="B10005" t="str">
            <v>Cepillos de limpieza endoscópica o productos relacionados</v>
          </cell>
        </row>
        <row r="10006">
          <cell r="A10006">
            <v>42294906</v>
          </cell>
          <cell r="B10006" t="str">
            <v>Instrumentos de cortar para uso endoscópico</v>
          </cell>
        </row>
        <row r="10007">
          <cell r="A10007">
            <v>42294907</v>
          </cell>
          <cell r="B10007" t="str">
            <v>Cepillos de citología endoscópica o microbiología</v>
          </cell>
        </row>
        <row r="10008">
          <cell r="A10008">
            <v>42294908</v>
          </cell>
          <cell r="B10008" t="str">
            <v>Pinzas o disectores o agarraderas o fórceps o ligantes endoscópicos</v>
          </cell>
        </row>
        <row r="10009">
          <cell r="A10009">
            <v>42294909</v>
          </cell>
          <cell r="B10009" t="str">
            <v>Dilatadores o dispositivos inflables endoscópicos o productos relacionados</v>
          </cell>
        </row>
        <row r="10010">
          <cell r="A10010">
            <v>42294910</v>
          </cell>
          <cell r="B10010" t="str">
            <v>Electrodos o cables endoscópicos</v>
          </cell>
        </row>
        <row r="10011">
          <cell r="A10011">
            <v>42294911</v>
          </cell>
          <cell r="B10011" t="str">
            <v>Kits de fijación endoscópica</v>
          </cell>
        </row>
        <row r="10012">
          <cell r="A10012">
            <v>42294912</v>
          </cell>
          <cell r="B10012" t="str">
            <v>Sistemas o accesorios de manejo de fluido endoscópico</v>
          </cell>
        </row>
        <row r="10013">
          <cell r="A10013">
            <v>42294913</v>
          </cell>
          <cell r="B10013" t="str">
            <v>Balones hemostáticos o agujas o tubos o accesorios endoscópicos</v>
          </cell>
        </row>
        <row r="10014">
          <cell r="A10014">
            <v>42294914</v>
          </cell>
          <cell r="B10014" t="str">
            <v>Sets de instrumentos endoscópicos</v>
          </cell>
        </row>
        <row r="10015">
          <cell r="A10015">
            <v>42294915</v>
          </cell>
          <cell r="B10015" t="str">
            <v>Desplegadores de instrumentos endoscópicos</v>
          </cell>
        </row>
        <row r="10016">
          <cell r="A10016">
            <v>42294916</v>
          </cell>
          <cell r="B10016" t="str">
            <v>Filtros de insuflación endoscópica</v>
          </cell>
        </row>
        <row r="10017">
          <cell r="A10017">
            <v>42294917</v>
          </cell>
          <cell r="B10017" t="str">
            <v>Agujas de insuflación endoscópica</v>
          </cell>
        </row>
        <row r="10018">
          <cell r="A10018">
            <v>42294918</v>
          </cell>
          <cell r="B10018" t="str">
            <v>Tubos de insuflación endoscópica</v>
          </cell>
        </row>
        <row r="10019">
          <cell r="A10019">
            <v>42294919</v>
          </cell>
          <cell r="B10019" t="str">
            <v>Introductores o alambres guía o alambres de deslizamiento endoscópicos</v>
          </cell>
        </row>
        <row r="10020">
          <cell r="A10020">
            <v>42294920</v>
          </cell>
          <cell r="B10020" t="str">
            <v>Instrumentos o accesorios láser endoscópicos</v>
          </cell>
        </row>
        <row r="10021">
          <cell r="A10021">
            <v>42294921</v>
          </cell>
          <cell r="B10021" t="str">
            <v>Sistemas de empujadores de nudos o de entrega endoscópicos</v>
          </cell>
        </row>
        <row r="10022">
          <cell r="A10022">
            <v>42294922</v>
          </cell>
          <cell r="B10022" t="str">
            <v>Ligantes endoscópicos</v>
          </cell>
        </row>
        <row r="10023">
          <cell r="A10023">
            <v>42294923</v>
          </cell>
          <cell r="B10023" t="str">
            <v>Manipuladores endoscópicos</v>
          </cell>
        </row>
        <row r="10024">
          <cell r="A10024">
            <v>42294924</v>
          </cell>
          <cell r="B10024" t="str">
            <v>Instrumentos o accesorios manuales monopolares o bipolares para endoscopia o productos relacionados</v>
          </cell>
        </row>
        <row r="10025">
          <cell r="A10025">
            <v>42294925</v>
          </cell>
          <cell r="B10025" t="str">
            <v>Agujas o punzones para endoscopia</v>
          </cell>
        </row>
        <row r="10026">
          <cell r="A10026">
            <v>42294926</v>
          </cell>
          <cell r="B10026" t="str">
            <v>Sobre tubos para endoscopia</v>
          </cell>
        </row>
        <row r="10027">
          <cell r="A10027">
            <v>42294927</v>
          </cell>
          <cell r="B10027" t="str">
            <v>Paquetes o bandejas o kits de instrumentos para endoscopia</v>
          </cell>
        </row>
        <row r="10028">
          <cell r="A10028">
            <v>42294928</v>
          </cell>
          <cell r="B10028" t="str">
            <v>Sondas para endoscopia</v>
          </cell>
        </row>
        <row r="10029">
          <cell r="A10029">
            <v>42294929</v>
          </cell>
          <cell r="B10029" t="str">
            <v>Retractores para endoscopia</v>
          </cell>
        </row>
        <row r="10030">
          <cell r="A10030">
            <v>42294930</v>
          </cell>
          <cell r="B10030" t="str">
            <v>Pinzas o alambres de pinzas o accesorios para endoscopia</v>
          </cell>
        </row>
        <row r="10031">
          <cell r="A10031">
            <v>42294931</v>
          </cell>
          <cell r="B10031" t="str">
            <v>Fórceps o dispositivos de recuperación de especímenes para endoscopia</v>
          </cell>
        </row>
        <row r="10032">
          <cell r="A10032">
            <v>42294932</v>
          </cell>
          <cell r="B10032" t="str">
            <v>Tubos o estiradores endoscopicos</v>
          </cell>
        </row>
        <row r="10033">
          <cell r="A10033">
            <v>42294933</v>
          </cell>
          <cell r="B10033" t="str">
            <v>Puntas de irrigación o succión o sondas de coagulación o accesorios para endoscopia</v>
          </cell>
        </row>
        <row r="10034">
          <cell r="A10034">
            <v>42294934</v>
          </cell>
          <cell r="B10034" t="str">
            <v>Dispositivos de sutura para endoscopia</v>
          </cell>
        </row>
        <row r="10035">
          <cell r="A10035">
            <v>42294935</v>
          </cell>
          <cell r="B10035" t="str">
            <v>Trocar o funda u obturador o cánula para endoscopia</v>
          </cell>
        </row>
        <row r="10036">
          <cell r="A10036">
            <v>42294936</v>
          </cell>
          <cell r="B10036" t="str">
            <v>Elementos de trabajo o canales de trabajo para endoscopia</v>
          </cell>
        </row>
        <row r="10037">
          <cell r="A10037">
            <v>42294937</v>
          </cell>
          <cell r="B10037" t="str">
            <v>Dispositivos reductores de empañe para endoscopia o espejos</v>
          </cell>
        </row>
        <row r="10038">
          <cell r="A10038">
            <v>42294938</v>
          </cell>
          <cell r="B10038" t="str">
            <v>Tapas sellantes para endoscopia</v>
          </cell>
        </row>
        <row r="10039">
          <cell r="A10039">
            <v>42294939</v>
          </cell>
          <cell r="B10039" t="str">
            <v>Válvulas o accesorios para endoscopia</v>
          </cell>
        </row>
        <row r="10040">
          <cell r="A10040">
            <v>42294940</v>
          </cell>
          <cell r="B10040" t="str">
            <v>Convertidores para endoscopia</v>
          </cell>
        </row>
        <row r="10041">
          <cell r="A10041">
            <v>42294941</v>
          </cell>
          <cell r="B10041" t="str">
            <v>Sets de drenaje biliar para endoscopia</v>
          </cell>
        </row>
        <row r="10042">
          <cell r="A10042">
            <v>42294942</v>
          </cell>
          <cell r="B10042" t="str">
            <v>Sellos de instrumentos para endoscopia</v>
          </cell>
        </row>
        <row r="10043">
          <cell r="A10043">
            <v>42294943</v>
          </cell>
          <cell r="B10043" t="str">
            <v>Unidades de válvulas para endoscopia</v>
          </cell>
        </row>
        <row r="10044">
          <cell r="A10044">
            <v>42294944</v>
          </cell>
          <cell r="B10044" t="str">
            <v>Kits de accesorios para endoscopia</v>
          </cell>
        </row>
        <row r="10045">
          <cell r="A10045">
            <v>42294945</v>
          </cell>
          <cell r="B10045" t="str">
            <v>Esponjas para endoscopia</v>
          </cell>
        </row>
        <row r="10046">
          <cell r="A10046">
            <v>42294946</v>
          </cell>
          <cell r="B10046" t="str">
            <v>Mordazas para endoscopia</v>
          </cell>
        </row>
        <row r="10047">
          <cell r="A10047">
            <v>42294947</v>
          </cell>
          <cell r="B10047" t="str">
            <v>Diafragmas para endoscopia</v>
          </cell>
        </row>
        <row r="10048">
          <cell r="A10048">
            <v>42294948</v>
          </cell>
          <cell r="B10048" t="str">
            <v>Piezas bucales para endoscopia</v>
          </cell>
        </row>
        <row r="10049">
          <cell r="A10049">
            <v>42294949</v>
          </cell>
          <cell r="B10049" t="str">
            <v>Manijas de guía de alambre para endoscopia</v>
          </cell>
        </row>
        <row r="10050">
          <cell r="A10050">
            <v>42294950</v>
          </cell>
          <cell r="B10050" t="str">
            <v>Brocas o taladros para endoscopia</v>
          </cell>
        </row>
        <row r="10051">
          <cell r="A10051">
            <v>42294951</v>
          </cell>
          <cell r="B10051" t="str">
            <v>Sets de instrumentos para uniones pequeñas para endoscopia</v>
          </cell>
        </row>
        <row r="10052">
          <cell r="A10052">
            <v>42294952</v>
          </cell>
          <cell r="B10052" t="str">
            <v>Recuperadores o sets para endoscopia</v>
          </cell>
        </row>
        <row r="10053">
          <cell r="A10053">
            <v>42294953</v>
          </cell>
          <cell r="B10053" t="str">
            <v>Extractores para endoscopia</v>
          </cell>
        </row>
        <row r="10054">
          <cell r="A10054">
            <v>42294954</v>
          </cell>
          <cell r="B10054" t="str">
            <v>Dispositivos o accesorios para remover especímenes o tejidos para endoscopia</v>
          </cell>
        </row>
        <row r="10055">
          <cell r="A10055">
            <v>42294955</v>
          </cell>
          <cell r="B10055" t="str">
            <v>Ganchos o accesorios para endoscopia</v>
          </cell>
        </row>
        <row r="10056">
          <cell r="A10056">
            <v>42294956</v>
          </cell>
          <cell r="B10056" t="str">
            <v>Localizadores de guía de alambre para endoscopia</v>
          </cell>
        </row>
        <row r="10057">
          <cell r="A10057">
            <v>42295001</v>
          </cell>
          <cell r="B10057" t="str">
            <v>Unidades o accesorios de mantenimiento para endoscopia</v>
          </cell>
        </row>
        <row r="10058">
          <cell r="A10058">
            <v>42295002</v>
          </cell>
          <cell r="B10058" t="str">
            <v>Gabinetes de almacenamiento o accesorios para endoscopia</v>
          </cell>
        </row>
        <row r="10059">
          <cell r="A10059">
            <v>42295003</v>
          </cell>
          <cell r="B10059" t="str">
            <v>Colgadores de pared o accesorios para endoscopia</v>
          </cell>
        </row>
        <row r="10060">
          <cell r="A10060">
            <v>42295004</v>
          </cell>
          <cell r="B10060" t="str">
            <v>Carritos de equipos o procedimientos o accesorios para endoscopia</v>
          </cell>
        </row>
        <row r="10061">
          <cell r="A10061">
            <v>42295005</v>
          </cell>
          <cell r="B10061" t="str">
            <v>Sets de equipos endoscópicos</v>
          </cell>
        </row>
        <row r="10062">
          <cell r="A10062">
            <v>42295006</v>
          </cell>
          <cell r="B10062" t="str">
            <v>Unidades de sonda de calor o sondas de calor o accesorios para endoscopia</v>
          </cell>
        </row>
        <row r="10063">
          <cell r="A10063">
            <v>42295007</v>
          </cell>
          <cell r="B10063" t="str">
            <v>Sistemas de imágenes o accesorios para endoscopia</v>
          </cell>
        </row>
        <row r="10064">
          <cell r="A10064">
            <v>42295008</v>
          </cell>
          <cell r="B10064" t="str">
            <v>Unidades o accesorios de insuflación o distensión para endoscopia</v>
          </cell>
        </row>
        <row r="10065">
          <cell r="A10065">
            <v>42295009</v>
          </cell>
          <cell r="B10065" t="str">
            <v>Fuentes de luz quirúrgica o accesorios para endoscopia</v>
          </cell>
        </row>
        <row r="10066">
          <cell r="A10066">
            <v>42295010</v>
          </cell>
          <cell r="B10066" t="str">
            <v>Impresoras o accesorios para endoscopia</v>
          </cell>
        </row>
        <row r="10067">
          <cell r="A10067">
            <v>42295011</v>
          </cell>
          <cell r="B10067" t="str">
            <v>Video cámaras o grabadoras o adaptadores o accesorios para endoscopia</v>
          </cell>
        </row>
        <row r="10068">
          <cell r="A10068">
            <v>42295012</v>
          </cell>
          <cell r="B10068" t="str">
            <v>Botellas de agua o accesorios para endoscopia</v>
          </cell>
        </row>
        <row r="10069">
          <cell r="A10069">
            <v>42295013</v>
          </cell>
          <cell r="B10069" t="str">
            <v>Protectores o cubiertas de puntas de endoscopios</v>
          </cell>
        </row>
        <row r="10070">
          <cell r="A10070">
            <v>42295014</v>
          </cell>
          <cell r="B10070" t="str">
            <v>Estuches de instrumentos para endoscopia</v>
          </cell>
        </row>
        <row r="10071">
          <cell r="A10071">
            <v>42295015</v>
          </cell>
          <cell r="B10071" t="str">
            <v>Lentes endoscópicos</v>
          </cell>
        </row>
        <row r="10072">
          <cell r="A10072">
            <v>42295101</v>
          </cell>
          <cell r="B10072" t="str">
            <v>Puestos de lavamanos para uso quirúrgico</v>
          </cell>
        </row>
        <row r="10073">
          <cell r="A10073">
            <v>42295102</v>
          </cell>
          <cell r="B10073" t="str">
            <v>Equipos o accesorios para criocirugía</v>
          </cell>
        </row>
        <row r="10074">
          <cell r="A10074">
            <v>42295103</v>
          </cell>
          <cell r="B10074" t="str">
            <v>Mesas o accesorios para procedimientos de cesáreas o salas de partos o productos relacionados</v>
          </cell>
        </row>
        <row r="10075">
          <cell r="A10075">
            <v>42295104</v>
          </cell>
          <cell r="B10075" t="str">
            <v>Equipo electro quirúrgico o electro cauterizante</v>
          </cell>
        </row>
        <row r="10076">
          <cell r="A10076">
            <v>42295105</v>
          </cell>
          <cell r="B10076" t="str">
            <v>Mesas de instrumentos para uso quirúrgico u obstétrico o accesorios o productos relacionados</v>
          </cell>
        </row>
        <row r="10077">
          <cell r="A10077">
            <v>42295106</v>
          </cell>
          <cell r="B10077" t="str">
            <v>Bandejas mayo para el canto o puestos mayo para uso quirúrgico o sus accesorios</v>
          </cell>
        </row>
        <row r="10078">
          <cell r="A10078">
            <v>42295107</v>
          </cell>
          <cell r="B10078" t="str">
            <v>Carritos para estuches de salas de cirugía o carritos de procedimiento o gabinetes de pared o accesorios</v>
          </cell>
        </row>
        <row r="10079">
          <cell r="A10079">
            <v>42295108</v>
          </cell>
          <cell r="B10079" t="str">
            <v>Mesas de fractura de pacientes para salas de cirugía o mesas ortopédicas o accesorios o productos relacionados</v>
          </cell>
        </row>
        <row r="10080">
          <cell r="A10080">
            <v>42295109</v>
          </cell>
          <cell r="B10080" t="str">
            <v>Baldes para salas de cirugía o accesorios o productos relacionados</v>
          </cell>
        </row>
        <row r="10081">
          <cell r="A10081">
            <v>42295110</v>
          </cell>
          <cell r="B10081" t="str">
            <v>Iluminación de la sala de operación para campo quirúrgico o accesorios o productos relacionados</v>
          </cell>
        </row>
        <row r="10082">
          <cell r="A10082">
            <v>42295111</v>
          </cell>
          <cell r="B10082" t="str">
            <v>Dispositivos de posicionamiento de los pacientes para salas de cirugía o accesorios</v>
          </cell>
        </row>
        <row r="10083">
          <cell r="A10083">
            <v>42295112</v>
          </cell>
          <cell r="B10083" t="str">
            <v>Mesas de procedimientos para salas de cirugía o accesorios o productos relacionados</v>
          </cell>
        </row>
        <row r="10084">
          <cell r="A10084">
            <v>42295113</v>
          </cell>
          <cell r="B10084" t="str">
            <v>Equipo de irrigación o aspiración oftálmica o accesorios</v>
          </cell>
        </row>
        <row r="10085">
          <cell r="A10085">
            <v>42295114</v>
          </cell>
          <cell r="B10085" t="str">
            <v>Equipos de facoemulsificación o extrusión o accesorios para cirugía oftálmica</v>
          </cell>
        </row>
        <row r="10086">
          <cell r="A10086">
            <v>42295115</v>
          </cell>
          <cell r="B10086" t="str">
            <v>Taburetes de cirujanos o accesorios</v>
          </cell>
        </row>
        <row r="10087">
          <cell r="A10087">
            <v>42295116</v>
          </cell>
          <cell r="B10087" t="str">
            <v>Escalones para salas de cirugía o accesorios</v>
          </cell>
        </row>
        <row r="10088">
          <cell r="A10088">
            <v>42295117</v>
          </cell>
          <cell r="B10088" t="str">
            <v>Manta quirúrgica o armarios para calentar soluciones o accesorios</v>
          </cell>
        </row>
        <row r="10089">
          <cell r="A10089">
            <v>42295118</v>
          </cell>
          <cell r="B10089" t="str">
            <v>Equipos de bombas de irrigación para uso quirúrgico o lavado pulsado o accesorios con o sin succión</v>
          </cell>
        </row>
        <row r="10090">
          <cell r="A10090">
            <v>42295119</v>
          </cell>
          <cell r="B10090" t="str">
            <v>Láseres para uso quirúrgico o accesorios</v>
          </cell>
        </row>
        <row r="10091">
          <cell r="A10091">
            <v>42295120</v>
          </cell>
          <cell r="B10091" t="str">
            <v>Litotriptores o accesorios para uso quirúrgico</v>
          </cell>
        </row>
        <row r="10092">
          <cell r="A10092">
            <v>42295121</v>
          </cell>
          <cell r="B10092" t="str">
            <v>Microscopios o lupas o magnificadores o accesorios para uso quirúrgico</v>
          </cell>
        </row>
        <row r="10093">
          <cell r="A10093">
            <v>42295122</v>
          </cell>
          <cell r="B10093" t="str">
            <v>Torniquetes neumáticos o eléctricos o accesorios para uso quirúrgico</v>
          </cell>
        </row>
        <row r="10094">
          <cell r="A10094">
            <v>42295123</v>
          </cell>
          <cell r="B10094" t="str">
            <v>Máquinas de succión o extractores al vacío o aspiradores quirúrgicos ultrasónicos o reguladores o accesorios para uso quirúrgico</v>
          </cell>
        </row>
        <row r="10095">
          <cell r="A10095">
            <v>42295124</v>
          </cell>
          <cell r="B10095" t="str">
            <v>Evacuadores de humo o accesorios para uso quirúrgico</v>
          </cell>
        </row>
        <row r="10096">
          <cell r="A10096">
            <v>42295125</v>
          </cell>
          <cell r="B10096" t="str">
            <v>Mesas urológicas o accesorios para uso quirúrgico</v>
          </cell>
        </row>
        <row r="10097">
          <cell r="A10097">
            <v>42295126</v>
          </cell>
          <cell r="B10097" t="str">
            <v>Equipos de cirugía fragmatoma de retina vítrea para cirugía oftálmica</v>
          </cell>
        </row>
        <row r="10098">
          <cell r="A10098">
            <v>42295127</v>
          </cell>
          <cell r="B10098" t="str">
            <v>Equipos o accesorios de microcirugía</v>
          </cell>
        </row>
        <row r="10099">
          <cell r="A10099">
            <v>42295128</v>
          </cell>
          <cell r="B10099" t="str">
            <v>Instrumentos quirúrgicos maxilofaciales o accesorios</v>
          </cell>
        </row>
        <row r="10100">
          <cell r="A10100">
            <v>42295129</v>
          </cell>
          <cell r="B10100" t="str">
            <v>Dispensadores de medicamentos para salas de cirugía o productos relacionados</v>
          </cell>
        </row>
        <row r="10101">
          <cell r="A10101">
            <v>42295130</v>
          </cell>
          <cell r="B10101" t="str">
            <v>Tubos o accesorios de conexión de instrumentos quirúrgicos</v>
          </cell>
        </row>
        <row r="10102">
          <cell r="A10102">
            <v>42295131</v>
          </cell>
          <cell r="B10102" t="str">
            <v>Puestos o accesorios de equipos quirúrgicos</v>
          </cell>
        </row>
        <row r="10103">
          <cell r="A10103">
            <v>42295132</v>
          </cell>
          <cell r="B10103" t="str">
            <v>Estuches o accesorios para equipos quirúrgicos</v>
          </cell>
        </row>
        <row r="10104">
          <cell r="A10104">
            <v>42295133</v>
          </cell>
          <cell r="B10104" t="str">
            <v>Estantes de tornillos ortopédicos o accesorios</v>
          </cell>
        </row>
        <row r="10105">
          <cell r="A10105">
            <v>42295134</v>
          </cell>
          <cell r="B10105" t="str">
            <v>Sets o accesorios de suministro quirúrgico general</v>
          </cell>
        </row>
        <row r="10106">
          <cell r="A10106">
            <v>42295135</v>
          </cell>
          <cell r="B10106" t="str">
            <v>Dispositivos o accesorios de control ortopédico</v>
          </cell>
        </row>
        <row r="10107">
          <cell r="A10107">
            <v>42295136</v>
          </cell>
          <cell r="B10107" t="str">
            <v>Instrumentos de control para uso quirúrgico</v>
          </cell>
        </row>
        <row r="10108">
          <cell r="A10108">
            <v>42295137</v>
          </cell>
          <cell r="B10108" t="str">
            <v>Equipos o suministros o accesorios para gastroenterología</v>
          </cell>
        </row>
        <row r="10109">
          <cell r="A10109">
            <v>42295138</v>
          </cell>
          <cell r="B10109" t="str">
            <v>Dispositivos o accesorios de dilatación urológica para uso quirúrgico</v>
          </cell>
        </row>
        <row r="10110">
          <cell r="A10110">
            <v>42295139</v>
          </cell>
          <cell r="B10110" t="str">
            <v>Rollos de instrumentos para instrumentos quirúrgicos o accesorios</v>
          </cell>
        </row>
        <row r="10111">
          <cell r="A10111">
            <v>42295140</v>
          </cell>
          <cell r="B10111" t="str">
            <v>Gabinetes o muebles para instrumentos quirúrgicos</v>
          </cell>
        </row>
        <row r="10112">
          <cell r="A10112">
            <v>42295201</v>
          </cell>
          <cell r="B10112" t="str">
            <v>Dermotomos o aparatos para dermoabrasión o dermoreticulador para uso quirúrgico o accesorios</v>
          </cell>
        </row>
        <row r="10113">
          <cell r="A10113">
            <v>42295202</v>
          </cell>
          <cell r="B10113" t="str">
            <v>Sierras eléctricas o de pila o neumáticas o colocadores de tornillos o accesorios para uso quirúrgico</v>
          </cell>
        </row>
        <row r="10114">
          <cell r="A10114">
            <v>42295203</v>
          </cell>
          <cell r="B10114" t="str">
            <v>Sets o accesorios de equipos eléctricos para uso quirúrgico</v>
          </cell>
        </row>
        <row r="10115">
          <cell r="A10115">
            <v>42295204</v>
          </cell>
          <cell r="B10115" t="str">
            <v>Escariadores para uso quirúrgico</v>
          </cell>
        </row>
        <row r="10116">
          <cell r="A10116">
            <v>42295205</v>
          </cell>
          <cell r="B10116" t="str">
            <v>Equipos de afeitado o piezas de mano o cuchillas o accesorios para uso quirúrgico</v>
          </cell>
        </row>
        <row r="10117">
          <cell r="A10117">
            <v>42295206</v>
          </cell>
          <cell r="B10117" t="str">
            <v>Unidades de cirugía endoscópica</v>
          </cell>
        </row>
        <row r="10118">
          <cell r="A10118">
            <v>42295301</v>
          </cell>
          <cell r="B10118" t="str">
            <v>Sopladores o vaporizadores o accesorios de uso quirúrgico</v>
          </cell>
        </row>
        <row r="10119">
          <cell r="A10119">
            <v>42295302</v>
          </cell>
          <cell r="B10119" t="str">
            <v>Cánulas de perfusión de uso quirúrgico</v>
          </cell>
        </row>
        <row r="10120">
          <cell r="A10120">
            <v>42295303</v>
          </cell>
          <cell r="B10120" t="str">
            <v>Catéteres o conectores o accesorios de uso quirúrgico</v>
          </cell>
        </row>
        <row r="10121">
          <cell r="A10121">
            <v>42295304</v>
          </cell>
          <cell r="B10121" t="str">
            <v>Almohadillas para nervios frénicos o almohadas cardíacas de uso quirúrgico</v>
          </cell>
        </row>
        <row r="10122">
          <cell r="A10122">
            <v>42295305</v>
          </cell>
          <cell r="B10122" t="str">
            <v>Torniquetes u oclusores vasculares o ligantes o accesorios de uso quirúrgico</v>
          </cell>
        </row>
        <row r="10123">
          <cell r="A10123">
            <v>42295306</v>
          </cell>
          <cell r="B10123" t="str">
            <v>Lanzaderas de vasos o cintas de retracción de uso quirúrgico</v>
          </cell>
        </row>
        <row r="10124">
          <cell r="A10124">
            <v>42295307</v>
          </cell>
          <cell r="B10124" t="str">
            <v>Decapantes de arteria carótida o accesorios de uso quirúrgico</v>
          </cell>
        </row>
        <row r="10125">
          <cell r="A10125">
            <v>42295308</v>
          </cell>
          <cell r="B10125" t="str">
            <v>Sets de perfusión coronaria</v>
          </cell>
        </row>
        <row r="10126">
          <cell r="A10126">
            <v>42295401</v>
          </cell>
          <cell r="B10126" t="str">
            <v>Lápices de cauterización operados mediante pilas de uso quirúrgico</v>
          </cell>
        </row>
        <row r="10127">
          <cell r="A10127">
            <v>42295402</v>
          </cell>
          <cell r="B10127" t="str">
            <v>Esferos para marcar de uso quirúrgico</v>
          </cell>
        </row>
        <row r="10128">
          <cell r="A10128">
            <v>42295403</v>
          </cell>
          <cell r="B10128" t="str">
            <v>Dispositivos de fijación internos o externos, férulas de fijación intermaxilar o accesorios</v>
          </cell>
        </row>
        <row r="10129">
          <cell r="A10129">
            <v>42295404</v>
          </cell>
          <cell r="B10129" t="str">
            <v>Estiradores gastrointestinales</v>
          </cell>
        </row>
        <row r="10130">
          <cell r="A10130">
            <v>42295405</v>
          </cell>
          <cell r="B10130" t="str">
            <v>Introductores o ganchos de guía o guías de alambre o deslizadores de alambre para cirugía no endoscópica o procedimientos de corazón abierto</v>
          </cell>
        </row>
        <row r="10131">
          <cell r="A10131">
            <v>42295406</v>
          </cell>
          <cell r="B10131" t="str">
            <v>Esponja especial para laparotomía o detectable por rayos x o de uso quirúrgico</v>
          </cell>
        </row>
        <row r="10132">
          <cell r="A10132">
            <v>42295407</v>
          </cell>
          <cell r="B10132" t="str">
            <v>Máscaras para pacientes de uso quirúrgico</v>
          </cell>
        </row>
        <row r="10133">
          <cell r="A10133">
            <v>42295408</v>
          </cell>
          <cell r="B10133" t="str">
            <v>Cepillos para manos para cirujanos o soluciones o accesorios</v>
          </cell>
        </row>
        <row r="10134">
          <cell r="A10134">
            <v>42295409</v>
          </cell>
          <cell r="B10134" t="str">
            <v>Aplicadores de uso quirúrgico</v>
          </cell>
        </row>
        <row r="10135">
          <cell r="A10135">
            <v>42295410</v>
          </cell>
          <cell r="B10135" t="str">
            <v>Sets o paquetes de cuencas de uso quirúrgico</v>
          </cell>
        </row>
        <row r="10136">
          <cell r="A10136">
            <v>42295411</v>
          </cell>
          <cell r="B10136" t="str">
            <v>Sujetadores o interruptores de cuchilla de uso quirúrgico</v>
          </cell>
        </row>
        <row r="10137">
          <cell r="A10137">
            <v>42295412</v>
          </cell>
          <cell r="B10137" t="str">
            <v>Cemento quirúrgico de hueso o sistemas de mezclado o accesorios</v>
          </cell>
        </row>
        <row r="10138">
          <cell r="A10138">
            <v>42295413</v>
          </cell>
          <cell r="B10138" t="str">
            <v>Cepillos de canal de uso quirúrgico</v>
          </cell>
        </row>
        <row r="10139">
          <cell r="A10139">
            <v>42295414</v>
          </cell>
          <cell r="B10139" t="str">
            <v>Paquetes para procedimientos especiales o a la medida de uso quirúrgico</v>
          </cell>
        </row>
        <row r="10140">
          <cell r="A10140">
            <v>42295415</v>
          </cell>
          <cell r="B10140" t="str">
            <v>Fundas para equipos de uso quirúrgico</v>
          </cell>
        </row>
        <row r="10141">
          <cell r="A10141">
            <v>42295416</v>
          </cell>
          <cell r="B10141" t="str">
            <v>Evacuadores de uso quirúrgico</v>
          </cell>
        </row>
        <row r="10142">
          <cell r="A10142">
            <v>42295417</v>
          </cell>
          <cell r="B10142" t="str">
            <v>Fundas o manijas para luces de uso quirúrgico</v>
          </cell>
        </row>
        <row r="10143">
          <cell r="A10143">
            <v>42295418</v>
          </cell>
          <cell r="B10143" t="str">
            <v>Esterillas magnéticas de uso quirúrgico</v>
          </cell>
        </row>
        <row r="10144">
          <cell r="A10144">
            <v>42295419</v>
          </cell>
          <cell r="B10144" t="str">
            <v>Estimuladores de nervios o accesorios de uso quirúrgico</v>
          </cell>
        </row>
        <row r="10145">
          <cell r="A10145">
            <v>42295420</v>
          </cell>
          <cell r="B10145" t="str">
            <v>Catéteres endoscópicos o quirúrgicos o kits de cateterización o bolsas de drenaje</v>
          </cell>
        </row>
        <row r="10146">
          <cell r="A10146">
            <v>42295421</v>
          </cell>
          <cell r="B10146" t="str">
            <v>Lavado de preparación o soluciones de pintura para uso quirúrgico</v>
          </cell>
        </row>
        <row r="10147">
          <cell r="A10147">
            <v>42295422</v>
          </cell>
          <cell r="B10147" t="str">
            <v>Lavado o kits de preparación del paciente para uso quirúrgico</v>
          </cell>
        </row>
        <row r="10148">
          <cell r="A10148">
            <v>42295423</v>
          </cell>
          <cell r="B10148" t="str">
            <v>Mostradores de instrumentos afilados o esponjas para uso quirúrgico</v>
          </cell>
        </row>
        <row r="10149">
          <cell r="A10149">
            <v>42295424</v>
          </cell>
          <cell r="B10149" t="str">
            <v>Kits de afeitado o cuchillas de preparación o corta uñas para uso quirúrgico</v>
          </cell>
        </row>
        <row r="10150">
          <cell r="A10150">
            <v>42295425</v>
          </cell>
          <cell r="B10150" t="str">
            <v>Palitos o lápices o cristales de nitrato de plata para uso quirúrgico</v>
          </cell>
        </row>
        <row r="10151">
          <cell r="A10151">
            <v>42295426</v>
          </cell>
          <cell r="B10151" t="str">
            <v>Trampas o contenedores de recolección de especímenes para uso quirúrgico</v>
          </cell>
        </row>
        <row r="10152">
          <cell r="A10152">
            <v>42295427</v>
          </cell>
          <cell r="B10152" t="str">
            <v>Cepillos para instrumentos estériles o estiletes instrumentales o pañitos limpiadores de instrumentos para uso quirúrgico</v>
          </cell>
        </row>
        <row r="10153">
          <cell r="A10153">
            <v>42295428</v>
          </cell>
          <cell r="B10153" t="str">
            <v>Tubos o accesorios de irrigación o succión para uso quirúrgico</v>
          </cell>
        </row>
        <row r="10154">
          <cell r="A10154">
            <v>42295429</v>
          </cell>
          <cell r="B10154" t="str">
            <v>Botes de succión quirúrgicos o accesorios</v>
          </cell>
        </row>
        <row r="10155">
          <cell r="A10155">
            <v>42295430</v>
          </cell>
          <cell r="B10155" t="str">
            <v>Estiradores quirúrgicos tracheales</v>
          </cell>
        </row>
        <row r="10156">
          <cell r="A10156">
            <v>42295431</v>
          </cell>
          <cell r="B10156" t="str">
            <v>Cortinas transparentes de incisión o bolsas para instrumentos para uso quirúrgico</v>
          </cell>
        </row>
        <row r="10157">
          <cell r="A10157">
            <v>42295432</v>
          </cell>
          <cell r="B10157" t="str">
            <v>Estiradores urológicos</v>
          </cell>
        </row>
        <row r="10158">
          <cell r="A10158">
            <v>42295433</v>
          </cell>
          <cell r="B10158" t="str">
            <v>Catéteres urológicos o accesorios para uso quirúrgico</v>
          </cell>
        </row>
        <row r="10159">
          <cell r="A10159">
            <v>42295434</v>
          </cell>
          <cell r="B10159" t="str">
            <v>Espirales vaginales o uterinas</v>
          </cell>
        </row>
        <row r="10160">
          <cell r="A10160">
            <v>42295435</v>
          </cell>
          <cell r="B10160" t="str">
            <v>Protectores o escudos para oídos</v>
          </cell>
        </row>
        <row r="10161">
          <cell r="A10161">
            <v>42295436</v>
          </cell>
          <cell r="B10161" t="str">
            <v>Anillos de anastomosis</v>
          </cell>
        </row>
        <row r="10162">
          <cell r="A10162">
            <v>42295437</v>
          </cell>
          <cell r="B10162" t="str">
            <v>Sets de utensilios o gabinetes o accesorios para uso quirúrgico</v>
          </cell>
        </row>
        <row r="10163">
          <cell r="A10163">
            <v>42295439</v>
          </cell>
          <cell r="B10163" t="str">
            <v>Alisadores de hueso para uso ortopédico</v>
          </cell>
        </row>
        <row r="10164">
          <cell r="A10164">
            <v>42295440</v>
          </cell>
          <cell r="B10164" t="str">
            <v>Adaptadores de catéteres endoscópicos</v>
          </cell>
        </row>
        <row r="10165">
          <cell r="A10165">
            <v>42295441</v>
          </cell>
          <cell r="B10165" t="str">
            <v>Sets de recuperación para uso quirúrgico</v>
          </cell>
        </row>
        <row r="10166">
          <cell r="A10166">
            <v>42295445</v>
          </cell>
          <cell r="B10166" t="str">
            <v>Insertos de bandejas para aparatos quirúrgicos</v>
          </cell>
        </row>
        <row r="10167">
          <cell r="A10167">
            <v>42295446</v>
          </cell>
          <cell r="B10167" t="str">
            <v>Retenedores de órganos internos</v>
          </cell>
        </row>
        <row r="10168">
          <cell r="A10168">
            <v>42295448</v>
          </cell>
          <cell r="B10168" t="str">
            <v>Guardas de salpicaduras o accesorios para uso quirúrgico</v>
          </cell>
        </row>
        <row r="10169">
          <cell r="A10169">
            <v>42295450</v>
          </cell>
          <cell r="B10169" t="str">
            <v>Cargadores de baldes o accesorios para uso quirúrgico</v>
          </cell>
        </row>
        <row r="10170">
          <cell r="A10170">
            <v>42295451</v>
          </cell>
          <cell r="B10170" t="str">
            <v>Guantes de preparación para uso quirúrgico</v>
          </cell>
        </row>
        <row r="10171">
          <cell r="A10171">
            <v>42295452</v>
          </cell>
          <cell r="B10171" t="str">
            <v>Tazas de preparación para uso quirúrgico</v>
          </cell>
        </row>
        <row r="10172">
          <cell r="A10172">
            <v>42295453</v>
          </cell>
          <cell r="B10172" t="str">
            <v>Drenajes o sets o accesorios para uso quirúrgico</v>
          </cell>
        </row>
        <row r="10173">
          <cell r="A10173">
            <v>42295454</v>
          </cell>
          <cell r="B10173" t="str">
            <v>Protectores de mano para uso quirúrgico</v>
          </cell>
        </row>
        <row r="10174">
          <cell r="A10174">
            <v>42295455</v>
          </cell>
          <cell r="B10174" t="str">
            <v>Kits de resina para reparación craneal</v>
          </cell>
        </row>
        <row r="10175">
          <cell r="A10175">
            <v>42295456</v>
          </cell>
          <cell r="B10175" t="str">
            <v>Fieltros para uso quirúrgico</v>
          </cell>
        </row>
        <row r="10176">
          <cell r="A10176">
            <v>42295457</v>
          </cell>
          <cell r="B10176" t="str">
            <v>Lentes o capuchas de cascos para uso quirúrgico</v>
          </cell>
        </row>
        <row r="10177">
          <cell r="A10177">
            <v>42295458</v>
          </cell>
          <cell r="B10177" t="str">
            <v>Equipos para secar o empolvar guantes quirúrgicos</v>
          </cell>
        </row>
        <row r="10178">
          <cell r="A10178">
            <v>42295459</v>
          </cell>
          <cell r="B10178" t="str">
            <v>Dispositivos para decantar fluidos para uso quirúrgico</v>
          </cell>
        </row>
        <row r="10179">
          <cell r="A10179">
            <v>42295460</v>
          </cell>
          <cell r="B10179" t="str">
            <v>Capas protectoras para implantes ortopédicos</v>
          </cell>
        </row>
        <row r="10180">
          <cell r="A10180">
            <v>42295461</v>
          </cell>
          <cell r="B10180" t="str">
            <v>Pegamento para tejidos o sistemas o aplicadores o accesorios</v>
          </cell>
        </row>
        <row r="10181">
          <cell r="A10181">
            <v>42295462</v>
          </cell>
          <cell r="B10181" t="str">
            <v>Catéteres uro dinámicos o accesorios</v>
          </cell>
        </row>
        <row r="10182">
          <cell r="A10182">
            <v>42295463</v>
          </cell>
          <cell r="B10182" t="str">
            <v>Catéteres uretrales</v>
          </cell>
        </row>
        <row r="10183">
          <cell r="A10183">
            <v>42295501</v>
          </cell>
          <cell r="B10183" t="str">
            <v>Implantes cardiovasculares</v>
          </cell>
        </row>
        <row r="10184">
          <cell r="A10184">
            <v>42295502</v>
          </cell>
          <cell r="B10184" t="str">
            <v>Implantes de tejido humano</v>
          </cell>
        </row>
        <row r="10185">
          <cell r="A10185">
            <v>42295503</v>
          </cell>
          <cell r="B10185" t="str">
            <v>Puertos de infusión implantables o accesorios</v>
          </cell>
        </row>
        <row r="10186">
          <cell r="A10186">
            <v>42295504</v>
          </cell>
          <cell r="B10186" t="str">
            <v>Implantes neuroquirúrgicos</v>
          </cell>
        </row>
        <row r="10187">
          <cell r="A10187">
            <v>42295505</v>
          </cell>
          <cell r="B10187" t="str">
            <v>Implantes oftálmicos</v>
          </cell>
        </row>
        <row r="10188">
          <cell r="A10188">
            <v>42295506</v>
          </cell>
          <cell r="B10188" t="str">
            <v>Implantes maxilofaciales bucales o sets</v>
          </cell>
        </row>
        <row r="10189">
          <cell r="A10189">
            <v>42295507</v>
          </cell>
          <cell r="B10189" t="str">
            <v>Implantes ortopédicos o alambres quirúrgicos</v>
          </cell>
        </row>
        <row r="10190">
          <cell r="A10190">
            <v>42295508</v>
          </cell>
          <cell r="B10190" t="str">
            <v>Implantes para otolaringología o sets</v>
          </cell>
        </row>
        <row r="10191">
          <cell r="A10191">
            <v>42295509</v>
          </cell>
          <cell r="B10191" t="str">
            <v>Implantes plásticos o cosméticos o expansores de tejidos o sets</v>
          </cell>
        </row>
        <row r="10192">
          <cell r="A10192">
            <v>42295510</v>
          </cell>
          <cell r="B10192" t="str">
            <v>Barreras de adhesión para uso quirúrgico</v>
          </cell>
        </row>
        <row r="10193">
          <cell r="A10193">
            <v>42295511</v>
          </cell>
          <cell r="B10193" t="str">
            <v>Estimuladores de hueso para uso quirúrgico</v>
          </cell>
        </row>
        <row r="10194">
          <cell r="A10194">
            <v>42295512</v>
          </cell>
          <cell r="B10194" t="str">
            <v>Derivaciones implantables o extensores de derivaciones para uso quirúrgico</v>
          </cell>
        </row>
        <row r="10195">
          <cell r="A10195">
            <v>42295513</v>
          </cell>
          <cell r="B10195" t="str">
            <v>Productos de malla o de barreras de tejido para uso quirúrgico</v>
          </cell>
        </row>
        <row r="10196">
          <cell r="A10196">
            <v>42295514</v>
          </cell>
          <cell r="B10196" t="str">
            <v>Láminas de silicona</v>
          </cell>
        </row>
        <row r="10197">
          <cell r="A10197">
            <v>42295515</v>
          </cell>
          <cell r="B10197" t="str">
            <v>Implantes de tejidos sintéticos</v>
          </cell>
        </row>
        <row r="10198">
          <cell r="A10198">
            <v>42295516</v>
          </cell>
          <cell r="B10198" t="str">
            <v>Implantes urológicos o sets</v>
          </cell>
        </row>
        <row r="10199">
          <cell r="A10199">
            <v>42295517</v>
          </cell>
          <cell r="B10199" t="str">
            <v>Extensores cardiovasculares</v>
          </cell>
        </row>
        <row r="10200">
          <cell r="A10200">
            <v>42295518</v>
          </cell>
          <cell r="B10200" t="str">
            <v>Protectores de ganchos</v>
          </cell>
        </row>
        <row r="10201">
          <cell r="A10201">
            <v>42301501</v>
          </cell>
          <cell r="B10201" t="str">
            <v>Modelos humanos anatómicos para educación o entrenamiento médico</v>
          </cell>
        </row>
        <row r="10202">
          <cell r="A10202">
            <v>42301502</v>
          </cell>
          <cell r="B10202" t="str">
            <v>Maniquíes humanos anatómicos para educación o entrenamiento médico</v>
          </cell>
        </row>
        <row r="10203">
          <cell r="A10203">
            <v>42301503</v>
          </cell>
          <cell r="B10203" t="str">
            <v>Ayudas de entrenamiento para resucitación cardiopulmonar cpr</v>
          </cell>
        </row>
        <row r="10204">
          <cell r="A10204">
            <v>42301504</v>
          </cell>
          <cell r="B10204" t="str">
            <v>Kits para educación o entrenamiento médico</v>
          </cell>
        </row>
        <row r="10205">
          <cell r="A10205">
            <v>42301505</v>
          </cell>
          <cell r="B10205" t="str">
            <v>Portapapeles para enfermeras o médicos</v>
          </cell>
        </row>
        <row r="10206">
          <cell r="A10206">
            <v>42301506</v>
          </cell>
          <cell r="B10206" t="str">
            <v>Estetoscopios de doble audífono</v>
          </cell>
        </row>
        <row r="10207">
          <cell r="A10207">
            <v>42301507</v>
          </cell>
          <cell r="B10207" t="str">
            <v>Videos de entrenamiento para la educación del personal médico</v>
          </cell>
        </row>
        <row r="10208">
          <cell r="A10208">
            <v>42301508</v>
          </cell>
          <cell r="B10208" t="str">
            <v>Videos de operación o de instrucciones para equipos médicos</v>
          </cell>
        </row>
        <row r="10209">
          <cell r="A10209">
            <v>42311501</v>
          </cell>
          <cell r="B10209" t="str">
            <v>Clips para vendajes o compresas</v>
          </cell>
        </row>
        <row r="10210">
          <cell r="A10210">
            <v>42311502</v>
          </cell>
          <cell r="B10210" t="str">
            <v>Kits de inicio de vendajes o compresas</v>
          </cell>
        </row>
        <row r="10211">
          <cell r="A10211">
            <v>42311503</v>
          </cell>
          <cell r="B10211" t="str">
            <v>Enrolladores de vendajes</v>
          </cell>
        </row>
        <row r="10212">
          <cell r="A10212">
            <v>42311504</v>
          </cell>
          <cell r="B10212" t="str">
            <v>Vendajes o compresas para el cuidado de quemaduras</v>
          </cell>
        </row>
        <row r="10213">
          <cell r="A10213">
            <v>42311505</v>
          </cell>
          <cell r="B10213" t="str">
            <v>Vendajes o compresas para uso general</v>
          </cell>
        </row>
        <row r="10214">
          <cell r="A10214">
            <v>42311506</v>
          </cell>
          <cell r="B10214" t="str">
            <v>Vendas o compresas de compresión o presión</v>
          </cell>
        </row>
        <row r="10215">
          <cell r="A10215">
            <v>42311507</v>
          </cell>
          <cell r="B10215" t="str">
            <v>Esponjas de vendaje</v>
          </cell>
        </row>
        <row r="10216">
          <cell r="A10216">
            <v>42311508</v>
          </cell>
          <cell r="B10216" t="str">
            <v>Bandejas para compresas</v>
          </cell>
        </row>
        <row r="10217">
          <cell r="A10217">
            <v>42311509</v>
          </cell>
          <cell r="B10217" t="str">
            <v>Vendaje de lainilla</v>
          </cell>
        </row>
        <row r="10218">
          <cell r="A10218">
            <v>42311510</v>
          </cell>
          <cell r="B10218" t="str">
            <v>Vendajes de espuma</v>
          </cell>
        </row>
        <row r="10219">
          <cell r="A10219">
            <v>42311511</v>
          </cell>
          <cell r="B10219" t="str">
            <v>Vendajes de gasa</v>
          </cell>
        </row>
        <row r="10220">
          <cell r="A10220">
            <v>42311512</v>
          </cell>
          <cell r="B10220" t="str">
            <v>Esponjas de gasa</v>
          </cell>
        </row>
        <row r="10221">
          <cell r="A10221">
            <v>42311513</v>
          </cell>
          <cell r="B10221" t="str">
            <v>Compresas de gel</v>
          </cell>
        </row>
        <row r="10222">
          <cell r="A10222">
            <v>42311514</v>
          </cell>
          <cell r="B10222" t="str">
            <v>Vendajes germicidas</v>
          </cell>
        </row>
        <row r="10223">
          <cell r="A10223">
            <v>42311515</v>
          </cell>
          <cell r="B10223" t="str">
            <v>Vendajes hidrocoloides</v>
          </cell>
        </row>
        <row r="10224">
          <cell r="A10224">
            <v>42311516</v>
          </cell>
          <cell r="B10224" t="str">
            <v>Vendajes intravenosos</v>
          </cell>
        </row>
        <row r="10225">
          <cell r="A10225">
            <v>42311517</v>
          </cell>
          <cell r="B10225" t="str">
            <v>Adhesivos líquidos para vendajes o compresas</v>
          </cell>
        </row>
        <row r="10226">
          <cell r="A10226">
            <v>42311518</v>
          </cell>
          <cell r="B10226" t="str">
            <v>Parches o almohadillas para los ojos para uso médico</v>
          </cell>
        </row>
        <row r="10227">
          <cell r="A10227">
            <v>42311519</v>
          </cell>
          <cell r="B10227" t="str">
            <v>Tiras no adhesivas para uso médico</v>
          </cell>
        </row>
        <row r="10228">
          <cell r="A10228">
            <v>42311520</v>
          </cell>
          <cell r="B10228" t="str">
            <v>Cintas no adhesivas para uso médico</v>
          </cell>
        </row>
        <row r="10229">
          <cell r="A10229">
            <v>42311521</v>
          </cell>
          <cell r="B10229" t="str">
            <v>Compresas de presión negativa</v>
          </cell>
        </row>
        <row r="10230">
          <cell r="A10230">
            <v>42311522</v>
          </cell>
          <cell r="B10230" t="str">
            <v>Compresas oclusivas</v>
          </cell>
        </row>
        <row r="10231">
          <cell r="A10231">
            <v>42311523</v>
          </cell>
          <cell r="B10231" t="str">
            <v>Vendajes de pasta</v>
          </cell>
        </row>
        <row r="10232">
          <cell r="A10232">
            <v>42311524</v>
          </cell>
          <cell r="B10232" t="str">
            <v>Compresas de petrolato</v>
          </cell>
        </row>
        <row r="10233">
          <cell r="A10233">
            <v>42311525</v>
          </cell>
          <cell r="B10233" t="str">
            <v>Vendas de presión</v>
          </cell>
        </row>
        <row r="10234">
          <cell r="A10234">
            <v>42311526</v>
          </cell>
          <cell r="B10234" t="str">
            <v>Vendajes de</v>
          </cell>
        </row>
        <row r="10235">
          <cell r="A10235">
            <v>42311527</v>
          </cell>
          <cell r="B10235" t="str">
            <v>Compresas de película transparente</v>
          </cell>
        </row>
        <row r="10236">
          <cell r="A10236">
            <v>42311528</v>
          </cell>
          <cell r="B10236" t="str">
            <v>Sistemas de compresas húmedas</v>
          </cell>
        </row>
        <row r="10237">
          <cell r="A10237">
            <v>42311531</v>
          </cell>
          <cell r="B10237" t="str">
            <v>Cubiertas para compresas</v>
          </cell>
        </row>
        <row r="10238">
          <cell r="A10238">
            <v>42311532</v>
          </cell>
          <cell r="B10238" t="str">
            <v>Apósitos secos</v>
          </cell>
        </row>
        <row r="10239">
          <cell r="A10239">
            <v>42311537</v>
          </cell>
          <cell r="B10239" t="str">
            <v>Tijeras para vendajes o sus suministros</v>
          </cell>
        </row>
        <row r="10240">
          <cell r="A10240">
            <v>42311538</v>
          </cell>
          <cell r="B10240" t="str">
            <v>Kits de hiperalimentación</v>
          </cell>
        </row>
        <row r="10241">
          <cell r="A10241">
            <v>42311539</v>
          </cell>
          <cell r="B10241" t="str">
            <v>Aplicadores de vendajes</v>
          </cell>
        </row>
        <row r="10242">
          <cell r="A10242">
            <v>42311601</v>
          </cell>
          <cell r="B10242" t="str">
            <v>Esponjas de gelatina absorbible</v>
          </cell>
        </row>
        <row r="10243">
          <cell r="A10243">
            <v>42311602</v>
          </cell>
          <cell r="B10243" t="str">
            <v>Cera para huesos</v>
          </cell>
        </row>
        <row r="10244">
          <cell r="A10244">
            <v>42311603</v>
          </cell>
          <cell r="B10244" t="str">
            <v>Celulosa oxidada</v>
          </cell>
        </row>
        <row r="10245">
          <cell r="A10245">
            <v>42311604</v>
          </cell>
          <cell r="B10245" t="str">
            <v>Hemostáticos de colágeno micro fibrilar</v>
          </cell>
        </row>
        <row r="10246">
          <cell r="A10246">
            <v>42311702</v>
          </cell>
          <cell r="B10246" t="str">
            <v>Cintas umbilicales para bebés</v>
          </cell>
        </row>
        <row r="10247">
          <cell r="A10247">
            <v>42311703</v>
          </cell>
          <cell r="B10247" t="str">
            <v>Cintas médicas o quirúrgicas para pegar la piel</v>
          </cell>
        </row>
        <row r="10248">
          <cell r="A10248">
            <v>42311704</v>
          </cell>
          <cell r="B10248" t="str">
            <v>Dispensadores de cinta médica o quirúrgica</v>
          </cell>
        </row>
        <row r="10249">
          <cell r="A10249">
            <v>42311705</v>
          </cell>
          <cell r="B10249" t="str">
            <v>Removedores de cinta médica o quirúrgica</v>
          </cell>
        </row>
        <row r="10250">
          <cell r="A10250">
            <v>42311707</v>
          </cell>
          <cell r="B10250" t="str">
            <v>Cintas de tejido para uso quirúrgico</v>
          </cell>
        </row>
        <row r="10251">
          <cell r="A10251">
            <v>42311708</v>
          </cell>
          <cell r="B10251" t="str">
            <v>Cintas adherentes médicas o quirúrgicas para uso general</v>
          </cell>
        </row>
        <row r="10252">
          <cell r="A10252">
            <v>42311901</v>
          </cell>
          <cell r="B10252" t="str">
            <v>Accesorios de drenaje para uso médico</v>
          </cell>
        </row>
        <row r="10253">
          <cell r="A10253">
            <v>42311902</v>
          </cell>
          <cell r="B10253" t="str">
            <v>Bolsas o reservorios de drenaje de incisiones para uso médico</v>
          </cell>
        </row>
        <row r="10254">
          <cell r="A10254">
            <v>42311903</v>
          </cell>
          <cell r="B10254" t="str">
            <v>Drenajes de incisión para uso médico</v>
          </cell>
        </row>
        <row r="10255">
          <cell r="A10255">
            <v>42312001</v>
          </cell>
          <cell r="B10255" t="str">
            <v>Cierres de mariposa para piel</v>
          </cell>
        </row>
        <row r="10256">
          <cell r="A10256">
            <v>42312002</v>
          </cell>
          <cell r="B10256" t="str">
            <v>Clips para cierre de piel</v>
          </cell>
        </row>
        <row r="10257">
          <cell r="A10257">
            <v>42312003</v>
          </cell>
          <cell r="B10257" t="str">
            <v>Tiras de cierre para la piel o para heridas</v>
          </cell>
        </row>
        <row r="10258">
          <cell r="A10258">
            <v>42312004</v>
          </cell>
          <cell r="B10258" t="str">
            <v>Removedores de pegamento o adhesivo para uso médico</v>
          </cell>
        </row>
        <row r="10259">
          <cell r="A10259">
            <v>42312005</v>
          </cell>
          <cell r="B10259" t="str">
            <v>Adhesivos o pegamentos de cierre de piel para uso médico</v>
          </cell>
        </row>
        <row r="10260">
          <cell r="A10260">
            <v>42312006</v>
          </cell>
          <cell r="B10260" t="str">
            <v>Aplicadores de clip para uso interno para uso médico</v>
          </cell>
        </row>
        <row r="10261">
          <cell r="A10261">
            <v>42312007</v>
          </cell>
          <cell r="B10261" t="str">
            <v>Clips de uso interno para uso médico</v>
          </cell>
        </row>
        <row r="10262">
          <cell r="A10262">
            <v>42312008</v>
          </cell>
          <cell r="B10262" t="str">
            <v>Removedores de ganchos o clips para uso médico</v>
          </cell>
        </row>
        <row r="10263">
          <cell r="A10263">
            <v>42312009</v>
          </cell>
          <cell r="B10263" t="str">
            <v>Cosedoras para uso interno</v>
          </cell>
        </row>
        <row r="10264">
          <cell r="A10264">
            <v>42312010</v>
          </cell>
          <cell r="B10264" t="str">
            <v>Cosedoras para cierre de piel</v>
          </cell>
        </row>
        <row r="10265">
          <cell r="A10265">
            <v>42312011</v>
          </cell>
          <cell r="B10265" t="str">
            <v>Ganchos para uso interno</v>
          </cell>
        </row>
        <row r="10266">
          <cell r="A10266">
            <v>42312012</v>
          </cell>
          <cell r="B10266" t="str">
            <v>Ganchos para cierre de piel</v>
          </cell>
        </row>
        <row r="10267">
          <cell r="A10267">
            <v>42312014</v>
          </cell>
          <cell r="B10267" t="str">
            <v>Kits de cierre de tejidos o bandejas o paquetes o sets</v>
          </cell>
        </row>
        <row r="10268">
          <cell r="A10268">
            <v>42312101</v>
          </cell>
          <cell r="B10268" t="str">
            <v>Adhesivos para aplicación en ostomía</v>
          </cell>
        </row>
        <row r="10269">
          <cell r="A10269">
            <v>42312102</v>
          </cell>
          <cell r="B10269" t="str">
            <v>Aplicaciones para ostomía</v>
          </cell>
        </row>
        <row r="10270">
          <cell r="A10270">
            <v>42312103</v>
          </cell>
          <cell r="B10270" t="str">
            <v>Limpiadores o desodorantes para ostomía</v>
          </cell>
        </row>
        <row r="10271">
          <cell r="A10271">
            <v>42312104</v>
          </cell>
          <cell r="B10271" t="str">
            <v>Suministros de recolección para ostomía</v>
          </cell>
        </row>
        <row r="10272">
          <cell r="A10272">
            <v>42312105</v>
          </cell>
          <cell r="B10272" t="str">
            <v>Kits de barreras de piel o cuidado protector para ostomía</v>
          </cell>
        </row>
        <row r="10273">
          <cell r="A10273">
            <v>42312106</v>
          </cell>
          <cell r="B10273" t="str">
            <v>Insertos para ostomía</v>
          </cell>
        </row>
        <row r="10274">
          <cell r="A10274">
            <v>42312107</v>
          </cell>
          <cell r="B10274" t="str">
            <v>Obleas para ostomía</v>
          </cell>
        </row>
        <row r="10275">
          <cell r="A10275">
            <v>42312108</v>
          </cell>
          <cell r="B10275" t="str">
            <v>Bolsas de drenaje para ostomía</v>
          </cell>
        </row>
        <row r="10276">
          <cell r="A10276">
            <v>42312109</v>
          </cell>
          <cell r="B10276" t="str">
            <v>Anillos de bolsa para ostomía</v>
          </cell>
        </row>
        <row r="10277">
          <cell r="A10277">
            <v>42312110</v>
          </cell>
          <cell r="B10277" t="str">
            <v>Kits de inicio para ostomía</v>
          </cell>
        </row>
        <row r="10278">
          <cell r="A10278">
            <v>42312111</v>
          </cell>
          <cell r="B10278" t="str">
            <v>Fundas de bolsa para ostomía</v>
          </cell>
        </row>
        <row r="10279">
          <cell r="A10279">
            <v>42312112</v>
          </cell>
          <cell r="B10279" t="str">
            <v>Cinturón o accesorios para ostomía</v>
          </cell>
        </row>
        <row r="10280">
          <cell r="A10280">
            <v>42312113</v>
          </cell>
          <cell r="B10280" t="str">
            <v>Tapones de bolsa para ostomía</v>
          </cell>
        </row>
        <row r="10281">
          <cell r="A10281">
            <v>42312114</v>
          </cell>
          <cell r="B10281" t="str">
            <v>Kits de ventriculostomía</v>
          </cell>
        </row>
        <row r="10282">
          <cell r="A10282">
            <v>42312115</v>
          </cell>
          <cell r="B10282" t="str">
            <v>Mangas de irrigación para ostomía</v>
          </cell>
        </row>
        <row r="10283">
          <cell r="A10283">
            <v>42312201</v>
          </cell>
          <cell r="B10283" t="str">
            <v>Suturas</v>
          </cell>
        </row>
        <row r="10284">
          <cell r="A10284">
            <v>42312202</v>
          </cell>
          <cell r="B10284" t="str">
            <v>Kits o bandejas o paquetes o sets para sutura</v>
          </cell>
        </row>
        <row r="10285">
          <cell r="A10285">
            <v>42312203</v>
          </cell>
          <cell r="B10285" t="str">
            <v>Botones o puentes o accesorios relacionados para sutura</v>
          </cell>
        </row>
        <row r="10286">
          <cell r="A10286">
            <v>42312204</v>
          </cell>
          <cell r="B10286" t="str">
            <v>Botas y dispositivos de captura para sutura</v>
          </cell>
        </row>
        <row r="10287">
          <cell r="A10287">
            <v>42312205</v>
          </cell>
          <cell r="B10287" t="str">
            <v>Carritos o estantes para sutura</v>
          </cell>
        </row>
        <row r="10288">
          <cell r="A10288">
            <v>42312206</v>
          </cell>
          <cell r="B10288" t="str">
            <v>Agujas para sutura</v>
          </cell>
        </row>
        <row r="10289">
          <cell r="A10289">
            <v>42312207</v>
          </cell>
          <cell r="B10289" t="str">
            <v>Kits de remoción o bandejas o paquetes o sets para sutura</v>
          </cell>
        </row>
        <row r="10290">
          <cell r="A10290">
            <v>42312208</v>
          </cell>
          <cell r="B10290" t="str">
            <v>Removedores de suturas</v>
          </cell>
        </row>
        <row r="10291">
          <cell r="A10291">
            <v>42312301</v>
          </cell>
          <cell r="B10291" t="str">
            <v>Absorbentes para limpieza de heridas</v>
          </cell>
        </row>
        <row r="10292">
          <cell r="A10292">
            <v>42312302</v>
          </cell>
          <cell r="B10292" t="str">
            <v>Esponjas de debridación</v>
          </cell>
        </row>
        <row r="10293">
          <cell r="A10293">
            <v>42312303</v>
          </cell>
          <cell r="B10293" t="str">
            <v>Sistemas de lavado pulsado o accesorios relacionados para el tratamiento de heridas</v>
          </cell>
        </row>
        <row r="10294">
          <cell r="A10294">
            <v>42312304</v>
          </cell>
          <cell r="B10294" t="str">
            <v>Productos de debridación autolítica para uso médico</v>
          </cell>
        </row>
        <row r="10295">
          <cell r="A10295">
            <v>42312305</v>
          </cell>
          <cell r="B10295" t="str">
            <v>Productos de debridación enzimática para uso médico</v>
          </cell>
        </row>
        <row r="10296">
          <cell r="A10296">
            <v>42312306</v>
          </cell>
          <cell r="B10296" t="str">
            <v>Productos de debridación mecánica para uso médico</v>
          </cell>
        </row>
        <row r="10297">
          <cell r="A10297">
            <v>42312307</v>
          </cell>
          <cell r="B10297" t="str">
            <v>Productos de debridación quirúrgica para uso médico</v>
          </cell>
        </row>
        <row r="10298">
          <cell r="A10298">
            <v>42312309</v>
          </cell>
          <cell r="B10298" t="str">
            <v>Sistemas de irrigación de heridas</v>
          </cell>
        </row>
        <row r="10299">
          <cell r="A10299">
            <v>42312310</v>
          </cell>
          <cell r="B10299" t="str">
            <v>Botellas limpiadoras</v>
          </cell>
        </row>
        <row r="10300">
          <cell r="A10300">
            <v>42312311</v>
          </cell>
          <cell r="B10300" t="str">
            <v>Kits de desinfectantes</v>
          </cell>
        </row>
        <row r="10301">
          <cell r="A10301">
            <v>42312312</v>
          </cell>
          <cell r="B10301" t="str">
            <v>Bandejas de cuidado de heridas o de limpieza</v>
          </cell>
        </row>
        <row r="10302">
          <cell r="A10302">
            <v>42312313</v>
          </cell>
          <cell r="B10302" t="str">
            <v>Soluciones de limpieza de heridas</v>
          </cell>
        </row>
        <row r="10303">
          <cell r="A10303">
            <v>42312401</v>
          </cell>
          <cell r="B10303" t="str">
            <v>Relleno de alginato de calcio para heridas</v>
          </cell>
        </row>
        <row r="10304">
          <cell r="A10304">
            <v>42312402</v>
          </cell>
          <cell r="B10304" t="str">
            <v>Férulas o stents nasales</v>
          </cell>
        </row>
        <row r="10305">
          <cell r="A10305">
            <v>42312403</v>
          </cell>
          <cell r="B10305" t="str">
            <v>Tiras de relleno para cuidado de heridas</v>
          </cell>
        </row>
        <row r="10306">
          <cell r="A10306">
            <v>42312501</v>
          </cell>
          <cell r="B10306" t="str">
            <v>Ligaduras de soporte mamario</v>
          </cell>
        </row>
        <row r="10307">
          <cell r="A10307">
            <v>42312502</v>
          </cell>
          <cell r="B10307" t="str">
            <v>Ligaduras abdominales</v>
          </cell>
        </row>
        <row r="10308">
          <cell r="A10308">
            <v>42312503</v>
          </cell>
          <cell r="B10308" t="str">
            <v>Soportes para escroto</v>
          </cell>
        </row>
        <row r="10309">
          <cell r="A10309">
            <v>43191501</v>
          </cell>
          <cell r="B10309" t="str">
            <v>Teléfonos móviles</v>
          </cell>
        </row>
        <row r="10310">
          <cell r="A10310">
            <v>43191502</v>
          </cell>
          <cell r="B10310" t="str">
            <v>Busca personas</v>
          </cell>
        </row>
        <row r="10311">
          <cell r="A10311">
            <v>43191503</v>
          </cell>
          <cell r="B10311" t="str">
            <v>Teléfonos de pago</v>
          </cell>
        </row>
        <row r="10312">
          <cell r="A10312">
            <v>43191504</v>
          </cell>
          <cell r="B10312" t="str">
            <v>Teléfonos fijos</v>
          </cell>
        </row>
        <row r="10313">
          <cell r="A10313">
            <v>43191505</v>
          </cell>
          <cell r="B10313" t="str">
            <v>Máquinas contestadoras</v>
          </cell>
        </row>
        <row r="10314">
          <cell r="A10314">
            <v>43191507</v>
          </cell>
          <cell r="B10314" t="str">
            <v>Teléfonos para propósitos especiales</v>
          </cell>
        </row>
        <row r="10315">
          <cell r="A10315">
            <v>43191508</v>
          </cell>
          <cell r="B10315" t="str">
            <v>Teléfonos digitales</v>
          </cell>
        </row>
        <row r="10316">
          <cell r="A10316">
            <v>43191509</v>
          </cell>
          <cell r="B10316" t="str">
            <v>Teléfonos análogos</v>
          </cell>
        </row>
        <row r="10317">
          <cell r="A10317">
            <v>43191510</v>
          </cell>
          <cell r="B10317" t="str">
            <v>Radios de dos vías</v>
          </cell>
        </row>
        <row r="10318">
          <cell r="A10318">
            <v>43191601</v>
          </cell>
          <cell r="B10318" t="str">
            <v>Placas frontales de teléfonos móviles</v>
          </cell>
        </row>
        <row r="10319">
          <cell r="A10319">
            <v>43191602</v>
          </cell>
          <cell r="B10319" t="str">
            <v>Marcadores de teléfonos</v>
          </cell>
        </row>
        <row r="10320">
          <cell r="A10320">
            <v>43191603</v>
          </cell>
          <cell r="B10320" t="str">
            <v>Cables de extensión para teléfonos</v>
          </cell>
        </row>
        <row r="10321">
          <cell r="A10321">
            <v>43191604</v>
          </cell>
          <cell r="B10321" t="str">
            <v>Placas frontales de teléfonos</v>
          </cell>
        </row>
        <row r="10322">
          <cell r="A10322">
            <v>43191605</v>
          </cell>
          <cell r="B10322" t="str">
            <v>Cables para auriculares de teléfonos</v>
          </cell>
        </row>
        <row r="10323">
          <cell r="A10323">
            <v>43191606</v>
          </cell>
          <cell r="B10323" t="str">
            <v>Auriculares de teléfonos</v>
          </cell>
        </row>
        <row r="10324">
          <cell r="A10324">
            <v>43191607</v>
          </cell>
          <cell r="B10324" t="str">
            <v>Almohadillas para el oído o el parlante de los auriculares de teléfonos</v>
          </cell>
        </row>
        <row r="10325">
          <cell r="A10325">
            <v>43191608</v>
          </cell>
          <cell r="B10325" t="str">
            <v>Tubos de voz para los auriculares de teléfonos</v>
          </cell>
        </row>
        <row r="10326">
          <cell r="A10326">
            <v>43191609</v>
          </cell>
          <cell r="B10326" t="str">
            <v>Teléfonos de diadema</v>
          </cell>
        </row>
        <row r="10327">
          <cell r="A10327">
            <v>43191610</v>
          </cell>
          <cell r="B10327" t="str">
            <v>Soportes o sujetadores o puestos de comunicación personal</v>
          </cell>
        </row>
        <row r="10328">
          <cell r="A10328">
            <v>43191611</v>
          </cell>
          <cell r="B10328" t="str">
            <v>Protectores de líneas telefónicas</v>
          </cell>
        </row>
        <row r="10329">
          <cell r="A10329">
            <v>43191612</v>
          </cell>
          <cell r="B10329" t="str">
            <v>Descansa teléfonos</v>
          </cell>
        </row>
        <row r="10330">
          <cell r="A10330">
            <v>43191614</v>
          </cell>
          <cell r="B10330" t="str">
            <v>Convertidores de voz para teléfonos</v>
          </cell>
        </row>
        <row r="10331">
          <cell r="A10331">
            <v>43191615</v>
          </cell>
          <cell r="B10331" t="str">
            <v>Set telefónico manos libres para vehículos</v>
          </cell>
        </row>
        <row r="10332">
          <cell r="A10332">
            <v>43191616</v>
          </cell>
          <cell r="B10332" t="str">
            <v>Consola central para teléfonos</v>
          </cell>
        </row>
        <row r="10333">
          <cell r="A10333">
            <v>43191618</v>
          </cell>
          <cell r="B10333" t="str">
            <v>Unidades de grabación de conversaciones</v>
          </cell>
        </row>
        <row r="10334">
          <cell r="A10334">
            <v>43191619</v>
          </cell>
          <cell r="B10334" t="str">
            <v>Dispositivos de señalización para teléfonos</v>
          </cell>
        </row>
        <row r="10335">
          <cell r="A10335">
            <v>43191621</v>
          </cell>
          <cell r="B10335" t="str">
            <v>Adaptadores de auriculares</v>
          </cell>
        </row>
        <row r="10336">
          <cell r="A10336">
            <v>43191622</v>
          </cell>
          <cell r="B10336" t="str">
            <v>Módulos o accesorios de busca personas</v>
          </cell>
        </row>
        <row r="10337">
          <cell r="A10337">
            <v>43191623</v>
          </cell>
          <cell r="B10337" t="str">
            <v>Teléfono de pago con mecanismos</v>
          </cell>
        </row>
        <row r="10338">
          <cell r="A10338">
            <v>43191624</v>
          </cell>
          <cell r="B10338" t="str">
            <v>Recipientes de monedas para teléfonos de pago</v>
          </cell>
        </row>
        <row r="10339">
          <cell r="A10339">
            <v>43191625</v>
          </cell>
          <cell r="B10339" t="str">
            <v>Cajas de monedas para teléfonos de pago</v>
          </cell>
        </row>
        <row r="10340">
          <cell r="A10340">
            <v>43191626</v>
          </cell>
          <cell r="B10340" t="str">
            <v>Tolvas para teléfonos de pago</v>
          </cell>
        </row>
        <row r="10341">
          <cell r="A10341">
            <v>43191627</v>
          </cell>
          <cell r="B10341" t="str">
            <v>Puertas de seguridad para las cajas de monedas de teléfonos de pago</v>
          </cell>
        </row>
        <row r="10342">
          <cell r="A10342">
            <v>43191628</v>
          </cell>
          <cell r="B10342" t="str">
            <v>Protectores de micrófono para teléfonos de pago</v>
          </cell>
        </row>
        <row r="10343">
          <cell r="A10343">
            <v>43191629</v>
          </cell>
          <cell r="B10343" t="str">
            <v>Pieles o placas frontales para notebook o palm</v>
          </cell>
        </row>
        <row r="10344">
          <cell r="A10344">
            <v>43191630</v>
          </cell>
          <cell r="B10344" t="str">
            <v>Kits de iniciación para teléfonos móviles</v>
          </cell>
        </row>
        <row r="10345">
          <cell r="A10345">
            <v>43201401</v>
          </cell>
          <cell r="B10345" t="str">
            <v>Tarjetas aceleradoras de gráficas o video</v>
          </cell>
        </row>
        <row r="10346">
          <cell r="A10346">
            <v>43201402</v>
          </cell>
          <cell r="B10346" t="str">
            <v>Tarjetas de módulos de memoria</v>
          </cell>
        </row>
        <row r="10347">
          <cell r="A10347">
            <v>43201403</v>
          </cell>
          <cell r="B10347" t="str">
            <v>Tarjetas de módem</v>
          </cell>
        </row>
        <row r="10348">
          <cell r="A10348">
            <v>43201404</v>
          </cell>
          <cell r="B10348" t="str">
            <v>Tarjetas de interface de red</v>
          </cell>
        </row>
        <row r="10349">
          <cell r="A10349">
            <v>43201405</v>
          </cell>
          <cell r="B10349" t="str">
            <v>Tarjetas receptoras de red óptica</v>
          </cell>
        </row>
        <row r="10350">
          <cell r="A10350">
            <v>43201406</v>
          </cell>
          <cell r="B10350" t="str">
            <v>Tarjetas transmisoras de red óptica</v>
          </cell>
        </row>
        <row r="10351">
          <cell r="A10351">
            <v>43201407</v>
          </cell>
          <cell r="B10351" t="str">
            <v>Tarjetas periféricas controladoras</v>
          </cell>
        </row>
        <row r="10352">
          <cell r="A10352">
            <v>43201408</v>
          </cell>
          <cell r="B10352" t="str">
            <v>Tarjetas de puerto en serie</v>
          </cell>
        </row>
        <row r="10353">
          <cell r="A10353">
            <v>43201409</v>
          </cell>
          <cell r="B10353" t="str">
            <v>Tarjetas de interface de red inalámbrica</v>
          </cell>
        </row>
        <row r="10354">
          <cell r="A10354">
            <v>43201410</v>
          </cell>
          <cell r="B10354" t="str">
            <v>Tarjetas o puertos de interruptor</v>
          </cell>
        </row>
        <row r="10355">
          <cell r="A10355">
            <v>43201501</v>
          </cell>
          <cell r="B10355" t="str">
            <v>Tarjetas de interface de telecomunicaciones de modo de transferencia asincrónico atm</v>
          </cell>
        </row>
        <row r="10356">
          <cell r="A10356">
            <v>43201502</v>
          </cell>
          <cell r="B10356" t="str">
            <v>Tarjetas de aceleración de audio</v>
          </cell>
        </row>
        <row r="10357">
          <cell r="A10357">
            <v>43201503</v>
          </cell>
          <cell r="B10357" t="str">
            <v>Procesadores de unidad de procesamiento central cpu</v>
          </cell>
        </row>
        <row r="10358">
          <cell r="A10358">
            <v>43201507</v>
          </cell>
          <cell r="B10358" t="str">
            <v>Placas secundarias</v>
          </cell>
        </row>
        <row r="10359">
          <cell r="A10359">
            <v>43201508</v>
          </cell>
          <cell r="B10359" t="str">
            <v>Módulo de fibra de compensación de dispersión dcfm</v>
          </cell>
        </row>
        <row r="10360">
          <cell r="A10360">
            <v>43201509</v>
          </cell>
          <cell r="B10360" t="str">
            <v>Módulos de intercambio de comunicación de datos</v>
          </cell>
        </row>
        <row r="10361">
          <cell r="A10361">
            <v>43201513</v>
          </cell>
          <cell r="B10361" t="str">
            <v>Placa central de microordenador.</v>
          </cell>
        </row>
        <row r="10362">
          <cell r="A10362">
            <v>43201522</v>
          </cell>
          <cell r="B10362" t="str">
            <v>Tarjetas de puertos paralelos</v>
          </cell>
        </row>
        <row r="10363">
          <cell r="A10363">
            <v>43201531</v>
          </cell>
          <cell r="B10363" t="str">
            <v>Tarjetas de captura de video</v>
          </cell>
        </row>
        <row r="10364">
          <cell r="A10364">
            <v>43201533</v>
          </cell>
          <cell r="B10364" t="str">
            <v>Interfaces de interface digital de instrumentos musicales midi</v>
          </cell>
        </row>
        <row r="10365">
          <cell r="A10365">
            <v>43201534</v>
          </cell>
          <cell r="B10365" t="str">
            <v>Interfaces de componentes de intercambio codec</v>
          </cell>
        </row>
        <row r="10366">
          <cell r="A10366">
            <v>43201535</v>
          </cell>
          <cell r="B10366" t="str">
            <v>Puertos seriales infrarrojos</v>
          </cell>
        </row>
        <row r="10367">
          <cell r="A10367">
            <v>43201537</v>
          </cell>
          <cell r="B10367" t="str">
            <v>Servidores de impresoras</v>
          </cell>
        </row>
        <row r="10368">
          <cell r="A10368">
            <v>43201538</v>
          </cell>
          <cell r="B10368" t="str">
            <v>Enfriadores de unidades de procesamiento central</v>
          </cell>
        </row>
        <row r="10369">
          <cell r="A10369">
            <v>43201539</v>
          </cell>
          <cell r="B10369" t="str">
            <v>Procesador central controlador de consola</v>
          </cell>
        </row>
        <row r="10370">
          <cell r="A10370">
            <v>43201540</v>
          </cell>
          <cell r="B10370" t="str">
            <v>Convertidor de canales</v>
          </cell>
        </row>
        <row r="10371">
          <cell r="A10371">
            <v>43201541</v>
          </cell>
          <cell r="B10371" t="str">
            <v>Procesador central de interface canal a canal</v>
          </cell>
        </row>
        <row r="10372">
          <cell r="A10372">
            <v>43201542</v>
          </cell>
          <cell r="B10372" t="str">
            <v>Unidad de control</v>
          </cell>
        </row>
        <row r="10373">
          <cell r="A10373">
            <v>43201543</v>
          </cell>
          <cell r="B10373" t="str">
            <v>Procesador central de instalación de acoplamientos</v>
          </cell>
        </row>
        <row r="10374">
          <cell r="A10374">
            <v>43201544</v>
          </cell>
          <cell r="B10374" t="str">
            <v>Convertidor o controlador de bus de interface</v>
          </cell>
        </row>
        <row r="10375">
          <cell r="A10375">
            <v>43201545</v>
          </cell>
          <cell r="B10375" t="str">
            <v>Tarjetas de fax</v>
          </cell>
        </row>
        <row r="10376">
          <cell r="A10376">
            <v>43201546</v>
          </cell>
          <cell r="B10376" t="str">
            <v>Tarjetas de audio conferencia</v>
          </cell>
        </row>
        <row r="10377">
          <cell r="A10377">
            <v>43201547</v>
          </cell>
          <cell r="B10377" t="str">
            <v>Tarjetas de voz</v>
          </cell>
        </row>
        <row r="10378">
          <cell r="A10378">
            <v>43201549</v>
          </cell>
          <cell r="B10378" t="str">
            <v>Interruptores de interface de bus</v>
          </cell>
        </row>
        <row r="10379">
          <cell r="A10379">
            <v>43201550</v>
          </cell>
          <cell r="B10379" t="str">
            <v>Dispositivo de sincronización de paquete de datos de red</v>
          </cell>
        </row>
        <row r="10380">
          <cell r="A10380">
            <v>43201552</v>
          </cell>
          <cell r="B10380" t="str">
            <v>Adaptadores para hardware o telefonía</v>
          </cell>
        </row>
        <row r="10381">
          <cell r="A10381">
            <v>43201553</v>
          </cell>
          <cell r="B10381" t="str">
            <v>Convertidores de transceptores y medios</v>
          </cell>
        </row>
        <row r="10382">
          <cell r="A10382">
            <v>43201601</v>
          </cell>
          <cell r="B10382" t="str">
            <v>Carcasas de computadoras</v>
          </cell>
        </row>
        <row r="10383">
          <cell r="A10383">
            <v>43201602</v>
          </cell>
          <cell r="B10383" t="str">
            <v>Carcasas de equipos de red</v>
          </cell>
        </row>
        <row r="10384">
          <cell r="A10384">
            <v>43201603</v>
          </cell>
          <cell r="B10384" t="str">
            <v>Componentes de apilamiento de carcasas</v>
          </cell>
        </row>
        <row r="10385">
          <cell r="A10385">
            <v>43201604</v>
          </cell>
          <cell r="B10385" t="str">
            <v>Bahías o canastas para equipos electrónicos</v>
          </cell>
        </row>
        <row r="10386">
          <cell r="A10386">
            <v>43201605</v>
          </cell>
          <cell r="B10386" t="str">
            <v>Expansores</v>
          </cell>
        </row>
        <row r="10387">
          <cell r="A10387">
            <v>43201608</v>
          </cell>
          <cell r="B10387" t="str">
            <v>Marcos de drive removibles</v>
          </cell>
        </row>
        <row r="10388">
          <cell r="A10388">
            <v>43201609</v>
          </cell>
          <cell r="B10388" t="str">
            <v>Bandejas o ensamblajes para almacenamiento de dispositivos</v>
          </cell>
        </row>
        <row r="10389">
          <cell r="A10389">
            <v>43201610</v>
          </cell>
          <cell r="B10389" t="str">
            <v>Placas traseras o paneles o ensamblajes</v>
          </cell>
        </row>
        <row r="10390">
          <cell r="A10390">
            <v>43201611</v>
          </cell>
          <cell r="B10390" t="str">
            <v>Bastidores (dispositivos de montaje) para computadores</v>
          </cell>
        </row>
        <row r="10391">
          <cell r="A10391">
            <v>43201612</v>
          </cell>
          <cell r="B10391" t="str">
            <v>Placas frontales para computadores</v>
          </cell>
        </row>
        <row r="10392">
          <cell r="A10392">
            <v>43201614</v>
          </cell>
          <cell r="B10392" t="str">
            <v>Extensores de consola</v>
          </cell>
        </row>
        <row r="10393">
          <cell r="A10393">
            <v>43201615</v>
          </cell>
          <cell r="B10393" t="str">
            <v>Kits de cubiertas para bahías de drives</v>
          </cell>
        </row>
        <row r="10394">
          <cell r="A10394">
            <v>43201616</v>
          </cell>
          <cell r="B10394" t="str">
            <v>Torres de arreglo de drives de discos duros</v>
          </cell>
        </row>
        <row r="10395">
          <cell r="A10395">
            <v>43201801</v>
          </cell>
          <cell r="B10395" t="str">
            <v>Unidades de disco flexible</v>
          </cell>
        </row>
        <row r="10396">
          <cell r="A10396">
            <v>43201802</v>
          </cell>
          <cell r="B10396" t="str">
            <v>Series de disco duro</v>
          </cell>
        </row>
        <row r="10397">
          <cell r="A10397">
            <v>43201803</v>
          </cell>
          <cell r="B10397" t="str">
            <v>Unidades de disco duro</v>
          </cell>
        </row>
        <row r="10398">
          <cell r="A10398">
            <v>43201806</v>
          </cell>
          <cell r="B10398" t="str">
            <v>Series de cintas</v>
          </cell>
        </row>
        <row r="10399">
          <cell r="A10399">
            <v>43201807</v>
          </cell>
          <cell r="B10399" t="str">
            <v>Unidades de cintas</v>
          </cell>
        </row>
        <row r="10400">
          <cell r="A10400">
            <v>43201808</v>
          </cell>
          <cell r="B10400" t="str">
            <v>Disco compacto cd de sólo lectura</v>
          </cell>
        </row>
        <row r="10401">
          <cell r="A10401">
            <v>43201809</v>
          </cell>
          <cell r="B10401" t="str">
            <v>Disco compacto cd de lectura y escritura</v>
          </cell>
        </row>
        <row r="10402">
          <cell r="A10402">
            <v>43201810</v>
          </cell>
          <cell r="B10402" t="str">
            <v>Disco versátil digital dvd de sólo lectura</v>
          </cell>
        </row>
        <row r="10403">
          <cell r="A10403">
            <v>43201811</v>
          </cell>
          <cell r="B10403" t="str">
            <v>Disco versátil digital dvd de lectura y escritura</v>
          </cell>
        </row>
        <row r="10404">
          <cell r="A10404">
            <v>43201812</v>
          </cell>
          <cell r="B10404" t="str">
            <v>Unidades de magneto óptico mo</v>
          </cell>
        </row>
        <row r="10405">
          <cell r="A10405">
            <v>43201813</v>
          </cell>
          <cell r="B10405" t="str">
            <v>Unidades de medios removibles de alta capacidad</v>
          </cell>
        </row>
        <row r="10406">
          <cell r="A10406">
            <v>43201814</v>
          </cell>
          <cell r="B10406" t="str">
            <v>Equipos electrónicos de duplicación de medios o información</v>
          </cell>
        </row>
        <row r="10407">
          <cell r="A10407">
            <v>43201815</v>
          </cell>
          <cell r="B10407" t="str">
            <v>Unidades de lectura y escritura de arquitectura de interconexión de componentes periféricos</v>
          </cell>
        </row>
        <row r="10408">
          <cell r="A10408">
            <v>43201902</v>
          </cell>
          <cell r="B10408" t="str">
            <v>Cambiadores de discos ópticos</v>
          </cell>
        </row>
        <row r="10409">
          <cell r="A10409">
            <v>43201903</v>
          </cell>
          <cell r="B10409" t="str">
            <v>Bibliotecas de unidades de cinta</v>
          </cell>
        </row>
        <row r="10410">
          <cell r="A10410">
            <v>43202001</v>
          </cell>
          <cell r="B10410" t="str">
            <v>Discos compactos cd</v>
          </cell>
        </row>
        <row r="10411">
          <cell r="A10411">
            <v>43202002</v>
          </cell>
          <cell r="B10411" t="str">
            <v>Cintas en blanco</v>
          </cell>
        </row>
        <row r="10412">
          <cell r="A10412">
            <v>43202003</v>
          </cell>
          <cell r="B10412" t="str">
            <v>Discos versátiles digitales dvd</v>
          </cell>
        </row>
        <row r="10413">
          <cell r="A10413">
            <v>43202004</v>
          </cell>
          <cell r="B10413" t="str">
            <v>Discos flexibles</v>
          </cell>
        </row>
        <row r="10414">
          <cell r="A10414">
            <v>43202005</v>
          </cell>
          <cell r="B10414" t="str">
            <v>Tarjeta flash de almacenamiento de memoria</v>
          </cell>
        </row>
        <row r="10415">
          <cell r="A10415">
            <v>43202101</v>
          </cell>
          <cell r="B10415" t="str">
            <v>Estuches para discos compactos</v>
          </cell>
        </row>
        <row r="10416">
          <cell r="A10416">
            <v>43202102</v>
          </cell>
          <cell r="B10416" t="str">
            <v>Estuches para discos flexibles</v>
          </cell>
        </row>
        <row r="10417">
          <cell r="A10417">
            <v>43202103</v>
          </cell>
          <cell r="B10417" t="str">
            <v>Sujetadores de almacenadores de multimedia</v>
          </cell>
        </row>
        <row r="10418">
          <cell r="A10418">
            <v>43202104</v>
          </cell>
          <cell r="B10418" t="str">
            <v>Almacenadores para video cintas de escáner de hélice vertical vhs o accesorios</v>
          </cell>
        </row>
        <row r="10419">
          <cell r="A10419">
            <v>43202105</v>
          </cell>
          <cell r="B10419" t="str">
            <v>Gabinetes para medios múltiples</v>
          </cell>
        </row>
        <row r="10420">
          <cell r="A10420">
            <v>43202201</v>
          </cell>
          <cell r="B10420" t="str">
            <v>Partes de piezas de teléfono</v>
          </cell>
        </row>
        <row r="10421">
          <cell r="A10421">
            <v>43202202</v>
          </cell>
          <cell r="B10421" t="str">
            <v>Generadores de timbres de teléfono</v>
          </cell>
        </row>
        <row r="10422">
          <cell r="A10422">
            <v>43202204</v>
          </cell>
          <cell r="B10422" t="str">
            <v>Timbres externos o sus partes</v>
          </cell>
        </row>
        <row r="10423">
          <cell r="A10423">
            <v>43202205</v>
          </cell>
          <cell r="B10423" t="str">
            <v>Teclas o teclados</v>
          </cell>
        </row>
        <row r="10424">
          <cell r="A10424">
            <v>43202206</v>
          </cell>
          <cell r="B10424" t="str">
            <v>Componentes de dispositivo de entrada o unidad de almacenamiento</v>
          </cell>
        </row>
        <row r="10425">
          <cell r="A10425">
            <v>43202207</v>
          </cell>
          <cell r="B10425" t="str">
            <v>Brazos y ensamblaje de cabezal</v>
          </cell>
        </row>
        <row r="10426">
          <cell r="A10426">
            <v>43202208</v>
          </cell>
          <cell r="B10426" t="str">
            <v>Ensamblajes de plomo</v>
          </cell>
        </row>
        <row r="10427">
          <cell r="A10427">
            <v>43202209</v>
          </cell>
          <cell r="B10427" t="str">
            <v>Ensamblajes de apilamiento de cabezales</v>
          </cell>
        </row>
        <row r="10428">
          <cell r="A10428">
            <v>43202210</v>
          </cell>
          <cell r="B10428" t="str">
            <v>Tope de protección anti choque</v>
          </cell>
        </row>
        <row r="10429">
          <cell r="A10429">
            <v>43202211</v>
          </cell>
          <cell r="B10429" t="str">
            <v>Platos o discos</v>
          </cell>
        </row>
        <row r="10430">
          <cell r="A10430">
            <v>43202212</v>
          </cell>
          <cell r="B10430" t="str">
            <v>Ensamblajes de cabezal de lectura y escritura</v>
          </cell>
        </row>
        <row r="10431">
          <cell r="A10431">
            <v>43202213</v>
          </cell>
          <cell r="B10431" t="str">
            <v>Unidades de disco de motor</v>
          </cell>
        </row>
        <row r="10432">
          <cell r="A10432">
            <v>43202214</v>
          </cell>
          <cell r="B10432" t="str">
            <v>Ensamblajes de regleta</v>
          </cell>
        </row>
        <row r="10433">
          <cell r="A10433">
            <v>43211501</v>
          </cell>
          <cell r="B10433" t="str">
            <v>Servidores de computador</v>
          </cell>
        </row>
        <row r="10434">
          <cell r="A10434">
            <v>43211502</v>
          </cell>
          <cell r="B10434" t="str">
            <v>Servidores de computador de gama alta</v>
          </cell>
        </row>
        <row r="10435">
          <cell r="A10435">
            <v>43211503</v>
          </cell>
          <cell r="B10435" t="str">
            <v>Computadores notebook</v>
          </cell>
        </row>
        <row r="10436">
          <cell r="A10436">
            <v>43211504</v>
          </cell>
          <cell r="B10436" t="str">
            <v>Asistentes personales digitales pda u organizadores</v>
          </cell>
        </row>
        <row r="10437">
          <cell r="A10437">
            <v>43211505</v>
          </cell>
          <cell r="B10437" t="str">
            <v>Terminal de punto de venta pos</v>
          </cell>
        </row>
        <row r="10438">
          <cell r="A10438">
            <v>43211506</v>
          </cell>
          <cell r="B10438" t="str">
            <v>Computadores de cliente ligero</v>
          </cell>
        </row>
        <row r="10439">
          <cell r="A10439">
            <v>43211507</v>
          </cell>
          <cell r="B10439" t="str">
            <v>Computadores de escritorio</v>
          </cell>
        </row>
        <row r="10440">
          <cell r="A10440">
            <v>43211508</v>
          </cell>
          <cell r="B10440" t="str">
            <v>Computadores personales</v>
          </cell>
        </row>
        <row r="10441">
          <cell r="A10441">
            <v>43211509</v>
          </cell>
          <cell r="B10441" t="str">
            <v>Computadores de tableta</v>
          </cell>
        </row>
        <row r="10442">
          <cell r="A10442">
            <v>43211510</v>
          </cell>
          <cell r="B10442" t="str">
            <v>Consola central o terminales básicos (no inteligentes)</v>
          </cell>
        </row>
        <row r="10443">
          <cell r="A10443">
            <v>43211511</v>
          </cell>
          <cell r="B10443" t="str">
            <v>Dispositivos de computación de vestir</v>
          </cell>
        </row>
        <row r="10444">
          <cell r="A10444">
            <v>43211512</v>
          </cell>
          <cell r="B10444" t="str">
            <v>Computadores centrales</v>
          </cell>
        </row>
        <row r="10445">
          <cell r="A10445">
            <v>43211601</v>
          </cell>
          <cell r="B10445" t="str">
            <v>Cajas de interruptores de computador</v>
          </cell>
        </row>
        <row r="10446">
          <cell r="A10446">
            <v>43211602</v>
          </cell>
          <cell r="B10446" t="str">
            <v>Estaciones de acoplamiento</v>
          </cell>
        </row>
        <row r="10447">
          <cell r="A10447">
            <v>43211603</v>
          </cell>
          <cell r="B10447" t="str">
            <v>Replicadores de puertos</v>
          </cell>
        </row>
        <row r="10448">
          <cell r="A10448">
            <v>43211604</v>
          </cell>
          <cell r="B10448" t="str">
            <v>Cajas de interruptores periféricos</v>
          </cell>
        </row>
        <row r="10449">
          <cell r="A10449">
            <v>43211605</v>
          </cell>
          <cell r="B10449" t="str">
            <v>Actualizaciones de procesadores de señales</v>
          </cell>
        </row>
        <row r="10450">
          <cell r="A10450">
            <v>43211606</v>
          </cell>
          <cell r="B10450" t="str">
            <v>Kits de multimedia</v>
          </cell>
        </row>
        <row r="10451">
          <cell r="A10451">
            <v>43211607</v>
          </cell>
          <cell r="B10451" t="str">
            <v>Parlantes de computador</v>
          </cell>
        </row>
        <row r="10452">
          <cell r="A10452">
            <v>43211608</v>
          </cell>
          <cell r="B10452" t="str">
            <v>Equipo codificador y decodificador</v>
          </cell>
        </row>
        <row r="10453">
          <cell r="A10453">
            <v>43211609</v>
          </cell>
          <cell r="B10453" t="str">
            <v>Concentrador de bus serial universal o conectores</v>
          </cell>
        </row>
        <row r="10454">
          <cell r="A10454">
            <v>43211701</v>
          </cell>
          <cell r="B10454" t="str">
            <v>Equipo de lectura de código de barras</v>
          </cell>
        </row>
        <row r="10455">
          <cell r="A10455">
            <v>43211702</v>
          </cell>
          <cell r="B10455" t="str">
            <v>Lectores y codificadores de banda magnética</v>
          </cell>
        </row>
        <row r="10456">
          <cell r="A10456">
            <v>43211704</v>
          </cell>
          <cell r="B10456" t="str">
            <v>Equipo de reconocimiento de billetes</v>
          </cell>
        </row>
        <row r="10457">
          <cell r="A10457">
            <v>43211705</v>
          </cell>
          <cell r="B10457" t="str">
            <v>Almohadillas o joy sticks de juegos</v>
          </cell>
        </row>
        <row r="10458">
          <cell r="A10458">
            <v>43211706</v>
          </cell>
          <cell r="B10458" t="str">
            <v>Teclados</v>
          </cell>
        </row>
        <row r="10459">
          <cell r="A10459">
            <v>43211707</v>
          </cell>
          <cell r="B10459" t="str">
            <v>Lápiz (stylus) para computador de luz</v>
          </cell>
        </row>
        <row r="10460">
          <cell r="A10460">
            <v>43211708</v>
          </cell>
          <cell r="B10460" t="str">
            <v>Mouse o bola de seguimiento para computador</v>
          </cell>
        </row>
        <row r="10461">
          <cell r="A10461">
            <v>43211709</v>
          </cell>
          <cell r="B10461" t="str">
            <v>Lápiz (stylus) de presión</v>
          </cell>
        </row>
        <row r="10462">
          <cell r="A10462">
            <v>43211710</v>
          </cell>
          <cell r="B10462" t="str">
            <v>Dispositivos de identificación de radio frecuencia</v>
          </cell>
        </row>
        <row r="10463">
          <cell r="A10463">
            <v>43211711</v>
          </cell>
          <cell r="B10463" t="str">
            <v>Escáneres</v>
          </cell>
        </row>
        <row r="10464">
          <cell r="A10464">
            <v>43211712</v>
          </cell>
          <cell r="B10464" t="str">
            <v>Tabletas de gráficos</v>
          </cell>
        </row>
        <row r="10465">
          <cell r="A10465">
            <v>43211713</v>
          </cell>
          <cell r="B10465" t="str">
            <v>Almohadillas (pads) táctil (touch)</v>
          </cell>
        </row>
        <row r="10466">
          <cell r="A10466">
            <v>43211714</v>
          </cell>
          <cell r="B10466" t="str">
            <v>Equipos de identificación biométrica</v>
          </cell>
        </row>
        <row r="10467">
          <cell r="A10467">
            <v>43211715</v>
          </cell>
          <cell r="B10467" t="str">
            <v>Terminales portátiles de ingreso de información</v>
          </cell>
        </row>
        <row r="10468">
          <cell r="A10468">
            <v>43211717</v>
          </cell>
          <cell r="B10468" t="str">
            <v>Sistemas de reconocimiento de caracteres ópticos</v>
          </cell>
        </row>
        <row r="10469">
          <cell r="A10469">
            <v>43211718</v>
          </cell>
          <cell r="B10469" t="str">
            <v>Sistemas de visión basados en cámaras para recolección automática de información</v>
          </cell>
        </row>
        <row r="10470">
          <cell r="A10470">
            <v>43211719</v>
          </cell>
          <cell r="B10470" t="str">
            <v>Micrófonos de voz para computadores</v>
          </cell>
        </row>
        <row r="10471">
          <cell r="A10471">
            <v>43211720</v>
          </cell>
          <cell r="B10471" t="str">
            <v>Terminales de pago para puntos de venta</v>
          </cell>
        </row>
        <row r="10472">
          <cell r="A10472">
            <v>43211721</v>
          </cell>
          <cell r="B10472" t="str">
            <v>Lectores de tarjetas perforadas</v>
          </cell>
        </row>
        <row r="10473">
          <cell r="A10473">
            <v>43211801</v>
          </cell>
          <cell r="B10473" t="str">
            <v>Forros de dispositivos de ingreso de datos al computador</v>
          </cell>
        </row>
        <row r="10474">
          <cell r="A10474">
            <v>43211802</v>
          </cell>
          <cell r="B10474" t="str">
            <v>Almohadillas (pads) para mouse</v>
          </cell>
        </row>
        <row r="10475">
          <cell r="A10475">
            <v>43211803</v>
          </cell>
          <cell r="B10475" t="str">
            <v>Pieles (películas transparentes) para teclados</v>
          </cell>
        </row>
        <row r="10476">
          <cell r="A10476">
            <v>43211804</v>
          </cell>
          <cell r="B10476" t="str">
            <v>Cajones o estantes para tableros</v>
          </cell>
        </row>
        <row r="10477">
          <cell r="A10477">
            <v>43211805</v>
          </cell>
          <cell r="B10477" t="str">
            <v>Dispositivos para almacenamiento de kits de servicio</v>
          </cell>
        </row>
        <row r="10478">
          <cell r="A10478">
            <v>43211901</v>
          </cell>
          <cell r="B10478" t="str">
            <v>Monitores para tubos de rayo catódico crt</v>
          </cell>
        </row>
        <row r="10479">
          <cell r="A10479">
            <v>43211902</v>
          </cell>
          <cell r="B10479" t="str">
            <v>Paneles o monitores de pantalla de cristal líquido lcd</v>
          </cell>
        </row>
        <row r="10480">
          <cell r="A10480">
            <v>43211903</v>
          </cell>
          <cell r="B10480" t="str">
            <v>Monitores de pantalla táctil (touch)</v>
          </cell>
        </row>
        <row r="10481">
          <cell r="A10481">
            <v>43211904</v>
          </cell>
          <cell r="B10481" t="str">
            <v>Paneles de pantalla de plasma pdp</v>
          </cell>
        </row>
        <row r="10482">
          <cell r="A10482">
            <v>43211905</v>
          </cell>
          <cell r="B10482" t="str">
            <v>Pantallas emisoras de luz orgánica</v>
          </cell>
        </row>
        <row r="10483">
          <cell r="A10483">
            <v>43212001</v>
          </cell>
          <cell r="B10483" t="str">
            <v>Protectores de brillo para pantallas de computador</v>
          </cell>
        </row>
        <row r="10484">
          <cell r="A10484">
            <v>43212002</v>
          </cell>
          <cell r="B10484" t="str">
            <v>Brazos o soportes para monitores</v>
          </cell>
        </row>
        <row r="10485">
          <cell r="A10485">
            <v>43212101</v>
          </cell>
          <cell r="B10485" t="str">
            <v>Impresoras de banda</v>
          </cell>
        </row>
        <row r="10486">
          <cell r="A10486">
            <v>43212102</v>
          </cell>
          <cell r="B10486" t="str">
            <v>Impresoras de matriz de puntos</v>
          </cell>
        </row>
        <row r="10487">
          <cell r="A10487">
            <v>43212103</v>
          </cell>
          <cell r="B10487" t="str">
            <v>Impresoras de sublimación de teñido</v>
          </cell>
        </row>
        <row r="10488">
          <cell r="A10488">
            <v>43212104</v>
          </cell>
          <cell r="B10488" t="str">
            <v>Impresoras de inyección de tinta</v>
          </cell>
        </row>
        <row r="10489">
          <cell r="A10489">
            <v>43212105</v>
          </cell>
          <cell r="B10489" t="str">
            <v>Impresoras láser</v>
          </cell>
        </row>
        <row r="10490">
          <cell r="A10490">
            <v>43212106</v>
          </cell>
          <cell r="B10490" t="str">
            <v>Impresoras de matriz de líneas</v>
          </cell>
        </row>
        <row r="10491">
          <cell r="A10491">
            <v>43212107</v>
          </cell>
          <cell r="B10491" t="str">
            <v>Impresoras de plotter</v>
          </cell>
        </row>
        <row r="10492">
          <cell r="A10492">
            <v>43212108</v>
          </cell>
          <cell r="B10492" t="str">
            <v>Impresoras de cinta térmica</v>
          </cell>
        </row>
        <row r="10493">
          <cell r="A10493">
            <v>43212109</v>
          </cell>
          <cell r="B10493" t="str">
            <v>Impresoras de etiquetas para bolsas</v>
          </cell>
        </row>
        <row r="10494">
          <cell r="A10494">
            <v>43212110</v>
          </cell>
          <cell r="B10494" t="str">
            <v>Impresoras de múltiples funciones</v>
          </cell>
        </row>
        <row r="10495">
          <cell r="A10495">
            <v>43212111</v>
          </cell>
          <cell r="B10495" t="str">
            <v>Impresoras de tiquetes aéreos o pases de abordaje atb</v>
          </cell>
        </row>
        <row r="10496">
          <cell r="A10496">
            <v>43212112</v>
          </cell>
          <cell r="B10496" t="str">
            <v>Impresoras de recibos para puntos de venta pos</v>
          </cell>
        </row>
        <row r="10497">
          <cell r="A10497">
            <v>43212113</v>
          </cell>
          <cell r="B10497" t="str">
            <v>Impresoras de discos compactos cd o de etiquetado</v>
          </cell>
        </row>
        <row r="10498">
          <cell r="A10498">
            <v>43212114</v>
          </cell>
          <cell r="B10498" t="str">
            <v>Impresoras de imágenes digitales</v>
          </cell>
        </row>
        <row r="10499">
          <cell r="A10499">
            <v>43221501</v>
          </cell>
          <cell r="B10499" t="str">
            <v>Sistemas de atención automatizada</v>
          </cell>
        </row>
        <row r="10500">
          <cell r="A10500">
            <v>43221502</v>
          </cell>
          <cell r="B10500" t="str">
            <v>Distribuidor automático de llamadas acd</v>
          </cell>
        </row>
        <row r="10501">
          <cell r="A10501">
            <v>43221503</v>
          </cell>
          <cell r="B10501" t="str">
            <v>Alto parlantes para telecomunicaciones</v>
          </cell>
        </row>
        <row r="10502">
          <cell r="A10502">
            <v>43221504</v>
          </cell>
          <cell r="B10502" t="str">
            <v>Central telefónica interna pbx</v>
          </cell>
        </row>
        <row r="10503">
          <cell r="A10503">
            <v>43221505</v>
          </cell>
          <cell r="B10503" t="str">
            <v>Identificador de llamadas telefónicas autónoma</v>
          </cell>
        </row>
        <row r="10504">
          <cell r="A10504">
            <v>43221506</v>
          </cell>
          <cell r="B10504" t="str">
            <v>Consola de teleconferencias</v>
          </cell>
        </row>
        <row r="10505">
          <cell r="A10505">
            <v>43221507</v>
          </cell>
          <cell r="B10505" t="str">
            <v>Auto marcadores</v>
          </cell>
        </row>
        <row r="10506">
          <cell r="A10506">
            <v>43221508</v>
          </cell>
          <cell r="B10506" t="str">
            <v>Campos de lámpara de teléfono ocupado</v>
          </cell>
        </row>
        <row r="10507">
          <cell r="A10507">
            <v>43221509</v>
          </cell>
          <cell r="B10507" t="str">
            <v>Sistemas de contabilización de llamadas telefónicas</v>
          </cell>
        </row>
        <row r="10508">
          <cell r="A10508">
            <v>43221510</v>
          </cell>
          <cell r="B10508" t="str">
            <v>Desviador o retransmisor de llamadas telefónicas</v>
          </cell>
        </row>
        <row r="10509">
          <cell r="A10509">
            <v>43221513</v>
          </cell>
          <cell r="B10509" t="str">
            <v>Secuenciadores de llamadas telefónicas</v>
          </cell>
        </row>
        <row r="10510">
          <cell r="A10510">
            <v>43221514</v>
          </cell>
          <cell r="B10510" t="str">
            <v>Unidades de respaldo de marcación telefónica</v>
          </cell>
        </row>
        <row r="10511">
          <cell r="A10511">
            <v>43221515</v>
          </cell>
          <cell r="B10511" t="str">
            <v>Dispositivos para compartir líneas telefónicas</v>
          </cell>
        </row>
        <row r="10512">
          <cell r="A10512">
            <v>43221516</v>
          </cell>
          <cell r="B10512" t="str">
            <v>Monitores de estado de líneas telefónicas</v>
          </cell>
        </row>
        <row r="10513">
          <cell r="A10513">
            <v>43221517</v>
          </cell>
          <cell r="B10513" t="str">
            <v>Unidades de observación de servicio de equipos de telefonía</v>
          </cell>
        </row>
        <row r="10514">
          <cell r="A10514">
            <v>43221518</v>
          </cell>
          <cell r="B10514" t="str">
            <v>Dispositivos para restringir llamadas para equipos de telefonía</v>
          </cell>
        </row>
        <row r="10515">
          <cell r="A10515">
            <v>43221519</v>
          </cell>
          <cell r="B10515" t="str">
            <v>Sistemas de correo de voz</v>
          </cell>
        </row>
        <row r="10516">
          <cell r="A10516">
            <v>43221520</v>
          </cell>
          <cell r="B10516" t="str">
            <v>Equipos interactivos de reconocimiento de voz</v>
          </cell>
        </row>
        <row r="10517">
          <cell r="A10517">
            <v>43221521</v>
          </cell>
          <cell r="B10517" t="str">
            <v>Unidades de acceso remoto de telecomunicaciones</v>
          </cell>
        </row>
        <row r="10518">
          <cell r="A10518">
            <v>43221522</v>
          </cell>
          <cell r="B10518" t="str">
            <v>Equipos de teleconferencia</v>
          </cell>
        </row>
        <row r="10519">
          <cell r="A10519">
            <v>43221523</v>
          </cell>
          <cell r="B10519" t="str">
            <v>Grabadora de música o mensaje en espera</v>
          </cell>
        </row>
        <row r="10520">
          <cell r="A10520">
            <v>43221524</v>
          </cell>
          <cell r="B10520" t="str">
            <v>Adaptador de música en espera</v>
          </cell>
        </row>
        <row r="10521">
          <cell r="A10521">
            <v>43221525</v>
          </cell>
          <cell r="B10521" t="str">
            <v>Sistemas de intercomunicación</v>
          </cell>
        </row>
        <row r="10522">
          <cell r="A10522">
            <v>43221526</v>
          </cell>
          <cell r="B10522" t="str">
            <v>Sistemas de entrada de teléfono</v>
          </cell>
        </row>
        <row r="10523">
          <cell r="A10523">
            <v>43221601</v>
          </cell>
          <cell r="B10523" t="str">
            <v>Separador de sistema de antiguo teléfono simple de empresa cautiva pots de circuito de subscriptor digital dsl</v>
          </cell>
        </row>
        <row r="10524">
          <cell r="A10524">
            <v>43221602</v>
          </cell>
          <cell r="B10524" t="str">
            <v>Estante para separador de empresa cautiva de circuito de subscriptor digital dsl</v>
          </cell>
        </row>
        <row r="10525">
          <cell r="A10525">
            <v>43221603</v>
          </cell>
          <cell r="B10525" t="str">
            <v>Separador de sistema de antiguo teléfono simple pots de equipo de premisa de cliente cpe de circuito de subscriptor digital dsl</v>
          </cell>
        </row>
        <row r="10526">
          <cell r="A10526">
            <v>43221701</v>
          </cell>
          <cell r="B10526" t="str">
            <v>Equipo central de televisión</v>
          </cell>
        </row>
        <row r="10527">
          <cell r="A10527">
            <v>43221702</v>
          </cell>
          <cell r="B10527" t="str">
            <v>Equipo de acceso de televisión</v>
          </cell>
        </row>
        <row r="10528">
          <cell r="A10528">
            <v>43221703</v>
          </cell>
          <cell r="B10528" t="str">
            <v>Antenas de televisión</v>
          </cell>
        </row>
        <row r="10529">
          <cell r="A10529">
            <v>43221704</v>
          </cell>
          <cell r="B10529" t="str">
            <v>Equipo central de radio</v>
          </cell>
        </row>
        <row r="10530">
          <cell r="A10530">
            <v>43221705</v>
          </cell>
          <cell r="B10530" t="str">
            <v>Equipo de radio acceso</v>
          </cell>
        </row>
        <row r="10531">
          <cell r="A10531">
            <v>43221706</v>
          </cell>
          <cell r="B10531" t="str">
            <v>Antenas de radio</v>
          </cell>
        </row>
        <row r="10532">
          <cell r="A10532">
            <v>43221707</v>
          </cell>
          <cell r="B10532" t="str">
            <v>Equipo central de microondas</v>
          </cell>
        </row>
        <row r="10533">
          <cell r="A10533">
            <v>43221708</v>
          </cell>
          <cell r="B10533" t="str">
            <v>Equipo de acceso de microondas</v>
          </cell>
        </row>
        <row r="10534">
          <cell r="A10534">
            <v>43221709</v>
          </cell>
          <cell r="B10534" t="str">
            <v>Antenas de microondas</v>
          </cell>
        </row>
        <row r="10535">
          <cell r="A10535">
            <v>43221710</v>
          </cell>
          <cell r="B10535" t="str">
            <v>Equipo central de satélite</v>
          </cell>
        </row>
        <row r="10536">
          <cell r="A10536">
            <v>43221711</v>
          </cell>
          <cell r="B10536" t="str">
            <v>Equipo de acceso de satélite</v>
          </cell>
        </row>
        <row r="10537">
          <cell r="A10537">
            <v>43221712</v>
          </cell>
          <cell r="B10537" t="str">
            <v>Antenas de satélite</v>
          </cell>
        </row>
        <row r="10538">
          <cell r="A10538">
            <v>43221713</v>
          </cell>
          <cell r="B10538" t="str">
            <v>Equipo central de onda corta</v>
          </cell>
        </row>
        <row r="10539">
          <cell r="A10539">
            <v>43221714</v>
          </cell>
          <cell r="B10539" t="str">
            <v>Equipo de acceso de onda corta</v>
          </cell>
        </row>
        <row r="10540">
          <cell r="A10540">
            <v>43221715</v>
          </cell>
          <cell r="B10540" t="str">
            <v>Antenas de onda corta</v>
          </cell>
        </row>
        <row r="10541">
          <cell r="A10541">
            <v>43221716</v>
          </cell>
          <cell r="B10541" t="str">
            <v>Equipo central de buscapersonas</v>
          </cell>
        </row>
        <row r="10542">
          <cell r="A10542">
            <v>43221717</v>
          </cell>
          <cell r="B10542" t="str">
            <v>Equipo de acceso de buscapersonas</v>
          </cell>
        </row>
        <row r="10543">
          <cell r="A10543">
            <v>43221718</v>
          </cell>
          <cell r="B10543" t="str">
            <v>Antenas de radar</v>
          </cell>
        </row>
        <row r="10544">
          <cell r="A10544">
            <v>43221719</v>
          </cell>
          <cell r="B10544" t="str">
            <v>Antenas de aeronaves</v>
          </cell>
        </row>
        <row r="10545">
          <cell r="A10545">
            <v>43221720</v>
          </cell>
          <cell r="B10545" t="str">
            <v>Antenas de automotores</v>
          </cell>
        </row>
        <row r="10546">
          <cell r="A10546">
            <v>43221721</v>
          </cell>
          <cell r="B10546" t="str">
            <v>Equipo de comunicación de información de radio frecuencia</v>
          </cell>
        </row>
        <row r="10547">
          <cell r="A10547">
            <v>43221801</v>
          </cell>
          <cell r="B10547" t="str">
            <v>Amplificadores ópticos</v>
          </cell>
        </row>
        <row r="10548">
          <cell r="A10548">
            <v>43221802</v>
          </cell>
          <cell r="B10548" t="str">
            <v>Filtros de redes o comunicaciones ópticas</v>
          </cell>
        </row>
        <row r="10549">
          <cell r="A10549">
            <v>43221803</v>
          </cell>
          <cell r="B10549" t="str">
            <v>Adaptadores ópticos</v>
          </cell>
        </row>
        <row r="10550">
          <cell r="A10550">
            <v>43221804</v>
          </cell>
          <cell r="B10550" t="str">
            <v>Láseres de red óptica</v>
          </cell>
        </row>
        <row r="10551">
          <cell r="A10551">
            <v>43221805</v>
          </cell>
          <cell r="B10551" t="str">
            <v>Equipo de red de modo de transferencia asincrónica atm</v>
          </cell>
        </row>
        <row r="10552">
          <cell r="A10552">
            <v>43221806</v>
          </cell>
          <cell r="B10552" t="str">
            <v>Equipos de red de red óptica sincrónica sonet</v>
          </cell>
        </row>
        <row r="10553">
          <cell r="A10553">
            <v>43221807</v>
          </cell>
          <cell r="B10553" t="str">
            <v>Filtros multiplexados de división de longitud de onda densa de telecomunicaciones dwdm</v>
          </cell>
        </row>
        <row r="10554">
          <cell r="A10554">
            <v>43221808</v>
          </cell>
          <cell r="B10554" t="str">
            <v>Equipos de telecomunicaciones jerárquicas digitales sincrónicas sdh</v>
          </cell>
        </row>
        <row r="10555">
          <cell r="A10555">
            <v>43222501</v>
          </cell>
          <cell r="B10555" t="str">
            <v>Equipo de seguridad de red cortafuegos (firewall)</v>
          </cell>
        </row>
        <row r="10556">
          <cell r="A10556">
            <v>43222502</v>
          </cell>
          <cell r="B10556" t="str">
            <v>Equipo de seguridad de redes vpn</v>
          </cell>
        </row>
        <row r="10557">
          <cell r="A10557">
            <v>43222503</v>
          </cell>
          <cell r="B10557" t="str">
            <v>Equipos de seguridad de evaluación de vulnerabilidad</v>
          </cell>
        </row>
        <row r="10558">
          <cell r="A10558">
            <v>43222602</v>
          </cell>
          <cell r="B10558" t="str">
            <v>Equipo de centro distribuidor de cables</v>
          </cell>
        </row>
        <row r="10559">
          <cell r="A10559">
            <v>43222604</v>
          </cell>
          <cell r="B10559" t="str">
            <v>Equipo de red de entrega de contenido</v>
          </cell>
        </row>
        <row r="10560">
          <cell r="A10560">
            <v>43222605</v>
          </cell>
          <cell r="B10560" t="str">
            <v>Puerta de acceso de redes</v>
          </cell>
        </row>
        <row r="10561">
          <cell r="A10561">
            <v>43222606</v>
          </cell>
          <cell r="B10561" t="str">
            <v>Kit de inicio de nodo de servicio de internet</v>
          </cell>
        </row>
        <row r="10562">
          <cell r="A10562">
            <v>43222607</v>
          </cell>
          <cell r="B10562" t="str">
            <v>Equipo de motor de caché</v>
          </cell>
        </row>
        <row r="10563">
          <cell r="A10563">
            <v>43222608</v>
          </cell>
          <cell r="B10563" t="str">
            <v>Repetidores de red</v>
          </cell>
        </row>
        <row r="10564">
          <cell r="A10564">
            <v>43222609</v>
          </cell>
          <cell r="B10564" t="str">
            <v>Enrutadores (routers) de red</v>
          </cell>
        </row>
        <row r="10565">
          <cell r="A10565">
            <v>43222610</v>
          </cell>
          <cell r="B10565" t="str">
            <v>Concentradores o hubs de servicio de red</v>
          </cell>
        </row>
        <row r="10566">
          <cell r="A10566">
            <v>43222611</v>
          </cell>
          <cell r="B10566" t="str">
            <v>Unidades de servicio de canales o información de red</v>
          </cell>
        </row>
        <row r="10567">
          <cell r="A10567">
            <v>43222612</v>
          </cell>
          <cell r="B10567" t="str">
            <v>Interruptores de red</v>
          </cell>
        </row>
        <row r="10568">
          <cell r="A10568">
            <v>43222615</v>
          </cell>
          <cell r="B10568" t="str">
            <v>Interruptor de área de almacenamiento de red san</v>
          </cell>
        </row>
        <row r="10569">
          <cell r="A10569">
            <v>43222619</v>
          </cell>
          <cell r="B10569" t="str">
            <v>Equipo de video de red</v>
          </cell>
        </row>
        <row r="10570">
          <cell r="A10570">
            <v>43222620</v>
          </cell>
          <cell r="B10570" t="str">
            <v>Interruptor multi servicios</v>
          </cell>
        </row>
        <row r="10571">
          <cell r="A10571">
            <v>43222621</v>
          </cell>
          <cell r="B10571" t="str">
            <v>Interruptor de contenido</v>
          </cell>
        </row>
        <row r="10572">
          <cell r="A10572">
            <v>43222622</v>
          </cell>
          <cell r="B10572" t="str">
            <v>Dispositivo para balancear la carga del servidor</v>
          </cell>
        </row>
        <row r="10573">
          <cell r="A10573">
            <v>43222623</v>
          </cell>
          <cell r="B10573" t="str">
            <v>Equipos de conexión cruzada digital dcx</v>
          </cell>
        </row>
        <row r="10574">
          <cell r="A10574">
            <v>43222624</v>
          </cell>
          <cell r="B10574" t="str">
            <v>Equipos de conexión cruzada óptica</v>
          </cell>
        </row>
        <row r="10575">
          <cell r="A10575">
            <v>43222625</v>
          </cell>
          <cell r="B10575" t="str">
            <v>Servidores de acceso</v>
          </cell>
        </row>
        <row r="10576">
          <cell r="A10576">
            <v>43222626</v>
          </cell>
          <cell r="B10576" t="str">
            <v>Módems de cable</v>
          </cell>
        </row>
        <row r="10577">
          <cell r="A10577">
            <v>43222627</v>
          </cell>
          <cell r="B10577" t="str">
            <v>Dispositivos de acceso de redes digitales de servicios integrados isdn</v>
          </cell>
        </row>
        <row r="10578">
          <cell r="A10578">
            <v>43222628</v>
          </cell>
          <cell r="B10578" t="str">
            <v>Módems</v>
          </cell>
        </row>
        <row r="10579">
          <cell r="A10579">
            <v>43222629</v>
          </cell>
          <cell r="B10579" t="str">
            <v>Bancos de módems</v>
          </cell>
        </row>
        <row r="10580">
          <cell r="A10580">
            <v>43222630</v>
          </cell>
          <cell r="B10580" t="str">
            <v>Unidades de acceso multi estaciones</v>
          </cell>
        </row>
        <row r="10581">
          <cell r="A10581">
            <v>43222631</v>
          </cell>
          <cell r="B10581" t="str">
            <v>Estaciones base de fidelidad inalámbricas</v>
          </cell>
        </row>
        <row r="10582">
          <cell r="A10582">
            <v>43222632</v>
          </cell>
          <cell r="B10582" t="str">
            <v>Agregadores de banda ancha</v>
          </cell>
        </row>
        <row r="10583">
          <cell r="A10583">
            <v>43222701</v>
          </cell>
          <cell r="B10583" t="str">
            <v>Teclas de telégrafo</v>
          </cell>
        </row>
        <row r="10584">
          <cell r="A10584">
            <v>43222702</v>
          </cell>
          <cell r="B10584" t="str">
            <v>Electro magnetos de telégrafo</v>
          </cell>
        </row>
        <row r="10585">
          <cell r="A10585">
            <v>43222703</v>
          </cell>
          <cell r="B10585" t="str">
            <v>Receptor acústico de telégrafo</v>
          </cell>
        </row>
        <row r="10586">
          <cell r="A10586">
            <v>43222801</v>
          </cell>
          <cell r="B10586" t="str">
            <v>Equipo de conexión cruzada digital dcx de banda estrecha o de banda ancha</v>
          </cell>
        </row>
        <row r="10587">
          <cell r="A10587">
            <v>43222802</v>
          </cell>
          <cell r="B10587" t="str">
            <v>Equipo de circuito de conmutador</v>
          </cell>
        </row>
        <row r="10588">
          <cell r="A10588">
            <v>43222803</v>
          </cell>
          <cell r="B10588" t="str">
            <v>Cargador de circuito digital dlc</v>
          </cell>
        </row>
        <row r="10589">
          <cell r="A10589">
            <v>43222805</v>
          </cell>
          <cell r="B10589" t="str">
            <v>Equipo de central telefónica privada pbx</v>
          </cell>
        </row>
        <row r="10590">
          <cell r="A10590">
            <v>43222806</v>
          </cell>
          <cell r="B10590" t="str">
            <v>Bloques de conexiones</v>
          </cell>
        </row>
        <row r="10591">
          <cell r="A10591">
            <v>43222811</v>
          </cell>
          <cell r="B10591" t="str">
            <v>Unidades de alarma de equipos de telefonía</v>
          </cell>
        </row>
        <row r="10592">
          <cell r="A10592">
            <v>43222813</v>
          </cell>
          <cell r="B10592" t="str">
            <v>Kits de partes de conmutadores telefónicos</v>
          </cell>
        </row>
        <row r="10593">
          <cell r="A10593">
            <v>43222814</v>
          </cell>
          <cell r="B10593" t="str">
            <v>Kits de instalación o modificación de equipos de telecomunicaciones</v>
          </cell>
        </row>
        <row r="10594">
          <cell r="A10594">
            <v>43222815</v>
          </cell>
          <cell r="B10594" t="str">
            <v>Unidades de terminales de telecomunicaciones</v>
          </cell>
        </row>
        <row r="10595">
          <cell r="A10595">
            <v>43222816</v>
          </cell>
          <cell r="B10595" t="str">
            <v>Operadores de introducción de datos de telefonía</v>
          </cell>
        </row>
        <row r="10596">
          <cell r="A10596">
            <v>43222817</v>
          </cell>
          <cell r="B10596" t="str">
            <v>Repetidores de telecomunicaciones</v>
          </cell>
        </row>
        <row r="10597">
          <cell r="A10597">
            <v>43222818</v>
          </cell>
          <cell r="B10597" t="str">
            <v>Estructura de terminal de distribución de teléfono</v>
          </cell>
        </row>
        <row r="10598">
          <cell r="A10598">
            <v>43222819</v>
          </cell>
          <cell r="B10598" t="str">
            <v>Paneles de conexión de puertos</v>
          </cell>
        </row>
        <row r="10599">
          <cell r="A10599">
            <v>43222820</v>
          </cell>
          <cell r="B10599" t="str">
            <v>Equipo electrónico para cancelar eco de voz</v>
          </cell>
        </row>
        <row r="10600">
          <cell r="A10600">
            <v>43222821</v>
          </cell>
          <cell r="B10600" t="str">
            <v>Panel de conexiones</v>
          </cell>
        </row>
        <row r="10601">
          <cell r="A10601">
            <v>43222822</v>
          </cell>
          <cell r="B10601" t="str">
            <v>Multiplexor de división de tiempo tdm</v>
          </cell>
        </row>
        <row r="10602">
          <cell r="A10602">
            <v>43222823</v>
          </cell>
          <cell r="B10602" t="str">
            <v>Multiplexor de división de onda wdm</v>
          </cell>
        </row>
        <row r="10603">
          <cell r="A10603">
            <v>43222824</v>
          </cell>
          <cell r="B10603" t="str">
            <v>Enrolladores de cables aéreos</v>
          </cell>
        </row>
        <row r="10604">
          <cell r="A10604">
            <v>43222825</v>
          </cell>
          <cell r="B10604" t="str">
            <v>Kits de modificación de teléfonos</v>
          </cell>
        </row>
        <row r="10605">
          <cell r="A10605">
            <v>43222901</v>
          </cell>
          <cell r="B10605" t="str">
            <v>Acondicionadores de línea</v>
          </cell>
        </row>
        <row r="10606">
          <cell r="A10606">
            <v>43222902</v>
          </cell>
          <cell r="B10606" t="str">
            <v>Secadores de aire para cables de telefonía</v>
          </cell>
        </row>
        <row r="10607">
          <cell r="A10607">
            <v>43223001</v>
          </cell>
          <cell r="B10607" t="str">
            <v>Dispositivos de entrada de teletipos</v>
          </cell>
        </row>
        <row r="10608">
          <cell r="A10608">
            <v>43223101</v>
          </cell>
          <cell r="B10608" t="str">
            <v>Equipos y componentes de red básica móvil gsm 2g</v>
          </cell>
        </row>
        <row r="10609">
          <cell r="A10609">
            <v>43223102</v>
          </cell>
          <cell r="B10609" t="str">
            <v>Equipos y componentes de red de acceso inalámbrica gsm 2g</v>
          </cell>
        </row>
        <row r="10610">
          <cell r="A10610">
            <v>43223103</v>
          </cell>
          <cell r="B10610" t="str">
            <v>Equipos y componentes de red básica móvil gprs 2.5g</v>
          </cell>
        </row>
        <row r="10611">
          <cell r="A10611">
            <v>43223104</v>
          </cell>
          <cell r="B10611" t="str">
            <v>Equipos y componentes de red de acceso inalámbrica gprs 2.5g</v>
          </cell>
        </row>
        <row r="10612">
          <cell r="A10612">
            <v>43223105</v>
          </cell>
          <cell r="B10612" t="str">
            <v>Equipos y componentes de red básica móvil umts 3g</v>
          </cell>
        </row>
        <row r="10613">
          <cell r="A10613">
            <v>43223106</v>
          </cell>
          <cell r="B10613" t="str">
            <v>Equipos y componentes de red de acceso inalámbrica 3g umts</v>
          </cell>
        </row>
        <row r="10614">
          <cell r="A10614">
            <v>43223107</v>
          </cell>
          <cell r="B10614" t="str">
            <v>Equipos y componentes de red básica móvil wlan</v>
          </cell>
        </row>
        <row r="10615">
          <cell r="A10615">
            <v>43223108</v>
          </cell>
          <cell r="B10615" t="str">
            <v>Equipos y componentes de acceso inalámbrico wlan</v>
          </cell>
        </row>
        <row r="10616">
          <cell r="A10616">
            <v>43223109</v>
          </cell>
          <cell r="B10616" t="str">
            <v>Equipo de interrupción ssp in</v>
          </cell>
        </row>
        <row r="10617">
          <cell r="A10617">
            <v>43223110</v>
          </cell>
          <cell r="B10617" t="str">
            <v>Equipo básico móvil in</v>
          </cell>
        </row>
        <row r="10618">
          <cell r="A10618">
            <v>43223111</v>
          </cell>
          <cell r="B10618" t="str">
            <v>Equipos y componentes de red básica móvil oss</v>
          </cell>
        </row>
        <row r="10619">
          <cell r="A10619">
            <v>43223112</v>
          </cell>
          <cell r="B10619" t="str">
            <v>Equipos y componentes de red de acceso inalámbrica oss</v>
          </cell>
        </row>
        <row r="10620">
          <cell r="A10620">
            <v>43223113</v>
          </cell>
          <cell r="B10620" t="str">
            <v>Antenas lan umt gsm</v>
          </cell>
        </row>
        <row r="10621">
          <cell r="A10621">
            <v>43223201</v>
          </cell>
          <cell r="B10621" t="str">
            <v>Portal de mensajes de voz</v>
          </cell>
        </row>
        <row r="10622">
          <cell r="A10622">
            <v>43223202</v>
          </cell>
          <cell r="B10622" t="str">
            <v>Centro de servicio de mensajes cortos</v>
          </cell>
        </row>
        <row r="10623">
          <cell r="A10623">
            <v>43223203</v>
          </cell>
          <cell r="B10623" t="str">
            <v>Centros de servicio multimedia</v>
          </cell>
        </row>
        <row r="10624">
          <cell r="A10624">
            <v>43223204</v>
          </cell>
          <cell r="B10624" t="str">
            <v>Plataforma de mensajes unificados</v>
          </cell>
        </row>
        <row r="10625">
          <cell r="A10625">
            <v>43223205</v>
          </cell>
          <cell r="B10625" t="str">
            <v>Plataforma de mensajes instantáneos</v>
          </cell>
        </row>
        <row r="10626">
          <cell r="A10626">
            <v>43223206</v>
          </cell>
          <cell r="B10626" t="str">
            <v>Puerta de enlace de internet inalámbrico</v>
          </cell>
        </row>
        <row r="10627">
          <cell r="A10627">
            <v>43223207</v>
          </cell>
          <cell r="B10627" t="str">
            <v>Sistema de flujo de video</v>
          </cell>
        </row>
        <row r="10628">
          <cell r="A10628">
            <v>43223208</v>
          </cell>
          <cell r="B10628" t="str">
            <v>Plataforma de juegos móvil o de mensajes</v>
          </cell>
        </row>
        <row r="10629">
          <cell r="A10629">
            <v>43223209</v>
          </cell>
          <cell r="B10629" t="str">
            <v>Plataforma de servicios de mensajes basados en locación</v>
          </cell>
        </row>
        <row r="10630">
          <cell r="A10630">
            <v>43223210</v>
          </cell>
          <cell r="B10630" t="str">
            <v>Sistemas de mensajes de micro pagos</v>
          </cell>
        </row>
        <row r="10631">
          <cell r="A10631">
            <v>43223211</v>
          </cell>
          <cell r="B10631" t="str">
            <v>Controladores de buscapersonas</v>
          </cell>
        </row>
        <row r="10632">
          <cell r="A10632">
            <v>43223212</v>
          </cell>
          <cell r="B10632" t="str">
            <v>Terminales de buscapersonas</v>
          </cell>
        </row>
        <row r="10633">
          <cell r="A10633">
            <v>43231501</v>
          </cell>
          <cell r="B10633" t="str">
            <v>Software de mesa de ayuda o centro de llamadas (call center)</v>
          </cell>
        </row>
        <row r="10634">
          <cell r="A10634">
            <v>43231503</v>
          </cell>
          <cell r="B10634" t="str">
            <v>Software de adquisiciones</v>
          </cell>
        </row>
        <row r="10635">
          <cell r="A10635">
            <v>43231505</v>
          </cell>
          <cell r="B10635" t="str">
            <v>Software de recursos humanos</v>
          </cell>
        </row>
        <row r="10636">
          <cell r="A10636">
            <v>43231506</v>
          </cell>
          <cell r="B10636" t="str">
            <v>Software de logística de planeación de requerimiento de materiales y cadena de suministros</v>
          </cell>
        </row>
        <row r="10637">
          <cell r="A10637">
            <v>43231507</v>
          </cell>
          <cell r="B10637" t="str">
            <v>Software de manejo de proyectos</v>
          </cell>
        </row>
        <row r="10638">
          <cell r="A10638">
            <v>43231508</v>
          </cell>
          <cell r="B10638" t="str">
            <v>Software de manejo de inventarios</v>
          </cell>
        </row>
        <row r="10639">
          <cell r="A10639">
            <v>43231509</v>
          </cell>
          <cell r="B10639" t="str">
            <v>Software de barras de códigos</v>
          </cell>
        </row>
        <row r="10640">
          <cell r="A10640">
            <v>43231510</v>
          </cell>
          <cell r="B10640" t="str">
            <v>Software para hacer etiquetas</v>
          </cell>
        </row>
        <row r="10641">
          <cell r="A10641">
            <v>43231511</v>
          </cell>
          <cell r="B10641" t="str">
            <v>Software de sistemas expertos</v>
          </cell>
        </row>
        <row r="10642">
          <cell r="A10642">
            <v>43231512</v>
          </cell>
          <cell r="B10642" t="str">
            <v>Software de manejo de licencias</v>
          </cell>
        </row>
        <row r="10643">
          <cell r="A10643">
            <v>43231513</v>
          </cell>
          <cell r="B10643" t="str">
            <v>Software para oficinas</v>
          </cell>
        </row>
        <row r="10644">
          <cell r="A10644">
            <v>43231601</v>
          </cell>
          <cell r="B10644" t="str">
            <v>Software de contabilidad</v>
          </cell>
        </row>
        <row r="10645">
          <cell r="A10645">
            <v>43231602</v>
          </cell>
          <cell r="B10645" t="str">
            <v>Software de planeación de recursos del negocio erp</v>
          </cell>
        </row>
        <row r="10646">
          <cell r="A10646">
            <v>43231603</v>
          </cell>
          <cell r="B10646" t="str">
            <v>Software de preparación tributaria</v>
          </cell>
        </row>
        <row r="10647">
          <cell r="A10647">
            <v>43231604</v>
          </cell>
          <cell r="B10647" t="str">
            <v>Software de análisis financiero</v>
          </cell>
        </row>
        <row r="10648">
          <cell r="A10648">
            <v>43231605</v>
          </cell>
          <cell r="B10648" t="str">
            <v>Software de contabilidad de tiempo</v>
          </cell>
        </row>
        <row r="10649">
          <cell r="A10649">
            <v>43232001</v>
          </cell>
          <cell r="B10649" t="str">
            <v>Juegos de acción</v>
          </cell>
        </row>
        <row r="10650">
          <cell r="A10650">
            <v>43232002</v>
          </cell>
          <cell r="B10650" t="str">
            <v>Juegos de aventuras</v>
          </cell>
        </row>
        <row r="10651">
          <cell r="A10651">
            <v>43232003</v>
          </cell>
          <cell r="B10651" t="str">
            <v>Juegos de deportes</v>
          </cell>
        </row>
        <row r="10652">
          <cell r="A10652">
            <v>43232004</v>
          </cell>
          <cell r="B10652" t="str">
            <v>Software familiar</v>
          </cell>
        </row>
        <row r="10653">
          <cell r="A10653">
            <v>43232005</v>
          </cell>
          <cell r="B10653" t="str">
            <v>Software de edición de música o sonido</v>
          </cell>
        </row>
        <row r="10654">
          <cell r="A10654">
            <v>43232101</v>
          </cell>
          <cell r="B10654" t="str">
            <v>Software de diseño de patrones</v>
          </cell>
        </row>
        <row r="10655">
          <cell r="A10655">
            <v>43232102</v>
          </cell>
          <cell r="B10655" t="str">
            <v>Software de imágenes gráficas o de fotografía</v>
          </cell>
        </row>
        <row r="10656">
          <cell r="A10656">
            <v>43232103</v>
          </cell>
          <cell r="B10656" t="str">
            <v>Software de creación y edición de video</v>
          </cell>
        </row>
        <row r="10657">
          <cell r="A10657">
            <v>43232104</v>
          </cell>
          <cell r="B10657" t="str">
            <v>Software de procesamiento de palabras</v>
          </cell>
        </row>
        <row r="10658">
          <cell r="A10658">
            <v>43232105</v>
          </cell>
          <cell r="B10658" t="str">
            <v>Software de gráficas</v>
          </cell>
        </row>
        <row r="10659">
          <cell r="A10659">
            <v>43232106</v>
          </cell>
          <cell r="B10659" t="str">
            <v>Software de presentación</v>
          </cell>
        </row>
        <row r="10660">
          <cell r="A10660">
            <v>43232107</v>
          </cell>
          <cell r="B10660" t="str">
            <v>Software de creación y edición de páginas web</v>
          </cell>
        </row>
        <row r="10661">
          <cell r="A10661">
            <v>43232108</v>
          </cell>
          <cell r="B10661" t="str">
            <v>Software de calendario y programación de citas</v>
          </cell>
        </row>
        <row r="10662">
          <cell r="A10662">
            <v>43232110</v>
          </cell>
          <cell r="B10662" t="str">
            <v>Software de hoja de cálculo</v>
          </cell>
        </row>
        <row r="10663">
          <cell r="A10663">
            <v>43232111</v>
          </cell>
          <cell r="B10663" t="str">
            <v>Software de lector de caracteres ópticos ocr o de escáner</v>
          </cell>
        </row>
        <row r="10664">
          <cell r="A10664">
            <v>43232112</v>
          </cell>
          <cell r="B10664" t="str">
            <v>Software de autoedición</v>
          </cell>
        </row>
        <row r="10665">
          <cell r="A10665">
            <v>43232201</v>
          </cell>
          <cell r="B10665" t="str">
            <v>Software de flujo de trabajo de contenido</v>
          </cell>
        </row>
        <row r="10666">
          <cell r="A10666">
            <v>43232202</v>
          </cell>
          <cell r="B10666" t="str">
            <v>Software de manejo de documentos</v>
          </cell>
        </row>
        <row r="10667">
          <cell r="A10667">
            <v>43232203</v>
          </cell>
          <cell r="B10667" t="str">
            <v>Software de versiones de archivo</v>
          </cell>
        </row>
        <row r="10668">
          <cell r="A10668">
            <v>43232301</v>
          </cell>
          <cell r="B10668" t="str">
            <v>Software de categorización o clasificación</v>
          </cell>
        </row>
        <row r="10669">
          <cell r="A10669">
            <v>43232302</v>
          </cell>
          <cell r="B10669" t="str">
            <v>Software de agrupamiento de recursos</v>
          </cell>
        </row>
        <row r="10670">
          <cell r="A10670">
            <v>43232303</v>
          </cell>
          <cell r="B10670" t="str">
            <v>Software de manejo de relaciones con el cliente crm</v>
          </cell>
        </row>
        <row r="10671">
          <cell r="A10671">
            <v>43232304</v>
          </cell>
          <cell r="B10671" t="str">
            <v>Software de sistemas de manejo de base datos</v>
          </cell>
        </row>
        <row r="10672">
          <cell r="A10672">
            <v>43232305</v>
          </cell>
          <cell r="B10672" t="str">
            <v>Software de reportes de bases de datos</v>
          </cell>
        </row>
        <row r="10673">
          <cell r="A10673">
            <v>43232306</v>
          </cell>
          <cell r="B10673" t="str">
            <v>Software de interface y preguntas de usuario de base de datos</v>
          </cell>
        </row>
        <row r="10674">
          <cell r="A10674">
            <v>43232307</v>
          </cell>
          <cell r="B10674" t="str">
            <v>Software de extracción de datos</v>
          </cell>
        </row>
        <row r="10675">
          <cell r="A10675">
            <v>43232309</v>
          </cell>
          <cell r="B10675" t="str">
            <v>Software de recuperación o búsqueda de información</v>
          </cell>
        </row>
        <row r="10676">
          <cell r="A10676">
            <v>43232310</v>
          </cell>
          <cell r="B10676" t="str">
            <v>Software de manejo de metadata</v>
          </cell>
        </row>
        <row r="10677">
          <cell r="A10677">
            <v>43232311</v>
          </cell>
          <cell r="B10677" t="str">
            <v>Software de manejo de base de datos orientada al objeto</v>
          </cell>
        </row>
        <row r="10678">
          <cell r="A10678">
            <v>43232312</v>
          </cell>
          <cell r="B10678" t="str">
            <v>Software de servidor de portales</v>
          </cell>
        </row>
        <row r="10679">
          <cell r="A10679">
            <v>43232313</v>
          </cell>
          <cell r="B10679" t="str">
            <v>Software de servidor de transacciones</v>
          </cell>
        </row>
        <row r="10680">
          <cell r="A10680">
            <v>43232401</v>
          </cell>
          <cell r="B10680" t="str">
            <v>Software de manejo de configuraciones</v>
          </cell>
        </row>
        <row r="10681">
          <cell r="A10681">
            <v>43232402</v>
          </cell>
          <cell r="B10681" t="str">
            <v>Software de entorno de desarrollo</v>
          </cell>
        </row>
        <row r="10682">
          <cell r="A10682">
            <v>43232403</v>
          </cell>
          <cell r="B10682" t="str">
            <v>Software de integración de aplicaciones de empresas</v>
          </cell>
        </row>
        <row r="10683">
          <cell r="A10683">
            <v>43232404</v>
          </cell>
          <cell r="B10683" t="str">
            <v>Software de desarrollo de interface de usuario gráfica</v>
          </cell>
        </row>
        <row r="10684">
          <cell r="A10684">
            <v>43232405</v>
          </cell>
          <cell r="B10684" t="str">
            <v>Software de desarrollo orientado a objetos o componentes</v>
          </cell>
        </row>
        <row r="10685">
          <cell r="A10685">
            <v>43232406</v>
          </cell>
          <cell r="B10685" t="str">
            <v>Software de pruebas de programas</v>
          </cell>
        </row>
        <row r="10686">
          <cell r="A10686">
            <v>43232407</v>
          </cell>
          <cell r="B10686" t="str">
            <v>Software de arquitectura de sistemas y análisis de requerimientos</v>
          </cell>
        </row>
        <row r="10687">
          <cell r="A10687">
            <v>43232408</v>
          </cell>
          <cell r="B10687" t="str">
            <v>Software de desarrollo de plataformas web</v>
          </cell>
        </row>
        <row r="10688">
          <cell r="A10688">
            <v>43232409</v>
          </cell>
          <cell r="B10688" t="str">
            <v>Software para compilar y descompilar</v>
          </cell>
        </row>
        <row r="10689">
          <cell r="A10689">
            <v>43232501</v>
          </cell>
          <cell r="B10689" t="str">
            <v>Software de idiomas extranjeros (traductores)</v>
          </cell>
        </row>
        <row r="10690">
          <cell r="A10690">
            <v>43232502</v>
          </cell>
          <cell r="B10690" t="str">
            <v>Software de entrenamiento basado en computadores</v>
          </cell>
        </row>
        <row r="10691">
          <cell r="A10691">
            <v>43232503</v>
          </cell>
          <cell r="B10691" t="str">
            <v>Correctores de ortografía</v>
          </cell>
        </row>
        <row r="10692">
          <cell r="A10692">
            <v>43232504</v>
          </cell>
          <cell r="B10692" t="str">
            <v>Software de navegación de rutas</v>
          </cell>
        </row>
        <row r="10693">
          <cell r="A10693">
            <v>43232601</v>
          </cell>
          <cell r="B10693" t="str">
            <v>Software de soporte de aviación en tierra</v>
          </cell>
        </row>
        <row r="10694">
          <cell r="A10694">
            <v>43232602</v>
          </cell>
          <cell r="B10694" t="str">
            <v>Software de pruebas de aviación</v>
          </cell>
        </row>
        <row r="10695">
          <cell r="A10695">
            <v>43232603</v>
          </cell>
          <cell r="B10695" t="str">
            <v>Software de manejo de instalaciones</v>
          </cell>
        </row>
        <row r="10696">
          <cell r="A10696">
            <v>43232604</v>
          </cell>
          <cell r="B10696" t="str">
            <v>Software de diseño asistido de computador cad</v>
          </cell>
        </row>
        <row r="10697">
          <cell r="A10697">
            <v>43232605</v>
          </cell>
          <cell r="B10697" t="str">
            <v>Software analítico o científico</v>
          </cell>
        </row>
        <row r="10698">
          <cell r="A10698">
            <v>43232606</v>
          </cell>
          <cell r="B10698" t="str">
            <v>Software de cumplimiento (compliance)</v>
          </cell>
        </row>
        <row r="10699">
          <cell r="A10699">
            <v>43232607</v>
          </cell>
          <cell r="B10699" t="str">
            <v>Software de control de vuelos</v>
          </cell>
        </row>
        <row r="10700">
          <cell r="A10700">
            <v>43232608</v>
          </cell>
          <cell r="B10700" t="str">
            <v>Software de control industrial</v>
          </cell>
        </row>
        <row r="10701">
          <cell r="A10701">
            <v>43232609</v>
          </cell>
          <cell r="B10701" t="str">
            <v>Software de bibliotecas</v>
          </cell>
        </row>
        <row r="10702">
          <cell r="A10702">
            <v>43232610</v>
          </cell>
          <cell r="B10702" t="str">
            <v>Software médico</v>
          </cell>
        </row>
        <row r="10703">
          <cell r="A10703">
            <v>43232611</v>
          </cell>
          <cell r="B10703" t="str">
            <v>Software de puntos de venta pos</v>
          </cell>
        </row>
        <row r="10704">
          <cell r="A10704">
            <v>43232612</v>
          </cell>
          <cell r="B10704" t="str">
            <v>Software de fabricación asistida por computador cam</v>
          </cell>
        </row>
        <row r="10705">
          <cell r="A10705">
            <v>43232701</v>
          </cell>
          <cell r="B10705" t="str">
            <v>Software de servidor de aplicaciones</v>
          </cell>
        </row>
        <row r="10706">
          <cell r="A10706">
            <v>43232702</v>
          </cell>
          <cell r="B10706" t="str">
            <v>Software de comunicaciones de escritorio</v>
          </cell>
        </row>
        <row r="10707">
          <cell r="A10707">
            <v>43232703</v>
          </cell>
          <cell r="B10707" t="str">
            <v>Software de respuesta de voz interactiva</v>
          </cell>
        </row>
        <row r="10708">
          <cell r="A10708">
            <v>43232704</v>
          </cell>
          <cell r="B10708" t="str">
            <v>Software de servicios de directorio por internet</v>
          </cell>
        </row>
        <row r="10709">
          <cell r="A10709">
            <v>43232705</v>
          </cell>
          <cell r="B10709" t="str">
            <v>Software de navegador de internet</v>
          </cell>
        </row>
        <row r="10710">
          <cell r="A10710">
            <v>43232801</v>
          </cell>
          <cell r="B10710" t="str">
            <v>Software de monitoreo de red</v>
          </cell>
        </row>
        <row r="10711">
          <cell r="A10711">
            <v>43232802</v>
          </cell>
          <cell r="B10711" t="str">
            <v>Software de optimización del sistema operativo de red</v>
          </cell>
        </row>
        <row r="10712">
          <cell r="A10712">
            <v>43232803</v>
          </cell>
          <cell r="B10712" t="str">
            <v>Software de manejo de red óptica</v>
          </cell>
        </row>
        <row r="10713">
          <cell r="A10713">
            <v>43232804</v>
          </cell>
          <cell r="B10713" t="str">
            <v>Software de administración</v>
          </cell>
        </row>
        <row r="10714">
          <cell r="A10714">
            <v>43232901</v>
          </cell>
          <cell r="B10714" t="str">
            <v>Software de acceso</v>
          </cell>
        </row>
        <row r="10715">
          <cell r="A10715">
            <v>43232902</v>
          </cell>
          <cell r="B10715" t="str">
            <v>Software de servidor de comunicaciones</v>
          </cell>
        </row>
        <row r="10716">
          <cell r="A10716">
            <v>43232903</v>
          </cell>
          <cell r="B10716" t="str">
            <v>Software de centro de contactos</v>
          </cell>
        </row>
        <row r="10717">
          <cell r="A10717">
            <v>43232904</v>
          </cell>
          <cell r="B10717" t="str">
            <v>Software de fax</v>
          </cell>
        </row>
        <row r="10718">
          <cell r="A10718">
            <v>43232905</v>
          </cell>
          <cell r="B10718" t="str">
            <v>Software de lan</v>
          </cell>
        </row>
        <row r="10719">
          <cell r="A10719">
            <v>43232906</v>
          </cell>
          <cell r="B10719" t="str">
            <v>Software de multiplexor</v>
          </cell>
        </row>
        <row r="10720">
          <cell r="A10720">
            <v>43232907</v>
          </cell>
          <cell r="B10720" t="str">
            <v>Software de almacenamiento de red</v>
          </cell>
        </row>
        <row r="10721">
          <cell r="A10721">
            <v>43232908</v>
          </cell>
          <cell r="B10721" t="str">
            <v>Software de interruptor o enrutador</v>
          </cell>
        </row>
        <row r="10722">
          <cell r="A10722">
            <v>43232909</v>
          </cell>
          <cell r="B10722" t="str">
            <v>Software y firmware de interruptor wan</v>
          </cell>
        </row>
        <row r="10723">
          <cell r="A10723">
            <v>43232910</v>
          </cell>
          <cell r="B10723" t="str">
            <v>Software inalámbrico</v>
          </cell>
        </row>
        <row r="10724">
          <cell r="A10724">
            <v>43232911</v>
          </cell>
          <cell r="B10724" t="str">
            <v>Software de emulación de terminal de conectividad de red</v>
          </cell>
        </row>
        <row r="10725">
          <cell r="A10725">
            <v>43232912</v>
          </cell>
          <cell r="B10725" t="str">
            <v>Software de puerta de acceso</v>
          </cell>
        </row>
        <row r="10726">
          <cell r="A10726">
            <v>43232913</v>
          </cell>
          <cell r="B10726" t="str">
            <v>Software de puente</v>
          </cell>
        </row>
        <row r="10727">
          <cell r="A10727">
            <v>43232914</v>
          </cell>
          <cell r="B10727" t="str">
            <v>Software de módem</v>
          </cell>
        </row>
        <row r="10728">
          <cell r="A10728">
            <v>43232915</v>
          </cell>
          <cell r="B10728" t="str">
            <v>Software de interconectividad de plataformas</v>
          </cell>
        </row>
        <row r="10729">
          <cell r="A10729">
            <v>43233001</v>
          </cell>
          <cell r="B10729" t="str">
            <v>Software de sistema de archivo</v>
          </cell>
        </row>
        <row r="10730">
          <cell r="A10730">
            <v>43233002</v>
          </cell>
          <cell r="B10730" t="str">
            <v>Software de sistema de operación de red</v>
          </cell>
        </row>
        <row r="10731">
          <cell r="A10731">
            <v>43233004</v>
          </cell>
          <cell r="B10731" t="str">
            <v>Software de sistema operativo</v>
          </cell>
        </row>
        <row r="10732">
          <cell r="A10732">
            <v>43233201</v>
          </cell>
          <cell r="B10732" t="str">
            <v>Software de servidor de autenticación</v>
          </cell>
        </row>
        <row r="10733">
          <cell r="A10733">
            <v>43233203</v>
          </cell>
          <cell r="B10733" t="str">
            <v>Software de manejo de seguridad de red o de redes privadas virtuales vpn</v>
          </cell>
        </row>
        <row r="10734">
          <cell r="A10734">
            <v>43233204</v>
          </cell>
          <cell r="B10734" t="str">
            <v>Software de equipos de seguridad de red y de redes privadas virtuales vpn</v>
          </cell>
        </row>
        <row r="10735">
          <cell r="A10735">
            <v>43233205</v>
          </cell>
          <cell r="B10735" t="str">
            <v>Software de seguridad de transacciones y de protección contra virus</v>
          </cell>
        </row>
        <row r="10736">
          <cell r="A10736">
            <v>43233401</v>
          </cell>
          <cell r="B10736" t="str">
            <v>Software de servidor de discos compactos cd</v>
          </cell>
        </row>
        <row r="10737">
          <cell r="A10737">
            <v>43233402</v>
          </cell>
          <cell r="B10737" t="str">
            <v>Software de conversión de información</v>
          </cell>
        </row>
        <row r="10738">
          <cell r="A10738">
            <v>43233403</v>
          </cell>
          <cell r="B10738" t="str">
            <v>Software de compresión de información</v>
          </cell>
        </row>
        <row r="10739">
          <cell r="A10739">
            <v>43233404</v>
          </cell>
          <cell r="B10739" t="str">
            <v>Software discos compactos cd o dvd o tarjetas de sonido</v>
          </cell>
        </row>
        <row r="10740">
          <cell r="A10740">
            <v>43233405</v>
          </cell>
          <cell r="B10740" t="str">
            <v>Software de controladores o sistemas de dispositivos</v>
          </cell>
        </row>
        <row r="10741">
          <cell r="A10741">
            <v>43233406</v>
          </cell>
          <cell r="B10741" t="str">
            <v>Software de controladores de ethernet</v>
          </cell>
        </row>
        <row r="10742">
          <cell r="A10742">
            <v>43233407</v>
          </cell>
          <cell r="B10742" t="str">
            <v>Software de controladores de tarjetas de gráficos</v>
          </cell>
        </row>
        <row r="10743">
          <cell r="A10743">
            <v>43233410</v>
          </cell>
          <cell r="B10743" t="str">
            <v>Software de controladores de impresoras</v>
          </cell>
        </row>
        <row r="10744">
          <cell r="A10744">
            <v>43233411</v>
          </cell>
          <cell r="B10744" t="str">
            <v>Software de protectores de pantalla</v>
          </cell>
        </row>
        <row r="10745">
          <cell r="A10745">
            <v>43233413</v>
          </cell>
          <cell r="B10745" t="str">
            <v>Software de reconocimiento de voz</v>
          </cell>
        </row>
        <row r="10746">
          <cell r="A10746">
            <v>43233414</v>
          </cell>
          <cell r="B10746" t="str">
            <v>Software de carga de almacenamiento de medios</v>
          </cell>
        </row>
        <row r="10747">
          <cell r="A10747">
            <v>43233415</v>
          </cell>
          <cell r="B10747" t="str">
            <v>Software de respaldo o archivo</v>
          </cell>
        </row>
        <row r="10748">
          <cell r="A10748">
            <v>43233501</v>
          </cell>
          <cell r="B10748" t="str">
            <v>Software de correo electrónico</v>
          </cell>
        </row>
        <row r="10749">
          <cell r="A10749">
            <v>43233502</v>
          </cell>
          <cell r="B10749" t="str">
            <v>Software de video conferencias</v>
          </cell>
        </row>
        <row r="10750">
          <cell r="A10750">
            <v>43233503</v>
          </cell>
          <cell r="B10750" t="str">
            <v>Software de conferencias de red</v>
          </cell>
        </row>
        <row r="10751">
          <cell r="A10751">
            <v>43233504</v>
          </cell>
          <cell r="B10751" t="str">
            <v>Software de mensajería instantánea</v>
          </cell>
        </row>
        <row r="10752">
          <cell r="A10752">
            <v>43233505</v>
          </cell>
          <cell r="B10752" t="str">
            <v>Software de música ambiental o publicidad para mensajería</v>
          </cell>
        </row>
        <row r="10753">
          <cell r="A10753">
            <v>43233506</v>
          </cell>
          <cell r="B10753" t="str">
            <v>Software de creación de mapas</v>
          </cell>
        </row>
        <row r="10754">
          <cell r="A10754">
            <v>43233507</v>
          </cell>
          <cell r="B10754" t="str">
            <v>Software estándar específico para operadores de móviles</v>
          </cell>
        </row>
        <row r="10755">
          <cell r="A10755">
            <v>43233508</v>
          </cell>
          <cell r="B10755" t="str">
            <v>Software de aplicación específica para operadores de móviles</v>
          </cell>
        </row>
        <row r="10756">
          <cell r="A10756">
            <v>43233509</v>
          </cell>
          <cell r="B10756" t="str">
            <v>Software de servicios de mensajería para móviles</v>
          </cell>
        </row>
        <row r="10757">
          <cell r="A10757">
            <v>43233510</v>
          </cell>
          <cell r="B10757" t="str">
            <v>Software de servicios de internet para móviles</v>
          </cell>
        </row>
        <row r="10758">
          <cell r="A10758">
            <v>43233511</v>
          </cell>
          <cell r="B10758" t="str">
            <v>Software de servicios basados en ubicación para móviles</v>
          </cell>
        </row>
        <row r="10759">
          <cell r="A10759">
            <v>44101501</v>
          </cell>
          <cell r="B10759" t="str">
            <v>Fotocopiadoras</v>
          </cell>
        </row>
        <row r="10760">
          <cell r="A10760">
            <v>44101502</v>
          </cell>
          <cell r="B10760" t="str">
            <v>Aparatos de fax</v>
          </cell>
        </row>
        <row r="10761">
          <cell r="A10761">
            <v>44101503</v>
          </cell>
          <cell r="B10761" t="str">
            <v>Máquinas multifuncionales</v>
          </cell>
        </row>
        <row r="10762">
          <cell r="A10762">
            <v>44101504</v>
          </cell>
          <cell r="B10762" t="str">
            <v>Emisores (senders) digitales</v>
          </cell>
        </row>
        <row r="10763">
          <cell r="A10763">
            <v>44101505</v>
          </cell>
          <cell r="B10763" t="str">
            <v>Duplicadores digitales</v>
          </cell>
        </row>
        <row r="10764">
          <cell r="A10764">
            <v>44101506</v>
          </cell>
          <cell r="B10764" t="str">
            <v>Máquinas de interruptor de fax</v>
          </cell>
        </row>
        <row r="10765">
          <cell r="A10765">
            <v>44101601</v>
          </cell>
          <cell r="B10765" t="str">
            <v>Máquinas cortadoras de papel o accesorios</v>
          </cell>
        </row>
        <row r="10766">
          <cell r="A10766">
            <v>44101602</v>
          </cell>
          <cell r="B10766" t="str">
            <v>Máquinas perforadoras o para unir papel</v>
          </cell>
        </row>
        <row r="10767">
          <cell r="A10767">
            <v>44101603</v>
          </cell>
          <cell r="B10767" t="str">
            <v>Máquinas trituradoras de papel o accesorios</v>
          </cell>
        </row>
        <row r="10768">
          <cell r="A10768">
            <v>44101604</v>
          </cell>
          <cell r="B10768" t="str">
            <v>Tablas de protección de base</v>
          </cell>
        </row>
        <row r="10769">
          <cell r="A10769">
            <v>44101605</v>
          </cell>
          <cell r="B10769" t="str">
            <v>Máquinas para emparejar papel</v>
          </cell>
        </row>
        <row r="10770">
          <cell r="A10770">
            <v>44101606</v>
          </cell>
          <cell r="B10770" t="str">
            <v>Máquinas para clasificar papel</v>
          </cell>
        </row>
        <row r="10771">
          <cell r="A10771">
            <v>44101701</v>
          </cell>
          <cell r="B10771" t="str">
            <v>Opciones de color o actualizaciones</v>
          </cell>
        </row>
        <row r="10772">
          <cell r="A10772">
            <v>44101702</v>
          </cell>
          <cell r="B10772" t="str">
            <v>Bandejas de impresión a doble cara</v>
          </cell>
        </row>
        <row r="10773">
          <cell r="A10773">
            <v>44101703</v>
          </cell>
          <cell r="B10773" t="str">
            <v>Unidades de impresión a doble cara</v>
          </cell>
        </row>
        <row r="10774">
          <cell r="A10774">
            <v>44101704</v>
          </cell>
          <cell r="B10774" t="str">
            <v>Terminales de facsímil</v>
          </cell>
        </row>
        <row r="10775">
          <cell r="A10775">
            <v>44101705</v>
          </cell>
          <cell r="B10775" t="str">
            <v>Bandejas o alimentadores de máquinas de oficina</v>
          </cell>
        </row>
        <row r="10776">
          <cell r="A10776">
            <v>44101706</v>
          </cell>
          <cell r="B10776" t="str">
            <v>Unidades de fotoconductores o imágenes</v>
          </cell>
        </row>
        <row r="10777">
          <cell r="A10777">
            <v>44101707</v>
          </cell>
          <cell r="B10777" t="str">
            <v>Unidades de grapadoras</v>
          </cell>
        </row>
        <row r="10778">
          <cell r="A10778">
            <v>44101708</v>
          </cell>
          <cell r="B10778" t="str">
            <v>Filtros de ozono</v>
          </cell>
        </row>
        <row r="10779">
          <cell r="A10779">
            <v>44101709</v>
          </cell>
          <cell r="B10779" t="str">
            <v>Ensamblajes de réplica</v>
          </cell>
        </row>
        <row r="10780">
          <cell r="A10780">
            <v>44101710</v>
          </cell>
          <cell r="B10780" t="str">
            <v>Ensamblajes magnéticos de recogida</v>
          </cell>
        </row>
        <row r="10781">
          <cell r="A10781">
            <v>44101711</v>
          </cell>
          <cell r="B10781" t="str">
            <v>Compresor de ensamblaje</v>
          </cell>
        </row>
        <row r="10782">
          <cell r="A10782">
            <v>44101712</v>
          </cell>
          <cell r="B10782" t="str">
            <v>Apiladores de buzón de correo</v>
          </cell>
        </row>
        <row r="10783">
          <cell r="A10783">
            <v>44101713</v>
          </cell>
          <cell r="B10783" t="str">
            <v>Contadores de copias</v>
          </cell>
        </row>
        <row r="10784">
          <cell r="A10784">
            <v>44101714</v>
          </cell>
          <cell r="B10784" t="str">
            <v>Unidades de facsímil para máquinas de oficina</v>
          </cell>
        </row>
        <row r="10785">
          <cell r="A10785">
            <v>44101715</v>
          </cell>
          <cell r="B10785" t="str">
            <v>Cubiertas de platinas</v>
          </cell>
        </row>
        <row r="10786">
          <cell r="A10786">
            <v>44101716</v>
          </cell>
          <cell r="B10786" t="str">
            <v>Unidades de perforación de orificios</v>
          </cell>
        </row>
        <row r="10787">
          <cell r="A10787">
            <v>44101718</v>
          </cell>
          <cell r="B10787" t="str">
            <v>Adaptadores infrarrojos</v>
          </cell>
        </row>
        <row r="10788">
          <cell r="A10788">
            <v>44101719</v>
          </cell>
          <cell r="B10788" t="str">
            <v>Accesorios de copiado o escaneado</v>
          </cell>
        </row>
        <row r="10789">
          <cell r="A10789">
            <v>44101720</v>
          </cell>
          <cell r="B10789" t="str">
            <v>Fuentes de lenguaje</v>
          </cell>
        </row>
        <row r="10790">
          <cell r="A10790">
            <v>44101721</v>
          </cell>
          <cell r="B10790" t="str">
            <v>Husos de medios</v>
          </cell>
        </row>
        <row r="10791">
          <cell r="A10791">
            <v>44101722</v>
          </cell>
          <cell r="B10791" t="str">
            <v>Actualizaciones de energía de buzón de correo multi recipientes</v>
          </cell>
        </row>
        <row r="10792">
          <cell r="A10792">
            <v>44101723</v>
          </cell>
          <cell r="B10792" t="str">
            <v>Buzones de correo multi recipientes</v>
          </cell>
        </row>
        <row r="10793">
          <cell r="A10793">
            <v>44101724</v>
          </cell>
          <cell r="B10793" t="str">
            <v>Actualizaciones de multi funciones</v>
          </cell>
        </row>
        <row r="10794">
          <cell r="A10794">
            <v>44101725</v>
          </cell>
          <cell r="B10794" t="str">
            <v>Gabinetes de impresora</v>
          </cell>
        </row>
        <row r="10795">
          <cell r="A10795">
            <v>44101726</v>
          </cell>
          <cell r="B10795" t="str">
            <v>Actualizaciones de emulación de impresoras</v>
          </cell>
        </row>
        <row r="10796">
          <cell r="A10796">
            <v>44101727</v>
          </cell>
          <cell r="B10796" t="str">
            <v>Puestos para impresoras</v>
          </cell>
        </row>
        <row r="10797">
          <cell r="A10797">
            <v>44101728</v>
          </cell>
          <cell r="B10797" t="str">
            <v>Alimentadores de rollos</v>
          </cell>
        </row>
        <row r="10798">
          <cell r="A10798">
            <v>44101729</v>
          </cell>
          <cell r="B10798" t="str">
            <v>Apiladores de salida</v>
          </cell>
        </row>
        <row r="10799">
          <cell r="A10799">
            <v>44101801</v>
          </cell>
          <cell r="B10799" t="str">
            <v>Calculadoras o accesorios</v>
          </cell>
        </row>
        <row r="10800">
          <cell r="A10800">
            <v>44101802</v>
          </cell>
          <cell r="B10800" t="str">
            <v>Máquinas sumadoras</v>
          </cell>
        </row>
        <row r="10801">
          <cell r="A10801">
            <v>44101803</v>
          </cell>
          <cell r="B10801" t="str">
            <v>Máquinas contabilizadoras</v>
          </cell>
        </row>
        <row r="10802">
          <cell r="A10802">
            <v>44101804</v>
          </cell>
          <cell r="B10802" t="str">
            <v>Cajas registradoras</v>
          </cell>
        </row>
        <row r="10803">
          <cell r="A10803">
            <v>44101805</v>
          </cell>
          <cell r="B10803" t="str">
            <v>Cintas para calculadoras</v>
          </cell>
        </row>
        <row r="10804">
          <cell r="A10804">
            <v>44101806</v>
          </cell>
          <cell r="B10804" t="str">
            <v>Cintas para cajas registradoras</v>
          </cell>
        </row>
        <row r="10805">
          <cell r="A10805">
            <v>44101901</v>
          </cell>
          <cell r="B10805" t="str">
            <v>Máquinas de endoso de cheques</v>
          </cell>
        </row>
        <row r="10806">
          <cell r="A10806">
            <v>44101902</v>
          </cell>
          <cell r="B10806" t="str">
            <v>Máquinas para escribir cheques</v>
          </cell>
        </row>
        <row r="10807">
          <cell r="A10807">
            <v>44102001</v>
          </cell>
          <cell r="B10807" t="str">
            <v>Película de laminación</v>
          </cell>
        </row>
        <row r="10808">
          <cell r="A10808">
            <v>44102002</v>
          </cell>
          <cell r="B10808" t="str">
            <v>Bolsas de laminadores</v>
          </cell>
        </row>
        <row r="10809">
          <cell r="A10809">
            <v>44102003</v>
          </cell>
          <cell r="B10809" t="str">
            <v>Láminas de transferencia</v>
          </cell>
        </row>
        <row r="10810">
          <cell r="A10810">
            <v>44102004</v>
          </cell>
          <cell r="B10810" t="str">
            <v>Láminas creativas</v>
          </cell>
        </row>
        <row r="10811">
          <cell r="A10811">
            <v>44102101</v>
          </cell>
          <cell r="B10811" t="str">
            <v>Máquinas de franqueo o estampillado</v>
          </cell>
        </row>
        <row r="10812">
          <cell r="A10812">
            <v>44102102</v>
          </cell>
          <cell r="B10812" t="str">
            <v>Máquinas para abrir correspondencia</v>
          </cell>
        </row>
        <row r="10813">
          <cell r="A10813">
            <v>44102103</v>
          </cell>
          <cell r="B10813" t="str">
            <v>Máquinas para sellar correspondencia</v>
          </cell>
        </row>
        <row r="10814">
          <cell r="A10814">
            <v>44102104</v>
          </cell>
          <cell r="B10814" t="str">
            <v>Máquinas para cancelar estampillas</v>
          </cell>
        </row>
        <row r="10815">
          <cell r="A10815">
            <v>44102105</v>
          </cell>
          <cell r="B10815" t="str">
            <v>Máquinas para direcciones</v>
          </cell>
        </row>
        <row r="10816">
          <cell r="A10816">
            <v>44102106</v>
          </cell>
          <cell r="B10816" t="str">
            <v>Dobladores de cartas</v>
          </cell>
        </row>
        <row r="10817">
          <cell r="A10817">
            <v>44102107</v>
          </cell>
          <cell r="B10817" t="str">
            <v>Colocadores de estampillas</v>
          </cell>
        </row>
        <row r="10818">
          <cell r="A10818">
            <v>44102108</v>
          </cell>
          <cell r="B10818" t="str">
            <v>Accesorios para máquinas de correo</v>
          </cell>
        </row>
        <row r="10819">
          <cell r="A10819">
            <v>44102201</v>
          </cell>
          <cell r="B10819" t="str">
            <v>Endosador</v>
          </cell>
        </row>
        <row r="10820">
          <cell r="A10820">
            <v>44102202</v>
          </cell>
          <cell r="B10820" t="str">
            <v>Alimentadores de documentos para escáneres</v>
          </cell>
        </row>
        <row r="10821">
          <cell r="A10821">
            <v>44102203</v>
          </cell>
          <cell r="B10821" t="str">
            <v>Adaptadores de transparencia para escáneres</v>
          </cell>
        </row>
        <row r="10822">
          <cell r="A10822">
            <v>44102301</v>
          </cell>
          <cell r="B10822" t="str">
            <v>Máquinas de agrupación</v>
          </cell>
        </row>
        <row r="10823">
          <cell r="A10823">
            <v>44102302</v>
          </cell>
          <cell r="B10823" t="str">
            <v>Máquinas para envolver paquetes</v>
          </cell>
        </row>
        <row r="10824">
          <cell r="A10824">
            <v>44102303</v>
          </cell>
          <cell r="B10824" t="str">
            <v>Prensas de sellamiento</v>
          </cell>
        </row>
        <row r="10825">
          <cell r="A10825">
            <v>44102304</v>
          </cell>
          <cell r="B10825" t="str">
            <v>Máquinas selladoras</v>
          </cell>
        </row>
        <row r="10826">
          <cell r="A10826">
            <v>44102305</v>
          </cell>
          <cell r="B10826" t="str">
            <v>Tensionadores o selladoras para zunchado</v>
          </cell>
        </row>
        <row r="10827">
          <cell r="A10827">
            <v>44102306</v>
          </cell>
          <cell r="B10827" t="str">
            <v>Máquinas para amarrar</v>
          </cell>
        </row>
        <row r="10828">
          <cell r="A10828">
            <v>44102307</v>
          </cell>
          <cell r="B10828" t="str">
            <v>Intercaladores</v>
          </cell>
        </row>
        <row r="10829">
          <cell r="A10829">
            <v>44102402</v>
          </cell>
          <cell r="B10829" t="str">
            <v>Máquinas para fechar o numerar</v>
          </cell>
        </row>
        <row r="10830">
          <cell r="A10830">
            <v>44102403</v>
          </cell>
          <cell r="B10830" t="str">
            <v>Máquinas de prensa de identificación id</v>
          </cell>
        </row>
        <row r="10831">
          <cell r="A10831">
            <v>44102404</v>
          </cell>
          <cell r="B10831" t="str">
            <v>Máquinas para aplicar de etiquetas</v>
          </cell>
        </row>
        <row r="10832">
          <cell r="A10832">
            <v>44102405</v>
          </cell>
          <cell r="B10832" t="str">
            <v>Máquinas para hacer etiquetas</v>
          </cell>
        </row>
        <row r="10833">
          <cell r="A10833">
            <v>44102406</v>
          </cell>
          <cell r="B10833" t="str">
            <v>Equipos para rotulado</v>
          </cell>
        </row>
        <row r="10834">
          <cell r="A10834">
            <v>44102407</v>
          </cell>
          <cell r="B10834" t="str">
            <v>Grabadora de relieve para cinta</v>
          </cell>
        </row>
        <row r="10835">
          <cell r="A10835">
            <v>44102408</v>
          </cell>
          <cell r="B10835" t="str">
            <v>Sistemas de etiquetado automático</v>
          </cell>
        </row>
        <row r="10836">
          <cell r="A10836">
            <v>44102409</v>
          </cell>
          <cell r="B10836" t="str">
            <v>Sistemas de etiquetado semiautomáticos</v>
          </cell>
        </row>
        <row r="10837">
          <cell r="A10837">
            <v>44102411</v>
          </cell>
          <cell r="B10837" t="str">
            <v>Dispensadores de etiquetas</v>
          </cell>
        </row>
        <row r="10838">
          <cell r="A10838">
            <v>44102412</v>
          </cell>
          <cell r="B10838" t="str">
            <v>Cartuchos de etiquetas adhesivas</v>
          </cell>
        </row>
        <row r="10839">
          <cell r="A10839">
            <v>44102501</v>
          </cell>
          <cell r="B10839" t="str">
            <v>Máquinas contadoras de dinero</v>
          </cell>
        </row>
        <row r="10840">
          <cell r="A10840">
            <v>44102502</v>
          </cell>
          <cell r="B10840" t="str">
            <v>Sorteadoras</v>
          </cell>
        </row>
        <row r="10841">
          <cell r="A10841">
            <v>44102503</v>
          </cell>
          <cell r="B10841" t="str">
            <v>Máquinas para envolver monedas</v>
          </cell>
        </row>
        <row r="10842">
          <cell r="A10842">
            <v>44102602</v>
          </cell>
          <cell r="B10842" t="str">
            <v>Máquinas de escribir</v>
          </cell>
        </row>
        <row r="10843">
          <cell r="A10843">
            <v>44102603</v>
          </cell>
          <cell r="B10843" t="str">
            <v>Ruedas de margarita para impresoras</v>
          </cell>
        </row>
        <row r="10844">
          <cell r="A10844">
            <v>44102604</v>
          </cell>
          <cell r="B10844" t="str">
            <v>Máquinas de estenotipio</v>
          </cell>
        </row>
        <row r="10845">
          <cell r="A10845">
            <v>44102605</v>
          </cell>
          <cell r="B10845" t="str">
            <v>Máquinas para dictado</v>
          </cell>
        </row>
        <row r="10846">
          <cell r="A10846">
            <v>44102606</v>
          </cell>
          <cell r="B10846" t="str">
            <v>Cinta de máquinas de escribir</v>
          </cell>
        </row>
        <row r="10847">
          <cell r="A10847">
            <v>44102607</v>
          </cell>
          <cell r="B10847" t="str">
            <v>Procesadores de palabras</v>
          </cell>
        </row>
        <row r="10848">
          <cell r="A10848">
            <v>44102608</v>
          </cell>
          <cell r="B10848" t="str">
            <v>Elementos de impresión para máquinas de escribir</v>
          </cell>
        </row>
        <row r="10849">
          <cell r="A10849">
            <v>44102609</v>
          </cell>
          <cell r="B10849" t="str">
            <v>Kits de accesorios o suministros para máquinas de escribir</v>
          </cell>
        </row>
        <row r="10850">
          <cell r="A10850">
            <v>44102610</v>
          </cell>
          <cell r="B10850" t="str">
            <v>Kits de inicio para máquinas de escribir</v>
          </cell>
        </row>
        <row r="10851">
          <cell r="A10851">
            <v>44102801</v>
          </cell>
          <cell r="B10851" t="str">
            <v>Laminadoras</v>
          </cell>
        </row>
        <row r="10852">
          <cell r="A10852">
            <v>44102901</v>
          </cell>
          <cell r="B10852" t="str">
            <v>Kits de viaje para máquinas de oficina</v>
          </cell>
        </row>
        <row r="10853">
          <cell r="A10853">
            <v>44102902</v>
          </cell>
          <cell r="B10853" t="str">
            <v>Accesorios de almacenamiento para máquinas de almacenamiento</v>
          </cell>
        </row>
        <row r="10854">
          <cell r="A10854">
            <v>44102903</v>
          </cell>
          <cell r="B10854" t="str">
            <v>Limpiadoras de cinta</v>
          </cell>
        </row>
        <row r="10855">
          <cell r="A10855">
            <v>44102904</v>
          </cell>
          <cell r="B10855" t="str">
            <v>Aerosol de aire comprimido</v>
          </cell>
        </row>
        <row r="10856">
          <cell r="A10856">
            <v>44102905</v>
          </cell>
          <cell r="B10856" t="str">
            <v>Pequeñas bolsas de papel de sales absorbentes húmedas</v>
          </cell>
        </row>
        <row r="10857">
          <cell r="A10857">
            <v>44102906</v>
          </cell>
          <cell r="B10857" t="str">
            <v>Kits de limpieza de computadores o equipos de oficina</v>
          </cell>
        </row>
        <row r="10858">
          <cell r="A10858">
            <v>44102907</v>
          </cell>
          <cell r="B10858" t="str">
            <v>Forros para equipos para protegerlos del polvo</v>
          </cell>
        </row>
        <row r="10859">
          <cell r="A10859">
            <v>44102908</v>
          </cell>
          <cell r="B10859" t="str">
            <v>Limpiadores de discos compactos o removedores de rayones</v>
          </cell>
        </row>
        <row r="10860">
          <cell r="A10860">
            <v>44102909</v>
          </cell>
          <cell r="B10860" t="str">
            <v>Limpiadores de unidades de discos compactos</v>
          </cell>
        </row>
        <row r="10861">
          <cell r="A10861">
            <v>44102910</v>
          </cell>
          <cell r="B10861" t="str">
            <v>Laminadora</v>
          </cell>
        </row>
        <row r="10862">
          <cell r="A10862">
            <v>44102911</v>
          </cell>
          <cell r="B10862" t="str">
            <v>Pañitos limpiadores para máquinas de oficina</v>
          </cell>
        </row>
        <row r="10863">
          <cell r="A10863">
            <v>44102912</v>
          </cell>
          <cell r="B10863" t="str">
            <v>Soluciones limpiadoras para equipos de oficina</v>
          </cell>
        </row>
        <row r="10864">
          <cell r="A10864">
            <v>44102913</v>
          </cell>
          <cell r="B10864" t="str">
            <v>Destructor de discos compactos</v>
          </cell>
        </row>
        <row r="10865">
          <cell r="A10865">
            <v>44103001</v>
          </cell>
          <cell r="B10865" t="str">
            <v>Almohadillas o filtros limpiadores de fusores</v>
          </cell>
        </row>
        <row r="10866">
          <cell r="A10866">
            <v>44103002</v>
          </cell>
          <cell r="B10866" t="str">
            <v>Aceite de fusores</v>
          </cell>
        </row>
        <row r="10867">
          <cell r="A10867">
            <v>44103003</v>
          </cell>
          <cell r="B10867" t="str">
            <v>Limpiador de fusores</v>
          </cell>
        </row>
        <row r="10868">
          <cell r="A10868">
            <v>44103004</v>
          </cell>
          <cell r="B10868" t="str">
            <v>Fusores</v>
          </cell>
        </row>
        <row r="10869">
          <cell r="A10869">
            <v>44103005</v>
          </cell>
          <cell r="B10869" t="str">
            <v>Lámparas o ensamblajes de fusores</v>
          </cell>
        </row>
        <row r="10870">
          <cell r="A10870">
            <v>44103101</v>
          </cell>
          <cell r="B10870" t="str">
            <v>Correas de impresoras, fax o fotocopiadoras</v>
          </cell>
        </row>
        <row r="10871">
          <cell r="A10871">
            <v>44103103</v>
          </cell>
          <cell r="B10871" t="str">
            <v>Tóner para impresoras o fax</v>
          </cell>
        </row>
        <row r="10872">
          <cell r="A10872">
            <v>44103104</v>
          </cell>
          <cell r="B10872" t="str">
            <v>Rollos de transferencia</v>
          </cell>
        </row>
        <row r="10873">
          <cell r="A10873">
            <v>44103105</v>
          </cell>
          <cell r="B10873" t="str">
            <v>Cartuchos de tinta</v>
          </cell>
        </row>
        <row r="10874">
          <cell r="A10874">
            <v>44103106</v>
          </cell>
          <cell r="B10874" t="str">
            <v>Barras de tinta</v>
          </cell>
        </row>
        <row r="10875">
          <cell r="A10875">
            <v>44103107</v>
          </cell>
          <cell r="B10875" t="str">
            <v>Suministros de limpieza de impresoras o faxes o fotocopiadoras</v>
          </cell>
        </row>
        <row r="10876">
          <cell r="A10876">
            <v>44103108</v>
          </cell>
          <cell r="B10876" t="str">
            <v>Reveladores para impresoras o fotocopiadoras</v>
          </cell>
        </row>
        <row r="10877">
          <cell r="A10877">
            <v>44103109</v>
          </cell>
          <cell r="B10877" t="str">
            <v>Tambores para impresoras o faxes o fotocopiadoras</v>
          </cell>
        </row>
        <row r="10878">
          <cell r="A10878">
            <v>44103110</v>
          </cell>
          <cell r="B10878" t="str">
            <v>Cabezales de impresión</v>
          </cell>
        </row>
        <row r="10879">
          <cell r="A10879">
            <v>44103111</v>
          </cell>
          <cell r="B10879" t="str">
            <v>Rollos de tinta</v>
          </cell>
        </row>
        <row r="10880">
          <cell r="A10880">
            <v>44103112</v>
          </cell>
          <cell r="B10880" t="str">
            <v>Cinta de impresora</v>
          </cell>
        </row>
        <row r="10881">
          <cell r="A10881">
            <v>44103113</v>
          </cell>
          <cell r="B10881" t="str">
            <v>Kits de correctores de fase o inyección de tinta</v>
          </cell>
        </row>
        <row r="10882">
          <cell r="A10882">
            <v>44103114</v>
          </cell>
          <cell r="B10882" t="str">
            <v>Kits de recubrimiento de inyección de tinta</v>
          </cell>
        </row>
        <row r="10883">
          <cell r="A10883">
            <v>44103116</v>
          </cell>
          <cell r="B10883" t="str">
            <v>Kit para impresora</v>
          </cell>
        </row>
        <row r="10884">
          <cell r="A10884">
            <v>44103117</v>
          </cell>
          <cell r="B10884" t="str">
            <v>Cintas de fax</v>
          </cell>
        </row>
        <row r="10885">
          <cell r="A10885">
            <v>44103118</v>
          </cell>
          <cell r="B10885" t="str">
            <v>Película de transparencia</v>
          </cell>
        </row>
        <row r="10886">
          <cell r="A10886">
            <v>44103119</v>
          </cell>
          <cell r="B10886" t="str">
            <v>Papel de transferencia en caliente para copiadoras</v>
          </cell>
        </row>
        <row r="10887">
          <cell r="A10887">
            <v>44103120</v>
          </cell>
          <cell r="B10887" t="str">
            <v>Recolectores de tóner</v>
          </cell>
        </row>
        <row r="10888">
          <cell r="A10888">
            <v>44103121</v>
          </cell>
          <cell r="B10888" t="str">
            <v>Guías de rollo para impresoras, faxes o fotocopiadoras</v>
          </cell>
        </row>
        <row r="10889">
          <cell r="A10889">
            <v>44103122</v>
          </cell>
          <cell r="B10889" t="str">
            <v>Bandas de impresión</v>
          </cell>
        </row>
        <row r="10890">
          <cell r="A10890">
            <v>44103201</v>
          </cell>
          <cell r="B10890" t="str">
            <v>Máquina de tarjetas de tiempo</v>
          </cell>
        </row>
        <row r="10891">
          <cell r="A10891">
            <v>44103202</v>
          </cell>
          <cell r="B10891" t="str">
            <v>Máquinas estampadoras de tiempo</v>
          </cell>
        </row>
        <row r="10892">
          <cell r="A10892">
            <v>44103203</v>
          </cell>
          <cell r="B10892" t="str">
            <v>Cinta de repuesto para máquinas de tarjetas de tiempo</v>
          </cell>
        </row>
        <row r="10893">
          <cell r="A10893">
            <v>44103204</v>
          </cell>
          <cell r="B10893" t="str">
            <v>Estantes para tarjetas de tiempo</v>
          </cell>
        </row>
        <row r="10894">
          <cell r="A10894">
            <v>44103205</v>
          </cell>
          <cell r="B10894" t="str">
            <v>Tarjetas u hojas de tiempo</v>
          </cell>
        </row>
        <row r="10895">
          <cell r="A10895">
            <v>44103502</v>
          </cell>
          <cell r="B10895" t="str">
            <v>Tapas de encuadernación</v>
          </cell>
        </row>
        <row r="10896">
          <cell r="A10896">
            <v>44103503</v>
          </cell>
          <cell r="B10896" t="str">
            <v>Lomos o cierres de encuadernación</v>
          </cell>
        </row>
        <row r="10897">
          <cell r="A10897">
            <v>44103504</v>
          </cell>
          <cell r="B10897" t="str">
            <v>Alambres o espirales de encuadernación</v>
          </cell>
        </row>
        <row r="10898">
          <cell r="A10898">
            <v>44103505</v>
          </cell>
          <cell r="B10898" t="str">
            <v>Peinillas o tiras de encuadernación</v>
          </cell>
        </row>
        <row r="10899">
          <cell r="A10899">
            <v>44103506</v>
          </cell>
          <cell r="B10899" t="str">
            <v>Cinta de encuadernación</v>
          </cell>
        </row>
        <row r="10900">
          <cell r="A10900">
            <v>44103507</v>
          </cell>
          <cell r="B10900" t="str">
            <v>Kits de encuadernación</v>
          </cell>
        </row>
        <row r="10901">
          <cell r="A10901">
            <v>44103601</v>
          </cell>
          <cell r="B10901" t="str">
            <v>Trituradores de casetes o cintas</v>
          </cell>
        </row>
        <row r="10902">
          <cell r="A10902">
            <v>44111501</v>
          </cell>
          <cell r="B10902" t="str">
            <v>Sujetadores o dispensadores de mensajes</v>
          </cell>
        </row>
        <row r="10903">
          <cell r="A10903">
            <v>44111502</v>
          </cell>
          <cell r="B10903" t="str">
            <v>Organizadores de cajones de escritorio</v>
          </cell>
        </row>
        <row r="10904">
          <cell r="A10904">
            <v>44111503</v>
          </cell>
          <cell r="B10904" t="str">
            <v>Organizadores o bandejas para el escritorio</v>
          </cell>
        </row>
        <row r="10905">
          <cell r="A10905">
            <v>44111506</v>
          </cell>
          <cell r="B10905" t="str">
            <v>Sujetadores o dispensadores de papeles o tacos</v>
          </cell>
        </row>
        <row r="10906">
          <cell r="A10906">
            <v>44111507</v>
          </cell>
          <cell r="B10906" t="str">
            <v>Sujeta libros</v>
          </cell>
        </row>
        <row r="10907">
          <cell r="A10907">
            <v>44111509</v>
          </cell>
          <cell r="B10907" t="str">
            <v>Sujetadores de esferos o lápices</v>
          </cell>
        </row>
        <row r="10908">
          <cell r="A10908">
            <v>44111510</v>
          </cell>
          <cell r="B10908" t="str">
            <v>Organizadores o accesorios de colgar</v>
          </cell>
        </row>
        <row r="10909">
          <cell r="A10909">
            <v>44111511</v>
          </cell>
          <cell r="B10909" t="str">
            <v>Sistemas de despliegue o sus accesorios</v>
          </cell>
        </row>
        <row r="10910">
          <cell r="A10910">
            <v>44111512</v>
          </cell>
          <cell r="B10910" t="str">
            <v>Estante de literatura</v>
          </cell>
        </row>
        <row r="10911">
          <cell r="A10911">
            <v>44111513</v>
          </cell>
          <cell r="B10911" t="str">
            <v>Soportes para diarios o calendarios</v>
          </cell>
        </row>
        <row r="10912">
          <cell r="A10912">
            <v>44111514</v>
          </cell>
          <cell r="B10912" t="str">
            <v>Estantes u organizadores para estampillas</v>
          </cell>
        </row>
        <row r="10913">
          <cell r="A10913">
            <v>44111515</v>
          </cell>
          <cell r="B10913" t="str">
            <v>Cajas u organizadores de almacenamiento de archivos</v>
          </cell>
        </row>
        <row r="10914">
          <cell r="A10914">
            <v>44111516</v>
          </cell>
          <cell r="B10914" t="str">
            <v>Organizadores personales</v>
          </cell>
        </row>
        <row r="10915">
          <cell r="A10915">
            <v>44111517</v>
          </cell>
          <cell r="B10915" t="str">
            <v>Puestos de estudio</v>
          </cell>
        </row>
        <row r="10916">
          <cell r="A10916">
            <v>44111518</v>
          </cell>
          <cell r="B10916" t="str">
            <v>Sujetadores de tarjetas de presentación</v>
          </cell>
        </row>
        <row r="10917">
          <cell r="A10917">
            <v>44111519</v>
          </cell>
          <cell r="B10917" t="str">
            <v>Repisas de distribución de documentos</v>
          </cell>
        </row>
        <row r="10918">
          <cell r="A10918">
            <v>44111520</v>
          </cell>
          <cell r="B10918" t="str">
            <v>Almohadillas o protectores de superficie</v>
          </cell>
        </row>
        <row r="10919">
          <cell r="A10919">
            <v>44111521</v>
          </cell>
          <cell r="B10919" t="str">
            <v>Sujetadores de copias</v>
          </cell>
        </row>
        <row r="10920">
          <cell r="A10920">
            <v>44111601</v>
          </cell>
          <cell r="B10920" t="str">
            <v>Bolsas para billetes o billeteras</v>
          </cell>
        </row>
        <row r="10921">
          <cell r="A10921">
            <v>44111603</v>
          </cell>
          <cell r="B10921" t="str">
            <v>Sorteadores de monedas</v>
          </cell>
        </row>
        <row r="10922">
          <cell r="A10922">
            <v>44111604</v>
          </cell>
          <cell r="B10922" t="str">
            <v>Envoltorios para monedas o cintas para billetes</v>
          </cell>
        </row>
        <row r="10923">
          <cell r="A10923">
            <v>44111605</v>
          </cell>
          <cell r="B10923" t="str">
            <v>Cajas para efectivo o tiquetes</v>
          </cell>
        </row>
        <row r="10924">
          <cell r="A10924">
            <v>44111606</v>
          </cell>
          <cell r="B10924" t="str">
            <v>Bandejas de cajas de efectivo</v>
          </cell>
        </row>
        <row r="10925">
          <cell r="A10925">
            <v>44111607</v>
          </cell>
          <cell r="B10925" t="str">
            <v>Archivos de cheques</v>
          </cell>
        </row>
        <row r="10926">
          <cell r="A10926">
            <v>44111608</v>
          </cell>
          <cell r="B10926" t="str">
            <v>Bancos de monedas</v>
          </cell>
        </row>
        <row r="10927">
          <cell r="A10927">
            <v>44111609</v>
          </cell>
          <cell r="B10927" t="str">
            <v>Detectores de billetes falsos o suministros</v>
          </cell>
        </row>
        <row r="10928">
          <cell r="A10928">
            <v>44111610</v>
          </cell>
          <cell r="B10928" t="str">
            <v>Bandejas de monedas</v>
          </cell>
        </row>
        <row r="10929">
          <cell r="A10929">
            <v>44111611</v>
          </cell>
          <cell r="B10929" t="str">
            <v>Clips para billetes</v>
          </cell>
        </row>
        <row r="10930">
          <cell r="A10930">
            <v>44111612</v>
          </cell>
          <cell r="B10930" t="str">
            <v>Sellos para bolsas de monedas</v>
          </cell>
        </row>
        <row r="10931">
          <cell r="A10931">
            <v>44111613</v>
          </cell>
          <cell r="B10931" t="str">
            <v>Sujetadores de tarjetas de crédito</v>
          </cell>
        </row>
        <row r="10932">
          <cell r="A10932">
            <v>44111614</v>
          </cell>
          <cell r="B10932" t="str">
            <v>Estantes de correas de billetes</v>
          </cell>
        </row>
        <row r="10933">
          <cell r="A10933">
            <v>44111615</v>
          </cell>
          <cell r="B10933" t="str">
            <v>Bolsas de depósito</v>
          </cell>
        </row>
        <row r="10934">
          <cell r="A10934">
            <v>44111616</v>
          </cell>
          <cell r="B10934" t="str">
            <v>Separadores de cheques</v>
          </cell>
        </row>
        <row r="10935">
          <cell r="A10935">
            <v>44111801</v>
          </cell>
          <cell r="B10935" t="str">
            <v>Ayudas para esténciles o textos</v>
          </cell>
        </row>
        <row r="10936">
          <cell r="A10936">
            <v>44111802</v>
          </cell>
          <cell r="B10936" t="str">
            <v>Película de dibujo</v>
          </cell>
        </row>
        <row r="10937">
          <cell r="A10937">
            <v>44111803</v>
          </cell>
          <cell r="B10937" t="str">
            <v>Compases</v>
          </cell>
        </row>
        <row r="10938">
          <cell r="A10938">
            <v>44111804</v>
          </cell>
          <cell r="B10938" t="str">
            <v>Papeles de dibujo</v>
          </cell>
        </row>
        <row r="10939">
          <cell r="A10939">
            <v>44111805</v>
          </cell>
          <cell r="B10939" t="str">
            <v>Curvas</v>
          </cell>
        </row>
        <row r="10940">
          <cell r="A10940">
            <v>44111806</v>
          </cell>
          <cell r="B10940" t="str">
            <v>Transportadores</v>
          </cell>
        </row>
        <row r="10941">
          <cell r="A10941">
            <v>44111807</v>
          </cell>
          <cell r="B10941" t="str">
            <v>Escalas</v>
          </cell>
        </row>
        <row r="10942">
          <cell r="A10942">
            <v>44111808</v>
          </cell>
          <cell r="B10942" t="str">
            <v>Reglas t</v>
          </cell>
        </row>
        <row r="10943">
          <cell r="A10943">
            <v>44111809</v>
          </cell>
          <cell r="B10943" t="str">
            <v>Plantillas</v>
          </cell>
        </row>
        <row r="10944">
          <cell r="A10944">
            <v>44111810</v>
          </cell>
          <cell r="B10944" t="str">
            <v>Triángulos</v>
          </cell>
        </row>
        <row r="10945">
          <cell r="A10945">
            <v>44111812</v>
          </cell>
          <cell r="B10945" t="str">
            <v>Kits o sets de dibujo</v>
          </cell>
        </row>
        <row r="10946">
          <cell r="A10946">
            <v>44111813</v>
          </cell>
          <cell r="B10946" t="str">
            <v>Puntos o cintas de dibujo</v>
          </cell>
        </row>
        <row r="10947">
          <cell r="A10947">
            <v>44111814</v>
          </cell>
          <cell r="B10947" t="str">
            <v>Forros de protección para superficies de trabajo</v>
          </cell>
        </row>
        <row r="10948">
          <cell r="A10948">
            <v>44111815</v>
          </cell>
          <cell r="B10948" t="str">
            <v>Forros para mesas de dibujo</v>
          </cell>
        </row>
        <row r="10949">
          <cell r="A10949">
            <v>44111901</v>
          </cell>
          <cell r="B10949" t="str">
            <v>Tableros de planeación o accesorios</v>
          </cell>
        </row>
        <row r="10950">
          <cell r="A10950">
            <v>44111902</v>
          </cell>
          <cell r="B10950" t="str">
            <v>Tableros electrónicos de copia o accesorios</v>
          </cell>
        </row>
        <row r="10951">
          <cell r="A10951">
            <v>44111903</v>
          </cell>
          <cell r="B10951" t="str">
            <v>Caballetes o accesorios</v>
          </cell>
        </row>
        <row r="10952">
          <cell r="A10952">
            <v>44111904</v>
          </cell>
          <cell r="B10952" t="str">
            <v>Tableros de cartas o accesorios</v>
          </cell>
        </row>
        <row r="10953">
          <cell r="A10953">
            <v>44111905</v>
          </cell>
          <cell r="B10953" t="str">
            <v>Tableros de borrado en seco o accesorios</v>
          </cell>
        </row>
        <row r="10954">
          <cell r="A10954">
            <v>44111906</v>
          </cell>
          <cell r="B10954" t="str">
            <v>Tableros de tiza o accesorios</v>
          </cell>
        </row>
        <row r="10955">
          <cell r="A10955">
            <v>44111907</v>
          </cell>
          <cell r="B10955" t="str">
            <v>Tableros de noticias o accesorios</v>
          </cell>
        </row>
        <row r="10956">
          <cell r="A10956">
            <v>44111908</v>
          </cell>
          <cell r="B10956" t="str">
            <v>Tableros magnéticos o accesorios</v>
          </cell>
        </row>
        <row r="10957">
          <cell r="A10957">
            <v>44111909</v>
          </cell>
          <cell r="B10957" t="str">
            <v>Kits o accesorios para limpieza de tableros</v>
          </cell>
        </row>
        <row r="10958">
          <cell r="A10958">
            <v>44111910</v>
          </cell>
          <cell r="B10958" t="str">
            <v>Rieles o sujetadores para colgar tableros</v>
          </cell>
        </row>
        <row r="10959">
          <cell r="A10959">
            <v>44111911</v>
          </cell>
          <cell r="B10959" t="str">
            <v>Tableros blancos interactivos o accesorios</v>
          </cell>
        </row>
        <row r="10960">
          <cell r="A10960">
            <v>44112001</v>
          </cell>
          <cell r="B10960" t="str">
            <v>Libretas de direcciones o repuestos</v>
          </cell>
        </row>
        <row r="10961">
          <cell r="A10961">
            <v>44112002</v>
          </cell>
          <cell r="B10961" t="str">
            <v>Calendarios</v>
          </cell>
        </row>
        <row r="10962">
          <cell r="A10962">
            <v>44112004</v>
          </cell>
          <cell r="B10962" t="str">
            <v>Planeadores de reuniones</v>
          </cell>
        </row>
        <row r="10963">
          <cell r="A10963">
            <v>44112005</v>
          </cell>
          <cell r="B10963" t="str">
            <v>Libretas de citas o repuestos</v>
          </cell>
        </row>
        <row r="10964">
          <cell r="A10964">
            <v>44112006</v>
          </cell>
          <cell r="B10964" t="str">
            <v>Diarios o repuestos</v>
          </cell>
        </row>
        <row r="10965">
          <cell r="A10965">
            <v>44112007</v>
          </cell>
          <cell r="B10965" t="str">
            <v>Cajas de sugerencias</v>
          </cell>
        </row>
        <row r="10966">
          <cell r="A10966">
            <v>44112008</v>
          </cell>
          <cell r="B10966" t="str">
            <v>Planeadores de pared o repuestos</v>
          </cell>
        </row>
        <row r="10967">
          <cell r="A10967">
            <v>44121501</v>
          </cell>
          <cell r="B10967" t="str">
            <v>Tubos de sobres</v>
          </cell>
        </row>
        <row r="10968">
          <cell r="A10968">
            <v>44121503</v>
          </cell>
          <cell r="B10968" t="str">
            <v>Sobres</v>
          </cell>
        </row>
        <row r="10969">
          <cell r="A10969">
            <v>44121504</v>
          </cell>
          <cell r="B10969" t="str">
            <v>Sobres de ventana</v>
          </cell>
        </row>
        <row r="10970">
          <cell r="A10970">
            <v>44121505</v>
          </cell>
          <cell r="B10970" t="str">
            <v>Sobres especiales</v>
          </cell>
        </row>
        <row r="10971">
          <cell r="A10971">
            <v>44121506</v>
          </cell>
          <cell r="B10971" t="str">
            <v>Sobres estándar</v>
          </cell>
        </row>
        <row r="10972">
          <cell r="A10972">
            <v>44121507</v>
          </cell>
          <cell r="B10972" t="str">
            <v>Sobres de catálogos o de gancho</v>
          </cell>
        </row>
        <row r="10973">
          <cell r="A10973">
            <v>44121508</v>
          </cell>
          <cell r="B10973" t="str">
            <v>Repositorios para mensajes</v>
          </cell>
        </row>
        <row r="10974">
          <cell r="A10974">
            <v>44121509</v>
          </cell>
          <cell r="B10974" t="str">
            <v>Bolsas para correo</v>
          </cell>
        </row>
        <row r="10975">
          <cell r="A10975">
            <v>44121510</v>
          </cell>
          <cell r="B10975" t="str">
            <v>Sellos para correo</v>
          </cell>
        </row>
        <row r="10976">
          <cell r="A10976">
            <v>44121511</v>
          </cell>
          <cell r="B10976" t="str">
            <v>Cajas para correo</v>
          </cell>
        </row>
        <row r="10977">
          <cell r="A10977">
            <v>44121512</v>
          </cell>
          <cell r="B10977" t="str">
            <v>Tapas de tubos para correo</v>
          </cell>
        </row>
        <row r="10978">
          <cell r="A10978">
            <v>44121604</v>
          </cell>
          <cell r="B10978" t="str">
            <v>Estampillas</v>
          </cell>
        </row>
        <row r="10979">
          <cell r="A10979">
            <v>44121605</v>
          </cell>
          <cell r="B10979" t="str">
            <v>Dispensadores de cinta</v>
          </cell>
        </row>
        <row r="10980">
          <cell r="A10980">
            <v>44121611</v>
          </cell>
          <cell r="B10980" t="str">
            <v>Punzones para papel u ojales</v>
          </cell>
        </row>
        <row r="10981">
          <cell r="A10981">
            <v>44121612</v>
          </cell>
          <cell r="B10981" t="str">
            <v>Cortadoras de papel o repuestos</v>
          </cell>
        </row>
        <row r="10982">
          <cell r="A10982">
            <v>44121613</v>
          </cell>
          <cell r="B10982" t="str">
            <v>Removedores de grapas (saca ganchos)</v>
          </cell>
        </row>
        <row r="10983">
          <cell r="A10983">
            <v>44121614</v>
          </cell>
          <cell r="B10983" t="str">
            <v>Campanas de llamada</v>
          </cell>
        </row>
        <row r="10984">
          <cell r="A10984">
            <v>44121615</v>
          </cell>
          <cell r="B10984" t="str">
            <v>Grapadoras</v>
          </cell>
        </row>
        <row r="10985">
          <cell r="A10985">
            <v>44121617</v>
          </cell>
          <cell r="B10985" t="str">
            <v>Abridor manual de cartas</v>
          </cell>
        </row>
        <row r="10986">
          <cell r="A10986">
            <v>44121618</v>
          </cell>
          <cell r="B10986" t="str">
            <v>Tijeras</v>
          </cell>
        </row>
        <row r="10987">
          <cell r="A10987">
            <v>44121619</v>
          </cell>
          <cell r="B10987" t="str">
            <v>Tajalápices manuales</v>
          </cell>
        </row>
        <row r="10988">
          <cell r="A10988">
            <v>44121620</v>
          </cell>
          <cell r="B10988" t="str">
            <v>Protector de plástico para dedos</v>
          </cell>
        </row>
        <row r="10989">
          <cell r="A10989">
            <v>44121621</v>
          </cell>
          <cell r="B10989" t="str">
            <v>Almohadillas para escritorio o sus accesorios</v>
          </cell>
        </row>
        <row r="10990">
          <cell r="A10990">
            <v>44121622</v>
          </cell>
          <cell r="B10990" t="str">
            <v>Humidificadores</v>
          </cell>
        </row>
        <row r="10991">
          <cell r="A10991">
            <v>44121623</v>
          </cell>
          <cell r="B10991" t="str">
            <v>Abridor de cartas mecánico</v>
          </cell>
        </row>
        <row r="10992">
          <cell r="A10992">
            <v>44121624</v>
          </cell>
          <cell r="B10992" t="str">
            <v>Herramientas de grabado en relieve</v>
          </cell>
        </row>
        <row r="10993">
          <cell r="A10993">
            <v>44121625</v>
          </cell>
          <cell r="B10993" t="str">
            <v>Pisa papeles</v>
          </cell>
        </row>
        <row r="10994">
          <cell r="A10994">
            <v>44121626</v>
          </cell>
          <cell r="B10994" t="str">
            <v>Removedor de adhesivo</v>
          </cell>
        </row>
        <row r="10995">
          <cell r="A10995">
            <v>44121627</v>
          </cell>
          <cell r="B10995" t="str">
            <v>Marcadores de libros</v>
          </cell>
        </row>
        <row r="10996">
          <cell r="A10996">
            <v>44121628</v>
          </cell>
          <cell r="B10996" t="str">
            <v>Contenedores o dispensadores de clips</v>
          </cell>
        </row>
        <row r="10997">
          <cell r="A10997">
            <v>44121630</v>
          </cell>
          <cell r="B10997" t="str">
            <v>Kit de cosedora</v>
          </cell>
        </row>
        <row r="10998">
          <cell r="A10998">
            <v>44121631</v>
          </cell>
          <cell r="B10998" t="str">
            <v>Dispensadores de goma o repuestos</v>
          </cell>
        </row>
        <row r="10999">
          <cell r="A10999">
            <v>44121632</v>
          </cell>
          <cell r="B10999" t="str">
            <v>Afilador de tijeras</v>
          </cell>
        </row>
        <row r="11000">
          <cell r="A11000">
            <v>44121633</v>
          </cell>
          <cell r="B11000" t="str">
            <v>Dispensadores de estampillas postales</v>
          </cell>
        </row>
        <row r="11001">
          <cell r="A11001">
            <v>44121634</v>
          </cell>
          <cell r="B11001" t="str">
            <v>Rollos adhesivos</v>
          </cell>
        </row>
        <row r="11002">
          <cell r="A11002">
            <v>44121635</v>
          </cell>
          <cell r="B11002" t="str">
            <v>Husos para cinta adhesiva</v>
          </cell>
        </row>
        <row r="11003">
          <cell r="A11003">
            <v>44121701</v>
          </cell>
          <cell r="B11003" t="str">
            <v>Bolígrafos</v>
          </cell>
        </row>
        <row r="11004">
          <cell r="A11004">
            <v>44121702</v>
          </cell>
          <cell r="B11004" t="str">
            <v>Sets de esferos o lápices</v>
          </cell>
        </row>
        <row r="11005">
          <cell r="A11005">
            <v>44121703</v>
          </cell>
          <cell r="B11005" t="str">
            <v>Estilógrafos</v>
          </cell>
        </row>
        <row r="11006">
          <cell r="A11006">
            <v>44121704</v>
          </cell>
          <cell r="B11006" t="str">
            <v>Esferos de punta redonda</v>
          </cell>
        </row>
        <row r="11007">
          <cell r="A11007">
            <v>44121705</v>
          </cell>
          <cell r="B11007" t="str">
            <v>Lápices mecánicos</v>
          </cell>
        </row>
        <row r="11008">
          <cell r="A11008">
            <v>44121706</v>
          </cell>
          <cell r="B11008" t="str">
            <v>Lápices de madera</v>
          </cell>
        </row>
        <row r="11009">
          <cell r="A11009">
            <v>44121707</v>
          </cell>
          <cell r="B11009" t="str">
            <v>Lápices de colores</v>
          </cell>
        </row>
        <row r="11010">
          <cell r="A11010">
            <v>44121708</v>
          </cell>
          <cell r="B11010" t="str">
            <v>Marcadores</v>
          </cell>
        </row>
        <row r="11011">
          <cell r="A11011">
            <v>44121709</v>
          </cell>
          <cell r="B11011" t="str">
            <v>Crayolas</v>
          </cell>
        </row>
        <row r="11012">
          <cell r="A11012">
            <v>44121710</v>
          </cell>
          <cell r="B11012" t="str">
            <v>Tiza para escribir o accesorios</v>
          </cell>
        </row>
        <row r="11013">
          <cell r="A11013">
            <v>44121711</v>
          </cell>
          <cell r="B11013" t="str">
            <v>Rotuladores</v>
          </cell>
        </row>
        <row r="11014">
          <cell r="A11014">
            <v>44121712</v>
          </cell>
          <cell r="B11014" t="str">
            <v>Repuestos de marcadores</v>
          </cell>
        </row>
        <row r="11015">
          <cell r="A11015">
            <v>44121713</v>
          </cell>
          <cell r="B11015" t="str">
            <v>Plumas de estilógrafos</v>
          </cell>
        </row>
        <row r="11016">
          <cell r="A11016">
            <v>44121714</v>
          </cell>
          <cell r="B11016" t="str">
            <v>Asideras para lápices o esferos</v>
          </cell>
        </row>
        <row r="11017">
          <cell r="A11017">
            <v>44121715</v>
          </cell>
          <cell r="B11017" t="str">
            <v>Combinaciones de esfero y lápiz</v>
          </cell>
        </row>
        <row r="11018">
          <cell r="A11018">
            <v>44121716</v>
          </cell>
          <cell r="B11018" t="str">
            <v>Resaltadores</v>
          </cell>
        </row>
        <row r="11019">
          <cell r="A11019">
            <v>44121717</v>
          </cell>
          <cell r="B11019" t="str">
            <v>Combinación de esfero y resaltador</v>
          </cell>
        </row>
        <row r="11020">
          <cell r="A11020">
            <v>44121718</v>
          </cell>
          <cell r="B11020" t="str">
            <v>Sets de esferos asegurados</v>
          </cell>
        </row>
        <row r="11021">
          <cell r="A11021">
            <v>44121801</v>
          </cell>
          <cell r="B11021" t="str">
            <v>Película o cinta de corrección</v>
          </cell>
        </row>
        <row r="11022">
          <cell r="A11022">
            <v>44121802</v>
          </cell>
          <cell r="B11022" t="str">
            <v>Fluido de corrección</v>
          </cell>
        </row>
        <row r="11023">
          <cell r="A11023">
            <v>44121804</v>
          </cell>
          <cell r="B11023" t="str">
            <v>Borradores</v>
          </cell>
        </row>
        <row r="11024">
          <cell r="A11024">
            <v>44121805</v>
          </cell>
          <cell r="B11024" t="str">
            <v>Esferos de corrección</v>
          </cell>
        </row>
        <row r="11025">
          <cell r="A11025">
            <v>44121806</v>
          </cell>
          <cell r="B11025" t="str">
            <v>Repuestos para esferos de corrección</v>
          </cell>
        </row>
        <row r="11026">
          <cell r="A11026">
            <v>44121807</v>
          </cell>
          <cell r="B11026" t="str">
            <v>Repuestos para borradores</v>
          </cell>
        </row>
        <row r="11027">
          <cell r="A11027">
            <v>44121808</v>
          </cell>
          <cell r="B11027" t="str">
            <v>Borradores eléctricos</v>
          </cell>
        </row>
        <row r="11028">
          <cell r="A11028">
            <v>44121902</v>
          </cell>
          <cell r="B11028" t="str">
            <v>Repuestos de minas</v>
          </cell>
        </row>
        <row r="11029">
          <cell r="A11029">
            <v>44121904</v>
          </cell>
          <cell r="B11029" t="str">
            <v>Repuestos de tinta</v>
          </cell>
        </row>
        <row r="11030">
          <cell r="A11030">
            <v>44121905</v>
          </cell>
          <cell r="B11030" t="str">
            <v>Almohadillas de tinta o estampillas</v>
          </cell>
        </row>
        <row r="11031">
          <cell r="A11031">
            <v>44122001</v>
          </cell>
          <cell r="B11031" t="str">
            <v>Archivos para tarjetas de índex</v>
          </cell>
        </row>
        <row r="11032">
          <cell r="A11032">
            <v>44122002</v>
          </cell>
          <cell r="B11032" t="str">
            <v>Protectores de hojas</v>
          </cell>
        </row>
        <row r="11033">
          <cell r="A11033">
            <v>44122003</v>
          </cell>
          <cell r="B11033" t="str">
            <v>Carpetas</v>
          </cell>
        </row>
        <row r="11034">
          <cell r="A11034">
            <v>44122005</v>
          </cell>
          <cell r="B11034" t="str">
            <v>Cubiertas para revistas o libros</v>
          </cell>
        </row>
        <row r="11035">
          <cell r="A11035">
            <v>44122008</v>
          </cell>
          <cell r="B11035" t="str">
            <v>Índices de fichas</v>
          </cell>
        </row>
        <row r="11036">
          <cell r="A11036">
            <v>44122009</v>
          </cell>
          <cell r="B11036" t="str">
            <v>Archivos para tarjetas rotativas o de presentación</v>
          </cell>
        </row>
        <row r="11037">
          <cell r="A11037">
            <v>44122010</v>
          </cell>
          <cell r="B11037" t="str">
            <v>Separadores</v>
          </cell>
        </row>
        <row r="11038">
          <cell r="A11038">
            <v>44122011</v>
          </cell>
          <cell r="B11038" t="str">
            <v>Folders</v>
          </cell>
        </row>
        <row r="11039">
          <cell r="A11039">
            <v>44122012</v>
          </cell>
          <cell r="B11039" t="str">
            <v>Portapapeles</v>
          </cell>
        </row>
        <row r="11040">
          <cell r="A11040">
            <v>44122013</v>
          </cell>
          <cell r="B11040" t="str">
            <v>Cubiertas para informes</v>
          </cell>
        </row>
        <row r="11041">
          <cell r="A11041">
            <v>44122014</v>
          </cell>
          <cell r="B11041" t="str">
            <v>Levantadores de hojas</v>
          </cell>
        </row>
        <row r="11042">
          <cell r="A11042">
            <v>44122015</v>
          </cell>
          <cell r="B11042" t="str">
            <v>Respaldos para archivos</v>
          </cell>
        </row>
        <row r="11043">
          <cell r="A11043">
            <v>44122016</v>
          </cell>
          <cell r="B11043" t="str">
            <v>Sujetador de documentos</v>
          </cell>
        </row>
        <row r="11044">
          <cell r="A11044">
            <v>44122017</v>
          </cell>
          <cell r="B11044" t="str">
            <v>Folders de colgar o accesorios</v>
          </cell>
        </row>
        <row r="11045">
          <cell r="A11045">
            <v>44122018</v>
          </cell>
          <cell r="B11045" t="str">
            <v>Insertos o pestañas para archivos</v>
          </cell>
        </row>
        <row r="11046">
          <cell r="A11046">
            <v>44122019</v>
          </cell>
          <cell r="B11046" t="str">
            <v>Bolsillos para archivos o accesorios</v>
          </cell>
        </row>
        <row r="11047">
          <cell r="A11047">
            <v>44122020</v>
          </cell>
          <cell r="B11047" t="str">
            <v>Bolsillos para tarjetas</v>
          </cell>
        </row>
        <row r="11048">
          <cell r="A11048">
            <v>44122021</v>
          </cell>
          <cell r="B11048" t="str">
            <v>Álbumes de estampillas</v>
          </cell>
        </row>
        <row r="11049">
          <cell r="A11049">
            <v>44122022</v>
          </cell>
          <cell r="B11049" t="str">
            <v>Accesorios de carpetas de folders</v>
          </cell>
        </row>
        <row r="11050">
          <cell r="A11050">
            <v>44122023</v>
          </cell>
          <cell r="B11050" t="str">
            <v>Tabletas gráficas para arquitectura</v>
          </cell>
        </row>
        <row r="11051">
          <cell r="A11051">
            <v>44122024</v>
          </cell>
          <cell r="B11051" t="str">
            <v>Manijas de carpetas</v>
          </cell>
        </row>
        <row r="11052">
          <cell r="A11052">
            <v>44122025</v>
          </cell>
          <cell r="B11052" t="str">
            <v>Bolsillos de carpetas o accesorios</v>
          </cell>
        </row>
        <row r="11053">
          <cell r="A11053">
            <v>44122026</v>
          </cell>
          <cell r="B11053" t="str">
            <v>Garras para papel</v>
          </cell>
        </row>
        <row r="11054">
          <cell r="A11054">
            <v>44122027</v>
          </cell>
          <cell r="B11054" t="str">
            <v>Folders de archivo expandibles</v>
          </cell>
        </row>
        <row r="11055">
          <cell r="A11055">
            <v>44122028</v>
          </cell>
          <cell r="B11055" t="str">
            <v>Canales para montar carpetas</v>
          </cell>
        </row>
        <row r="11056">
          <cell r="A11056">
            <v>44122101</v>
          </cell>
          <cell r="B11056" t="str">
            <v>Cauchos</v>
          </cell>
        </row>
        <row r="11057">
          <cell r="A11057">
            <v>44122103</v>
          </cell>
          <cell r="B11057" t="str">
            <v>Sujetadores de cierre</v>
          </cell>
        </row>
        <row r="11058">
          <cell r="A11058">
            <v>44122104</v>
          </cell>
          <cell r="B11058" t="str">
            <v>Clips para papel</v>
          </cell>
        </row>
        <row r="11059">
          <cell r="A11059">
            <v>44122105</v>
          </cell>
          <cell r="B11059" t="str">
            <v>Clips para carpetas o bulldog</v>
          </cell>
        </row>
        <row r="11060">
          <cell r="A11060">
            <v>44122106</v>
          </cell>
          <cell r="B11060" t="str">
            <v>Alfileres o taches</v>
          </cell>
        </row>
        <row r="11061">
          <cell r="A11061">
            <v>44122107</v>
          </cell>
          <cell r="B11061" t="str">
            <v>Grapas</v>
          </cell>
        </row>
        <row r="11062">
          <cell r="A11062">
            <v>44122109</v>
          </cell>
          <cell r="B11062" t="str">
            <v>Sujetador de aro y bucle</v>
          </cell>
        </row>
        <row r="11063">
          <cell r="A11063">
            <v>44122110</v>
          </cell>
          <cell r="B11063" t="str">
            <v>Monturas adhesivas</v>
          </cell>
        </row>
        <row r="11064">
          <cell r="A11064">
            <v>44122111</v>
          </cell>
          <cell r="B11064" t="str">
            <v>Refuerzos para orificios</v>
          </cell>
        </row>
        <row r="11065">
          <cell r="A11065">
            <v>44122112</v>
          </cell>
          <cell r="B11065" t="str">
            <v>Sujetadores de cabeza redonda</v>
          </cell>
        </row>
        <row r="11066">
          <cell r="A11066">
            <v>44122113</v>
          </cell>
          <cell r="B11066" t="str">
            <v>Sujetadores de etiquetas</v>
          </cell>
        </row>
        <row r="11067">
          <cell r="A11067">
            <v>44122114</v>
          </cell>
          <cell r="B11067" t="str">
            <v>Postes roscados</v>
          </cell>
        </row>
        <row r="11068">
          <cell r="A11068">
            <v>44122115</v>
          </cell>
          <cell r="B11068" t="str">
            <v>Esquinas adhesivas</v>
          </cell>
        </row>
        <row r="11069">
          <cell r="A11069">
            <v>44122116</v>
          </cell>
          <cell r="B11069" t="str">
            <v>Clips de bolsas</v>
          </cell>
        </row>
        <row r="11070">
          <cell r="A11070">
            <v>44122117</v>
          </cell>
          <cell r="B11070" t="str">
            <v>Anillos para libros</v>
          </cell>
        </row>
        <row r="11071">
          <cell r="A11071">
            <v>44122118</v>
          </cell>
          <cell r="B11071" t="str">
            <v>Sujetadores de pinza</v>
          </cell>
        </row>
        <row r="11072">
          <cell r="A11072">
            <v>44122119</v>
          </cell>
          <cell r="B11072" t="str">
            <v>Sujetadores auto adhesivos</v>
          </cell>
        </row>
        <row r="11073">
          <cell r="A11073">
            <v>44122120</v>
          </cell>
          <cell r="B11073" t="str">
            <v>Postes de carpetas</v>
          </cell>
        </row>
        <row r="11074">
          <cell r="A11074">
            <v>44122121</v>
          </cell>
          <cell r="B11074" t="str">
            <v>Clips de pared o tablero</v>
          </cell>
        </row>
        <row r="11075">
          <cell r="A11075">
            <v>45101501</v>
          </cell>
          <cell r="B11075" t="str">
            <v>Impresoras heliográficas</v>
          </cell>
        </row>
        <row r="11076">
          <cell r="A11076">
            <v>45101502</v>
          </cell>
          <cell r="B11076" t="str">
            <v>Prensas de impresión de offset</v>
          </cell>
        </row>
        <row r="11077">
          <cell r="A11077">
            <v>45101503</v>
          </cell>
          <cell r="B11077" t="str">
            <v>Equipos de impresión tipográfica</v>
          </cell>
        </row>
        <row r="11078">
          <cell r="A11078">
            <v>45101504</v>
          </cell>
          <cell r="B11078" t="str">
            <v>Equipos litográficos</v>
          </cell>
        </row>
        <row r="11079">
          <cell r="A11079">
            <v>45101505</v>
          </cell>
          <cell r="B11079" t="str">
            <v>Máquinas impresoras de fotograbados</v>
          </cell>
        </row>
        <row r="11080">
          <cell r="A11080">
            <v>45101506</v>
          </cell>
          <cell r="B11080" t="str">
            <v>Máquinas de serigrafía</v>
          </cell>
        </row>
        <row r="11081">
          <cell r="A11081">
            <v>45101507</v>
          </cell>
          <cell r="B11081" t="str">
            <v>Prensas impresoras</v>
          </cell>
        </row>
        <row r="11082">
          <cell r="A11082">
            <v>45101508</v>
          </cell>
          <cell r="B11082" t="str">
            <v>Máquinas perforadoras</v>
          </cell>
        </row>
        <row r="11083">
          <cell r="A11083">
            <v>45101509</v>
          </cell>
          <cell r="B11083" t="str">
            <v>Impresora rotativa ultravioleta uv</v>
          </cell>
        </row>
        <row r="11084">
          <cell r="A11084">
            <v>45101510</v>
          </cell>
          <cell r="B11084" t="str">
            <v>Impresora flexo gráfica</v>
          </cell>
        </row>
        <row r="11085">
          <cell r="A11085">
            <v>45101511</v>
          </cell>
          <cell r="B11085" t="str">
            <v>Impresora de inyección de tinta para aplicaciones de impresión comercial</v>
          </cell>
        </row>
        <row r="11086">
          <cell r="A11086">
            <v>45101512</v>
          </cell>
          <cell r="B11086" t="str">
            <v>Impresora de transferencia térmica para aplicaciones de impresión comercial</v>
          </cell>
        </row>
        <row r="11087">
          <cell r="A11087">
            <v>45101513</v>
          </cell>
          <cell r="B11087" t="str">
            <v>Impresora de estampado en caliente</v>
          </cell>
        </row>
        <row r="11088">
          <cell r="A11088">
            <v>45101514</v>
          </cell>
          <cell r="B11088" t="str">
            <v>Impresora de almohadillas</v>
          </cell>
        </row>
        <row r="11089">
          <cell r="A11089">
            <v>45101515</v>
          </cell>
          <cell r="B11089" t="str">
            <v>Impresora básica</v>
          </cell>
        </row>
        <row r="11090">
          <cell r="A11090">
            <v>45101602</v>
          </cell>
          <cell r="B11090" t="str">
            <v>Equipos de cuarto oscuro de offset</v>
          </cell>
        </row>
        <row r="11091">
          <cell r="A11091">
            <v>45101603</v>
          </cell>
          <cell r="B11091" t="str">
            <v>Consumibles de impresión de offset</v>
          </cell>
        </row>
        <row r="11092">
          <cell r="A11092">
            <v>45101604</v>
          </cell>
          <cell r="B11092" t="str">
            <v>Procesadores de platinas de impresión de offset</v>
          </cell>
        </row>
        <row r="11093">
          <cell r="A11093">
            <v>45101606</v>
          </cell>
          <cell r="B11093" t="str">
            <v>Procesadores de película de offset</v>
          </cell>
        </row>
        <row r="11094">
          <cell r="A11094">
            <v>45101607</v>
          </cell>
          <cell r="B11094" t="str">
            <v>Lámparas de arco de serigrafía</v>
          </cell>
        </row>
        <row r="11095">
          <cell r="A11095">
            <v>45101608</v>
          </cell>
          <cell r="B11095" t="str">
            <v>Pantallas de serigrafía</v>
          </cell>
        </row>
        <row r="11096">
          <cell r="A11096">
            <v>45101609</v>
          </cell>
          <cell r="B11096" t="str">
            <v>Bastidores de impresión de serigrafía</v>
          </cell>
        </row>
        <row r="11097">
          <cell r="A11097">
            <v>45101610</v>
          </cell>
          <cell r="B11097" t="str">
            <v>Armazones de impresión al vacío de serigrafía</v>
          </cell>
        </row>
        <row r="11098">
          <cell r="A11098">
            <v>45101611</v>
          </cell>
          <cell r="B11098" t="str">
            <v>Escobillas de serigrafía</v>
          </cell>
        </row>
        <row r="11099">
          <cell r="A11099">
            <v>45101701</v>
          </cell>
          <cell r="B11099" t="str">
            <v>Ensambladoras de impresión</v>
          </cell>
        </row>
        <row r="11100">
          <cell r="A11100">
            <v>45101702</v>
          </cell>
          <cell r="B11100" t="str">
            <v>Guillotinas de impresión</v>
          </cell>
        </row>
        <row r="11101">
          <cell r="A11101">
            <v>45101703</v>
          </cell>
          <cell r="B11101" t="str">
            <v>Intercaladores o desintercaladores de impresión</v>
          </cell>
        </row>
        <row r="11102">
          <cell r="A11102">
            <v>45101704</v>
          </cell>
          <cell r="B11102" t="str">
            <v>Cortadoras de impresión</v>
          </cell>
        </row>
        <row r="11103">
          <cell r="A11103">
            <v>45101705</v>
          </cell>
          <cell r="B11103" t="str">
            <v>Bordeadoras de impresión</v>
          </cell>
        </row>
        <row r="11104">
          <cell r="A11104">
            <v>45101706</v>
          </cell>
          <cell r="B11104" t="str">
            <v>Punzones de impresión</v>
          </cell>
        </row>
        <row r="11105">
          <cell r="A11105">
            <v>45101707</v>
          </cell>
          <cell r="B11105" t="str">
            <v>Platinas de impresión</v>
          </cell>
        </row>
        <row r="11106">
          <cell r="A11106">
            <v>45101708</v>
          </cell>
          <cell r="B11106" t="str">
            <v>Leznas de impresión</v>
          </cell>
        </row>
        <row r="11107">
          <cell r="A11107">
            <v>45101801</v>
          </cell>
          <cell r="B11107" t="str">
            <v>Máquinas para arrugas de los libros</v>
          </cell>
        </row>
        <row r="11108">
          <cell r="A11108">
            <v>45101802</v>
          </cell>
          <cell r="B11108" t="str">
            <v>Máquinas cortadoras de libros</v>
          </cell>
        </row>
        <row r="11109">
          <cell r="A11109">
            <v>45101803</v>
          </cell>
          <cell r="B11109" t="str">
            <v>Máquinas perforadoras de libros</v>
          </cell>
        </row>
        <row r="11110">
          <cell r="A11110">
            <v>45101804</v>
          </cell>
          <cell r="B11110" t="str">
            <v>Máquinas cosedoras de libros</v>
          </cell>
        </row>
        <row r="11111">
          <cell r="A11111">
            <v>45101805</v>
          </cell>
          <cell r="B11111" t="str">
            <v>Máquinas de emparejamiento de libros</v>
          </cell>
        </row>
        <row r="11112">
          <cell r="A11112">
            <v>45101806</v>
          </cell>
          <cell r="B11112" t="str">
            <v>Máquinas recogedoras de libros</v>
          </cell>
        </row>
        <row r="11113">
          <cell r="A11113">
            <v>45101807</v>
          </cell>
          <cell r="B11113" t="str">
            <v>Máquinas dobladoras de libros</v>
          </cell>
        </row>
        <row r="11114">
          <cell r="A11114">
            <v>45101808</v>
          </cell>
          <cell r="B11114" t="str">
            <v>Máquinas de encuadernado térmico de libros</v>
          </cell>
        </row>
        <row r="11115">
          <cell r="A11115">
            <v>45101901</v>
          </cell>
          <cell r="B11115" t="str">
            <v>Máquinas de anillado de libros</v>
          </cell>
        </row>
        <row r="11116">
          <cell r="A11116">
            <v>45101902</v>
          </cell>
          <cell r="B11116" t="str">
            <v>Clisadores</v>
          </cell>
        </row>
        <row r="11117">
          <cell r="A11117">
            <v>45101903</v>
          </cell>
          <cell r="B11117" t="str">
            <v>Máquinas de perforación de papel</v>
          </cell>
        </row>
        <row r="11118">
          <cell r="A11118">
            <v>45101904</v>
          </cell>
          <cell r="B11118" t="str">
            <v>Alargadores</v>
          </cell>
        </row>
        <row r="11119">
          <cell r="A11119">
            <v>45101905</v>
          </cell>
          <cell r="B11119" t="str">
            <v>Tableros de dibujo o retoque</v>
          </cell>
        </row>
        <row r="11120">
          <cell r="A11120">
            <v>45102001</v>
          </cell>
          <cell r="B11120" t="str">
            <v>Máquinas de composición de intertipos</v>
          </cell>
        </row>
        <row r="11121">
          <cell r="A11121">
            <v>45102002</v>
          </cell>
          <cell r="B11121" t="str">
            <v>Máquinas de composición de linotipos</v>
          </cell>
        </row>
        <row r="11122">
          <cell r="A11122">
            <v>45102003</v>
          </cell>
          <cell r="B11122" t="str">
            <v>Materiales de fotocomposición</v>
          </cell>
        </row>
        <row r="11123">
          <cell r="A11123">
            <v>45102004</v>
          </cell>
          <cell r="B11123" t="str">
            <v>Máquinas de composición de monotipos</v>
          </cell>
        </row>
        <row r="11124">
          <cell r="A11124">
            <v>45102005</v>
          </cell>
          <cell r="B11124" t="str">
            <v>Máquinas de configuración de fototipos</v>
          </cell>
        </row>
        <row r="11125">
          <cell r="A11125">
            <v>45111501</v>
          </cell>
          <cell r="B11125" t="str">
            <v>Atriles autónomos</v>
          </cell>
        </row>
        <row r="11126">
          <cell r="A11126">
            <v>45111502</v>
          </cell>
          <cell r="B11126" t="str">
            <v>Atriles de mesa</v>
          </cell>
        </row>
        <row r="11127">
          <cell r="A11127">
            <v>45111503</v>
          </cell>
          <cell r="B11127" t="str">
            <v>Mazos o bloques de sonido</v>
          </cell>
        </row>
        <row r="11128">
          <cell r="A11128">
            <v>45111504</v>
          </cell>
          <cell r="B11128" t="str">
            <v>Componentes de luz o energía o datos para atriles</v>
          </cell>
        </row>
        <row r="11129">
          <cell r="A11129">
            <v>45111601</v>
          </cell>
          <cell r="B11129" t="str">
            <v>Señaladores</v>
          </cell>
        </row>
        <row r="11130">
          <cell r="A11130">
            <v>45111602</v>
          </cell>
          <cell r="B11130" t="str">
            <v>Lámparas de proyección</v>
          </cell>
        </row>
        <row r="11131">
          <cell r="A11131">
            <v>45111603</v>
          </cell>
          <cell r="B11131" t="str">
            <v>Pantallas o desplegadores para proyección</v>
          </cell>
        </row>
        <row r="11132">
          <cell r="A11132">
            <v>45111604</v>
          </cell>
          <cell r="B11132" t="str">
            <v>Proyectores de filminas</v>
          </cell>
        </row>
        <row r="11133">
          <cell r="A11133">
            <v>45111605</v>
          </cell>
          <cell r="B11133" t="str">
            <v>Equipos de transparencias o suministros</v>
          </cell>
        </row>
        <row r="11134">
          <cell r="A11134">
            <v>45111606</v>
          </cell>
          <cell r="B11134" t="str">
            <v>Paneles de proyección de despliegue de cristal líquido</v>
          </cell>
        </row>
        <row r="11135">
          <cell r="A11135">
            <v>45111607</v>
          </cell>
          <cell r="B11135" t="str">
            <v>Proyectores de techo</v>
          </cell>
        </row>
        <row r="11136">
          <cell r="A11136">
            <v>45111608</v>
          </cell>
          <cell r="B11136" t="str">
            <v>Proyectores de películas</v>
          </cell>
        </row>
        <row r="11137">
          <cell r="A11137">
            <v>45111609</v>
          </cell>
          <cell r="B11137" t="str">
            <v>Proyectores multimedia</v>
          </cell>
        </row>
        <row r="11138">
          <cell r="A11138">
            <v>45111610</v>
          </cell>
          <cell r="B11138" t="str">
            <v>Epidiascopios</v>
          </cell>
        </row>
        <row r="11139">
          <cell r="A11139">
            <v>45111612</v>
          </cell>
          <cell r="B11139" t="str">
            <v>Controles de disolución</v>
          </cell>
        </row>
        <row r="11140">
          <cell r="A11140">
            <v>45111613</v>
          </cell>
          <cell r="B11140" t="str">
            <v>Proyectores de tubo de rayo catódico</v>
          </cell>
        </row>
        <row r="11141">
          <cell r="A11141">
            <v>45111614</v>
          </cell>
          <cell r="B11141" t="str">
            <v>Proyectores de despliegue de cristal líquido</v>
          </cell>
        </row>
        <row r="11142">
          <cell r="A11142">
            <v>45111615</v>
          </cell>
          <cell r="B11142" t="str">
            <v>Lentes de proyección</v>
          </cell>
        </row>
        <row r="11143">
          <cell r="A11143">
            <v>45111616</v>
          </cell>
          <cell r="B11143" t="str">
            <v>Proyectores de video</v>
          </cell>
        </row>
        <row r="11144">
          <cell r="A11144">
            <v>45111617</v>
          </cell>
          <cell r="B11144" t="str">
            <v>Proyector de techo o carritos de video</v>
          </cell>
        </row>
        <row r="11145">
          <cell r="A11145">
            <v>45111618</v>
          </cell>
          <cell r="B11145" t="str">
            <v>Cajas de luces de presentaciones</v>
          </cell>
        </row>
        <row r="11146">
          <cell r="A11146">
            <v>45111620</v>
          </cell>
          <cell r="B11146" t="str">
            <v>Copiadora de películas de filminas</v>
          </cell>
        </row>
        <row r="11147">
          <cell r="A11147">
            <v>45111701</v>
          </cell>
          <cell r="B11147" t="str">
            <v>Dispositivos de audición asistida</v>
          </cell>
        </row>
        <row r="11148">
          <cell r="A11148">
            <v>45111702</v>
          </cell>
          <cell r="B11148" t="str">
            <v>Cajas de conectores de audio</v>
          </cell>
        </row>
        <row r="11149">
          <cell r="A11149">
            <v>45111703</v>
          </cell>
          <cell r="B11149" t="str">
            <v>Centros de escucha</v>
          </cell>
        </row>
        <row r="11150">
          <cell r="A11150">
            <v>45111704</v>
          </cell>
          <cell r="B11150" t="str">
            <v>Consolas de mezclado de audio</v>
          </cell>
        </row>
        <row r="11151">
          <cell r="A11151">
            <v>45111705</v>
          </cell>
          <cell r="B11151" t="str">
            <v>Sistemas de comunicación pública</v>
          </cell>
        </row>
        <row r="11152">
          <cell r="A11152">
            <v>45111801</v>
          </cell>
          <cell r="B11152" t="str">
            <v>Sistemas de control de medios</v>
          </cell>
        </row>
        <row r="11153">
          <cell r="A11153">
            <v>45111802</v>
          </cell>
          <cell r="B11153" t="str">
            <v>Soportes para televisiones</v>
          </cell>
        </row>
        <row r="11154">
          <cell r="A11154">
            <v>45111803</v>
          </cell>
          <cell r="B11154" t="str">
            <v>Convertidores de barrido (scan)</v>
          </cell>
        </row>
        <row r="11155">
          <cell r="A11155">
            <v>45111804</v>
          </cell>
          <cell r="B11155" t="str">
            <v>Duplicadores de línea</v>
          </cell>
        </row>
        <row r="11156">
          <cell r="A11156">
            <v>45111805</v>
          </cell>
          <cell r="B11156" t="str">
            <v>Editores de video</v>
          </cell>
        </row>
        <row r="11157">
          <cell r="A11157">
            <v>45111806</v>
          </cell>
          <cell r="B11157" t="str">
            <v>Sistemas de aprendizaje a distancia</v>
          </cell>
        </row>
        <row r="11158">
          <cell r="A11158">
            <v>45111807</v>
          </cell>
          <cell r="B11158" t="str">
            <v>Interfaces</v>
          </cell>
        </row>
        <row r="11159">
          <cell r="A11159">
            <v>45111808</v>
          </cell>
          <cell r="B11159" t="str">
            <v>Controles de iluminación</v>
          </cell>
        </row>
        <row r="11160">
          <cell r="A11160">
            <v>45111809</v>
          </cell>
          <cell r="B11160" t="str">
            <v>Accesorios de soporte de televisiones</v>
          </cell>
        </row>
        <row r="11161">
          <cell r="A11161">
            <v>45111810</v>
          </cell>
          <cell r="B11161" t="str">
            <v>Presentadores visuales</v>
          </cell>
        </row>
        <row r="11162">
          <cell r="A11162">
            <v>45111901</v>
          </cell>
          <cell r="B11162" t="str">
            <v>Sistemas de audio conferencias</v>
          </cell>
        </row>
        <row r="11163">
          <cell r="A11163">
            <v>45111902</v>
          </cell>
          <cell r="B11163" t="str">
            <v>Sistemas de video conferencias</v>
          </cell>
        </row>
        <row r="11164">
          <cell r="A11164">
            <v>45112001</v>
          </cell>
          <cell r="B11164" t="str">
            <v>Dispositivos para ver micro fichas o micro cintas</v>
          </cell>
        </row>
        <row r="11165">
          <cell r="A11165">
            <v>45112002</v>
          </cell>
          <cell r="B11165" t="str">
            <v>Impresoras lectoras de micro fichas</v>
          </cell>
        </row>
        <row r="11166">
          <cell r="A11166">
            <v>45112003</v>
          </cell>
          <cell r="B11166" t="str">
            <v>Componentes o accesorios de micro fichas o micro cintas</v>
          </cell>
        </row>
        <row r="11167">
          <cell r="A11167">
            <v>45112004</v>
          </cell>
          <cell r="B11167" t="str">
            <v>Componentes o accesorios de impresoras lectoras de micro fichas</v>
          </cell>
        </row>
        <row r="11168">
          <cell r="A11168">
            <v>45121501</v>
          </cell>
          <cell r="B11168" t="str">
            <v>Cámaras fijas</v>
          </cell>
        </row>
        <row r="11169">
          <cell r="A11169">
            <v>45121502</v>
          </cell>
          <cell r="B11169" t="str">
            <v>Cámaras de impresión instantánea</v>
          </cell>
        </row>
        <row r="11170">
          <cell r="A11170">
            <v>45121503</v>
          </cell>
          <cell r="B11170" t="str">
            <v>Cámaras desechables</v>
          </cell>
        </row>
        <row r="11171">
          <cell r="A11171">
            <v>45121504</v>
          </cell>
          <cell r="B11171" t="str">
            <v>Cámaras digitales</v>
          </cell>
        </row>
        <row r="11172">
          <cell r="A11172">
            <v>45121505</v>
          </cell>
          <cell r="B11172" t="str">
            <v>Cámaras cinematográficas</v>
          </cell>
        </row>
        <row r="11173">
          <cell r="A11173">
            <v>45121506</v>
          </cell>
          <cell r="B11173" t="str">
            <v>Cámaras de video conferencia</v>
          </cell>
        </row>
        <row r="11174">
          <cell r="A11174">
            <v>45121510</v>
          </cell>
          <cell r="B11174" t="str">
            <v>Cámaras aéreas</v>
          </cell>
        </row>
        <row r="11175">
          <cell r="A11175">
            <v>45121511</v>
          </cell>
          <cell r="B11175" t="str">
            <v>Cámaras de alta velocidad</v>
          </cell>
        </row>
        <row r="11176">
          <cell r="A11176">
            <v>45121512</v>
          </cell>
          <cell r="B11176" t="str">
            <v>Cámaras para debajo del agua</v>
          </cell>
        </row>
        <row r="11177">
          <cell r="A11177">
            <v>45121513</v>
          </cell>
          <cell r="B11177" t="str">
            <v>Cámaras de offset</v>
          </cell>
        </row>
        <row r="11178">
          <cell r="A11178">
            <v>45121514</v>
          </cell>
          <cell r="B11178" t="str">
            <v>Cámara fotocopiadora</v>
          </cell>
        </row>
        <row r="11179">
          <cell r="A11179">
            <v>45121515</v>
          </cell>
          <cell r="B11179" t="str">
            <v>Cámaras grabadoras o video cámaras manuales</v>
          </cell>
        </row>
        <row r="11180">
          <cell r="A11180">
            <v>45121516</v>
          </cell>
          <cell r="B11180" t="str">
            <v>Cámaras grabadoras o video cámaras digitales</v>
          </cell>
        </row>
        <row r="11181">
          <cell r="A11181">
            <v>45121517</v>
          </cell>
          <cell r="B11181" t="str">
            <v>Cámaras para documentos</v>
          </cell>
        </row>
        <row r="11182">
          <cell r="A11182">
            <v>45121518</v>
          </cell>
          <cell r="B11182" t="str">
            <v>Kits de cámaras</v>
          </cell>
        </row>
        <row r="11183">
          <cell r="A11183">
            <v>45121519</v>
          </cell>
          <cell r="B11183" t="str">
            <v>Cámaras de baja luz</v>
          </cell>
        </row>
        <row r="11184">
          <cell r="A11184">
            <v>45121520</v>
          </cell>
          <cell r="B11184" t="str">
            <v>Cámaras de web</v>
          </cell>
        </row>
        <row r="11185">
          <cell r="A11185">
            <v>45121601</v>
          </cell>
          <cell r="B11185" t="str">
            <v>Flashes o iluminación para cámaras</v>
          </cell>
        </row>
        <row r="11186">
          <cell r="A11186">
            <v>45121602</v>
          </cell>
          <cell r="B11186" t="str">
            <v>Trípodes para cámaras</v>
          </cell>
        </row>
        <row r="11187">
          <cell r="A11187">
            <v>45121603</v>
          </cell>
          <cell r="B11187" t="str">
            <v>Lentes para cámaras</v>
          </cell>
        </row>
        <row r="11188">
          <cell r="A11188">
            <v>45121604</v>
          </cell>
          <cell r="B11188" t="str">
            <v>Oclusores para cámaras</v>
          </cell>
        </row>
        <row r="11189">
          <cell r="A11189">
            <v>45121605</v>
          </cell>
          <cell r="B11189" t="str">
            <v>Marcos de pantalla</v>
          </cell>
        </row>
        <row r="11190">
          <cell r="A11190">
            <v>45121606</v>
          </cell>
          <cell r="B11190" t="str">
            <v>Arneses para cámaras</v>
          </cell>
        </row>
        <row r="11191">
          <cell r="A11191">
            <v>45121607</v>
          </cell>
          <cell r="B11191" t="str">
            <v>Bloques o sujetadores para cámaras</v>
          </cell>
        </row>
        <row r="11192">
          <cell r="A11192">
            <v>45121608</v>
          </cell>
          <cell r="B11192" t="str">
            <v>Ensamblajes para cámaras</v>
          </cell>
        </row>
        <row r="11193">
          <cell r="A11193">
            <v>45121609</v>
          </cell>
          <cell r="B11193" t="str">
            <v>Abrazaderas para cámaras</v>
          </cell>
        </row>
        <row r="11194">
          <cell r="A11194">
            <v>45121610</v>
          </cell>
          <cell r="B11194" t="str">
            <v>Cables para cámaras</v>
          </cell>
        </row>
        <row r="11195">
          <cell r="A11195">
            <v>45121611</v>
          </cell>
          <cell r="B11195" t="str">
            <v>Cubiertas para lentes</v>
          </cell>
        </row>
        <row r="11196">
          <cell r="A11196">
            <v>45121612</v>
          </cell>
          <cell r="B11196" t="str">
            <v>Mesas para cámaras</v>
          </cell>
        </row>
        <row r="11197">
          <cell r="A11197">
            <v>45121613</v>
          </cell>
          <cell r="B11197" t="str">
            <v>Contenedores o forros para cámaras</v>
          </cell>
        </row>
        <row r="11198">
          <cell r="A11198">
            <v>45121614</v>
          </cell>
          <cell r="B11198" t="str">
            <v>Kits de reacondicionamiento</v>
          </cell>
        </row>
        <row r="11199">
          <cell r="A11199">
            <v>45121615</v>
          </cell>
          <cell r="B11199" t="str">
            <v>Anillos para cámaras</v>
          </cell>
        </row>
        <row r="11200">
          <cell r="A11200">
            <v>45121616</v>
          </cell>
          <cell r="B11200" t="str">
            <v>Cabezales panorámicos</v>
          </cell>
        </row>
        <row r="11201">
          <cell r="A11201">
            <v>45121617</v>
          </cell>
          <cell r="B11201" t="str">
            <v>Bolsas para cámaras</v>
          </cell>
        </row>
        <row r="11202">
          <cell r="A11202">
            <v>45121618</v>
          </cell>
          <cell r="B11202" t="str">
            <v>Adaptadores de lentes para cámaras</v>
          </cell>
        </row>
        <row r="11203">
          <cell r="A11203">
            <v>45121619</v>
          </cell>
          <cell r="B11203" t="str">
            <v>Billeteras para “picture card”</v>
          </cell>
        </row>
        <row r="11204">
          <cell r="A11204">
            <v>45121620</v>
          </cell>
          <cell r="B11204" t="str">
            <v>Adaptadores de electricidad para cámaras</v>
          </cell>
        </row>
        <row r="11205">
          <cell r="A11205">
            <v>45121621</v>
          </cell>
          <cell r="B11205" t="str">
            <v>Adaptadores para “picture card”</v>
          </cell>
        </row>
        <row r="11206">
          <cell r="A11206">
            <v>45121622</v>
          </cell>
          <cell r="B11206" t="str">
            <v>Limpiadores para lentes de cámara</v>
          </cell>
        </row>
        <row r="11207">
          <cell r="A11207">
            <v>45121623</v>
          </cell>
          <cell r="B11207" t="str">
            <v>Controladores de cámara</v>
          </cell>
        </row>
        <row r="11208">
          <cell r="A11208">
            <v>45121701</v>
          </cell>
          <cell r="B11208" t="str">
            <v>Secadores de película</v>
          </cell>
        </row>
        <row r="11209">
          <cell r="A11209">
            <v>45121702</v>
          </cell>
          <cell r="B11209" t="str">
            <v>Lavadores de película</v>
          </cell>
        </row>
        <row r="11210">
          <cell r="A11210">
            <v>45121703</v>
          </cell>
          <cell r="B11210" t="str">
            <v>Cortadores de película</v>
          </cell>
        </row>
        <row r="11211">
          <cell r="A11211">
            <v>45121704</v>
          </cell>
          <cell r="B11211" t="str">
            <v>Editores de película</v>
          </cell>
        </row>
        <row r="11212">
          <cell r="A11212">
            <v>45121705</v>
          </cell>
          <cell r="B11212" t="str">
            <v>Alargadores fotográficos</v>
          </cell>
        </row>
        <row r="11213">
          <cell r="A11213">
            <v>45121706</v>
          </cell>
          <cell r="B11213" t="str">
            <v>Cortadoras o bordeadoras de fotografías</v>
          </cell>
        </row>
        <row r="11214">
          <cell r="A11214">
            <v>45121801</v>
          </cell>
          <cell r="B11214" t="str">
            <v>Cámaras de micro filmado</v>
          </cell>
        </row>
        <row r="11215">
          <cell r="A11215">
            <v>45121802</v>
          </cell>
          <cell r="B11215" t="str">
            <v>Duplicadores de micro filmado</v>
          </cell>
        </row>
        <row r="11216">
          <cell r="A11216">
            <v>45121803</v>
          </cell>
          <cell r="B11216" t="str">
            <v>Filtros de cubierta de micro filmado</v>
          </cell>
        </row>
        <row r="11217">
          <cell r="A11217">
            <v>45121804</v>
          </cell>
          <cell r="B11217" t="str">
            <v>Procesadores de micro filmado</v>
          </cell>
        </row>
        <row r="11218">
          <cell r="A11218">
            <v>45121805</v>
          </cell>
          <cell r="B11218" t="str">
            <v>Componentes o accesorios de cámara de micro filmado</v>
          </cell>
        </row>
        <row r="11219">
          <cell r="A11219">
            <v>45121806</v>
          </cell>
          <cell r="B11219" t="str">
            <v>Componentes o accesorios de duplicador de micro filmado</v>
          </cell>
        </row>
        <row r="11220">
          <cell r="A11220">
            <v>45121807</v>
          </cell>
          <cell r="B11220" t="str">
            <v>Componentes o accesorios de filtro de cubierta de micro filmado</v>
          </cell>
        </row>
        <row r="11221">
          <cell r="A11221">
            <v>45121808</v>
          </cell>
          <cell r="B11221" t="str">
            <v>Componentes o accesorios de procesadores de micro filmado</v>
          </cell>
        </row>
        <row r="11222">
          <cell r="A11222">
            <v>45121809</v>
          </cell>
          <cell r="B11222" t="str">
            <v>Suministros de película de micro filmado</v>
          </cell>
        </row>
        <row r="11223">
          <cell r="A11223">
            <v>45121810</v>
          </cell>
          <cell r="B11223" t="str">
            <v>Componentes o accesorios diversos de micro filmado</v>
          </cell>
        </row>
        <row r="11224">
          <cell r="A11224">
            <v>45131501</v>
          </cell>
          <cell r="B11224" t="str">
            <v>Película de color</v>
          </cell>
        </row>
        <row r="11225">
          <cell r="A11225">
            <v>45131502</v>
          </cell>
          <cell r="B11225" t="str">
            <v>Película de blanco y negro</v>
          </cell>
        </row>
        <row r="11226">
          <cell r="A11226">
            <v>45131503</v>
          </cell>
          <cell r="B11226" t="str">
            <v>Película de fotografía instantánea</v>
          </cell>
        </row>
        <row r="11227">
          <cell r="A11227">
            <v>45131505</v>
          </cell>
          <cell r="B11227" t="str">
            <v>Película de rayos x</v>
          </cell>
        </row>
        <row r="11228">
          <cell r="A11228">
            <v>45131601</v>
          </cell>
          <cell r="B11228" t="str">
            <v>Película de cámara de películas animadas</v>
          </cell>
        </row>
        <row r="11229">
          <cell r="A11229">
            <v>45131604</v>
          </cell>
          <cell r="B11229" t="str">
            <v>Cintas de video en blanco</v>
          </cell>
        </row>
        <row r="11230">
          <cell r="A11230">
            <v>45131701</v>
          </cell>
          <cell r="B11230" t="str">
            <v>Bandejas u organizadores para filminas</v>
          </cell>
        </row>
        <row r="11231">
          <cell r="A11231">
            <v>45141501</v>
          </cell>
          <cell r="B11231" t="str">
            <v>Solución reveladora</v>
          </cell>
        </row>
        <row r="11232">
          <cell r="A11232">
            <v>45141502</v>
          </cell>
          <cell r="B11232" t="str">
            <v>Fijadores</v>
          </cell>
        </row>
        <row r="11233">
          <cell r="A11233">
            <v>45141601</v>
          </cell>
          <cell r="B11233" t="str">
            <v>Bandejas de revelado</v>
          </cell>
        </row>
        <row r="11234">
          <cell r="A11234">
            <v>45141602</v>
          </cell>
          <cell r="B11234" t="str">
            <v>Tanques de revelado</v>
          </cell>
        </row>
        <row r="11235">
          <cell r="A11235">
            <v>45141603</v>
          </cell>
          <cell r="B11235" t="str">
            <v>Pinzas de revelado</v>
          </cell>
        </row>
        <row r="11236">
          <cell r="A11236">
            <v>46101501</v>
          </cell>
          <cell r="B11236" t="str">
            <v>Ametralladoras</v>
          </cell>
        </row>
        <row r="11237">
          <cell r="A11237">
            <v>46101502</v>
          </cell>
          <cell r="B11237" t="str">
            <v>Escopetas para la policía p seguridad</v>
          </cell>
        </row>
        <row r="11238">
          <cell r="A11238">
            <v>46101503</v>
          </cell>
          <cell r="B11238" t="str">
            <v>Rifles militares</v>
          </cell>
        </row>
        <row r="11239">
          <cell r="A11239">
            <v>46101504</v>
          </cell>
          <cell r="B11239" t="str">
            <v>Pistolas</v>
          </cell>
        </row>
        <row r="11240">
          <cell r="A11240">
            <v>46101505</v>
          </cell>
          <cell r="B11240" t="str">
            <v>Rifles de aire o pistolas de aire</v>
          </cell>
        </row>
        <row r="11241">
          <cell r="A11241">
            <v>46101506</v>
          </cell>
          <cell r="B11241" t="str">
            <v>Partes de revólveres o pistolas</v>
          </cell>
        </row>
        <row r="11242">
          <cell r="A11242">
            <v>46101601</v>
          </cell>
          <cell r="B11242" t="str">
            <v>Municiones de defensa u orden público</v>
          </cell>
        </row>
        <row r="11243">
          <cell r="A11243">
            <v>46101701</v>
          </cell>
          <cell r="B11243" t="str">
            <v>Sistemas de manipulación de municiones de tanque</v>
          </cell>
        </row>
        <row r="11244">
          <cell r="A11244">
            <v>46101702</v>
          </cell>
          <cell r="B11244" t="str">
            <v>Sistemas de manipulación de municiones de aeronaves</v>
          </cell>
        </row>
        <row r="11245">
          <cell r="A11245">
            <v>46101801</v>
          </cell>
          <cell r="B11245" t="str">
            <v>Estuches para revólveres</v>
          </cell>
        </row>
        <row r="11246">
          <cell r="A11246">
            <v>46111501</v>
          </cell>
          <cell r="B11246" t="str">
            <v>Granadas</v>
          </cell>
        </row>
        <row r="11247">
          <cell r="A11247">
            <v>46111502</v>
          </cell>
          <cell r="B11247" t="str">
            <v>Minas</v>
          </cell>
        </row>
        <row r="11248">
          <cell r="A11248">
            <v>46111503</v>
          </cell>
          <cell r="B11248" t="str">
            <v>Bombas de mortero</v>
          </cell>
        </row>
        <row r="11249">
          <cell r="A11249">
            <v>46111601</v>
          </cell>
          <cell r="B11249" t="str">
            <v>Sistemas de cañón de cadena</v>
          </cell>
        </row>
        <row r="11250">
          <cell r="A11250">
            <v>46111602</v>
          </cell>
          <cell r="B11250" t="str">
            <v>Sistemas de ametralladora gatling</v>
          </cell>
        </row>
        <row r="11251">
          <cell r="A11251">
            <v>46111701</v>
          </cell>
          <cell r="B11251" t="str">
            <v>Enfriadores infrarrojos ir</v>
          </cell>
        </row>
        <row r="11252">
          <cell r="A11252">
            <v>46111702</v>
          </cell>
          <cell r="B11252" t="str">
            <v>Detectores infrarrojos ir</v>
          </cell>
        </row>
        <row r="11253">
          <cell r="A11253">
            <v>46111801</v>
          </cell>
          <cell r="B11253" t="str">
            <v>Torpedos</v>
          </cell>
        </row>
        <row r="11254">
          <cell r="A11254">
            <v>46121501</v>
          </cell>
          <cell r="B11254" t="str">
            <v>Misiles aire a aire</v>
          </cell>
        </row>
        <row r="11255">
          <cell r="A11255">
            <v>46121502</v>
          </cell>
          <cell r="B11255" t="str">
            <v>Misiles antiaéreos</v>
          </cell>
        </row>
        <row r="11256">
          <cell r="A11256">
            <v>46121503</v>
          </cell>
          <cell r="B11256" t="str">
            <v>Misiles antimisiles</v>
          </cell>
        </row>
        <row r="11257">
          <cell r="A11257">
            <v>46121504</v>
          </cell>
          <cell r="B11257" t="str">
            <v>Misiles anti barcos</v>
          </cell>
        </row>
        <row r="11258">
          <cell r="A11258">
            <v>46121505</v>
          </cell>
          <cell r="B11258" t="str">
            <v>Misiles antitanques</v>
          </cell>
        </row>
        <row r="11259">
          <cell r="A11259">
            <v>46121506</v>
          </cell>
          <cell r="B11259" t="str">
            <v>Misiles balísticos</v>
          </cell>
        </row>
        <row r="11260">
          <cell r="A11260">
            <v>46121507</v>
          </cell>
          <cell r="B11260" t="str">
            <v>Misiles de crucero</v>
          </cell>
        </row>
        <row r="11261">
          <cell r="A11261">
            <v>46121508</v>
          </cell>
          <cell r="B11261" t="str">
            <v>Misiles superficie a aire</v>
          </cell>
        </row>
        <row r="11262">
          <cell r="A11262">
            <v>46121509</v>
          </cell>
          <cell r="B11262" t="str">
            <v>Misiles antibalísticos</v>
          </cell>
        </row>
        <row r="11263">
          <cell r="A11263">
            <v>46121510</v>
          </cell>
          <cell r="B11263" t="str">
            <v>Misiles superficie a superficie</v>
          </cell>
        </row>
        <row r="11264">
          <cell r="A11264">
            <v>46121511</v>
          </cell>
          <cell r="B11264" t="str">
            <v>Misiles aire a superficie</v>
          </cell>
        </row>
        <row r="11265">
          <cell r="A11265">
            <v>46121512</v>
          </cell>
          <cell r="B11265" t="str">
            <v>Misiles de entrenamiento</v>
          </cell>
        </row>
        <row r="11266">
          <cell r="A11266">
            <v>46121601</v>
          </cell>
          <cell r="B11266" t="str">
            <v>Dispositivos electrónicos de seguridad o armado</v>
          </cell>
        </row>
        <row r="11267">
          <cell r="A11267">
            <v>46121602</v>
          </cell>
          <cell r="B11267" t="str">
            <v>Elevadores de misiles sólidos</v>
          </cell>
        </row>
        <row r="11268">
          <cell r="A11268">
            <v>46121603</v>
          </cell>
          <cell r="B11268" t="str">
            <v>Ojivas de misiles</v>
          </cell>
        </row>
        <row r="11269">
          <cell r="A11269">
            <v>46121604</v>
          </cell>
          <cell r="B11269" t="str">
            <v>Jaladores del pasador de seguridad</v>
          </cell>
        </row>
        <row r="11270">
          <cell r="A11270">
            <v>46121605</v>
          </cell>
          <cell r="B11270" t="str">
            <v>Ensamblajes de control de reacción de inyección</v>
          </cell>
        </row>
        <row r="11271">
          <cell r="A11271">
            <v>46131501</v>
          </cell>
          <cell r="B11271" t="str">
            <v>Cohetes multi etapas</v>
          </cell>
        </row>
        <row r="11272">
          <cell r="A11272">
            <v>46131502</v>
          </cell>
          <cell r="B11272" t="str">
            <v>Cohetes reutilizables</v>
          </cell>
        </row>
        <row r="11273">
          <cell r="A11273">
            <v>46131503</v>
          </cell>
          <cell r="B11273" t="str">
            <v>Cohetes de una sola etapa</v>
          </cell>
        </row>
        <row r="11274">
          <cell r="A11274">
            <v>46131504</v>
          </cell>
          <cell r="B11274" t="str">
            <v>Cohetes líquidos</v>
          </cell>
        </row>
        <row r="11275">
          <cell r="A11275">
            <v>46131505</v>
          </cell>
          <cell r="B11275" t="str">
            <v>Cohetes sólidos</v>
          </cell>
        </row>
        <row r="11276">
          <cell r="A11276">
            <v>46131601</v>
          </cell>
          <cell r="B11276" t="str">
            <v>Elevadores reutilizables</v>
          </cell>
        </row>
        <row r="11277">
          <cell r="A11277">
            <v>46131602</v>
          </cell>
          <cell r="B11277" t="str">
            <v>Elevadores sólidos</v>
          </cell>
        </row>
        <row r="11278">
          <cell r="A11278">
            <v>46131603</v>
          </cell>
          <cell r="B11278" t="str">
            <v>Elevadores multi etapa</v>
          </cell>
        </row>
        <row r="11279">
          <cell r="A11279">
            <v>46131604</v>
          </cell>
          <cell r="B11279" t="str">
            <v>Elevadores líquidos</v>
          </cell>
        </row>
        <row r="11280">
          <cell r="A11280">
            <v>46141501</v>
          </cell>
          <cell r="B11280" t="str">
            <v>Lanzadores de misiles</v>
          </cell>
        </row>
        <row r="11281">
          <cell r="A11281">
            <v>46141502</v>
          </cell>
          <cell r="B11281" t="str">
            <v>Lanzadores de cohetes</v>
          </cell>
        </row>
        <row r="11282">
          <cell r="A11282">
            <v>46151501</v>
          </cell>
          <cell r="B11282" t="str">
            <v>Barricadas</v>
          </cell>
        </row>
        <row r="11283">
          <cell r="A11283">
            <v>46151502</v>
          </cell>
          <cell r="B11283" t="str">
            <v>Cascos anti motines</v>
          </cell>
        </row>
        <row r="11284">
          <cell r="A11284">
            <v>46151503</v>
          </cell>
          <cell r="B11284" t="str">
            <v>Escudos anti motines</v>
          </cell>
        </row>
        <row r="11285">
          <cell r="A11285">
            <v>46151504</v>
          </cell>
          <cell r="B11285" t="str">
            <v>Armadura para el cuerpo</v>
          </cell>
        </row>
        <row r="11286">
          <cell r="A11286">
            <v>46151505</v>
          </cell>
          <cell r="B11286" t="str">
            <v>Barreras</v>
          </cell>
        </row>
        <row r="11287">
          <cell r="A11287">
            <v>46151506</v>
          </cell>
          <cell r="B11287" t="str">
            <v>Bastones anti motines</v>
          </cell>
        </row>
        <row r="11288">
          <cell r="A11288">
            <v>46151507</v>
          </cell>
          <cell r="B11288" t="str">
            <v>Sistema de control de filas</v>
          </cell>
        </row>
        <row r="11289">
          <cell r="A11289">
            <v>46151601</v>
          </cell>
          <cell r="B11289" t="str">
            <v>Esposas</v>
          </cell>
        </row>
        <row r="11290">
          <cell r="A11290">
            <v>46151602</v>
          </cell>
          <cell r="B11290" t="str">
            <v>Cachiporras</v>
          </cell>
        </row>
        <row r="11291">
          <cell r="A11291">
            <v>46151604</v>
          </cell>
          <cell r="B11291" t="str">
            <v>Analizadores de alcohol</v>
          </cell>
        </row>
        <row r="11292">
          <cell r="A11292">
            <v>46151605</v>
          </cell>
          <cell r="B11292" t="str">
            <v>Detectores de armas o explosivos y suministros</v>
          </cell>
        </row>
        <row r="11293">
          <cell r="A11293">
            <v>46151606</v>
          </cell>
          <cell r="B11293" t="str">
            <v>Kits de pruebas de narcóticos</v>
          </cell>
        </row>
        <row r="11294">
          <cell r="A11294">
            <v>46151607</v>
          </cell>
          <cell r="B11294" t="str">
            <v>Cabos de amarre de seguridad</v>
          </cell>
        </row>
        <row r="11295">
          <cell r="A11295">
            <v>46151702</v>
          </cell>
          <cell r="B11295" t="str">
            <v>Aplicadores o cepillos de huellas dactilares</v>
          </cell>
        </row>
        <row r="11296">
          <cell r="A11296">
            <v>46151703</v>
          </cell>
          <cell r="B11296" t="str">
            <v>Tinta de huellas dactilares</v>
          </cell>
        </row>
        <row r="11297">
          <cell r="A11297">
            <v>46151704</v>
          </cell>
          <cell r="B11297" t="str">
            <v>Removedores de tinta de huellas dactilares</v>
          </cell>
        </row>
        <row r="11298">
          <cell r="A11298">
            <v>46151705</v>
          </cell>
          <cell r="B11298" t="str">
            <v>Rodillos de tinta para huellas dactilares o de palma de la mano</v>
          </cell>
        </row>
        <row r="11299">
          <cell r="A11299">
            <v>46151706</v>
          </cell>
          <cell r="B11299" t="str">
            <v>Kit de impresión latente de huellas dactilares</v>
          </cell>
        </row>
        <row r="11300">
          <cell r="A11300">
            <v>46151707</v>
          </cell>
          <cell r="B11300" t="str">
            <v>Levantadores de huellas dactilares</v>
          </cell>
        </row>
        <row r="11301">
          <cell r="A11301">
            <v>46151708</v>
          </cell>
          <cell r="B11301" t="str">
            <v>Magnificadores para uso forense</v>
          </cell>
        </row>
        <row r="11302">
          <cell r="A11302">
            <v>46151709</v>
          </cell>
          <cell r="B11302" t="str">
            <v>Esferos de marcado de huellas dactilares</v>
          </cell>
        </row>
        <row r="11303">
          <cell r="A11303">
            <v>46151710</v>
          </cell>
          <cell r="B11303" t="str">
            <v>Polvos de huellas dactilares</v>
          </cell>
        </row>
        <row r="11304">
          <cell r="A11304">
            <v>46151711</v>
          </cell>
          <cell r="B11304" t="str">
            <v>Levantadores de huellas plantares</v>
          </cell>
        </row>
        <row r="11305">
          <cell r="A11305">
            <v>46151712</v>
          </cell>
          <cell r="B11305" t="str">
            <v>Estaciones de trabajo químico para uso forense</v>
          </cell>
        </row>
        <row r="11306">
          <cell r="A11306">
            <v>46151713</v>
          </cell>
          <cell r="B11306" t="str">
            <v>Químicos de impresiones latentes para uso forense</v>
          </cell>
        </row>
        <row r="11307">
          <cell r="A11307">
            <v>46151714</v>
          </cell>
          <cell r="B11307" t="str">
            <v>Gabinetes de secado de evidencia</v>
          </cell>
        </row>
        <row r="11308">
          <cell r="A11308">
            <v>46151715</v>
          </cell>
          <cell r="B11308" t="str">
            <v>Equipo de huellas dactilares</v>
          </cell>
        </row>
        <row r="11309">
          <cell r="A11309">
            <v>46161501</v>
          </cell>
          <cell r="B11309" t="str">
            <v>Sistemas de señalización para aeropuertos</v>
          </cell>
        </row>
        <row r="11310">
          <cell r="A11310">
            <v>46161502</v>
          </cell>
          <cell r="B11310" t="str">
            <v>Sistemas de señalización para ferrocarriles</v>
          </cell>
        </row>
        <row r="11311">
          <cell r="A11311">
            <v>46161503</v>
          </cell>
          <cell r="B11311" t="str">
            <v>Sistemas de señalización marinos</v>
          </cell>
        </row>
        <row r="11312">
          <cell r="A11312">
            <v>46161504</v>
          </cell>
          <cell r="B11312" t="str">
            <v>Señales de tráfico</v>
          </cell>
        </row>
        <row r="11313">
          <cell r="A11313">
            <v>46161505</v>
          </cell>
          <cell r="B11313" t="str">
            <v>Medidores de estacionamiento</v>
          </cell>
        </row>
        <row r="11314">
          <cell r="A11314">
            <v>46161506</v>
          </cell>
          <cell r="B11314" t="str">
            <v>Máquinas para derretir nieve o hielo</v>
          </cell>
        </row>
        <row r="11315">
          <cell r="A11315">
            <v>46161507</v>
          </cell>
          <cell r="B11315" t="str">
            <v>Cintas o cadenas de barrera</v>
          </cell>
        </row>
        <row r="11316">
          <cell r="A11316">
            <v>46161508</v>
          </cell>
          <cell r="B11316" t="str">
            <v>Conos o delineadores de tráfico</v>
          </cell>
        </row>
        <row r="11317">
          <cell r="A11317">
            <v>46161509</v>
          </cell>
          <cell r="B11317" t="str">
            <v>Paradas de velocidad</v>
          </cell>
        </row>
        <row r="11318">
          <cell r="A11318">
            <v>46161510</v>
          </cell>
          <cell r="B11318" t="str">
            <v>Sistemas de barrera para puertas</v>
          </cell>
        </row>
        <row r="11319">
          <cell r="A11319">
            <v>46161601</v>
          </cell>
          <cell r="B11319" t="str">
            <v>Líneas de flotadores</v>
          </cell>
        </row>
        <row r="11320">
          <cell r="A11320">
            <v>46161602</v>
          </cell>
          <cell r="B11320" t="str">
            <v>Salvavidas</v>
          </cell>
        </row>
        <row r="11321">
          <cell r="A11321">
            <v>46161603</v>
          </cell>
          <cell r="B11321" t="str">
            <v>Alarmas de piscina</v>
          </cell>
        </row>
        <row r="11322">
          <cell r="A11322">
            <v>46161604</v>
          </cell>
          <cell r="B11322" t="str">
            <v>Chalecos o protectores salvavidas</v>
          </cell>
        </row>
        <row r="11323">
          <cell r="A11323">
            <v>46171501</v>
          </cell>
          <cell r="B11323" t="str">
            <v>Candados</v>
          </cell>
        </row>
        <row r="11324">
          <cell r="A11324">
            <v>46171502</v>
          </cell>
          <cell r="B11324" t="str">
            <v>Candados de cable</v>
          </cell>
        </row>
        <row r="11325">
          <cell r="A11325">
            <v>46171503</v>
          </cell>
          <cell r="B11325" t="str">
            <v>Sets de candados</v>
          </cell>
        </row>
        <row r="11326">
          <cell r="A11326">
            <v>46171504</v>
          </cell>
          <cell r="B11326" t="str">
            <v>Candados de botón para oprimir</v>
          </cell>
        </row>
        <row r="11327">
          <cell r="A11327">
            <v>46171505</v>
          </cell>
          <cell r="B11327" t="str">
            <v>Llaves</v>
          </cell>
        </row>
        <row r="11328">
          <cell r="A11328">
            <v>46171506</v>
          </cell>
          <cell r="B11328" t="str">
            <v>Cajas fuertes</v>
          </cell>
        </row>
        <row r="11329">
          <cell r="A11329">
            <v>46171507</v>
          </cell>
          <cell r="B11329" t="str">
            <v>Barras de seguridad</v>
          </cell>
        </row>
        <row r="11330">
          <cell r="A11330">
            <v>46171508</v>
          </cell>
          <cell r="B11330" t="str">
            <v>Candados de números</v>
          </cell>
        </row>
        <row r="11331">
          <cell r="A11331">
            <v>46171509</v>
          </cell>
          <cell r="B11331" t="str">
            <v>Gabinetes u organizadores con llave</v>
          </cell>
        </row>
        <row r="11332">
          <cell r="A11332">
            <v>46171510</v>
          </cell>
          <cell r="B11332" t="str">
            <v>Candados de tiempo</v>
          </cell>
        </row>
        <row r="11333">
          <cell r="A11333">
            <v>46171511</v>
          </cell>
          <cell r="B11333" t="str">
            <v>Dispositivos de bloqueo</v>
          </cell>
        </row>
        <row r="11334">
          <cell r="A11334">
            <v>46171512</v>
          </cell>
          <cell r="B11334" t="str">
            <v>Candados de instrumentos</v>
          </cell>
        </row>
        <row r="11335">
          <cell r="A11335">
            <v>46171513</v>
          </cell>
          <cell r="B11335" t="str">
            <v>Levas de bloqueo</v>
          </cell>
        </row>
        <row r="11336">
          <cell r="A11336">
            <v>46171514</v>
          </cell>
          <cell r="B11336" t="str">
            <v>Cadenas de seguridad o accesorios</v>
          </cell>
        </row>
        <row r="11337">
          <cell r="A11337">
            <v>46171515</v>
          </cell>
          <cell r="B11337" t="str">
            <v>Cadenas de llaves o estuches de llaves</v>
          </cell>
        </row>
        <row r="11338">
          <cell r="A11338">
            <v>46171516</v>
          </cell>
          <cell r="B11338" t="str">
            <v>Guardas para puertas</v>
          </cell>
        </row>
        <row r="11339">
          <cell r="A11339">
            <v>46171517</v>
          </cell>
          <cell r="B11339" t="str">
            <v>Señales de chapa</v>
          </cell>
        </row>
        <row r="11340">
          <cell r="A11340">
            <v>46171602</v>
          </cell>
          <cell r="B11340" t="str">
            <v>Alarmas de seguridad</v>
          </cell>
        </row>
        <row r="11341">
          <cell r="A11341">
            <v>46171603</v>
          </cell>
          <cell r="B11341" t="str">
            <v>Temporizadores de reloj</v>
          </cell>
        </row>
        <row r="11342">
          <cell r="A11342">
            <v>46171604</v>
          </cell>
          <cell r="B11342" t="str">
            <v>Sistemas de alarma</v>
          </cell>
        </row>
        <row r="11343">
          <cell r="A11343">
            <v>46171605</v>
          </cell>
          <cell r="B11343" t="str">
            <v>Timbres de puerta</v>
          </cell>
        </row>
        <row r="11344">
          <cell r="A11344">
            <v>46171606</v>
          </cell>
          <cell r="B11344" t="str">
            <v>Sirenas</v>
          </cell>
        </row>
        <row r="11345">
          <cell r="A11345">
            <v>46171607</v>
          </cell>
          <cell r="B11345" t="str">
            <v>Timbres de zumbido</v>
          </cell>
        </row>
        <row r="11346">
          <cell r="A11346">
            <v>46171608</v>
          </cell>
          <cell r="B11346" t="str">
            <v>Detectores de movimiento</v>
          </cell>
        </row>
        <row r="11347">
          <cell r="A11347">
            <v>46171609</v>
          </cell>
          <cell r="B11347" t="str">
            <v>Espejos convexos de seguridad</v>
          </cell>
        </row>
        <row r="11348">
          <cell r="A11348">
            <v>46171610</v>
          </cell>
          <cell r="B11348" t="str">
            <v>Cámaras de seguridad</v>
          </cell>
        </row>
        <row r="11349">
          <cell r="A11349">
            <v>46171611</v>
          </cell>
          <cell r="B11349" t="str">
            <v>Sistemas de identificación de video</v>
          </cell>
        </row>
        <row r="11350">
          <cell r="A11350">
            <v>46171612</v>
          </cell>
          <cell r="B11350" t="str">
            <v>Monitores de video</v>
          </cell>
        </row>
        <row r="11351">
          <cell r="A11351">
            <v>46171613</v>
          </cell>
          <cell r="B11351" t="str">
            <v>Detectores de gas</v>
          </cell>
        </row>
        <row r="11352">
          <cell r="A11352">
            <v>46171615</v>
          </cell>
          <cell r="B11352" t="str">
            <v>Cámaras de optimización de luz o dispositivos de visión</v>
          </cell>
        </row>
        <row r="11353">
          <cell r="A11353">
            <v>46171616</v>
          </cell>
          <cell r="B11353" t="str">
            <v>Detectores de radar</v>
          </cell>
        </row>
        <row r="11354">
          <cell r="A11354">
            <v>46171617</v>
          </cell>
          <cell r="B11354" t="str">
            <v>Ojos (mirillas) para puertas</v>
          </cell>
        </row>
        <row r="11355">
          <cell r="A11355">
            <v>46171618</v>
          </cell>
          <cell r="B11355" t="str">
            <v>Campanas para puertas</v>
          </cell>
        </row>
        <row r="11356">
          <cell r="A11356">
            <v>46171619</v>
          </cell>
          <cell r="B11356" t="str">
            <v>Sistemas de seguridad o de control de acceso</v>
          </cell>
        </row>
        <row r="11357">
          <cell r="A11357">
            <v>46171620</v>
          </cell>
          <cell r="B11357" t="str">
            <v>Cortinas de luz de seguridad</v>
          </cell>
        </row>
        <row r="11358">
          <cell r="A11358">
            <v>46171621</v>
          </cell>
          <cell r="B11358" t="str">
            <v>Grabadoras de video o audio de vigilancia</v>
          </cell>
        </row>
        <row r="11359">
          <cell r="A11359">
            <v>46181501</v>
          </cell>
          <cell r="B11359" t="str">
            <v>Delantales protectores</v>
          </cell>
        </row>
        <row r="11360">
          <cell r="A11360">
            <v>46181502</v>
          </cell>
          <cell r="B11360" t="str">
            <v>Chalecos anti balas</v>
          </cell>
        </row>
        <row r="11361">
          <cell r="A11361">
            <v>46181503</v>
          </cell>
          <cell r="B11361" t="str">
            <v>Overoles de protección</v>
          </cell>
        </row>
        <row r="11362">
          <cell r="A11362">
            <v>46181504</v>
          </cell>
          <cell r="B11362" t="str">
            <v>Guantes de protección</v>
          </cell>
        </row>
        <row r="11363">
          <cell r="A11363">
            <v>46181505</v>
          </cell>
          <cell r="B11363" t="str">
            <v>Rodilleras de protección</v>
          </cell>
        </row>
        <row r="11364">
          <cell r="A11364">
            <v>46181506</v>
          </cell>
          <cell r="B11364" t="str">
            <v>Ponchos de protección</v>
          </cell>
        </row>
        <row r="11365">
          <cell r="A11365">
            <v>46181507</v>
          </cell>
          <cell r="B11365" t="str">
            <v>Chalecos de seguridad</v>
          </cell>
        </row>
        <row r="11366">
          <cell r="A11366">
            <v>46181508</v>
          </cell>
          <cell r="B11366" t="str">
            <v>Ropa para demorar el fuego</v>
          </cell>
        </row>
        <row r="11367">
          <cell r="A11367">
            <v>46181509</v>
          </cell>
          <cell r="B11367" t="str">
            <v>Ropa de protección contra materiales peligrosos</v>
          </cell>
        </row>
        <row r="11368">
          <cell r="A11368">
            <v>46181512</v>
          </cell>
          <cell r="B11368" t="str">
            <v>Ropa para cuartos de limpieza</v>
          </cell>
        </row>
        <row r="11369">
          <cell r="A11369">
            <v>46181514</v>
          </cell>
          <cell r="B11369" t="str">
            <v>Protectores de codos</v>
          </cell>
        </row>
        <row r="11370">
          <cell r="A11370">
            <v>46181516</v>
          </cell>
          <cell r="B11370" t="str">
            <v>Mangas de seguridad</v>
          </cell>
        </row>
        <row r="11371">
          <cell r="A11371">
            <v>46181517</v>
          </cell>
          <cell r="B11371" t="str">
            <v>Vestidos de aislamiento o de flotación</v>
          </cell>
        </row>
        <row r="11372">
          <cell r="A11372">
            <v>46181518</v>
          </cell>
          <cell r="B11372" t="str">
            <v>Ropa resistente al calor</v>
          </cell>
        </row>
        <row r="11373">
          <cell r="A11373">
            <v>46181520</v>
          </cell>
          <cell r="B11373" t="str">
            <v>Protectores de piernas</v>
          </cell>
        </row>
        <row r="11374">
          <cell r="A11374">
            <v>46181522</v>
          </cell>
          <cell r="B11374" t="str">
            <v>Capuchas de seguridad</v>
          </cell>
        </row>
        <row r="11375">
          <cell r="A11375">
            <v>46181525</v>
          </cell>
          <cell r="B11375" t="str">
            <v>Ropa impermeable protectora o ropa para ambiente húmedo</v>
          </cell>
        </row>
        <row r="11376">
          <cell r="A11376">
            <v>46181526</v>
          </cell>
          <cell r="B11376" t="str">
            <v>Camisas protectoras</v>
          </cell>
        </row>
        <row r="11377">
          <cell r="A11377">
            <v>46181527</v>
          </cell>
          <cell r="B11377" t="str">
            <v>Pantalones protectores</v>
          </cell>
        </row>
        <row r="11378">
          <cell r="A11378">
            <v>46181528</v>
          </cell>
          <cell r="B11378" t="str">
            <v>Vestido protector</v>
          </cell>
        </row>
        <row r="11379">
          <cell r="A11379">
            <v>46181529</v>
          </cell>
          <cell r="B11379" t="str">
            <v>Ropa aislante para entornos fríos</v>
          </cell>
        </row>
        <row r="11380">
          <cell r="A11380">
            <v>46181530</v>
          </cell>
          <cell r="B11380" t="str">
            <v>Forros protectores de dedos</v>
          </cell>
        </row>
        <row r="11381">
          <cell r="A11381">
            <v>46181531</v>
          </cell>
          <cell r="B11381" t="str">
            <v>Ropa reflectora o accesorios</v>
          </cell>
        </row>
        <row r="11382">
          <cell r="A11382">
            <v>46181532</v>
          </cell>
          <cell r="B11382" t="str">
            <v>Batas de laboratorio</v>
          </cell>
        </row>
        <row r="11383">
          <cell r="A11383">
            <v>46181533</v>
          </cell>
          <cell r="B11383" t="str">
            <v>Batas protectoras</v>
          </cell>
        </row>
        <row r="11384">
          <cell r="A11384">
            <v>46181534</v>
          </cell>
          <cell r="B11384" t="str">
            <v>Muñequeras protectoras</v>
          </cell>
        </row>
        <row r="11385">
          <cell r="A11385">
            <v>46181535</v>
          </cell>
          <cell r="B11385" t="str">
            <v>Medias o medias largas protectoras</v>
          </cell>
        </row>
        <row r="11386">
          <cell r="A11386">
            <v>46181601</v>
          </cell>
          <cell r="B11386" t="str">
            <v>Calzado para demorar el fuego</v>
          </cell>
        </row>
        <row r="11387">
          <cell r="A11387">
            <v>46181602</v>
          </cell>
          <cell r="B11387" t="str">
            <v>Calzado protector contra materiales peligrosos</v>
          </cell>
        </row>
        <row r="11388">
          <cell r="A11388">
            <v>46181603</v>
          </cell>
          <cell r="B11388" t="str">
            <v>Calzado para cuartos de limpieza</v>
          </cell>
        </row>
        <row r="11389">
          <cell r="A11389">
            <v>46181604</v>
          </cell>
          <cell r="B11389" t="str">
            <v>Botas de seguridad</v>
          </cell>
        </row>
        <row r="11390">
          <cell r="A11390">
            <v>46181605</v>
          </cell>
          <cell r="B11390" t="str">
            <v>Zapatos de seguridad</v>
          </cell>
        </row>
        <row r="11391">
          <cell r="A11391">
            <v>46181606</v>
          </cell>
          <cell r="B11391" t="str">
            <v>Forros para calzado</v>
          </cell>
        </row>
        <row r="11392">
          <cell r="A11392">
            <v>46181701</v>
          </cell>
          <cell r="B11392" t="str">
            <v>Cascos</v>
          </cell>
        </row>
        <row r="11393">
          <cell r="A11393">
            <v>46181702</v>
          </cell>
          <cell r="B11393" t="str">
            <v>Escudos faciales</v>
          </cell>
        </row>
        <row r="11394">
          <cell r="A11394">
            <v>46181703</v>
          </cell>
          <cell r="B11394" t="str">
            <v>Máscaras de soldadura</v>
          </cell>
        </row>
        <row r="11395">
          <cell r="A11395">
            <v>46181704</v>
          </cell>
          <cell r="B11395" t="str">
            <v>Cascos de seguridad</v>
          </cell>
        </row>
        <row r="11396">
          <cell r="A11396">
            <v>46181705</v>
          </cell>
          <cell r="B11396" t="str">
            <v>Cascos para motociclistas</v>
          </cell>
        </row>
        <row r="11397">
          <cell r="A11397">
            <v>46181706</v>
          </cell>
          <cell r="B11397" t="str">
            <v>Partes de cascos o accesorios</v>
          </cell>
        </row>
        <row r="11398">
          <cell r="A11398">
            <v>46181707</v>
          </cell>
          <cell r="B11398" t="str">
            <v>Partes de escudos faciales o accesorios</v>
          </cell>
        </row>
        <row r="11399">
          <cell r="A11399">
            <v>46181801</v>
          </cell>
          <cell r="B11399" t="str">
            <v>Sujetadores o estuches de anteojos</v>
          </cell>
        </row>
        <row r="11400">
          <cell r="A11400">
            <v>46181802</v>
          </cell>
          <cell r="B11400" t="str">
            <v>Anteojos de seguridad</v>
          </cell>
        </row>
        <row r="11401">
          <cell r="A11401">
            <v>46181803</v>
          </cell>
          <cell r="B11401" t="str">
            <v>Protectores de ojos</v>
          </cell>
        </row>
        <row r="11402">
          <cell r="A11402">
            <v>46181804</v>
          </cell>
          <cell r="B11402" t="str">
            <v>Gafas protectoras</v>
          </cell>
        </row>
        <row r="11403">
          <cell r="A11403">
            <v>46181805</v>
          </cell>
          <cell r="B11403" t="str">
            <v>Filtros de despliegue de video</v>
          </cell>
        </row>
        <row r="11404">
          <cell r="A11404">
            <v>46181806</v>
          </cell>
          <cell r="B11404" t="str">
            <v>Limpiadores de lentes</v>
          </cell>
        </row>
        <row r="11405">
          <cell r="A11405">
            <v>46181808</v>
          </cell>
          <cell r="B11405" t="str">
            <v>Cubiertas protectoras para gafas de seguridad</v>
          </cell>
        </row>
        <row r="11406">
          <cell r="A11406">
            <v>46181809</v>
          </cell>
          <cell r="B11406" t="str">
            <v>Ligas para protectores de ojos</v>
          </cell>
        </row>
        <row r="11407">
          <cell r="A11407">
            <v>46181810</v>
          </cell>
          <cell r="B11407" t="str">
            <v>Lavadores de ojos o estaciones para lavado de ojos</v>
          </cell>
        </row>
        <row r="11408">
          <cell r="A11408">
            <v>46181811</v>
          </cell>
          <cell r="B11408" t="str">
            <v>Lentes protectores</v>
          </cell>
        </row>
        <row r="11409">
          <cell r="A11409">
            <v>46181901</v>
          </cell>
          <cell r="B11409" t="str">
            <v>Tapones de oídos</v>
          </cell>
        </row>
        <row r="11410">
          <cell r="A11410">
            <v>46181902</v>
          </cell>
          <cell r="B11410" t="str">
            <v>Tapa oídos</v>
          </cell>
        </row>
        <row r="11411">
          <cell r="A11411">
            <v>46181903</v>
          </cell>
          <cell r="B11411" t="str">
            <v>Partes de repuesto o accesorios para tapa oídos</v>
          </cell>
        </row>
        <row r="11412">
          <cell r="A11412">
            <v>46182001</v>
          </cell>
          <cell r="B11412" t="str">
            <v>Máscaras o accesorios</v>
          </cell>
        </row>
        <row r="11413">
          <cell r="A11413">
            <v>46182002</v>
          </cell>
          <cell r="B11413" t="str">
            <v>Respiradores</v>
          </cell>
        </row>
        <row r="11414">
          <cell r="A11414">
            <v>46182003</v>
          </cell>
          <cell r="B11414" t="str">
            <v>Máscaras de gas</v>
          </cell>
        </row>
        <row r="11415">
          <cell r="A11415">
            <v>46182004</v>
          </cell>
          <cell r="B11415" t="str">
            <v>Aparatos respiratorios auto contenidos que suministran aire para respirar o accesorios</v>
          </cell>
        </row>
        <row r="11416">
          <cell r="A11416">
            <v>46182005</v>
          </cell>
          <cell r="B11416" t="str">
            <v>Filtros o accesorios para máscaras o respiradores</v>
          </cell>
        </row>
        <row r="11417">
          <cell r="A11417">
            <v>46182006</v>
          </cell>
          <cell r="B11417" t="str">
            <v>Películas protectoras</v>
          </cell>
        </row>
        <row r="11418">
          <cell r="A11418">
            <v>46182007</v>
          </cell>
          <cell r="B11418" t="str">
            <v>Sistema de respirador accionado purificador de aire papr o accesorios</v>
          </cell>
        </row>
        <row r="11419">
          <cell r="A11419">
            <v>46182101</v>
          </cell>
          <cell r="B11419" t="str">
            <v>Muñequeras antiestáticas</v>
          </cell>
        </row>
        <row r="11420">
          <cell r="A11420">
            <v>46182102</v>
          </cell>
          <cell r="B11420" t="str">
            <v>Correas de conexión a tierra para el talón</v>
          </cell>
        </row>
        <row r="11421">
          <cell r="A11421">
            <v>46182103</v>
          </cell>
          <cell r="B11421" t="str">
            <v>Hardware de conexión a tierra</v>
          </cell>
        </row>
        <row r="11422">
          <cell r="A11422">
            <v>46182104</v>
          </cell>
          <cell r="B11422" t="str">
            <v>Esterillas de piso antiestáticas</v>
          </cell>
        </row>
        <row r="11423">
          <cell r="A11423">
            <v>46182105</v>
          </cell>
          <cell r="B11423" t="str">
            <v>Esterillas de mesa de trabajo antiestáticas</v>
          </cell>
        </row>
        <row r="11424">
          <cell r="A11424">
            <v>46182106</v>
          </cell>
          <cell r="B11424" t="str">
            <v>Cinturones antiestáticos</v>
          </cell>
        </row>
        <row r="11425">
          <cell r="A11425">
            <v>46182107</v>
          </cell>
          <cell r="B11425" t="str">
            <v>Kits de mantenimiento antiestáticos</v>
          </cell>
        </row>
        <row r="11426">
          <cell r="A11426">
            <v>46182108</v>
          </cell>
          <cell r="B11426" t="str">
            <v>Correas antiestáticas para los dedos de los pies</v>
          </cell>
        </row>
        <row r="11427">
          <cell r="A11427">
            <v>46182201</v>
          </cell>
          <cell r="B11427" t="str">
            <v>Cinturones de soporte de la espalda</v>
          </cell>
        </row>
        <row r="11428">
          <cell r="A11428">
            <v>46182202</v>
          </cell>
          <cell r="B11428" t="str">
            <v>Soportes para codos</v>
          </cell>
        </row>
        <row r="11429">
          <cell r="A11429">
            <v>46182203</v>
          </cell>
          <cell r="B11429" t="str">
            <v>Descansos de soporte para la espalda</v>
          </cell>
        </row>
        <row r="11430">
          <cell r="A11430">
            <v>46182204</v>
          </cell>
          <cell r="B11430" t="str">
            <v>Férulas para la muñeca</v>
          </cell>
        </row>
        <row r="11431">
          <cell r="A11431">
            <v>46182205</v>
          </cell>
          <cell r="B11431" t="str">
            <v>Descansos para los pies</v>
          </cell>
        </row>
        <row r="11432">
          <cell r="A11432">
            <v>46182206</v>
          </cell>
          <cell r="B11432" t="str">
            <v>Descansos para las muñecas</v>
          </cell>
        </row>
        <row r="11433">
          <cell r="A11433">
            <v>46182207</v>
          </cell>
          <cell r="B11433" t="str">
            <v>Soportes para las pantorrillas</v>
          </cell>
        </row>
        <row r="11434">
          <cell r="A11434">
            <v>46182208</v>
          </cell>
          <cell r="B11434" t="str">
            <v>Plantillas para zapatos</v>
          </cell>
        </row>
        <row r="11435">
          <cell r="A11435">
            <v>46182209</v>
          </cell>
          <cell r="B11435" t="str">
            <v>Soportes para las rodillas</v>
          </cell>
        </row>
        <row r="11436">
          <cell r="A11436">
            <v>46182301</v>
          </cell>
          <cell r="B11436" t="str">
            <v>Salvavidas o equipo salvavidas</v>
          </cell>
        </row>
        <row r="11437">
          <cell r="A11437">
            <v>46182302</v>
          </cell>
          <cell r="B11437" t="str">
            <v>Acollador de protección contra caídas</v>
          </cell>
        </row>
        <row r="11438">
          <cell r="A11438">
            <v>46182303</v>
          </cell>
          <cell r="B11438" t="str">
            <v>Rebobinadores de arneses de seguridad</v>
          </cell>
        </row>
        <row r="11439">
          <cell r="A11439">
            <v>46182304</v>
          </cell>
          <cell r="B11439" t="str">
            <v>Conector de anclaje</v>
          </cell>
        </row>
        <row r="11440">
          <cell r="A11440">
            <v>46182305</v>
          </cell>
          <cell r="B11440" t="str">
            <v>Acollador de auto retracción</v>
          </cell>
        </row>
        <row r="11441">
          <cell r="A11441">
            <v>46182306</v>
          </cell>
          <cell r="B11441" t="str">
            <v>Arneses o cinturones de seguridad</v>
          </cell>
        </row>
        <row r="11442">
          <cell r="A11442">
            <v>46182401</v>
          </cell>
          <cell r="B11442" t="str">
            <v>Ducha de descontaminación</v>
          </cell>
        </row>
        <row r="11443">
          <cell r="A11443">
            <v>46182402</v>
          </cell>
          <cell r="B11443" t="str">
            <v>Unidades de lavado de seguridad</v>
          </cell>
        </row>
        <row r="11444">
          <cell r="A11444">
            <v>46182501</v>
          </cell>
          <cell r="B11444" t="str">
            <v>Repelentes para ataques caninos</v>
          </cell>
        </row>
        <row r="11445">
          <cell r="A11445">
            <v>46191501</v>
          </cell>
          <cell r="B11445" t="str">
            <v>Detectores de humo</v>
          </cell>
        </row>
        <row r="11446">
          <cell r="A11446">
            <v>46191502</v>
          </cell>
          <cell r="B11446" t="str">
            <v>Detectores de calor</v>
          </cell>
        </row>
        <row r="11447">
          <cell r="A11447">
            <v>46191503</v>
          </cell>
          <cell r="B11447" t="str">
            <v>Recubrimientos o plastilinas o sellantes resistentes al calor</v>
          </cell>
        </row>
        <row r="11448">
          <cell r="A11448">
            <v>46191504</v>
          </cell>
          <cell r="B11448" t="str">
            <v>Detectores de llama</v>
          </cell>
        </row>
        <row r="11449">
          <cell r="A11449">
            <v>46191505</v>
          </cell>
          <cell r="B11449" t="str">
            <v>Sistemas de alarma contra incendios</v>
          </cell>
        </row>
        <row r="11450">
          <cell r="A11450">
            <v>46191601</v>
          </cell>
          <cell r="B11450" t="str">
            <v>Extintores</v>
          </cell>
        </row>
        <row r="11451">
          <cell r="A11451">
            <v>46191602</v>
          </cell>
          <cell r="B11451" t="str">
            <v>Sistemas de rociado para incendio</v>
          </cell>
        </row>
        <row r="11452">
          <cell r="A11452">
            <v>46191603</v>
          </cell>
          <cell r="B11452" t="str">
            <v>Mangueras o boquillas para incendios</v>
          </cell>
        </row>
        <row r="11453">
          <cell r="A11453">
            <v>46191604</v>
          </cell>
          <cell r="B11453" t="str">
            <v>Cobijas para incendios</v>
          </cell>
        </row>
        <row r="11454">
          <cell r="A11454">
            <v>46191605</v>
          </cell>
          <cell r="B11454" t="str">
            <v>Herramientas manuales de supresión de incendios</v>
          </cell>
        </row>
        <row r="11455">
          <cell r="A11455">
            <v>46191606</v>
          </cell>
          <cell r="B11455" t="str">
            <v>Espuma de supresión de incendios o compuestos similares</v>
          </cell>
        </row>
        <row r="11456">
          <cell r="A11456">
            <v>46191607</v>
          </cell>
          <cell r="B11456" t="str">
            <v>Aparatos respiratorios para incendios</v>
          </cell>
        </row>
        <row r="11457">
          <cell r="A11457">
            <v>46191608</v>
          </cell>
          <cell r="B11457" t="str">
            <v>Sistema de supresión de incendios</v>
          </cell>
        </row>
        <row r="11458">
          <cell r="A11458">
            <v>46191609</v>
          </cell>
          <cell r="B11458" t="str">
            <v>Equipos de escape de incendios</v>
          </cell>
        </row>
        <row r="11459">
          <cell r="A11459">
            <v>46191610</v>
          </cell>
          <cell r="B11459" t="str">
            <v>Cabezales de rociadores de incendios</v>
          </cell>
        </row>
        <row r="11460">
          <cell r="A11460">
            <v>47101501</v>
          </cell>
          <cell r="B11460" t="str">
            <v>Equipo de carbón activado</v>
          </cell>
        </row>
        <row r="11461">
          <cell r="A11461">
            <v>47101502</v>
          </cell>
          <cell r="B11461" t="str">
            <v>Equipo de remoción de amoniaco</v>
          </cell>
        </row>
        <row r="11462">
          <cell r="A11462">
            <v>47101503</v>
          </cell>
          <cell r="B11462" t="str">
            <v>Equipo de filtración de carbón</v>
          </cell>
        </row>
        <row r="11463">
          <cell r="A11463">
            <v>47101504</v>
          </cell>
          <cell r="B11463" t="str">
            <v>Equipo de remoción de bacterias</v>
          </cell>
        </row>
        <row r="11464">
          <cell r="A11464">
            <v>47101505</v>
          </cell>
          <cell r="B11464" t="str">
            <v>Equipo de manejo de cloro</v>
          </cell>
        </row>
        <row r="11465">
          <cell r="A11465">
            <v>47101506</v>
          </cell>
          <cell r="B11465" t="str">
            <v>Equipo de control de corrosión</v>
          </cell>
        </row>
        <row r="11466">
          <cell r="A11466">
            <v>47101507</v>
          </cell>
          <cell r="B11466" t="str">
            <v>Cámaras de sílice</v>
          </cell>
        </row>
        <row r="11467">
          <cell r="A11467">
            <v>47101508</v>
          </cell>
          <cell r="B11467" t="str">
            <v>Equipos de desalinización</v>
          </cell>
        </row>
        <row r="11468">
          <cell r="A11468">
            <v>47101509</v>
          </cell>
          <cell r="B11468" t="str">
            <v>Equipos de fluorización</v>
          </cell>
        </row>
        <row r="11469">
          <cell r="A11469">
            <v>47101510</v>
          </cell>
          <cell r="B11469" t="str">
            <v>Equipos de remoción de hierro</v>
          </cell>
        </row>
        <row r="11470">
          <cell r="A11470">
            <v>47101511</v>
          </cell>
          <cell r="B11470" t="str">
            <v>Equipos de intercambio de hierro</v>
          </cell>
        </row>
        <row r="11471">
          <cell r="A11471">
            <v>47101512</v>
          </cell>
          <cell r="B11471" t="str">
            <v>Mezcladores o agitadores</v>
          </cell>
        </row>
        <row r="11472">
          <cell r="A11472">
            <v>47101513</v>
          </cell>
          <cell r="B11472" t="str">
            <v>Generadores de oxígeno</v>
          </cell>
        </row>
        <row r="11473">
          <cell r="A11473">
            <v>47101514</v>
          </cell>
          <cell r="B11473" t="str">
            <v>Equipos de purificación de agua</v>
          </cell>
        </row>
        <row r="11474">
          <cell r="A11474">
            <v>47101516</v>
          </cell>
          <cell r="B11474" t="str">
            <v>Medidores de turbiedad</v>
          </cell>
        </row>
        <row r="11475">
          <cell r="A11475">
            <v>47101517</v>
          </cell>
          <cell r="B11475" t="str">
            <v>Equipos de desinfección ultravioleta</v>
          </cell>
        </row>
        <row r="11476">
          <cell r="A11476">
            <v>47101518</v>
          </cell>
          <cell r="B11476" t="str">
            <v>Acondicionadores de agua</v>
          </cell>
        </row>
        <row r="11477">
          <cell r="A11477">
            <v>47101519</v>
          </cell>
          <cell r="B11477" t="str">
            <v>Accesorios para suavizar el agua</v>
          </cell>
        </row>
        <row r="11478">
          <cell r="A11478">
            <v>47101521</v>
          </cell>
          <cell r="B11478" t="str">
            <v>Equipos de ultra filtrado</v>
          </cell>
        </row>
        <row r="11479">
          <cell r="A11479">
            <v>47101522</v>
          </cell>
          <cell r="B11479" t="str">
            <v>Sistemas empacados de tratamiento de agua</v>
          </cell>
        </row>
        <row r="11480">
          <cell r="A11480">
            <v>47101523</v>
          </cell>
          <cell r="B11480" t="str">
            <v>Tanques de recolección</v>
          </cell>
        </row>
        <row r="11481">
          <cell r="A11481">
            <v>47101524</v>
          </cell>
          <cell r="B11481" t="str">
            <v>Equipos de compostaje de barro o algas</v>
          </cell>
        </row>
        <row r="11482">
          <cell r="A11482">
            <v>47101525</v>
          </cell>
          <cell r="B11482" t="str">
            <v>Equipo de desagüe</v>
          </cell>
        </row>
        <row r="11483">
          <cell r="A11483">
            <v>47101526</v>
          </cell>
          <cell r="B11483" t="str">
            <v>Máquinas de peletización de lodo</v>
          </cell>
        </row>
        <row r="11484">
          <cell r="A11484">
            <v>47101527</v>
          </cell>
          <cell r="B11484" t="str">
            <v>Trituradores de lodo</v>
          </cell>
        </row>
        <row r="11485">
          <cell r="A11485">
            <v>47101528</v>
          </cell>
          <cell r="B11485" t="str">
            <v>Secadores para tratamiento de agua</v>
          </cell>
        </row>
        <row r="11486">
          <cell r="A11486">
            <v>47101529</v>
          </cell>
          <cell r="B11486" t="str">
            <v>Incineradores</v>
          </cell>
        </row>
        <row r="11487">
          <cell r="A11487">
            <v>47101530</v>
          </cell>
          <cell r="B11487" t="str">
            <v>Equipo de control de olores</v>
          </cell>
        </row>
        <row r="11488">
          <cell r="A11488">
            <v>47101531</v>
          </cell>
          <cell r="B11488" t="str">
            <v>Tanques sépticos</v>
          </cell>
        </row>
        <row r="11489">
          <cell r="A11489">
            <v>47101532</v>
          </cell>
          <cell r="B11489" t="str">
            <v>Tanques de asentamiento</v>
          </cell>
        </row>
        <row r="11490">
          <cell r="A11490">
            <v>47101533</v>
          </cell>
          <cell r="B11490" t="str">
            <v>Estaciones de elevación</v>
          </cell>
        </row>
        <row r="11491">
          <cell r="A11491">
            <v>47101534</v>
          </cell>
          <cell r="B11491" t="str">
            <v>Distribuidores de aguas residuales</v>
          </cell>
        </row>
        <row r="11492">
          <cell r="A11492">
            <v>47101535</v>
          </cell>
          <cell r="B11492" t="str">
            <v>Equipo de disposición de lodo</v>
          </cell>
        </row>
        <row r="11493">
          <cell r="A11493">
            <v>47101536</v>
          </cell>
          <cell r="B11493" t="str">
            <v>Recolectores de lodo</v>
          </cell>
        </row>
        <row r="11494">
          <cell r="A11494">
            <v>47101537</v>
          </cell>
          <cell r="B11494" t="str">
            <v>Equipo acondicionador de lodo</v>
          </cell>
        </row>
        <row r="11495">
          <cell r="A11495">
            <v>47101538</v>
          </cell>
          <cell r="B11495" t="str">
            <v>Tanques digestores de lodo o aguas residuales</v>
          </cell>
        </row>
        <row r="11496">
          <cell r="A11496">
            <v>47101539</v>
          </cell>
          <cell r="B11496" t="str">
            <v>Equipo de remoción de lodo o aguas residuales</v>
          </cell>
        </row>
        <row r="11497">
          <cell r="A11497">
            <v>47101601</v>
          </cell>
          <cell r="B11497" t="str">
            <v>Alguicidas</v>
          </cell>
        </row>
        <row r="11498">
          <cell r="A11498">
            <v>47101602</v>
          </cell>
          <cell r="B11498" t="str">
            <v>Anti incrustante</v>
          </cell>
        </row>
        <row r="11499">
          <cell r="A11499">
            <v>47101603</v>
          </cell>
          <cell r="B11499" t="str">
            <v>Limpiadores anti calcáreos</v>
          </cell>
        </row>
        <row r="11500">
          <cell r="A11500">
            <v>47101604</v>
          </cell>
          <cell r="B11500" t="str">
            <v>Químicos de alimentación de calderas</v>
          </cell>
        </row>
        <row r="11501">
          <cell r="A11501">
            <v>47101605</v>
          </cell>
          <cell r="B11501" t="str">
            <v>Químicos de remoción bacteriana</v>
          </cell>
        </row>
        <row r="11502">
          <cell r="A11502">
            <v>47101606</v>
          </cell>
          <cell r="B11502" t="str">
            <v>Químicos de control de corrosión</v>
          </cell>
        </row>
        <row r="11503">
          <cell r="A11503">
            <v>47101607</v>
          </cell>
          <cell r="B11503" t="str">
            <v>Químicos de control de olor</v>
          </cell>
        </row>
        <row r="11504">
          <cell r="A11504">
            <v>47101608</v>
          </cell>
          <cell r="B11504" t="str">
            <v>Floculantes</v>
          </cell>
        </row>
        <row r="11505">
          <cell r="A11505">
            <v>47101609</v>
          </cell>
          <cell r="B11505" t="str">
            <v>Microbicidas</v>
          </cell>
        </row>
        <row r="11506">
          <cell r="A11506">
            <v>47101610</v>
          </cell>
          <cell r="B11506" t="str">
            <v>Compuestos para suavizar el agua</v>
          </cell>
        </row>
        <row r="11507">
          <cell r="A11507">
            <v>47101611</v>
          </cell>
          <cell r="B11507" t="str">
            <v>Demulsificantes</v>
          </cell>
        </row>
        <row r="11508">
          <cell r="A11508">
            <v>47101612</v>
          </cell>
          <cell r="B11508" t="str">
            <v>Polielectrolitos</v>
          </cell>
        </row>
        <row r="11509">
          <cell r="A11509">
            <v>47101613</v>
          </cell>
          <cell r="B11509" t="str">
            <v>Soluciones de neutralización</v>
          </cell>
        </row>
        <row r="11510">
          <cell r="A11510">
            <v>47111501</v>
          </cell>
          <cell r="B11510" t="str">
            <v>Máquinas lavadoras o secadoras combinadas tipo lavandería</v>
          </cell>
        </row>
        <row r="11511">
          <cell r="A11511">
            <v>47111502</v>
          </cell>
          <cell r="B11511" t="str">
            <v>Máquinas lavadoras tipo lavandería</v>
          </cell>
        </row>
        <row r="11512">
          <cell r="A11512">
            <v>47111503</v>
          </cell>
          <cell r="B11512" t="str">
            <v>Secadoras de ropa</v>
          </cell>
        </row>
        <row r="11513">
          <cell r="A11513">
            <v>47111505</v>
          </cell>
          <cell r="B11513" t="str">
            <v>Puestos para equipos de lavandería</v>
          </cell>
        </row>
        <row r="11514">
          <cell r="A11514">
            <v>47111601</v>
          </cell>
          <cell r="B11514" t="str">
            <v>Máquinas para planchar o prensas</v>
          </cell>
        </row>
        <row r="11515">
          <cell r="A11515">
            <v>47111602</v>
          </cell>
          <cell r="B11515" t="str">
            <v>Máquinas para doblar</v>
          </cell>
        </row>
        <row r="11516">
          <cell r="A11516">
            <v>47111603</v>
          </cell>
          <cell r="B11516" t="str">
            <v>Máquinas de vapor para planchar</v>
          </cell>
        </row>
        <row r="11517">
          <cell r="A11517">
            <v>47111701</v>
          </cell>
          <cell r="B11517" t="str">
            <v>Máquinas de lavado en seco</v>
          </cell>
        </row>
        <row r="11518">
          <cell r="A11518">
            <v>47121501</v>
          </cell>
          <cell r="B11518" t="str">
            <v>Carritos de portero</v>
          </cell>
        </row>
        <row r="11519">
          <cell r="A11519">
            <v>47121502</v>
          </cell>
          <cell r="B11519" t="str">
            <v>Accesorios de carrito de portero</v>
          </cell>
        </row>
        <row r="11520">
          <cell r="A11520">
            <v>47121602</v>
          </cell>
          <cell r="B11520" t="str">
            <v>Aspiradoras</v>
          </cell>
        </row>
        <row r="11521">
          <cell r="A11521">
            <v>47121603</v>
          </cell>
          <cell r="B11521" t="str">
            <v>Brilladoras de pisos</v>
          </cell>
        </row>
        <row r="11522">
          <cell r="A11522">
            <v>47121604</v>
          </cell>
          <cell r="B11522" t="str">
            <v>Aspiradoras de combinación secas o húmedas</v>
          </cell>
        </row>
        <row r="11523">
          <cell r="A11523">
            <v>47121605</v>
          </cell>
          <cell r="B11523" t="str">
            <v>Depuradores para pisos</v>
          </cell>
        </row>
        <row r="11524">
          <cell r="A11524">
            <v>47121606</v>
          </cell>
          <cell r="B11524" t="str">
            <v>Barredoras de alfombras</v>
          </cell>
        </row>
        <row r="11525">
          <cell r="A11525">
            <v>47121607</v>
          </cell>
          <cell r="B11525" t="str">
            <v>Suministros o accesorios de aspiradoras</v>
          </cell>
        </row>
        <row r="11526">
          <cell r="A11526">
            <v>47121608</v>
          </cell>
          <cell r="B11526" t="str">
            <v>Almohadillas de máquinas de piso</v>
          </cell>
        </row>
        <row r="11527">
          <cell r="A11527">
            <v>47121609</v>
          </cell>
          <cell r="B11527" t="str">
            <v>Equipo de limpieza de alfombras</v>
          </cell>
        </row>
        <row r="11528">
          <cell r="A11528">
            <v>47121610</v>
          </cell>
          <cell r="B11528" t="str">
            <v>Máquina para lavar pisos</v>
          </cell>
        </row>
        <row r="11529">
          <cell r="A11529">
            <v>47121611</v>
          </cell>
          <cell r="B11529" t="str">
            <v>Raspadores de pisos</v>
          </cell>
        </row>
        <row r="11530">
          <cell r="A11530">
            <v>47121612</v>
          </cell>
          <cell r="B11530" t="str">
            <v>Barredoras para pisos</v>
          </cell>
        </row>
        <row r="11531">
          <cell r="A11531">
            <v>47121613</v>
          </cell>
          <cell r="B11531" t="str">
            <v>Accesorios para brilladoras de pisos</v>
          </cell>
        </row>
        <row r="11532">
          <cell r="A11532">
            <v>47121701</v>
          </cell>
          <cell r="B11532" t="str">
            <v>Bolsas de basura</v>
          </cell>
        </row>
        <row r="11533">
          <cell r="A11533">
            <v>47121702</v>
          </cell>
          <cell r="B11533" t="str">
            <v>Contenedores de desperdicios o revestimientos rígidos</v>
          </cell>
        </row>
        <row r="11534">
          <cell r="A11534">
            <v>47121703</v>
          </cell>
          <cell r="B11534" t="str">
            <v>Urnas de incineración o accesorios</v>
          </cell>
        </row>
        <row r="11535">
          <cell r="A11535">
            <v>47121704</v>
          </cell>
          <cell r="B11535" t="str">
            <v>Tapas de contenedores de basura</v>
          </cell>
        </row>
        <row r="11536">
          <cell r="A11536">
            <v>47121705</v>
          </cell>
          <cell r="B11536" t="str">
            <v>Bolsas de arena para urnas de incineración</v>
          </cell>
        </row>
        <row r="11537">
          <cell r="A11537">
            <v>47121706</v>
          </cell>
          <cell r="B11537" t="str">
            <v>Ceniceros</v>
          </cell>
        </row>
        <row r="11538">
          <cell r="A11538">
            <v>47121707</v>
          </cell>
          <cell r="B11538" t="str">
            <v>Bolsas para mareo</v>
          </cell>
        </row>
        <row r="11539">
          <cell r="A11539">
            <v>47121708</v>
          </cell>
          <cell r="B11539" t="str">
            <v>Bolsas higiénicas</v>
          </cell>
        </row>
        <row r="11540">
          <cell r="A11540">
            <v>47121801</v>
          </cell>
          <cell r="B11540" t="str">
            <v>Plumeros para limpiar el polvo</v>
          </cell>
        </row>
        <row r="11541">
          <cell r="A11541">
            <v>47121802</v>
          </cell>
          <cell r="B11541" t="str">
            <v>Removedores de pelusa</v>
          </cell>
        </row>
        <row r="11542">
          <cell r="A11542">
            <v>47121803</v>
          </cell>
          <cell r="B11542" t="str">
            <v>Esponjas o esponjillas</v>
          </cell>
        </row>
        <row r="11543">
          <cell r="A11543">
            <v>47121804</v>
          </cell>
          <cell r="B11543" t="str">
            <v>Baldes para limpieza</v>
          </cell>
        </row>
        <row r="11544">
          <cell r="A11544">
            <v>47121805</v>
          </cell>
          <cell r="B11544" t="str">
            <v>Limpiadores de presión o de vapor</v>
          </cell>
        </row>
        <row r="11545">
          <cell r="A11545">
            <v>47121806</v>
          </cell>
          <cell r="B11545" t="str">
            <v>Escurridor de trapero</v>
          </cell>
        </row>
        <row r="11546">
          <cell r="A11546">
            <v>47121807</v>
          </cell>
          <cell r="B11546" t="str">
            <v>Émbolo del lavaplatos o inodoro</v>
          </cell>
        </row>
        <row r="11547">
          <cell r="A11547">
            <v>47121808</v>
          </cell>
          <cell r="B11547" t="str">
            <v>Equipo de limpieza de drenajes o tubos</v>
          </cell>
        </row>
        <row r="11548">
          <cell r="A11548">
            <v>47121809</v>
          </cell>
          <cell r="B11548" t="str">
            <v>Sartenes desengrasantes</v>
          </cell>
        </row>
        <row r="11549">
          <cell r="A11549">
            <v>47121810</v>
          </cell>
          <cell r="B11549" t="str">
            <v>Dispensador de trapos para limpiar</v>
          </cell>
        </row>
        <row r="11550">
          <cell r="A11550">
            <v>47121811</v>
          </cell>
          <cell r="B11550" t="str">
            <v>Máquinas para limpiar ductos</v>
          </cell>
        </row>
        <row r="11551">
          <cell r="A11551">
            <v>47121812</v>
          </cell>
          <cell r="B11551" t="str">
            <v>Raspadores de limpieza</v>
          </cell>
        </row>
        <row r="11552">
          <cell r="A11552">
            <v>47121813</v>
          </cell>
          <cell r="B11552" t="str">
            <v>Cuchillas de repuesto para raspadores</v>
          </cell>
        </row>
        <row r="11553">
          <cell r="A11553">
            <v>47121901</v>
          </cell>
          <cell r="B11553" t="str">
            <v>Cartucheras para esponjas o esponjillas</v>
          </cell>
        </row>
        <row r="11554">
          <cell r="A11554">
            <v>47121902</v>
          </cell>
          <cell r="B11554" t="str">
            <v>Accesorios para esponjas o esponjillas</v>
          </cell>
        </row>
        <row r="11555">
          <cell r="A11555">
            <v>47121903</v>
          </cell>
          <cell r="B11555" t="str">
            <v>Accesorios para limpiadores de vapor o presión</v>
          </cell>
        </row>
        <row r="11556">
          <cell r="A11556">
            <v>47131501</v>
          </cell>
          <cell r="B11556" t="str">
            <v>Trapos</v>
          </cell>
        </row>
        <row r="11557">
          <cell r="A11557">
            <v>47131502</v>
          </cell>
          <cell r="B11557" t="str">
            <v>Pañitos o toallas para limpiar</v>
          </cell>
        </row>
        <row r="11558">
          <cell r="A11558">
            <v>47131503</v>
          </cell>
          <cell r="B11558" t="str">
            <v>Gamuzas o cueros para lavar</v>
          </cell>
        </row>
        <row r="11559">
          <cell r="A11559">
            <v>47131601</v>
          </cell>
          <cell r="B11559" t="str">
            <v>Cepillos o recogedores para polvo</v>
          </cell>
        </row>
        <row r="11560">
          <cell r="A11560">
            <v>47131602</v>
          </cell>
          <cell r="B11560" t="str">
            <v>Almohadillas para restregar</v>
          </cell>
        </row>
        <row r="11561">
          <cell r="A11561">
            <v>47131603</v>
          </cell>
          <cell r="B11561" t="str">
            <v>Esponjas</v>
          </cell>
        </row>
        <row r="11562">
          <cell r="A11562">
            <v>47131604</v>
          </cell>
          <cell r="B11562" t="str">
            <v>Escobas</v>
          </cell>
        </row>
        <row r="11563">
          <cell r="A11563">
            <v>47131605</v>
          </cell>
          <cell r="B11563" t="str">
            <v>Cepillos de limpieza</v>
          </cell>
        </row>
        <row r="11564">
          <cell r="A11564">
            <v>47131608</v>
          </cell>
          <cell r="B11564" t="str">
            <v>Cepillos de baño</v>
          </cell>
        </row>
        <row r="11565">
          <cell r="A11565">
            <v>47131609</v>
          </cell>
          <cell r="B11565" t="str">
            <v>Manijas de escobas o traperos</v>
          </cell>
        </row>
        <row r="11566">
          <cell r="A11566">
            <v>47131610</v>
          </cell>
          <cell r="B11566" t="str">
            <v>Aplicador de terminado para pisos</v>
          </cell>
        </row>
        <row r="11567">
          <cell r="A11567">
            <v>47131611</v>
          </cell>
          <cell r="B11567" t="str">
            <v>Recogedor de basura</v>
          </cell>
        </row>
        <row r="11568">
          <cell r="A11568">
            <v>47131612</v>
          </cell>
          <cell r="B11568" t="str">
            <v>Cauchos de repuesto</v>
          </cell>
        </row>
        <row r="11569">
          <cell r="A11569">
            <v>47131613</v>
          </cell>
          <cell r="B11569" t="str">
            <v>Sujetador de traperos o escobas</v>
          </cell>
        </row>
        <row r="11570">
          <cell r="A11570">
            <v>47131614</v>
          </cell>
          <cell r="B11570" t="str">
            <v>Pinzas para equipos de limpieza</v>
          </cell>
        </row>
        <row r="11571">
          <cell r="A11571">
            <v>47131615</v>
          </cell>
          <cell r="B11571" t="str">
            <v>Cabezas de escoba</v>
          </cell>
        </row>
        <row r="11572">
          <cell r="A11572">
            <v>47131616</v>
          </cell>
          <cell r="B11572" t="str">
            <v>Sujetadores de pañitos de limpieza</v>
          </cell>
        </row>
        <row r="11573">
          <cell r="A11573">
            <v>47131617</v>
          </cell>
          <cell r="B11573" t="str">
            <v>Traperos para polvo</v>
          </cell>
        </row>
        <row r="11574">
          <cell r="A11574">
            <v>47131618</v>
          </cell>
          <cell r="B11574" t="str">
            <v>Traperos húmedos</v>
          </cell>
        </row>
        <row r="11575">
          <cell r="A11575">
            <v>47131619</v>
          </cell>
          <cell r="B11575" t="str">
            <v>Cabezas de traperos</v>
          </cell>
        </row>
        <row r="11576">
          <cell r="A11576">
            <v>47131701</v>
          </cell>
          <cell r="B11576" t="str">
            <v>Dispensadores de toallas de papel</v>
          </cell>
        </row>
        <row r="11577">
          <cell r="A11577">
            <v>47131702</v>
          </cell>
          <cell r="B11577" t="str">
            <v>Dispensadores de productos sanitarios</v>
          </cell>
        </row>
        <row r="11578">
          <cell r="A11578">
            <v>47131703</v>
          </cell>
          <cell r="B11578" t="str">
            <v>Receptáculos para residuos sanitarios</v>
          </cell>
        </row>
        <row r="11579">
          <cell r="A11579">
            <v>47131704</v>
          </cell>
          <cell r="B11579" t="str">
            <v>Dispensadores institucionales de jabón o loción</v>
          </cell>
        </row>
        <row r="11580">
          <cell r="A11580">
            <v>47131705</v>
          </cell>
          <cell r="B11580" t="str">
            <v>Accesorios para urinales o inodoros</v>
          </cell>
        </row>
        <row r="11581">
          <cell r="A11581">
            <v>47131706</v>
          </cell>
          <cell r="B11581" t="str">
            <v>Dispensadores de ambientadores</v>
          </cell>
        </row>
        <row r="11582">
          <cell r="A11582">
            <v>47131707</v>
          </cell>
          <cell r="B11582" t="str">
            <v>Secadores de manos institucionales</v>
          </cell>
        </row>
        <row r="11583">
          <cell r="A11583">
            <v>47131708</v>
          </cell>
          <cell r="B11583" t="str">
            <v>Dispensador de papel de seda del cuarto de baño</v>
          </cell>
        </row>
        <row r="11584">
          <cell r="A11584">
            <v>47131709</v>
          </cell>
          <cell r="B11584" t="str">
            <v>Dispensadores de pañuelos faciales</v>
          </cell>
        </row>
        <row r="11585">
          <cell r="A11585">
            <v>47131710</v>
          </cell>
          <cell r="B11585" t="str">
            <v>Dispensadores de papel higiénico</v>
          </cell>
        </row>
        <row r="11586">
          <cell r="A11586">
            <v>47131711</v>
          </cell>
          <cell r="B11586" t="str">
            <v>Dispensadores de limpiador</v>
          </cell>
        </row>
        <row r="11587">
          <cell r="A11587">
            <v>47131801</v>
          </cell>
          <cell r="B11587" t="str">
            <v>Limpiadores de pisos</v>
          </cell>
        </row>
        <row r="11588">
          <cell r="A11588">
            <v>47131802</v>
          </cell>
          <cell r="B11588" t="str">
            <v>Terminados o ceras para pisos</v>
          </cell>
        </row>
        <row r="11589">
          <cell r="A11589">
            <v>47131803</v>
          </cell>
          <cell r="B11589" t="str">
            <v>Desinfectantes para uso doméstico</v>
          </cell>
        </row>
        <row r="11590">
          <cell r="A11590">
            <v>47131804</v>
          </cell>
          <cell r="B11590" t="str">
            <v>Limpiadores de amoniaco</v>
          </cell>
        </row>
        <row r="11591">
          <cell r="A11591">
            <v>47131805</v>
          </cell>
          <cell r="B11591" t="str">
            <v>Limpiadores de propósito general</v>
          </cell>
        </row>
        <row r="11592">
          <cell r="A11592">
            <v>47131806</v>
          </cell>
          <cell r="B11592" t="str">
            <v>Pulidores o ceras para muebles</v>
          </cell>
        </row>
        <row r="11593">
          <cell r="A11593">
            <v>47131807</v>
          </cell>
          <cell r="B11593" t="str">
            <v>Blanqueadores</v>
          </cell>
        </row>
        <row r="11594">
          <cell r="A11594">
            <v>47131808</v>
          </cell>
          <cell r="B11594" t="str">
            <v>Germicida seco</v>
          </cell>
        </row>
        <row r="11595">
          <cell r="A11595">
            <v>47131809</v>
          </cell>
          <cell r="B11595" t="str">
            <v>Productos para limpiar o brillar zapatos</v>
          </cell>
        </row>
        <row r="11596">
          <cell r="A11596">
            <v>47131810</v>
          </cell>
          <cell r="B11596" t="str">
            <v>Productos para el lavaplatos</v>
          </cell>
        </row>
        <row r="11597">
          <cell r="A11597">
            <v>47131811</v>
          </cell>
          <cell r="B11597" t="str">
            <v>Productos de lavandería</v>
          </cell>
        </row>
        <row r="11598">
          <cell r="A11598">
            <v>47131812</v>
          </cell>
          <cell r="B11598" t="str">
            <v>Refrescador de aire</v>
          </cell>
        </row>
        <row r="11599">
          <cell r="A11599">
            <v>47131813</v>
          </cell>
          <cell r="B11599" t="str">
            <v>Limpiador de pantallas</v>
          </cell>
        </row>
        <row r="11600">
          <cell r="A11600">
            <v>47131814</v>
          </cell>
          <cell r="B11600" t="str">
            <v>Limpiadores o pulidores de metales</v>
          </cell>
        </row>
        <row r="11601">
          <cell r="A11601">
            <v>47131815</v>
          </cell>
          <cell r="B11601" t="str">
            <v>Limpiador de drenajes</v>
          </cell>
        </row>
        <row r="11602">
          <cell r="A11602">
            <v>47131816</v>
          </cell>
          <cell r="B11602" t="str">
            <v>Desodorantes</v>
          </cell>
        </row>
        <row r="11603">
          <cell r="A11603">
            <v>47131817</v>
          </cell>
          <cell r="B11603" t="str">
            <v>Protectores de uso doméstico o para automotores</v>
          </cell>
        </row>
        <row r="11604">
          <cell r="A11604">
            <v>47131818</v>
          </cell>
          <cell r="B11604" t="str">
            <v>Antiséptico de aire</v>
          </cell>
        </row>
        <row r="11605">
          <cell r="A11605">
            <v>47131819</v>
          </cell>
          <cell r="B11605" t="str">
            <v>Limpiadores cáusticos</v>
          </cell>
        </row>
        <row r="11606">
          <cell r="A11606">
            <v>47131820</v>
          </cell>
          <cell r="B11606" t="str">
            <v>Limpiadores derivados del petróleo</v>
          </cell>
        </row>
        <row r="11607">
          <cell r="A11607">
            <v>47131821</v>
          </cell>
          <cell r="B11607" t="str">
            <v>Compuestos desengrasantes</v>
          </cell>
        </row>
        <row r="11608">
          <cell r="A11608">
            <v>47131822</v>
          </cell>
          <cell r="B11608" t="str">
            <v>Compuestos para remover carbón</v>
          </cell>
        </row>
        <row r="11609">
          <cell r="A11609">
            <v>47131823</v>
          </cell>
          <cell r="B11609" t="str">
            <v>Descongelantes o deshieladores</v>
          </cell>
        </row>
        <row r="11610">
          <cell r="A11610">
            <v>47131824</v>
          </cell>
          <cell r="B11610" t="str">
            <v>Limpiadores de vidrio o ventanas</v>
          </cell>
        </row>
        <row r="11611">
          <cell r="A11611">
            <v>47131825</v>
          </cell>
          <cell r="B11611" t="str">
            <v>Limpiadores de superficie de contacto</v>
          </cell>
        </row>
        <row r="11612">
          <cell r="A11612">
            <v>47131826</v>
          </cell>
          <cell r="B11612" t="str">
            <v>Limpiadores de alfombras o tapizados</v>
          </cell>
        </row>
        <row r="11613">
          <cell r="A11613">
            <v>47131827</v>
          </cell>
          <cell r="B11613" t="str">
            <v>Limpiadores o removedores de manchas</v>
          </cell>
        </row>
        <row r="11614">
          <cell r="A11614">
            <v>47131828</v>
          </cell>
          <cell r="B11614" t="str">
            <v>Limpiadores de automotores</v>
          </cell>
        </row>
        <row r="11615">
          <cell r="A11615">
            <v>47131829</v>
          </cell>
          <cell r="B11615" t="str">
            <v>Limpiadores de baños</v>
          </cell>
        </row>
        <row r="11616">
          <cell r="A11616">
            <v>47131830</v>
          </cell>
          <cell r="B11616" t="str">
            <v>Limpiadores de muebles</v>
          </cell>
        </row>
        <row r="11617">
          <cell r="A11617">
            <v>47131831</v>
          </cell>
          <cell r="B11617" t="str">
            <v>Ácido muriático</v>
          </cell>
        </row>
        <row r="11618">
          <cell r="A11618">
            <v>47131832</v>
          </cell>
          <cell r="B11618" t="str">
            <v>Productos anti polvo</v>
          </cell>
        </row>
        <row r="11619">
          <cell r="A11619">
            <v>47131833</v>
          </cell>
          <cell r="B11619" t="str">
            <v>Antisépticos para uso en alimentos</v>
          </cell>
        </row>
        <row r="11620">
          <cell r="A11620">
            <v>47131834</v>
          </cell>
          <cell r="B11620" t="str">
            <v>Soluciones para limpiar joyas</v>
          </cell>
        </row>
        <row r="11621">
          <cell r="A11621">
            <v>47131901</v>
          </cell>
          <cell r="B11621" t="str">
            <v>Almohadillas absorbentes</v>
          </cell>
        </row>
        <row r="11622">
          <cell r="A11622">
            <v>47131902</v>
          </cell>
          <cell r="B11622" t="str">
            <v>Absorbentes granulares</v>
          </cell>
        </row>
        <row r="11623">
          <cell r="A11623">
            <v>47131903</v>
          </cell>
          <cell r="B11623" t="str">
            <v>Compuesto taponador</v>
          </cell>
        </row>
        <row r="11624">
          <cell r="A11624">
            <v>47131904</v>
          </cell>
          <cell r="B11624" t="str">
            <v>Medias absorbentes</v>
          </cell>
        </row>
        <row r="11625">
          <cell r="A11625">
            <v>47131905</v>
          </cell>
          <cell r="B11625" t="str">
            <v>Kits para derrames</v>
          </cell>
        </row>
        <row r="11626">
          <cell r="A11626">
            <v>47131906</v>
          </cell>
          <cell r="B11626" t="str">
            <v>Bandejas absorbentes</v>
          </cell>
        </row>
        <row r="11627">
          <cell r="A11627">
            <v>47131907</v>
          </cell>
          <cell r="B11627" t="str">
            <v>Escobas absorbentes</v>
          </cell>
        </row>
        <row r="11628">
          <cell r="A11628">
            <v>47131908</v>
          </cell>
          <cell r="B11628" t="str">
            <v>Almohadas absorbentes</v>
          </cell>
        </row>
        <row r="11629">
          <cell r="A11629">
            <v>47131909</v>
          </cell>
          <cell r="B11629" t="str">
            <v>Almohadillas o rollos absorbentes</v>
          </cell>
        </row>
        <row r="11630">
          <cell r="A11630">
            <v>47132101</v>
          </cell>
          <cell r="B11630" t="str">
            <v>Kits de limpieza industrial</v>
          </cell>
        </row>
        <row r="11631">
          <cell r="A11631">
            <v>47132102</v>
          </cell>
          <cell r="B11631" t="str">
            <v>Kits de limpieza para uso general</v>
          </cell>
        </row>
        <row r="11632">
          <cell r="A11632">
            <v>48101501</v>
          </cell>
          <cell r="B11632" t="str">
            <v>Baños maría para uso comercial</v>
          </cell>
        </row>
        <row r="11633">
          <cell r="A11633">
            <v>48101502</v>
          </cell>
          <cell r="B11633" t="str">
            <v>Hornos de barbecue para uso comercial</v>
          </cell>
        </row>
        <row r="11634">
          <cell r="A11634">
            <v>48101503</v>
          </cell>
          <cell r="B11634" t="str">
            <v>Asadores de uso comercial</v>
          </cell>
        </row>
        <row r="11635">
          <cell r="A11635">
            <v>48101504</v>
          </cell>
          <cell r="B11635" t="str">
            <v>Parrillas de carbón para uso comercial</v>
          </cell>
        </row>
        <row r="11636">
          <cell r="A11636">
            <v>48101505</v>
          </cell>
          <cell r="B11636" t="str">
            <v>Cafeteras o máquinas para hacer té helado de uso comercial</v>
          </cell>
        </row>
        <row r="11637">
          <cell r="A11637">
            <v>48101506</v>
          </cell>
          <cell r="B11637" t="str">
            <v>Calentadoras de café para uso comercial</v>
          </cell>
        </row>
        <row r="11638">
          <cell r="A11638">
            <v>48101507</v>
          </cell>
          <cell r="B11638" t="str">
            <v>Hornos de convección para uso comercial</v>
          </cell>
        </row>
        <row r="11639">
          <cell r="A11639">
            <v>48101508</v>
          </cell>
          <cell r="B11639" t="str">
            <v>Tostadoras sinfín para uso comercial</v>
          </cell>
        </row>
        <row r="11640">
          <cell r="A11640">
            <v>48101509</v>
          </cell>
          <cell r="B11640" t="str">
            <v>Freidoras para uso comercial</v>
          </cell>
        </row>
        <row r="11641">
          <cell r="A11641">
            <v>48101510</v>
          </cell>
          <cell r="B11641" t="str">
            <v>Calentadoras de comida para uso comercial</v>
          </cell>
        </row>
        <row r="11642">
          <cell r="A11642">
            <v>48101511</v>
          </cell>
          <cell r="B11642" t="str">
            <v>Planchas para uso comercial</v>
          </cell>
        </row>
        <row r="11643">
          <cell r="A11643">
            <v>48101512</v>
          </cell>
          <cell r="B11643" t="str">
            <v>Parrillas metálicas para uso comercial</v>
          </cell>
        </row>
        <row r="11644">
          <cell r="A11644">
            <v>48101513</v>
          </cell>
          <cell r="B11644" t="str">
            <v>Lámparas de calor para uso comercial</v>
          </cell>
        </row>
        <row r="11645">
          <cell r="A11645">
            <v>48101514</v>
          </cell>
          <cell r="B11645" t="str">
            <v>Ollas de vapor de alta presión para uso comercial</v>
          </cell>
        </row>
        <row r="11646">
          <cell r="A11646">
            <v>48101515</v>
          </cell>
          <cell r="B11646" t="str">
            <v>Parrillas para perros calientes para uso comercial</v>
          </cell>
        </row>
        <row r="11647">
          <cell r="A11647">
            <v>48101516</v>
          </cell>
          <cell r="B11647" t="str">
            <v>Hornos microondas para uso comercial</v>
          </cell>
        </row>
        <row r="11648">
          <cell r="A11648">
            <v>48101517</v>
          </cell>
          <cell r="B11648" t="str">
            <v>Hornos para uso comercial</v>
          </cell>
        </row>
        <row r="11649">
          <cell r="A11649">
            <v>48101518</v>
          </cell>
          <cell r="B11649" t="str">
            <v>Ollas para cocinar pasta para uso comercial</v>
          </cell>
        </row>
        <row r="11650">
          <cell r="A11650">
            <v>48101519</v>
          </cell>
          <cell r="B11650" t="str">
            <v>Hornos de pizza para uso comercial</v>
          </cell>
        </row>
        <row r="11651">
          <cell r="A11651">
            <v>48101520</v>
          </cell>
          <cell r="B11651" t="str">
            <v>Máquinas de maíz pira para uso comercial</v>
          </cell>
        </row>
        <row r="11652">
          <cell r="A11652">
            <v>48101521</v>
          </cell>
          <cell r="B11652" t="str">
            <v>Planchas de estufa para uso comercial</v>
          </cell>
        </row>
        <row r="11653">
          <cell r="A11653">
            <v>48101522</v>
          </cell>
          <cell r="B11653" t="str">
            <v>Asadores para uso comercial</v>
          </cell>
        </row>
        <row r="11654">
          <cell r="A11654">
            <v>48101523</v>
          </cell>
          <cell r="B11654" t="str">
            <v>Ahumadores u hornos para ahumar para uso comercial</v>
          </cell>
        </row>
        <row r="11655">
          <cell r="A11655">
            <v>48101524</v>
          </cell>
          <cell r="B11655" t="str">
            <v>Ollas de vapor para uso comercial</v>
          </cell>
        </row>
        <row r="11656">
          <cell r="A11656">
            <v>48101525</v>
          </cell>
          <cell r="B11656" t="str">
            <v>Tostadoras para uso comercial</v>
          </cell>
        </row>
        <row r="11657">
          <cell r="A11657">
            <v>48101526</v>
          </cell>
          <cell r="B11657" t="str">
            <v>Hierros para waffles para uso comercial</v>
          </cell>
        </row>
        <row r="11658">
          <cell r="A11658">
            <v>48101527</v>
          </cell>
          <cell r="B11658" t="str">
            <v>Barbecues</v>
          </cell>
        </row>
        <row r="11659">
          <cell r="A11659">
            <v>48101528</v>
          </cell>
          <cell r="B11659" t="str">
            <v>Máquinas de crepes para uso comercial</v>
          </cell>
        </row>
        <row r="11660">
          <cell r="A11660">
            <v>48101529</v>
          </cell>
          <cell r="B11660" t="str">
            <v>Ollas de presión o freidoras de presión</v>
          </cell>
        </row>
        <row r="11661">
          <cell r="A11661">
            <v>48101530</v>
          </cell>
          <cell r="B11661" t="str">
            <v>Ollas arroceras para uso comercial</v>
          </cell>
        </row>
        <row r="11662">
          <cell r="A11662">
            <v>48101531</v>
          </cell>
          <cell r="B11662" t="str">
            <v>Ollas o calderas para salmón para uso comercial</v>
          </cell>
        </row>
        <row r="11663">
          <cell r="A11663">
            <v>48101532</v>
          </cell>
          <cell r="B11663" t="str">
            <v>Máquinas o accesorios para algodón dulce para uso comercial</v>
          </cell>
        </row>
        <row r="11664">
          <cell r="A11664">
            <v>48101601</v>
          </cell>
          <cell r="B11664" t="str">
            <v>Mezcladores para uso comercial</v>
          </cell>
        </row>
        <row r="11665">
          <cell r="A11665">
            <v>48101602</v>
          </cell>
          <cell r="B11665" t="str">
            <v>Abrelatas eléctricos para uso comercial</v>
          </cell>
        </row>
        <row r="11666">
          <cell r="A11666">
            <v>48101603</v>
          </cell>
          <cell r="B11666" t="str">
            <v>Cortadores o cortadores en cubos o en dados para uso comercial</v>
          </cell>
        </row>
        <row r="11667">
          <cell r="A11667">
            <v>48101604</v>
          </cell>
          <cell r="B11667" t="str">
            <v>Moledoras de café para uso comercial</v>
          </cell>
        </row>
        <row r="11668">
          <cell r="A11668">
            <v>48101605</v>
          </cell>
          <cell r="B11668" t="str">
            <v>Moledoras de alimentos para uso comercial</v>
          </cell>
        </row>
        <row r="11669">
          <cell r="A11669">
            <v>48101606</v>
          </cell>
          <cell r="B11669" t="str">
            <v>Rallos para uso comercial</v>
          </cell>
        </row>
        <row r="11670">
          <cell r="A11670">
            <v>48101607</v>
          </cell>
          <cell r="B11670" t="str">
            <v>Exprimidores de jugo para uso comercial</v>
          </cell>
        </row>
        <row r="11671">
          <cell r="A11671">
            <v>48101608</v>
          </cell>
          <cell r="B11671" t="str">
            <v>Licuadoras para uso comercial</v>
          </cell>
        </row>
        <row r="11672">
          <cell r="A11672">
            <v>48101609</v>
          </cell>
          <cell r="B11672" t="str">
            <v>Máquinas de pasta para uso comercial</v>
          </cell>
        </row>
        <row r="11673">
          <cell r="A11673">
            <v>48101610</v>
          </cell>
          <cell r="B11673" t="str">
            <v>Peladores para uso comercial</v>
          </cell>
        </row>
        <row r="11674">
          <cell r="A11674">
            <v>48101611</v>
          </cell>
          <cell r="B11674" t="str">
            <v>Escalas para uso comercial</v>
          </cell>
        </row>
        <row r="11675">
          <cell r="A11675">
            <v>48101612</v>
          </cell>
          <cell r="B11675" t="str">
            <v>Procesadores de alimentos para uso comercial</v>
          </cell>
        </row>
        <row r="11676">
          <cell r="A11676">
            <v>48101613</v>
          </cell>
          <cell r="B11676" t="str">
            <v>Máquinas de amasar para uso comercial</v>
          </cell>
        </row>
        <row r="11677">
          <cell r="A11677">
            <v>48101614</v>
          </cell>
          <cell r="B11677" t="str">
            <v>Sets o bolsas para hielo para uso comercial</v>
          </cell>
        </row>
        <row r="11678">
          <cell r="A11678">
            <v>48101615</v>
          </cell>
          <cell r="B11678" t="str">
            <v>Lavadoras de platos para uso comercial</v>
          </cell>
        </row>
        <row r="11679">
          <cell r="A11679">
            <v>48101616</v>
          </cell>
          <cell r="B11679" t="str">
            <v>Tajadores de alimentos para uso comercial</v>
          </cell>
        </row>
        <row r="11680">
          <cell r="A11680">
            <v>48101617</v>
          </cell>
          <cell r="B11680" t="str">
            <v>Espátulas plásticas para uso comercial</v>
          </cell>
        </row>
        <row r="11681">
          <cell r="A11681">
            <v>48101701</v>
          </cell>
          <cell r="B11681" t="str">
            <v>Dispensador de bebidas carbonatadas</v>
          </cell>
        </row>
        <row r="11682">
          <cell r="A11682">
            <v>48101702</v>
          </cell>
          <cell r="B11682" t="str">
            <v>Dispensador de bebidas no carbonatadas</v>
          </cell>
        </row>
        <row r="11683">
          <cell r="A11683">
            <v>48101703</v>
          </cell>
          <cell r="B11683" t="str">
            <v>Dispensadores de leche</v>
          </cell>
        </row>
        <row r="11684">
          <cell r="A11684">
            <v>48101704</v>
          </cell>
          <cell r="B11684" t="str">
            <v>Bombas de melaza (syrup)</v>
          </cell>
        </row>
        <row r="11685">
          <cell r="A11685">
            <v>48101705</v>
          </cell>
          <cell r="B11685" t="str">
            <v>Máquinas de cappuccino o expreso</v>
          </cell>
        </row>
        <row r="11686">
          <cell r="A11686">
            <v>48101706</v>
          </cell>
          <cell r="B11686" t="str">
            <v>Máquinas de leche malteada</v>
          </cell>
        </row>
        <row r="11687">
          <cell r="A11687">
            <v>48101707</v>
          </cell>
          <cell r="B11687" t="str">
            <v>Máquinas de helados suaves</v>
          </cell>
        </row>
        <row r="11688">
          <cell r="A11688">
            <v>48101708</v>
          </cell>
          <cell r="B11688" t="str">
            <v>Máquinas de granizados</v>
          </cell>
        </row>
        <row r="11689">
          <cell r="A11689">
            <v>48101709</v>
          </cell>
          <cell r="B11689" t="str">
            <v>Dispensadores de hielo</v>
          </cell>
        </row>
        <row r="11690">
          <cell r="A11690">
            <v>48101710</v>
          </cell>
          <cell r="B11690" t="str">
            <v>Fuentes o contenedores de burbujeo de bebidas</v>
          </cell>
        </row>
        <row r="11691">
          <cell r="A11691">
            <v>48101711</v>
          </cell>
          <cell r="B11691" t="str">
            <v>Dispensadores de agua embotellada o accesorios</v>
          </cell>
        </row>
        <row r="11692">
          <cell r="A11692">
            <v>48101712</v>
          </cell>
          <cell r="B11692" t="str">
            <v>Dispensadores de tazas</v>
          </cell>
        </row>
        <row r="11693">
          <cell r="A11693">
            <v>48101713</v>
          </cell>
          <cell r="B11693" t="str">
            <v>Mezcladores de cócteles o accesorios</v>
          </cell>
        </row>
        <row r="11694">
          <cell r="A11694">
            <v>48101714</v>
          </cell>
          <cell r="B11694" t="str">
            <v>Dispensadores de agua caliente</v>
          </cell>
        </row>
        <row r="11695">
          <cell r="A11695">
            <v>48101715</v>
          </cell>
          <cell r="B11695" t="str">
            <v>Máquina ralladora de hielo</v>
          </cell>
        </row>
        <row r="11696">
          <cell r="A11696">
            <v>48101801</v>
          </cell>
          <cell r="B11696" t="str">
            <v>Cubiertos para uso comercial</v>
          </cell>
        </row>
        <row r="11697">
          <cell r="A11697">
            <v>48101802</v>
          </cell>
          <cell r="B11697" t="str">
            <v>Moldes para uso comercial</v>
          </cell>
        </row>
        <row r="11698">
          <cell r="A11698">
            <v>48101803</v>
          </cell>
          <cell r="B11698" t="str">
            <v>Cucharones para uso comercial</v>
          </cell>
        </row>
        <row r="11699">
          <cell r="A11699">
            <v>48101804</v>
          </cell>
          <cell r="B11699" t="str">
            <v>Tazas medidoras para uso comercial</v>
          </cell>
        </row>
        <row r="11700">
          <cell r="A11700">
            <v>48101805</v>
          </cell>
          <cell r="B11700" t="str">
            <v>Tazones para mezclar para uso comercial</v>
          </cell>
        </row>
        <row r="11701">
          <cell r="A11701">
            <v>48101806</v>
          </cell>
          <cell r="B11701" t="str">
            <v>Latas de ponqués o pies para uso comercial</v>
          </cell>
        </row>
        <row r="11702">
          <cell r="A11702">
            <v>48101807</v>
          </cell>
          <cell r="B11702" t="str">
            <v>Latas de pizza para uso comercial</v>
          </cell>
        </row>
        <row r="11703">
          <cell r="A11703">
            <v>48101808</v>
          </cell>
          <cell r="B11703" t="str">
            <v>Sartenes de salsa o para sofreír para uso comercial</v>
          </cell>
        </row>
        <row r="11704">
          <cell r="A11704">
            <v>48101809</v>
          </cell>
          <cell r="B11704" t="str">
            <v>Ollas para salsas o cocción para uso comercial</v>
          </cell>
        </row>
        <row r="11705">
          <cell r="A11705">
            <v>48101810</v>
          </cell>
          <cell r="B11705" t="str">
            <v>Tapas para sartenes u ollas para uso comercial</v>
          </cell>
        </row>
        <row r="11706">
          <cell r="A11706">
            <v>48101811</v>
          </cell>
          <cell r="B11706" t="str">
            <v>Rodillos de amasar para uso comercial</v>
          </cell>
        </row>
        <row r="11707">
          <cell r="A11707">
            <v>48101812</v>
          </cell>
          <cell r="B11707" t="str">
            <v>Coladeras para uso comercial</v>
          </cell>
        </row>
        <row r="11708">
          <cell r="A11708">
            <v>48101813</v>
          </cell>
          <cell r="B11708" t="str">
            <v>Batidoras manuales para uso comercial</v>
          </cell>
        </row>
        <row r="11709">
          <cell r="A11709">
            <v>48101814</v>
          </cell>
          <cell r="B11709" t="str">
            <v>Woks para uso comercial</v>
          </cell>
        </row>
        <row r="11710">
          <cell r="A11710">
            <v>48101815</v>
          </cell>
          <cell r="B11710" t="str">
            <v>Cucharas de servir para uso comercial</v>
          </cell>
        </row>
        <row r="11711">
          <cell r="A11711">
            <v>48101816</v>
          </cell>
          <cell r="B11711" t="str">
            <v>Bolsa para cubiertos para uso comercial</v>
          </cell>
        </row>
        <row r="11712">
          <cell r="A11712">
            <v>48101817</v>
          </cell>
          <cell r="B11712" t="str">
            <v>Equipos o moldes para decorar ponqués</v>
          </cell>
        </row>
        <row r="11713">
          <cell r="A11713">
            <v>48101901</v>
          </cell>
          <cell r="B11713" t="str">
            <v>Vajilla fina para servicio de comidas</v>
          </cell>
        </row>
        <row r="11714">
          <cell r="A11714">
            <v>48101902</v>
          </cell>
          <cell r="B11714" t="str">
            <v>Cubertería para servicio de comidas</v>
          </cell>
        </row>
        <row r="11715">
          <cell r="A11715">
            <v>48101903</v>
          </cell>
          <cell r="B11715" t="str">
            <v>Vasos para servicio de comidas</v>
          </cell>
        </row>
        <row r="11716">
          <cell r="A11716">
            <v>48101904</v>
          </cell>
          <cell r="B11716" t="str">
            <v>Copas para servicio de comidas</v>
          </cell>
        </row>
        <row r="11717">
          <cell r="A11717">
            <v>48101905</v>
          </cell>
          <cell r="B11717" t="str">
            <v>Tazas o tazones (mugs) para servicio de comidas</v>
          </cell>
        </row>
        <row r="11718">
          <cell r="A11718">
            <v>48101906</v>
          </cell>
          <cell r="B11718" t="str">
            <v>Canastas para servir para servicio de comidas</v>
          </cell>
        </row>
        <row r="11719">
          <cell r="A11719">
            <v>48101907</v>
          </cell>
          <cell r="B11719" t="str">
            <v>Jarras para servicio de comidas</v>
          </cell>
        </row>
        <row r="11720">
          <cell r="A11720">
            <v>48101908</v>
          </cell>
          <cell r="B11720" t="str">
            <v>Ollas para servicio de comidas</v>
          </cell>
        </row>
        <row r="11721">
          <cell r="A11721">
            <v>48101909</v>
          </cell>
          <cell r="B11721" t="str">
            <v>Teteras o cafeteras para servicio de comidas</v>
          </cell>
        </row>
        <row r="11722">
          <cell r="A11722">
            <v>48101910</v>
          </cell>
          <cell r="B11722" t="str">
            <v>Vasijas de barro para servicio de comidas</v>
          </cell>
        </row>
        <row r="11723">
          <cell r="A11723">
            <v>48101911</v>
          </cell>
          <cell r="B11723" t="str">
            <v>Baldes de hielo o baldes para enfriar el vino para servicio de comidas</v>
          </cell>
        </row>
        <row r="11724">
          <cell r="A11724">
            <v>48101912</v>
          </cell>
          <cell r="B11724" t="str">
            <v>Dispensadores de condimentos para servicio de comidas</v>
          </cell>
        </row>
        <row r="11725">
          <cell r="A11725">
            <v>48101913</v>
          </cell>
          <cell r="B11725" t="str">
            <v>Tazones de ponche para servicio de comidas</v>
          </cell>
        </row>
        <row r="11726">
          <cell r="A11726">
            <v>48101914</v>
          </cell>
          <cell r="B11726" t="str">
            <v>Botellones de vino para servicio de comidas</v>
          </cell>
        </row>
        <row r="11727">
          <cell r="A11727">
            <v>48101915</v>
          </cell>
          <cell r="B11727" t="str">
            <v>Bandejas para servicio de comidas</v>
          </cell>
        </row>
        <row r="11728">
          <cell r="A11728">
            <v>48101916</v>
          </cell>
          <cell r="B11728" t="str">
            <v>Dispensadores de servilletas para servicio de comidas</v>
          </cell>
        </row>
        <row r="11729">
          <cell r="A11729">
            <v>48101917</v>
          </cell>
          <cell r="B11729" t="str">
            <v>Aparatos de fondue para servicio de comidas</v>
          </cell>
        </row>
        <row r="11730">
          <cell r="A11730">
            <v>48101918</v>
          </cell>
          <cell r="B11730" t="str">
            <v>Rollos para cubrir la mesa para servicio de comidas</v>
          </cell>
        </row>
        <row r="11731">
          <cell r="A11731">
            <v>48101919</v>
          </cell>
          <cell r="B11731" t="str">
            <v>Vasos o tazas o tazones (mugs) o tapas de contenedores para servicio de comidas</v>
          </cell>
        </row>
        <row r="11732">
          <cell r="A11732">
            <v>48101920</v>
          </cell>
          <cell r="B11732" t="str">
            <v>Dispensadores de pitillos</v>
          </cell>
        </row>
        <row r="11733">
          <cell r="A11733">
            <v>48102001</v>
          </cell>
          <cell r="B11733" t="str">
            <v>Sillas para restaurantes</v>
          </cell>
        </row>
        <row r="11734">
          <cell r="A11734">
            <v>48102002</v>
          </cell>
          <cell r="B11734" t="str">
            <v>Cabinas para restaurantes</v>
          </cell>
        </row>
        <row r="11735">
          <cell r="A11735">
            <v>48102003</v>
          </cell>
          <cell r="B11735" t="str">
            <v>Barras de ensalada</v>
          </cell>
        </row>
        <row r="11736">
          <cell r="A11736">
            <v>48102004</v>
          </cell>
          <cell r="B11736" t="str">
            <v>Superficies de mesa</v>
          </cell>
        </row>
        <row r="11737">
          <cell r="A11737">
            <v>48102005</v>
          </cell>
          <cell r="B11737" t="str">
            <v>Taburetes de bar</v>
          </cell>
        </row>
        <row r="11738">
          <cell r="A11738">
            <v>48102006</v>
          </cell>
          <cell r="B11738" t="str">
            <v>Bares permanentes</v>
          </cell>
        </row>
        <row r="11739">
          <cell r="A11739">
            <v>48102007</v>
          </cell>
          <cell r="B11739" t="str">
            <v>Bares portátiles</v>
          </cell>
        </row>
        <row r="11740">
          <cell r="A11740">
            <v>48102101</v>
          </cell>
          <cell r="B11740" t="str">
            <v>Mostradores</v>
          </cell>
        </row>
        <row r="11741">
          <cell r="A11741">
            <v>48102102</v>
          </cell>
          <cell r="B11741" t="str">
            <v>Mostradores para mantener caliente la comida</v>
          </cell>
        </row>
        <row r="11742">
          <cell r="A11742">
            <v>48102103</v>
          </cell>
          <cell r="B11742" t="str">
            <v>Mostradores refrigerados</v>
          </cell>
        </row>
        <row r="11743">
          <cell r="A11743">
            <v>48102104</v>
          </cell>
          <cell r="B11743" t="str">
            <v>Mostradores para helados</v>
          </cell>
        </row>
        <row r="11744">
          <cell r="A11744">
            <v>48102105</v>
          </cell>
          <cell r="B11744" t="str">
            <v>Equipos para enfriar vasos</v>
          </cell>
        </row>
        <row r="11745">
          <cell r="A11745">
            <v>48102106</v>
          </cell>
          <cell r="B11745" t="str">
            <v>Contenedores fríos</v>
          </cell>
        </row>
        <row r="11746">
          <cell r="A11746">
            <v>48102107</v>
          </cell>
          <cell r="B11746" t="str">
            <v>Guantes para abastecimiento de comidas por encargo (catering) o dispensadores de guantes</v>
          </cell>
        </row>
        <row r="11747">
          <cell r="A11747">
            <v>48111001</v>
          </cell>
          <cell r="B11747" t="str">
            <v>Máquinas dispensadoras de porciones únicas con tazas</v>
          </cell>
        </row>
        <row r="11748">
          <cell r="A11748">
            <v>48111002</v>
          </cell>
          <cell r="B11748" t="str">
            <v>Maquinas dispensadoras de cantidades grandes</v>
          </cell>
        </row>
        <row r="11749">
          <cell r="A11749">
            <v>48111101</v>
          </cell>
          <cell r="B11749" t="str">
            <v>Máquinas expendedoras de botellas o latas</v>
          </cell>
        </row>
        <row r="11750">
          <cell r="A11750">
            <v>48111102</v>
          </cell>
          <cell r="B11750" t="str">
            <v>Máquinas de bolas de dulce o novedades para niños</v>
          </cell>
        </row>
        <row r="11751">
          <cell r="A11751">
            <v>48111103</v>
          </cell>
          <cell r="B11751" t="str">
            <v>Máquinas exhibidoras de snacks o productos en paquetes pequeños</v>
          </cell>
        </row>
        <row r="11752">
          <cell r="A11752">
            <v>48111104</v>
          </cell>
          <cell r="B11752" t="str">
            <v>Máquinas expendedoras de comidas a la carta</v>
          </cell>
        </row>
        <row r="11753">
          <cell r="A11753">
            <v>48111105</v>
          </cell>
          <cell r="B11753" t="str">
            <v>Máquinas de confitería helada</v>
          </cell>
        </row>
        <row r="11754">
          <cell r="A11754">
            <v>48111106</v>
          </cell>
          <cell r="B11754" t="str">
            <v>Dispensadores de ítems de acomodación personal</v>
          </cell>
        </row>
        <row r="11755">
          <cell r="A11755">
            <v>48111107</v>
          </cell>
          <cell r="B11755" t="str">
            <v>Máquinas de cigarrillos</v>
          </cell>
        </row>
        <row r="11756">
          <cell r="A11756">
            <v>48111108</v>
          </cell>
          <cell r="B11756" t="str">
            <v>Dispensadores de medicamentos</v>
          </cell>
        </row>
        <row r="11757">
          <cell r="A11757">
            <v>48111201</v>
          </cell>
          <cell r="B11757" t="str">
            <v>Máquinas expendedoras de papas a la francesa</v>
          </cell>
        </row>
        <row r="11758">
          <cell r="A11758">
            <v>48111202</v>
          </cell>
          <cell r="B11758" t="str">
            <v>Máquinas expendedoras de maíz pira</v>
          </cell>
        </row>
        <row r="11759">
          <cell r="A11759">
            <v>48111301</v>
          </cell>
          <cell r="B11759" t="str">
            <v>Máquinas expendedoras de boletas</v>
          </cell>
        </row>
        <row r="11760">
          <cell r="A11760">
            <v>48111302</v>
          </cell>
          <cell r="B11760" t="str">
            <v>Máquinas expendedoras de pólizas de seguros</v>
          </cell>
        </row>
        <row r="11761">
          <cell r="A11761">
            <v>48111303</v>
          </cell>
          <cell r="B11761" t="str">
            <v>Máquinas de estampillas</v>
          </cell>
        </row>
        <row r="11762">
          <cell r="A11762">
            <v>48111401</v>
          </cell>
          <cell r="B11762" t="str">
            <v>Máquinas de cajero automático atm</v>
          </cell>
        </row>
        <row r="11763">
          <cell r="A11763">
            <v>48111402</v>
          </cell>
          <cell r="B11763" t="str">
            <v>Máquinas para cambiar billetes en monedas</v>
          </cell>
        </row>
        <row r="11764">
          <cell r="A11764">
            <v>48111403</v>
          </cell>
          <cell r="B11764" t="str">
            <v>Máquinas para cambiar moneda extranjera</v>
          </cell>
        </row>
        <row r="11765">
          <cell r="A11765">
            <v>48111404</v>
          </cell>
          <cell r="B11765" t="str">
            <v>Equipos de transferencia electrónica de fondos para puntos de venta</v>
          </cell>
        </row>
        <row r="11766">
          <cell r="A11766">
            <v>48111405</v>
          </cell>
          <cell r="B11766" t="str">
            <v>Accesorios para máquinas de cajero automático</v>
          </cell>
        </row>
        <row r="11767">
          <cell r="A11767">
            <v>48121101</v>
          </cell>
          <cell r="B11767" t="str">
            <v>Máquinas de póker o tragamonedas</v>
          </cell>
        </row>
        <row r="11768">
          <cell r="A11768">
            <v>48121201</v>
          </cell>
          <cell r="B11768" t="str">
            <v>Ruedas de ruleta</v>
          </cell>
        </row>
        <row r="11769">
          <cell r="A11769">
            <v>48121202</v>
          </cell>
          <cell r="B11769" t="str">
            <v>Mesas de naipes</v>
          </cell>
        </row>
        <row r="11770">
          <cell r="A11770">
            <v>48121301</v>
          </cell>
          <cell r="B11770" t="str">
            <v>Sistemas de manejo de mesas de juego</v>
          </cell>
        </row>
        <row r="11771">
          <cell r="A11771">
            <v>48121302</v>
          </cell>
          <cell r="B11771" t="str">
            <v>Juegos de apuestas en red</v>
          </cell>
        </row>
        <row r="11772">
          <cell r="A11772">
            <v>49101601</v>
          </cell>
          <cell r="B11772" t="str">
            <v>Antigüedades</v>
          </cell>
        </row>
        <row r="11773">
          <cell r="A11773">
            <v>49101602</v>
          </cell>
          <cell r="B11773" t="str">
            <v>Recuerdos (souvenirs)</v>
          </cell>
        </row>
        <row r="11774">
          <cell r="A11774">
            <v>49101603</v>
          </cell>
          <cell r="B11774" t="str">
            <v>Colecciones de monedas</v>
          </cell>
        </row>
        <row r="11775">
          <cell r="A11775">
            <v>49101604</v>
          </cell>
          <cell r="B11775" t="str">
            <v>Colecciones de estampillas</v>
          </cell>
        </row>
        <row r="11776">
          <cell r="A11776">
            <v>49101605</v>
          </cell>
          <cell r="B11776" t="str">
            <v>Alfombras antiguas</v>
          </cell>
        </row>
        <row r="11777">
          <cell r="A11777">
            <v>49101606</v>
          </cell>
          <cell r="B11777" t="str">
            <v>Artículos excavados</v>
          </cell>
        </row>
        <row r="11778">
          <cell r="A11778">
            <v>49101607</v>
          </cell>
          <cell r="B11778" t="str">
            <v>Colecciones de historietas cómicas</v>
          </cell>
        </row>
        <row r="11779">
          <cell r="A11779">
            <v>49101608</v>
          </cell>
          <cell r="B11779" t="str">
            <v>Instrumentos musicales antiguos</v>
          </cell>
        </row>
        <row r="11780">
          <cell r="A11780">
            <v>49101609</v>
          </cell>
          <cell r="B11780" t="str">
            <v>Ornamentos o decoraciones</v>
          </cell>
        </row>
        <row r="11781">
          <cell r="A11781">
            <v>49101611</v>
          </cell>
          <cell r="B11781" t="str">
            <v>Amuletos</v>
          </cell>
        </row>
        <row r="11782">
          <cell r="A11782">
            <v>49101612</v>
          </cell>
          <cell r="B11782" t="str">
            <v>Hologramas</v>
          </cell>
        </row>
        <row r="11783">
          <cell r="A11783">
            <v>49101613</v>
          </cell>
          <cell r="B11783" t="str">
            <v>Cristales de vidrio</v>
          </cell>
        </row>
        <row r="11784">
          <cell r="A11784">
            <v>49101701</v>
          </cell>
          <cell r="B11784" t="str">
            <v>Medallas</v>
          </cell>
        </row>
        <row r="11785">
          <cell r="A11785">
            <v>49101702</v>
          </cell>
          <cell r="B11785" t="str">
            <v>Trofeos</v>
          </cell>
        </row>
        <row r="11786">
          <cell r="A11786">
            <v>49101704</v>
          </cell>
          <cell r="B11786" t="str">
            <v>Placas</v>
          </cell>
        </row>
        <row r="11787">
          <cell r="A11787">
            <v>49101705</v>
          </cell>
          <cell r="B11787" t="str">
            <v>Certificados</v>
          </cell>
        </row>
        <row r="11788">
          <cell r="A11788">
            <v>49101706</v>
          </cell>
          <cell r="B11788" t="str">
            <v>Premios de fotografía</v>
          </cell>
        </row>
        <row r="11789">
          <cell r="A11789">
            <v>49101707</v>
          </cell>
          <cell r="B11789" t="str">
            <v>Certificado de logro</v>
          </cell>
        </row>
        <row r="11790">
          <cell r="A11790">
            <v>49101708</v>
          </cell>
          <cell r="B11790" t="str">
            <v>Coronas</v>
          </cell>
        </row>
        <row r="11791">
          <cell r="A11791">
            <v>49121502</v>
          </cell>
          <cell r="B11791" t="str">
            <v>Almohadas para dormir para acampar</v>
          </cell>
        </row>
        <row r="11792">
          <cell r="A11792">
            <v>49121503</v>
          </cell>
          <cell r="B11792" t="str">
            <v>Carpas</v>
          </cell>
        </row>
        <row r="11793">
          <cell r="A11793">
            <v>49121504</v>
          </cell>
          <cell r="B11793" t="str">
            <v>Sleeping bags (bolsas para dormir)</v>
          </cell>
        </row>
        <row r="11794">
          <cell r="A11794">
            <v>49121505</v>
          </cell>
          <cell r="B11794" t="str">
            <v>Cajas de hielo</v>
          </cell>
        </row>
        <row r="11795">
          <cell r="A11795">
            <v>49121506</v>
          </cell>
          <cell r="B11795" t="str">
            <v>Kit de reparación de carpas</v>
          </cell>
        </row>
        <row r="11796">
          <cell r="A11796">
            <v>49121507</v>
          </cell>
          <cell r="B11796" t="str">
            <v>Colchones neumáticos</v>
          </cell>
        </row>
        <row r="11797">
          <cell r="A11797">
            <v>49121508</v>
          </cell>
          <cell r="B11797" t="str">
            <v>Mosquiteros</v>
          </cell>
        </row>
        <row r="11798">
          <cell r="A11798">
            <v>49121509</v>
          </cell>
          <cell r="B11798" t="str">
            <v>Estufas para acampar o para exteriores</v>
          </cell>
        </row>
        <row r="11799">
          <cell r="A11799">
            <v>49121510</v>
          </cell>
          <cell r="B11799" t="str">
            <v>Enfriadores de bebidas</v>
          </cell>
        </row>
        <row r="11800">
          <cell r="A11800">
            <v>49121601</v>
          </cell>
          <cell r="B11800" t="str">
            <v>Asientos o taburetes para acampar</v>
          </cell>
        </row>
        <row r="11801">
          <cell r="A11801">
            <v>49121602</v>
          </cell>
          <cell r="B11801" t="str">
            <v>Mesas para acampar</v>
          </cell>
        </row>
        <row r="11802">
          <cell r="A11802">
            <v>49121603</v>
          </cell>
          <cell r="B11802" t="str">
            <v>Catres para acampar</v>
          </cell>
        </row>
        <row r="11803">
          <cell r="A11803">
            <v>49131501</v>
          </cell>
          <cell r="B11803" t="str">
            <v>Cañas de pescar</v>
          </cell>
        </row>
        <row r="11804">
          <cell r="A11804">
            <v>49131502</v>
          </cell>
          <cell r="B11804" t="str">
            <v>Hilo de pesca</v>
          </cell>
        </row>
        <row r="11805">
          <cell r="A11805">
            <v>49131503</v>
          </cell>
          <cell r="B11805" t="str">
            <v>Carreteles de pesca</v>
          </cell>
        </row>
        <row r="11806">
          <cell r="A11806">
            <v>49131504</v>
          </cell>
          <cell r="B11806" t="str">
            <v>Cebos para pesca</v>
          </cell>
        </row>
        <row r="11807">
          <cell r="A11807">
            <v>49131505</v>
          </cell>
          <cell r="B11807" t="str">
            <v>Carnadas</v>
          </cell>
        </row>
        <row r="11808">
          <cell r="A11808">
            <v>49131506</v>
          </cell>
          <cell r="B11808" t="str">
            <v>Pesas para pesca</v>
          </cell>
        </row>
        <row r="11809">
          <cell r="A11809">
            <v>49131601</v>
          </cell>
          <cell r="B11809" t="str">
            <v>Llamadas de animales</v>
          </cell>
        </row>
        <row r="11810">
          <cell r="A11810">
            <v>49131602</v>
          </cell>
          <cell r="B11810" t="str">
            <v>Señuelos para deportes</v>
          </cell>
        </row>
        <row r="11811">
          <cell r="A11811">
            <v>49131603</v>
          </cell>
          <cell r="B11811" t="str">
            <v>Trampas para deportes</v>
          </cell>
        </row>
        <row r="11812">
          <cell r="A11812">
            <v>49131604</v>
          </cell>
          <cell r="B11812" t="str">
            <v>Escopetas para deportes</v>
          </cell>
        </row>
        <row r="11813">
          <cell r="A11813">
            <v>49131605</v>
          </cell>
          <cell r="B11813" t="str">
            <v>Rifles para deportes</v>
          </cell>
        </row>
        <row r="11814">
          <cell r="A11814">
            <v>49131606</v>
          </cell>
          <cell r="B11814" t="str">
            <v>Munición para deportes</v>
          </cell>
        </row>
        <row r="11815">
          <cell r="A11815">
            <v>49131607</v>
          </cell>
          <cell r="B11815" t="str">
            <v>Cañones de escopetas</v>
          </cell>
        </row>
        <row r="11816">
          <cell r="A11816">
            <v>49141501</v>
          </cell>
          <cell r="B11816" t="str">
            <v>Compensadores de flotación</v>
          </cell>
        </row>
        <row r="11817">
          <cell r="A11817">
            <v>49141502</v>
          </cell>
          <cell r="B11817" t="str">
            <v>Tanques de buceo</v>
          </cell>
        </row>
        <row r="11818">
          <cell r="A11818">
            <v>49141503</v>
          </cell>
          <cell r="B11818" t="str">
            <v>Reguladores para buceo</v>
          </cell>
        </row>
        <row r="11819">
          <cell r="A11819">
            <v>49141504</v>
          </cell>
          <cell r="B11819" t="str">
            <v>Instrumentos de buceo o accesorios</v>
          </cell>
        </row>
        <row r="11820">
          <cell r="A11820">
            <v>49141505</v>
          </cell>
          <cell r="B11820" t="str">
            <v>Máscaras o aletas o esnórqueles</v>
          </cell>
        </row>
        <row r="11821">
          <cell r="A11821">
            <v>49141506</v>
          </cell>
          <cell r="B11821" t="str">
            <v>Trajes isotérmicos</v>
          </cell>
        </row>
        <row r="11822">
          <cell r="A11822">
            <v>49141507</v>
          </cell>
          <cell r="B11822" t="str">
            <v>Trajes secos</v>
          </cell>
        </row>
        <row r="11823">
          <cell r="A11823">
            <v>49141602</v>
          </cell>
          <cell r="B11823" t="str">
            <v>Tablas de esquí acuático o tablas para arrodillarse o boogieboards</v>
          </cell>
        </row>
        <row r="11824">
          <cell r="A11824">
            <v>49141603</v>
          </cell>
          <cell r="B11824" t="str">
            <v>Esquís acuáticos o accesorios</v>
          </cell>
        </row>
        <row r="11825">
          <cell r="A11825">
            <v>49141604</v>
          </cell>
          <cell r="B11825" t="str">
            <v>Equipos de windsurfing</v>
          </cell>
        </row>
        <row r="11826">
          <cell r="A11826">
            <v>49141605</v>
          </cell>
          <cell r="B11826" t="str">
            <v>Tablas de surf</v>
          </cell>
        </row>
        <row r="11827">
          <cell r="A11827">
            <v>49141606</v>
          </cell>
          <cell r="B11827" t="str">
            <v>Anteojos de natación o aletas de natación</v>
          </cell>
        </row>
        <row r="11828">
          <cell r="A11828">
            <v>49141607</v>
          </cell>
          <cell r="B11828" t="str">
            <v>Equipo de paravelismo</v>
          </cell>
        </row>
        <row r="11829">
          <cell r="A11829">
            <v>49151501</v>
          </cell>
          <cell r="B11829" t="str">
            <v>Botas de esquí</v>
          </cell>
        </row>
        <row r="11830">
          <cell r="A11830">
            <v>49151502</v>
          </cell>
          <cell r="B11830" t="str">
            <v>Esquís</v>
          </cell>
        </row>
        <row r="11831">
          <cell r="A11831">
            <v>49151503</v>
          </cell>
          <cell r="B11831" t="str">
            <v>Varillas de esquí</v>
          </cell>
        </row>
        <row r="11832">
          <cell r="A11832">
            <v>49151504</v>
          </cell>
          <cell r="B11832" t="str">
            <v>Amarres</v>
          </cell>
        </row>
        <row r="11833">
          <cell r="A11833">
            <v>49151505</v>
          </cell>
          <cell r="B11833" t="str">
            <v>Tablas de esquí en nieve</v>
          </cell>
        </row>
        <row r="11834">
          <cell r="A11834">
            <v>49151601</v>
          </cell>
          <cell r="B11834" t="str">
            <v>Discos de hockey</v>
          </cell>
        </row>
        <row r="11835">
          <cell r="A11835">
            <v>49151602</v>
          </cell>
          <cell r="B11835" t="str">
            <v>Patines de hielo</v>
          </cell>
        </row>
        <row r="11836">
          <cell r="A11836">
            <v>49151603</v>
          </cell>
          <cell r="B11836" t="str">
            <v>Palos de hockey</v>
          </cell>
        </row>
        <row r="11837">
          <cell r="A11837">
            <v>49161501</v>
          </cell>
          <cell r="B11837" t="str">
            <v>Toboganes de bloqueo para futbol</v>
          </cell>
        </row>
        <row r="11838">
          <cell r="A11838">
            <v>49161502</v>
          </cell>
          <cell r="B11838" t="str">
            <v>Guantes de beisbol</v>
          </cell>
        </row>
        <row r="11839">
          <cell r="A11839">
            <v>49161503</v>
          </cell>
          <cell r="B11839" t="str">
            <v>Pelotas de beisbol</v>
          </cell>
        </row>
        <row r="11840">
          <cell r="A11840">
            <v>49161504</v>
          </cell>
          <cell r="B11840" t="str">
            <v>Balones de futbol</v>
          </cell>
        </row>
        <row r="11841">
          <cell r="A11841">
            <v>49161505</v>
          </cell>
          <cell r="B11841" t="str">
            <v>Balones de soccer</v>
          </cell>
        </row>
        <row r="11842">
          <cell r="A11842">
            <v>49161506</v>
          </cell>
          <cell r="B11842" t="str">
            <v>Bates de beisbol</v>
          </cell>
        </row>
        <row r="11843">
          <cell r="A11843">
            <v>49161507</v>
          </cell>
          <cell r="B11843" t="str">
            <v>Bases de beisbol</v>
          </cell>
        </row>
        <row r="11844">
          <cell r="A11844">
            <v>49161508</v>
          </cell>
          <cell r="B11844" t="str">
            <v>Máquinas para lanzar (pitching)</v>
          </cell>
        </row>
        <row r="11845">
          <cell r="A11845">
            <v>49161509</v>
          </cell>
          <cell r="B11845" t="str">
            <v>Balones de softbol</v>
          </cell>
        </row>
        <row r="11846">
          <cell r="A11846">
            <v>49161510</v>
          </cell>
          <cell r="B11846" t="str">
            <v>Muñecos para jugadas de futbol</v>
          </cell>
        </row>
        <row r="11847">
          <cell r="A11847">
            <v>49161511</v>
          </cell>
          <cell r="B11847" t="str">
            <v>Palos de lacrosse</v>
          </cell>
        </row>
        <row r="11848">
          <cell r="A11848">
            <v>49161512</v>
          </cell>
          <cell r="B11848" t="str">
            <v>Pelotas de lacrosse</v>
          </cell>
        </row>
        <row r="11849">
          <cell r="A11849">
            <v>49161513</v>
          </cell>
          <cell r="B11849" t="str">
            <v>Palos de hockey de campo</v>
          </cell>
        </row>
        <row r="11850">
          <cell r="A11850">
            <v>49161514</v>
          </cell>
          <cell r="B11850" t="str">
            <v>Bolas de hockey de campo</v>
          </cell>
        </row>
        <row r="11851">
          <cell r="A11851">
            <v>49161515</v>
          </cell>
          <cell r="B11851" t="str">
            <v>Pelotas de equipos de balonmano</v>
          </cell>
        </row>
        <row r="11852">
          <cell r="A11852">
            <v>49161516</v>
          </cell>
          <cell r="B11852" t="str">
            <v>Sets escolares de equipos de balonmano</v>
          </cell>
        </row>
        <row r="11853">
          <cell r="A11853">
            <v>49161517</v>
          </cell>
          <cell r="B11853" t="str">
            <v>Equipo protector para beisbol o softbol</v>
          </cell>
        </row>
        <row r="11854">
          <cell r="A11854">
            <v>49161518</v>
          </cell>
          <cell r="B11854" t="str">
            <v>Ayudas para batear en beisbol</v>
          </cell>
        </row>
        <row r="11855">
          <cell r="A11855">
            <v>49161519</v>
          </cell>
          <cell r="B11855" t="str">
            <v>Defensas traseras o cercas para beisbol</v>
          </cell>
        </row>
        <row r="11856">
          <cell r="A11856">
            <v>49161520</v>
          </cell>
          <cell r="B11856" t="str">
            <v>Bates de softbol</v>
          </cell>
        </row>
        <row r="11857">
          <cell r="A11857">
            <v>49161521</v>
          </cell>
          <cell r="B11857" t="str">
            <v>Guantes de softbol</v>
          </cell>
        </row>
        <row r="11858">
          <cell r="A11858">
            <v>49161522</v>
          </cell>
          <cell r="B11858" t="str">
            <v>Tees de patada para futbol</v>
          </cell>
        </row>
        <row r="11859">
          <cell r="A11859">
            <v>49161523</v>
          </cell>
          <cell r="B11859" t="str">
            <v>Equipo de futbol de bandera</v>
          </cell>
        </row>
        <row r="11860">
          <cell r="A11860">
            <v>49161524</v>
          </cell>
          <cell r="B11860" t="str">
            <v>Equipo de marcado de campo para soccer</v>
          </cell>
        </row>
        <row r="11861">
          <cell r="A11861">
            <v>49161525</v>
          </cell>
          <cell r="B11861" t="str">
            <v>Equipo protector para soccer</v>
          </cell>
        </row>
        <row r="11862">
          <cell r="A11862">
            <v>49161526</v>
          </cell>
          <cell r="B11862" t="str">
            <v>Ayudas de entrenamiento para soccer</v>
          </cell>
        </row>
        <row r="11863">
          <cell r="A11863">
            <v>49161601</v>
          </cell>
          <cell r="B11863" t="str">
            <v>Raquetas de racquetball</v>
          </cell>
        </row>
        <row r="11864">
          <cell r="A11864">
            <v>49161602</v>
          </cell>
          <cell r="B11864" t="str">
            <v>Raquetas de bádminton</v>
          </cell>
        </row>
        <row r="11865">
          <cell r="A11865">
            <v>49161603</v>
          </cell>
          <cell r="B11865" t="str">
            <v>Pelotas de básquetbol</v>
          </cell>
        </row>
        <row r="11866">
          <cell r="A11866">
            <v>49161604</v>
          </cell>
          <cell r="B11866" t="str">
            <v>Pelotas de tenis</v>
          </cell>
        </row>
        <row r="11867">
          <cell r="A11867">
            <v>49161605</v>
          </cell>
          <cell r="B11867" t="str">
            <v>Pelotas de racquet</v>
          </cell>
        </row>
        <row r="11868">
          <cell r="A11868">
            <v>49161606</v>
          </cell>
          <cell r="B11868" t="str">
            <v>Pelotas de squash</v>
          </cell>
        </row>
        <row r="11869">
          <cell r="A11869">
            <v>49161607</v>
          </cell>
          <cell r="B11869" t="str">
            <v>Raquetas de tenis</v>
          </cell>
        </row>
        <row r="11870">
          <cell r="A11870">
            <v>49161608</v>
          </cell>
          <cell r="B11870" t="str">
            <v>Balones de voleibol</v>
          </cell>
        </row>
        <row r="11871">
          <cell r="A11871">
            <v>49161609</v>
          </cell>
          <cell r="B11871" t="str">
            <v>Gallitos de bádminton</v>
          </cell>
        </row>
        <row r="11872">
          <cell r="A11872">
            <v>49161610</v>
          </cell>
          <cell r="B11872" t="str">
            <v>Raquetas de squash</v>
          </cell>
        </row>
        <row r="11873">
          <cell r="A11873">
            <v>49161611</v>
          </cell>
          <cell r="B11873" t="str">
            <v>Ayudas de entrenamiento para tenis</v>
          </cell>
        </row>
        <row r="11874">
          <cell r="A11874">
            <v>49161612</v>
          </cell>
          <cell r="B11874" t="str">
            <v>Equipo de cancha de tenis</v>
          </cell>
        </row>
        <row r="11875">
          <cell r="A11875">
            <v>49161613</v>
          </cell>
          <cell r="B11875" t="str">
            <v>Almacenamiento para balones o redes de voleibol</v>
          </cell>
        </row>
        <row r="11876">
          <cell r="A11876">
            <v>49161614</v>
          </cell>
          <cell r="B11876" t="str">
            <v>Estándares gimnásticos para voleibol</v>
          </cell>
        </row>
        <row r="11877">
          <cell r="A11877">
            <v>49161615</v>
          </cell>
          <cell r="B11877" t="str">
            <v>Sistemas de juego completo para basquetbol</v>
          </cell>
        </row>
        <row r="11878">
          <cell r="A11878">
            <v>49161616</v>
          </cell>
          <cell r="B11878" t="str">
            <v>Equipo protector para hockey de piso</v>
          </cell>
        </row>
        <row r="11879">
          <cell r="A11879">
            <v>49161617</v>
          </cell>
          <cell r="B11879" t="str">
            <v>Postes para red</v>
          </cell>
        </row>
        <row r="11880">
          <cell r="A11880">
            <v>49161618</v>
          </cell>
          <cell r="B11880" t="str">
            <v>Espiros</v>
          </cell>
        </row>
        <row r="11881">
          <cell r="A11881">
            <v>49161619</v>
          </cell>
          <cell r="B11881" t="str">
            <v>Cuerdas para raquetas</v>
          </cell>
        </row>
        <row r="11882">
          <cell r="A11882">
            <v>49161620</v>
          </cell>
          <cell r="B11882" t="str">
            <v>Agarres (“grips”) para raquetas</v>
          </cell>
        </row>
        <row r="11883">
          <cell r="A11883">
            <v>49161701</v>
          </cell>
          <cell r="B11883" t="str">
            <v>Jabalinas</v>
          </cell>
        </row>
        <row r="11884">
          <cell r="A11884">
            <v>49161702</v>
          </cell>
          <cell r="B11884" t="str">
            <v>Barras para saltar</v>
          </cell>
        </row>
        <row r="11885">
          <cell r="A11885">
            <v>49161703</v>
          </cell>
          <cell r="B11885" t="str">
            <v>Discos</v>
          </cell>
        </row>
        <row r="11886">
          <cell r="A11886">
            <v>49161704</v>
          </cell>
          <cell r="B11886" t="str">
            <v>Balas de lanzamiento</v>
          </cell>
        </row>
        <row r="11887">
          <cell r="A11887">
            <v>49161705</v>
          </cell>
          <cell r="B11887" t="str">
            <v>Garrochas</v>
          </cell>
        </row>
        <row r="11888">
          <cell r="A11888">
            <v>49161706</v>
          </cell>
          <cell r="B11888" t="str">
            <v>Obstáculos</v>
          </cell>
        </row>
        <row r="11889">
          <cell r="A11889">
            <v>49161707</v>
          </cell>
          <cell r="B11889" t="str">
            <v>Bastones</v>
          </cell>
        </row>
        <row r="11890">
          <cell r="A11890">
            <v>49171501</v>
          </cell>
          <cell r="B11890" t="str">
            <v>Barras o postes gimnásticos</v>
          </cell>
        </row>
        <row r="11891">
          <cell r="A11891">
            <v>49171502</v>
          </cell>
          <cell r="B11891" t="str">
            <v>Cuerdas o anillos o accesorios para trepar gimnásticos</v>
          </cell>
        </row>
        <row r="11892">
          <cell r="A11892">
            <v>49171503</v>
          </cell>
          <cell r="B11892" t="str">
            <v>Equipo de garrocha para uso gimnástico</v>
          </cell>
        </row>
        <row r="11893">
          <cell r="A11893">
            <v>49171504</v>
          </cell>
          <cell r="B11893" t="str">
            <v>Trampolines para uso gimnástico</v>
          </cell>
        </row>
        <row r="11894">
          <cell r="A11894">
            <v>49171505</v>
          </cell>
          <cell r="B11894" t="str">
            <v>Equipo de equilibrio</v>
          </cell>
        </row>
        <row r="11895">
          <cell r="A11895">
            <v>49171601</v>
          </cell>
          <cell r="B11895" t="str">
            <v>Rings para boxeo</v>
          </cell>
        </row>
        <row r="11896">
          <cell r="A11896">
            <v>49171602</v>
          </cell>
          <cell r="B11896" t="str">
            <v>Sacos de boxeo</v>
          </cell>
        </row>
        <row r="11897">
          <cell r="A11897">
            <v>49171603</v>
          </cell>
          <cell r="B11897" t="str">
            <v>Guantes de boxeo</v>
          </cell>
        </row>
        <row r="11898">
          <cell r="A11898">
            <v>49181501</v>
          </cell>
          <cell r="B11898" t="str">
            <v>Mesas de billar</v>
          </cell>
        </row>
        <row r="11899">
          <cell r="A11899">
            <v>49181502</v>
          </cell>
          <cell r="B11899" t="str">
            <v>Tacos de pool</v>
          </cell>
        </row>
        <row r="11900">
          <cell r="A11900">
            <v>49181503</v>
          </cell>
          <cell r="B11900" t="str">
            <v>Juegos de tejo</v>
          </cell>
        </row>
        <row r="11901">
          <cell r="A11901">
            <v>49181504</v>
          </cell>
          <cell r="B11901" t="str">
            <v>Juegos de pinball</v>
          </cell>
        </row>
        <row r="11902">
          <cell r="A11902">
            <v>49181505</v>
          </cell>
          <cell r="B11902" t="str">
            <v>Bolas de billar</v>
          </cell>
        </row>
        <row r="11903">
          <cell r="A11903">
            <v>49181506</v>
          </cell>
          <cell r="B11903" t="str">
            <v>Mesas para hockey aéreo o accesorios</v>
          </cell>
        </row>
        <row r="11904">
          <cell r="A11904">
            <v>49181507</v>
          </cell>
          <cell r="B11904" t="str">
            <v>Mesas de tenis (ping pong)</v>
          </cell>
        </row>
        <row r="11905">
          <cell r="A11905">
            <v>49181508</v>
          </cell>
          <cell r="B11905" t="str">
            <v>Raquetas de ping pong</v>
          </cell>
        </row>
        <row r="11906">
          <cell r="A11906">
            <v>49181509</v>
          </cell>
          <cell r="B11906" t="str">
            <v>Bolas de ping pong</v>
          </cell>
        </row>
        <row r="11907">
          <cell r="A11907">
            <v>49181510</v>
          </cell>
          <cell r="B11907" t="str">
            <v>Mesas de foosball</v>
          </cell>
        </row>
        <row r="11908">
          <cell r="A11908">
            <v>49181511</v>
          </cell>
          <cell r="B11908" t="str">
            <v>Bolas de foosball</v>
          </cell>
        </row>
        <row r="11909">
          <cell r="A11909">
            <v>49181512</v>
          </cell>
          <cell r="B11909" t="str">
            <v>Jugadores de repuesto para foosball</v>
          </cell>
        </row>
        <row r="11910">
          <cell r="A11910">
            <v>49181513</v>
          </cell>
          <cell r="B11910" t="str">
            <v>Puntas de tacos de billar</v>
          </cell>
        </row>
        <row r="11911">
          <cell r="A11911">
            <v>49181514</v>
          </cell>
          <cell r="B11911" t="str">
            <v>Tiza de billar</v>
          </cell>
        </row>
        <row r="11912">
          <cell r="A11912">
            <v>49181515</v>
          </cell>
          <cell r="B11912" t="str">
            <v>Estantes de billar</v>
          </cell>
        </row>
        <row r="11913">
          <cell r="A11913">
            <v>49181601</v>
          </cell>
          <cell r="B11913" t="str">
            <v>Objetivos para tiro con arco</v>
          </cell>
        </row>
        <row r="11914">
          <cell r="A11914">
            <v>49181602</v>
          </cell>
          <cell r="B11914" t="str">
            <v>Arcos</v>
          </cell>
        </row>
        <row r="11915">
          <cell r="A11915">
            <v>49181603</v>
          </cell>
          <cell r="B11915" t="str">
            <v>Flechas</v>
          </cell>
        </row>
        <row r="11916">
          <cell r="A11916">
            <v>49181604</v>
          </cell>
          <cell r="B11916" t="str">
            <v>Dardos</v>
          </cell>
        </row>
        <row r="11917">
          <cell r="A11917">
            <v>49181605</v>
          </cell>
          <cell r="B11917" t="str">
            <v>Tableros de dardos</v>
          </cell>
        </row>
        <row r="11918">
          <cell r="A11918">
            <v>49181606</v>
          </cell>
          <cell r="B11918" t="str">
            <v>Equipo de tiro al plato</v>
          </cell>
        </row>
        <row r="11919">
          <cell r="A11919">
            <v>49181607</v>
          </cell>
          <cell r="B11919" t="str">
            <v>Objetivos para lanzar</v>
          </cell>
        </row>
        <row r="11920">
          <cell r="A11920">
            <v>49181608</v>
          </cell>
          <cell r="B11920" t="str">
            <v>Cuerdas para arcos</v>
          </cell>
        </row>
        <row r="11921">
          <cell r="A11921">
            <v>49181609</v>
          </cell>
          <cell r="B11921" t="str">
            <v>Guantes para tiro con arco</v>
          </cell>
        </row>
        <row r="11922">
          <cell r="A11922">
            <v>49181610</v>
          </cell>
          <cell r="B11922" t="str">
            <v>Protectores de brazos para tiro con arco</v>
          </cell>
        </row>
        <row r="11923">
          <cell r="A11923">
            <v>49181611</v>
          </cell>
          <cell r="B11923" t="str">
            <v>Puestos de objetivos para tiro con arco</v>
          </cell>
        </row>
        <row r="11924">
          <cell r="A11924">
            <v>49181612</v>
          </cell>
          <cell r="B11924" t="str">
            <v>Defensas traseras para tiro con arco</v>
          </cell>
        </row>
        <row r="11925">
          <cell r="A11925">
            <v>49201501</v>
          </cell>
          <cell r="B11925" t="str">
            <v>Trotadoras</v>
          </cell>
        </row>
        <row r="11926">
          <cell r="A11926">
            <v>49201502</v>
          </cell>
          <cell r="B11926" t="str">
            <v>Escaladores de escaleras</v>
          </cell>
        </row>
        <row r="11927">
          <cell r="A11927">
            <v>49201503</v>
          </cell>
          <cell r="B11927" t="str">
            <v>Bicicletas estáticas</v>
          </cell>
        </row>
        <row r="11928">
          <cell r="A11928">
            <v>49201504</v>
          </cell>
          <cell r="B11928" t="str">
            <v>Máquinas de remos</v>
          </cell>
        </row>
        <row r="11929">
          <cell r="A11929">
            <v>49201512</v>
          </cell>
          <cell r="B11929" t="str">
            <v>Lazos para saltar</v>
          </cell>
        </row>
        <row r="11930">
          <cell r="A11930">
            <v>49201513</v>
          </cell>
          <cell r="B11930" t="str">
            <v>Trampolines para ejercicios</v>
          </cell>
        </row>
        <row r="11931">
          <cell r="A11931">
            <v>49201514</v>
          </cell>
          <cell r="B11931" t="str">
            <v>Pelotas para ejercicios</v>
          </cell>
        </row>
        <row r="11932">
          <cell r="A11932">
            <v>49201515</v>
          </cell>
          <cell r="B11932" t="str">
            <v>Equipos de paso para aeróbicos (“step”)</v>
          </cell>
        </row>
        <row r="11933">
          <cell r="A11933">
            <v>49201516</v>
          </cell>
          <cell r="B11933" t="str">
            <v>Bicicletas elípticas</v>
          </cell>
        </row>
        <row r="11934">
          <cell r="A11934">
            <v>49201601</v>
          </cell>
          <cell r="B11934" t="str">
            <v>Pesas</v>
          </cell>
        </row>
        <row r="11935">
          <cell r="A11935">
            <v>49201602</v>
          </cell>
          <cell r="B11935" t="str">
            <v>Pesas de 280 libras</v>
          </cell>
        </row>
        <row r="11936">
          <cell r="A11936">
            <v>49201603</v>
          </cell>
          <cell r="B11936" t="str">
            <v>Máquinas de resistencia para la parte inferior del cuerpo</v>
          </cell>
        </row>
        <row r="11937">
          <cell r="A11937">
            <v>49201604</v>
          </cell>
          <cell r="B11937" t="str">
            <v>Bancos o estantes para pesas</v>
          </cell>
        </row>
        <row r="11938">
          <cell r="A11938">
            <v>49201605</v>
          </cell>
          <cell r="B11938" t="str">
            <v>Máquinas de resistencia para la parte superior del cuerpo</v>
          </cell>
        </row>
        <row r="11939">
          <cell r="A11939">
            <v>49201606</v>
          </cell>
          <cell r="B11939" t="str">
            <v>Pesas de estado físico</v>
          </cell>
        </row>
        <row r="11940">
          <cell r="A11940">
            <v>49201607</v>
          </cell>
          <cell r="B11940" t="str">
            <v>Máquinas de pilates</v>
          </cell>
        </row>
        <row r="11941">
          <cell r="A11941">
            <v>49201608</v>
          </cell>
          <cell r="B11941" t="str">
            <v>Máquina para dar fuerza de agarre</v>
          </cell>
        </row>
        <row r="11942">
          <cell r="A11942">
            <v>49201609</v>
          </cell>
          <cell r="B11942" t="str">
            <v>Bandas de resistencia</v>
          </cell>
        </row>
        <row r="11943">
          <cell r="A11943">
            <v>49201610</v>
          </cell>
          <cell r="B11943" t="str">
            <v>Tubos de resistencia</v>
          </cell>
        </row>
        <row r="11944">
          <cell r="A11944">
            <v>49201611</v>
          </cell>
          <cell r="B11944" t="str">
            <v>Multi gimnasios</v>
          </cell>
        </row>
        <row r="11945">
          <cell r="A11945">
            <v>49211601</v>
          </cell>
          <cell r="B11945" t="str">
            <v>Talegas de golf</v>
          </cell>
        </row>
        <row r="11946">
          <cell r="A11946">
            <v>49211602</v>
          </cell>
          <cell r="B11946" t="str">
            <v>Bolas de golf</v>
          </cell>
        </row>
        <row r="11947">
          <cell r="A11947">
            <v>49211603</v>
          </cell>
          <cell r="B11947" t="str">
            <v>Tacos de golf</v>
          </cell>
        </row>
        <row r="11948">
          <cell r="A11948">
            <v>49211604</v>
          </cell>
          <cell r="B11948" t="str">
            <v>Tees de golf</v>
          </cell>
        </row>
        <row r="11949">
          <cell r="A11949">
            <v>49211605</v>
          </cell>
          <cell r="B11949" t="str">
            <v>Forros para las cabezas de los tacos de golf</v>
          </cell>
        </row>
        <row r="11950">
          <cell r="A11950">
            <v>49211606</v>
          </cell>
          <cell r="B11950" t="str">
            <v>Guantes de golf</v>
          </cell>
        </row>
        <row r="11951">
          <cell r="A11951">
            <v>49211607</v>
          </cell>
          <cell r="B11951" t="str">
            <v>Divot fijador</v>
          </cell>
        </row>
        <row r="11952">
          <cell r="A11952">
            <v>49211608</v>
          </cell>
          <cell r="B11952" t="str">
            <v>Golfscopios</v>
          </cell>
        </row>
        <row r="11953">
          <cell r="A11953">
            <v>49211609</v>
          </cell>
          <cell r="B11953" t="str">
            <v>Compañero de putting para golf</v>
          </cell>
        </row>
        <row r="11954">
          <cell r="A11954">
            <v>49211701</v>
          </cell>
          <cell r="B11954" t="str">
            <v>Equipo de bolos</v>
          </cell>
        </row>
        <row r="11955">
          <cell r="A11955">
            <v>49211702</v>
          </cell>
          <cell r="B11955" t="str">
            <v>Suministros de bolos</v>
          </cell>
        </row>
        <row r="11956">
          <cell r="A11956">
            <v>49211703</v>
          </cell>
          <cell r="B11956" t="str">
            <v>Accesorios de bolos</v>
          </cell>
        </row>
        <row r="11957">
          <cell r="A11957">
            <v>49211801</v>
          </cell>
          <cell r="B11957" t="str">
            <v>Equipo de paracaidismo</v>
          </cell>
        </row>
        <row r="11958">
          <cell r="A11958">
            <v>49211802</v>
          </cell>
          <cell r="B11958" t="str">
            <v>Aros de hula o equipos de hula</v>
          </cell>
        </row>
        <row r="11959">
          <cell r="A11959">
            <v>49211803</v>
          </cell>
          <cell r="B11959" t="str">
            <v>Equipos de orientación</v>
          </cell>
        </row>
        <row r="11960">
          <cell r="A11960">
            <v>49211804</v>
          </cell>
          <cell r="B11960" t="str">
            <v>Materiales o marcadores de identificación de equipos</v>
          </cell>
        </row>
        <row r="11961">
          <cell r="A11961">
            <v>49211805</v>
          </cell>
          <cell r="B11961" t="str">
            <v>Cuerdas</v>
          </cell>
        </row>
        <row r="11962">
          <cell r="A11962">
            <v>49211806</v>
          </cell>
          <cell r="B11962" t="str">
            <v>Almacenamiento de equipos de educación física</v>
          </cell>
        </row>
        <row r="11963">
          <cell r="A11963">
            <v>49211807</v>
          </cell>
          <cell r="B11963" t="str">
            <v>Herramientas de evaluación para educación física</v>
          </cell>
        </row>
        <row r="11964">
          <cell r="A11964">
            <v>49221501</v>
          </cell>
          <cell r="B11964" t="str">
            <v>Tableros de anotaciones para deportes</v>
          </cell>
        </row>
        <row r="11965">
          <cell r="A11965">
            <v>49221502</v>
          </cell>
          <cell r="B11965" t="str">
            <v>Porterías</v>
          </cell>
        </row>
        <row r="11966">
          <cell r="A11966">
            <v>49221503</v>
          </cell>
          <cell r="B11966" t="str">
            <v>Equipos de seguridad deportiva excepto para la cabeza</v>
          </cell>
        </row>
        <row r="11967">
          <cell r="A11967">
            <v>49221504</v>
          </cell>
          <cell r="B11967" t="str">
            <v>Artículos de seguridad para la cabeza para uso deportivo</v>
          </cell>
        </row>
        <row r="11968">
          <cell r="A11968">
            <v>49221505</v>
          </cell>
          <cell r="B11968" t="str">
            <v>Mallas o redes para deportes</v>
          </cell>
        </row>
        <row r="11969">
          <cell r="A11969">
            <v>49221506</v>
          </cell>
          <cell r="B11969" t="str">
            <v>Almohadillas o acolchado para deportes</v>
          </cell>
        </row>
        <row r="11970">
          <cell r="A11970">
            <v>49221507</v>
          </cell>
          <cell r="B11970" t="str">
            <v>Tableros de basquetbol</v>
          </cell>
        </row>
        <row r="11971">
          <cell r="A11971">
            <v>49221508</v>
          </cell>
          <cell r="B11971" t="str">
            <v>Aros de basquetbol</v>
          </cell>
        </row>
        <row r="11972">
          <cell r="A11972">
            <v>49221509</v>
          </cell>
          <cell r="B11972" t="str">
            <v>Patines o cuchillas de patines</v>
          </cell>
        </row>
        <row r="11973">
          <cell r="A11973">
            <v>49221510</v>
          </cell>
          <cell r="B11973" t="str">
            <v>Gorras deportivas</v>
          </cell>
        </row>
        <row r="11974">
          <cell r="A11974">
            <v>49221511</v>
          </cell>
          <cell r="B11974" t="str">
            <v>Bolsas para equipos deportivos</v>
          </cell>
        </row>
        <row r="11975">
          <cell r="A11975">
            <v>49241501</v>
          </cell>
          <cell r="B11975" t="str">
            <v>Columpios para patios de recreo</v>
          </cell>
        </row>
        <row r="11976">
          <cell r="A11976">
            <v>49241502</v>
          </cell>
          <cell r="B11976" t="str">
            <v>Aparatos de trepar para patios de recreo</v>
          </cell>
        </row>
        <row r="11977">
          <cell r="A11977">
            <v>49241503</v>
          </cell>
          <cell r="B11977" t="str">
            <v>Carruseles para patios de recreo</v>
          </cell>
        </row>
        <row r="11978">
          <cell r="A11978">
            <v>49241504</v>
          </cell>
          <cell r="B11978" t="str">
            <v>Rodaderos para patios de recreo</v>
          </cell>
        </row>
        <row r="11979">
          <cell r="A11979">
            <v>49241505</v>
          </cell>
          <cell r="B11979" t="str">
            <v>Balanzas para patios de recreo</v>
          </cell>
        </row>
        <row r="11980">
          <cell r="A11980">
            <v>49241506</v>
          </cell>
          <cell r="B11980" t="str">
            <v>Túneles para patios de recreo</v>
          </cell>
        </row>
        <row r="11981">
          <cell r="A11981">
            <v>49241507</v>
          </cell>
          <cell r="B11981" t="str">
            <v>Cajas de arena para patios de recreo</v>
          </cell>
        </row>
        <row r="11982">
          <cell r="A11982">
            <v>49241508</v>
          </cell>
          <cell r="B11982" t="str">
            <v>Graderías para patios de recreo</v>
          </cell>
        </row>
        <row r="11983">
          <cell r="A11983">
            <v>49241509</v>
          </cell>
          <cell r="B11983" t="str">
            <v>Equipo para escalar muros</v>
          </cell>
        </row>
        <row r="11984">
          <cell r="A11984">
            <v>49241510</v>
          </cell>
          <cell r="B11984" t="str">
            <v>Equipos para escalar lazos</v>
          </cell>
        </row>
        <row r="11985">
          <cell r="A11985">
            <v>49241601</v>
          </cell>
          <cell r="B11985" t="str">
            <v>Sets de croquet</v>
          </cell>
        </row>
        <row r="11986">
          <cell r="A11986">
            <v>49241602</v>
          </cell>
          <cell r="B11986" t="str">
            <v>Equipos de bolos de jardín</v>
          </cell>
        </row>
        <row r="11987">
          <cell r="A11987">
            <v>49241603</v>
          </cell>
          <cell r="B11987" t="str">
            <v>Equipos de pistas para lanzar herraduras</v>
          </cell>
        </row>
        <row r="11988">
          <cell r="A11988">
            <v>49241604</v>
          </cell>
          <cell r="B11988" t="str">
            <v>Dardos de jardín</v>
          </cell>
        </row>
        <row r="11989">
          <cell r="A11989">
            <v>49241701</v>
          </cell>
          <cell r="B11989" t="str">
            <v>Trampolines</v>
          </cell>
        </row>
        <row r="11990">
          <cell r="A11990">
            <v>49241702</v>
          </cell>
          <cell r="B11990" t="str">
            <v>Rodaderos de piscina</v>
          </cell>
        </row>
        <row r="11991">
          <cell r="A11991">
            <v>49241703</v>
          </cell>
          <cell r="B11991" t="str">
            <v>Soplador de spa</v>
          </cell>
        </row>
        <row r="11992">
          <cell r="A11992">
            <v>49241704</v>
          </cell>
          <cell r="B11992" t="str">
            <v>Kit o soluciones de prueba de agua</v>
          </cell>
        </row>
        <row r="11993">
          <cell r="A11993">
            <v>49241705</v>
          </cell>
          <cell r="B11993" t="str">
            <v>Limpiador automático de piscinas</v>
          </cell>
        </row>
        <row r="11994">
          <cell r="A11994">
            <v>49241706</v>
          </cell>
          <cell r="B11994" t="str">
            <v>Cobija solar</v>
          </cell>
        </row>
        <row r="11995">
          <cell r="A11995">
            <v>49241707</v>
          </cell>
          <cell r="B11995" t="str">
            <v>Caldera para piscinas o spa</v>
          </cell>
        </row>
        <row r="11996">
          <cell r="A11996">
            <v>49241708</v>
          </cell>
          <cell r="B11996" t="str">
            <v>Generador de ozono</v>
          </cell>
        </row>
        <row r="11997">
          <cell r="A11997">
            <v>49241709</v>
          </cell>
          <cell r="B11997" t="str">
            <v>Rieles para cortinas solares</v>
          </cell>
        </row>
        <row r="11998">
          <cell r="A11998">
            <v>50101538</v>
          </cell>
          <cell r="B11998" t="str">
            <v>Verduras frescas</v>
          </cell>
        </row>
        <row r="11999">
          <cell r="A11999">
            <v>50101539</v>
          </cell>
          <cell r="B11999" t="str">
            <v>Verduras congeladas</v>
          </cell>
        </row>
        <row r="12000">
          <cell r="A12000">
            <v>50101540</v>
          </cell>
          <cell r="B12000" t="str">
            <v>Verduras estables sin refrigerar</v>
          </cell>
        </row>
        <row r="12001">
          <cell r="A12001">
            <v>50101541</v>
          </cell>
          <cell r="B12001" t="str">
            <v>Setas u hongos</v>
          </cell>
        </row>
        <row r="12002">
          <cell r="A12002">
            <v>50101542</v>
          </cell>
          <cell r="B12002" t="str">
            <v>Harina vegetal</v>
          </cell>
        </row>
        <row r="12003">
          <cell r="A12003">
            <v>50101543</v>
          </cell>
          <cell r="B12003" t="str">
            <v>Judías secas</v>
          </cell>
        </row>
        <row r="12004">
          <cell r="A12004">
            <v>50101544</v>
          </cell>
          <cell r="B12004" t="str">
            <v>Judías en conserva o en lata</v>
          </cell>
        </row>
        <row r="12005">
          <cell r="A12005">
            <v>50101545</v>
          </cell>
          <cell r="B12005" t="str">
            <v>Verduras deshidratadas</v>
          </cell>
        </row>
        <row r="12006">
          <cell r="A12006">
            <v>50101634</v>
          </cell>
          <cell r="B12006" t="str">
            <v>Fruta fresca</v>
          </cell>
        </row>
        <row r="12007">
          <cell r="A12007">
            <v>50101635</v>
          </cell>
          <cell r="B12007" t="str">
            <v>Fruta congelada</v>
          </cell>
        </row>
        <row r="12008">
          <cell r="A12008">
            <v>50101636</v>
          </cell>
          <cell r="B12008" t="str">
            <v>Fruta estable sin refrigerar</v>
          </cell>
        </row>
        <row r="12009">
          <cell r="A12009">
            <v>50101716</v>
          </cell>
          <cell r="B12009" t="str">
            <v>Nueces y semillas enteras</v>
          </cell>
        </row>
        <row r="12010">
          <cell r="A12010">
            <v>50101717</v>
          </cell>
          <cell r="B12010" t="str">
            <v>Nueces y semillas sin cascara</v>
          </cell>
        </row>
        <row r="12011">
          <cell r="A12011">
            <v>50111510</v>
          </cell>
          <cell r="B12011" t="str">
            <v>Carne de ave o carne fresca</v>
          </cell>
        </row>
        <row r="12012">
          <cell r="A12012">
            <v>50111511</v>
          </cell>
          <cell r="B12012" t="str">
            <v>Carne de ave o carne congelada</v>
          </cell>
        </row>
        <row r="12013">
          <cell r="A12013">
            <v>50111512</v>
          </cell>
          <cell r="B12013" t="str">
            <v>Carne de ave o carne en conserva</v>
          </cell>
        </row>
        <row r="12014">
          <cell r="A12014">
            <v>50112001</v>
          </cell>
          <cell r="B12014" t="str">
            <v>Carnes procesadas y preparadas fresco</v>
          </cell>
        </row>
        <row r="12015">
          <cell r="A12015">
            <v>50112002</v>
          </cell>
          <cell r="B12015" t="str">
            <v>Carnes procesadas y preparadas congelado</v>
          </cell>
        </row>
        <row r="12016">
          <cell r="A12016">
            <v>50112003</v>
          </cell>
          <cell r="B12016" t="str">
            <v>Carnes procesadas y preparadas estable sin refrigerar</v>
          </cell>
        </row>
        <row r="12017">
          <cell r="A12017">
            <v>50121537</v>
          </cell>
          <cell r="B12017" t="str">
            <v>Pescado congelado</v>
          </cell>
        </row>
        <row r="12018">
          <cell r="A12018">
            <v>50121538</v>
          </cell>
          <cell r="B12018" t="str">
            <v>Pescado almacenado en repisa</v>
          </cell>
        </row>
        <row r="12019">
          <cell r="A12019">
            <v>50121539</v>
          </cell>
          <cell r="B12019" t="str">
            <v>Pescado fresco</v>
          </cell>
        </row>
        <row r="12020">
          <cell r="A12020">
            <v>50121611</v>
          </cell>
          <cell r="B12020" t="str">
            <v>Mariscos frescos</v>
          </cell>
        </row>
        <row r="12021">
          <cell r="A12021">
            <v>50121612</v>
          </cell>
          <cell r="B12021" t="str">
            <v>Mariscos congelados</v>
          </cell>
        </row>
        <row r="12022">
          <cell r="A12022">
            <v>50121613</v>
          </cell>
          <cell r="B12022" t="str">
            <v>Mariscos almacenados en repisa</v>
          </cell>
        </row>
        <row r="12023">
          <cell r="A12023">
            <v>50121705</v>
          </cell>
          <cell r="B12023" t="str">
            <v>Invertebrados acuáticos frescos</v>
          </cell>
        </row>
        <row r="12024">
          <cell r="A12024">
            <v>50121706</v>
          </cell>
          <cell r="B12024" t="str">
            <v>Invertebrados acuáticos congelados</v>
          </cell>
        </row>
        <row r="12025">
          <cell r="A12025">
            <v>50121707</v>
          </cell>
          <cell r="B12025" t="str">
            <v>Invertebrados acuáticos almacenado en repisa</v>
          </cell>
        </row>
        <row r="12026">
          <cell r="A12026">
            <v>50121802</v>
          </cell>
          <cell r="B12026" t="str">
            <v>Plantas acuáticas frescas</v>
          </cell>
        </row>
        <row r="12027">
          <cell r="A12027">
            <v>50121803</v>
          </cell>
          <cell r="B12027" t="str">
            <v>Plantas acuáticas congeladas</v>
          </cell>
        </row>
        <row r="12028">
          <cell r="A12028">
            <v>50121804</v>
          </cell>
          <cell r="B12028" t="str">
            <v>Plantas acuáticas almacenadas en repisa</v>
          </cell>
        </row>
        <row r="12029">
          <cell r="A12029">
            <v>50131606</v>
          </cell>
          <cell r="B12029" t="str">
            <v>Huevos frescos</v>
          </cell>
        </row>
        <row r="12030">
          <cell r="A12030">
            <v>50131607</v>
          </cell>
          <cell r="B12030" t="str">
            <v>Sustitutos de huevo</v>
          </cell>
        </row>
        <row r="12031">
          <cell r="A12031">
            <v>50131608</v>
          </cell>
          <cell r="B12031" t="str">
            <v>Claras y yemas de huevo</v>
          </cell>
        </row>
        <row r="12032">
          <cell r="A12032">
            <v>50131609</v>
          </cell>
          <cell r="B12032" t="str">
            <v>Huevos preparados</v>
          </cell>
        </row>
        <row r="12033">
          <cell r="A12033">
            <v>50131610</v>
          </cell>
          <cell r="B12033" t="str">
            <v>Huevos congelados</v>
          </cell>
        </row>
        <row r="12034">
          <cell r="A12034">
            <v>50131611</v>
          </cell>
          <cell r="B12034" t="str">
            <v>Huevos batidos</v>
          </cell>
        </row>
        <row r="12035">
          <cell r="A12035">
            <v>50131701</v>
          </cell>
          <cell r="B12035" t="str">
            <v>Productos de leche o mantequilla frescos</v>
          </cell>
        </row>
        <row r="12036">
          <cell r="A12036">
            <v>50131702</v>
          </cell>
          <cell r="B12036" t="str">
            <v>Productos de leche o mantequilla de estante</v>
          </cell>
        </row>
        <row r="12037">
          <cell r="A12037">
            <v>50131703</v>
          </cell>
          <cell r="B12037" t="str">
            <v>Productos de leche o mantequilla congelados</v>
          </cell>
        </row>
        <row r="12038">
          <cell r="A12038">
            <v>50131801</v>
          </cell>
          <cell r="B12038" t="str">
            <v>Queso natural</v>
          </cell>
        </row>
        <row r="12039">
          <cell r="A12039">
            <v>50131802</v>
          </cell>
          <cell r="B12039" t="str">
            <v>Queso procesado</v>
          </cell>
        </row>
        <row r="12040">
          <cell r="A12040">
            <v>50131803</v>
          </cell>
          <cell r="B12040" t="str">
            <v>Imitación de queso</v>
          </cell>
        </row>
        <row r="12041">
          <cell r="A12041">
            <v>50151513</v>
          </cell>
          <cell r="B12041" t="str">
            <v>Aceites vegetales o  de planta comestibles</v>
          </cell>
        </row>
        <row r="12042">
          <cell r="A12042">
            <v>50151514</v>
          </cell>
          <cell r="B12042" t="str">
            <v>Grasas saturadas de vegetales o plantas comestibles</v>
          </cell>
        </row>
        <row r="12043">
          <cell r="A12043">
            <v>50151604</v>
          </cell>
          <cell r="B12043" t="str">
            <v>Aceites animal comestibles</v>
          </cell>
        </row>
        <row r="12044">
          <cell r="A12044">
            <v>50151605</v>
          </cell>
          <cell r="B12044" t="str">
            <v>Grasa saturada animal comestibles</v>
          </cell>
        </row>
        <row r="12045">
          <cell r="A12045">
            <v>50161509</v>
          </cell>
          <cell r="B12045" t="str">
            <v>Azucares naturales o productos endulzantes</v>
          </cell>
        </row>
        <row r="12046">
          <cell r="A12046">
            <v>50161510</v>
          </cell>
          <cell r="B12046" t="str">
            <v>Endulzantes artificiales</v>
          </cell>
        </row>
        <row r="12047">
          <cell r="A12047">
            <v>50161511</v>
          </cell>
          <cell r="B12047" t="str">
            <v>Chocolate o sustituto de chocolate</v>
          </cell>
        </row>
        <row r="12048">
          <cell r="A12048">
            <v>50161512</v>
          </cell>
          <cell r="B12048" t="str">
            <v>Almíbar</v>
          </cell>
        </row>
        <row r="12049">
          <cell r="A12049">
            <v>50161813</v>
          </cell>
          <cell r="B12049" t="str">
            <v>Chocolate o sustituto de chocolate, confite</v>
          </cell>
        </row>
        <row r="12050">
          <cell r="A12050">
            <v>50161814</v>
          </cell>
          <cell r="B12050" t="str">
            <v>Azúcar o sustituto de azúcar, confite</v>
          </cell>
        </row>
        <row r="12051">
          <cell r="A12051">
            <v>50161815</v>
          </cell>
          <cell r="B12051" t="str">
            <v>Goma de mascar</v>
          </cell>
        </row>
        <row r="12052">
          <cell r="A12052">
            <v>50171548</v>
          </cell>
          <cell r="B12052" t="str">
            <v>Hierbas frescas</v>
          </cell>
        </row>
        <row r="12053">
          <cell r="A12053">
            <v>50171549</v>
          </cell>
          <cell r="B12053" t="str">
            <v>Hierbas secas</v>
          </cell>
        </row>
        <row r="12054">
          <cell r="A12054">
            <v>50171550</v>
          </cell>
          <cell r="B12054" t="str">
            <v>Especies o extractos</v>
          </cell>
        </row>
        <row r="12055">
          <cell r="A12055">
            <v>50171551</v>
          </cell>
          <cell r="B12055" t="str">
            <v>Sal de mesa</v>
          </cell>
        </row>
        <row r="12056">
          <cell r="A12056">
            <v>50171552</v>
          </cell>
          <cell r="B12056" t="str">
            <v>Mezcla para adobar</v>
          </cell>
        </row>
        <row r="12057">
          <cell r="A12057">
            <v>50171707</v>
          </cell>
          <cell r="B12057" t="str">
            <v>Vinagres</v>
          </cell>
        </row>
        <row r="12058">
          <cell r="A12058">
            <v>50171708</v>
          </cell>
          <cell r="B12058" t="str">
            <v>Vinos para cocinar</v>
          </cell>
        </row>
        <row r="12059">
          <cell r="A12059">
            <v>50171830</v>
          </cell>
          <cell r="B12059" t="str">
            <v>Salsas o condimentos o cremas de untar o marinados</v>
          </cell>
        </row>
        <row r="12060">
          <cell r="A12060">
            <v>50171831</v>
          </cell>
          <cell r="B12060" t="str">
            <v>Salsas para cocinar</v>
          </cell>
        </row>
        <row r="12061">
          <cell r="A12061">
            <v>50171832</v>
          </cell>
          <cell r="B12061" t="str">
            <v>Salsas para ensaladas o dips</v>
          </cell>
        </row>
        <row r="12062">
          <cell r="A12062">
            <v>50171833</v>
          </cell>
          <cell r="B12062" t="str">
            <v>Cremas de untar saladas o patés</v>
          </cell>
        </row>
        <row r="12063">
          <cell r="A12063">
            <v>50171901</v>
          </cell>
          <cell r="B12063" t="str">
            <v>Encurtidos</v>
          </cell>
        </row>
        <row r="12064">
          <cell r="A12064">
            <v>50171902</v>
          </cell>
          <cell r="B12064" t="str">
            <v>Condimento</v>
          </cell>
        </row>
        <row r="12065">
          <cell r="A12065">
            <v>50171903</v>
          </cell>
          <cell r="B12065" t="str">
            <v>Aceitunas</v>
          </cell>
        </row>
        <row r="12066">
          <cell r="A12066">
            <v>50171904</v>
          </cell>
          <cell r="B12066" t="str">
            <v>Conserva</v>
          </cell>
        </row>
        <row r="12067">
          <cell r="A12067">
            <v>50181708</v>
          </cell>
          <cell r="B12067" t="str">
            <v>Mezclas para hornear</v>
          </cell>
        </row>
        <row r="12068">
          <cell r="A12068">
            <v>50181709</v>
          </cell>
          <cell r="B12068" t="str">
            <v>Suministros para hornear</v>
          </cell>
        </row>
        <row r="12069">
          <cell r="A12069">
            <v>50181901</v>
          </cell>
          <cell r="B12069" t="str">
            <v>Pan fresco</v>
          </cell>
        </row>
        <row r="12070">
          <cell r="A12070">
            <v>50181902</v>
          </cell>
          <cell r="B12070" t="str">
            <v>Pan congelado</v>
          </cell>
        </row>
        <row r="12071">
          <cell r="A12071">
            <v>50181903</v>
          </cell>
          <cell r="B12071" t="str">
            <v>Galletas sencillas de sal</v>
          </cell>
        </row>
        <row r="12072">
          <cell r="A12072">
            <v>50181904</v>
          </cell>
          <cell r="B12072" t="str">
            <v>Pan seco o cascaras de pan o pan tostado (crotones)</v>
          </cell>
        </row>
        <row r="12073">
          <cell r="A12073">
            <v>50181905</v>
          </cell>
          <cell r="B12073" t="str">
            <v>Galletas de dulce</v>
          </cell>
        </row>
        <row r="12074">
          <cell r="A12074">
            <v>50181906</v>
          </cell>
          <cell r="B12074" t="str">
            <v>Pan de repisa</v>
          </cell>
        </row>
        <row r="12075">
          <cell r="A12075">
            <v>50181907</v>
          </cell>
          <cell r="B12075" t="str">
            <v>Maza congelada para galletas</v>
          </cell>
        </row>
        <row r="12076">
          <cell r="A12076">
            <v>50181908</v>
          </cell>
          <cell r="B12076" t="str">
            <v>Maza congelada para pan</v>
          </cell>
        </row>
        <row r="12077">
          <cell r="A12077">
            <v>50181909</v>
          </cell>
          <cell r="B12077" t="str">
            <v>Galletas de soda</v>
          </cell>
        </row>
        <row r="12078">
          <cell r="A12078">
            <v>50182001</v>
          </cell>
          <cell r="B12078" t="str">
            <v>Ponqués pasteles o biscochos frescos</v>
          </cell>
        </row>
        <row r="12079">
          <cell r="A12079">
            <v>50182002</v>
          </cell>
          <cell r="B12079" t="str">
            <v>Ponqués pasteles o biscochos congelados</v>
          </cell>
        </row>
        <row r="12080">
          <cell r="A12080">
            <v>50182003</v>
          </cell>
          <cell r="B12080" t="str">
            <v>Maza para pastelería congelada</v>
          </cell>
        </row>
        <row r="12081">
          <cell r="A12081">
            <v>50182004</v>
          </cell>
          <cell r="B12081" t="str">
            <v>Maza para galletas de soda congelada</v>
          </cell>
        </row>
        <row r="12082">
          <cell r="A12082">
            <v>50191505</v>
          </cell>
          <cell r="B12082" t="str">
            <v>Sopas o sudados preparados fresco</v>
          </cell>
        </row>
        <row r="12083">
          <cell r="A12083">
            <v>50191506</v>
          </cell>
          <cell r="B12083" t="str">
            <v>Sopas o sudados preparados congelados</v>
          </cell>
        </row>
        <row r="12084">
          <cell r="A12084">
            <v>50191507</v>
          </cell>
          <cell r="B12084" t="str">
            <v>Sopas o sudados preparados de repisa</v>
          </cell>
        </row>
        <row r="12085">
          <cell r="A12085">
            <v>50192109</v>
          </cell>
          <cell r="B12085" t="str">
            <v>Papas fritas de talego o mezclas</v>
          </cell>
        </row>
        <row r="12086">
          <cell r="A12086">
            <v>50192110</v>
          </cell>
          <cell r="B12086" t="str">
            <v>Nueces o fruta disecada</v>
          </cell>
        </row>
        <row r="12087">
          <cell r="A12087">
            <v>50192111</v>
          </cell>
          <cell r="B12087" t="str">
            <v>Carne seca o procesada</v>
          </cell>
        </row>
        <row r="12088">
          <cell r="A12088">
            <v>50192112</v>
          </cell>
          <cell r="B12088" t="str">
            <v>Maíz pira</v>
          </cell>
        </row>
        <row r="12089">
          <cell r="A12089">
            <v>50192301</v>
          </cell>
          <cell r="B12089" t="str">
            <v>Postres preparados</v>
          </cell>
        </row>
        <row r="12090">
          <cell r="A12090">
            <v>50192302</v>
          </cell>
          <cell r="B12090" t="str">
            <v>Complementos de postres</v>
          </cell>
        </row>
        <row r="12091">
          <cell r="A12091">
            <v>50192303</v>
          </cell>
          <cell r="B12091" t="str">
            <v>Helado de sabor o helado o postre de helado o yogurt congelado</v>
          </cell>
        </row>
        <row r="12092">
          <cell r="A12092">
            <v>50192304</v>
          </cell>
          <cell r="B12092" t="str">
            <v>Conos o copas de helado comestibles</v>
          </cell>
        </row>
        <row r="12093">
          <cell r="A12093">
            <v>50192401</v>
          </cell>
          <cell r="B12093" t="str">
            <v>Mermeladas o preservativos de fruta</v>
          </cell>
        </row>
        <row r="12094">
          <cell r="A12094">
            <v>50192402</v>
          </cell>
          <cell r="B12094" t="str">
            <v>Mantequilla de nueces o mixto</v>
          </cell>
        </row>
        <row r="12095">
          <cell r="A12095">
            <v>50192403</v>
          </cell>
          <cell r="B12095" t="str">
            <v>Miel</v>
          </cell>
        </row>
        <row r="12096">
          <cell r="A12096">
            <v>50192404</v>
          </cell>
          <cell r="B12096" t="str">
            <v>Cristales de gelatina o mermelada</v>
          </cell>
        </row>
        <row r="12097">
          <cell r="A12097">
            <v>50192501</v>
          </cell>
          <cell r="B12097" t="str">
            <v>Emparedados frescos</v>
          </cell>
        </row>
        <row r="12098">
          <cell r="A12098">
            <v>50192502</v>
          </cell>
          <cell r="B12098" t="str">
            <v>Emparedados congelados</v>
          </cell>
        </row>
        <row r="12099">
          <cell r="A12099">
            <v>50192503</v>
          </cell>
          <cell r="B12099" t="str">
            <v>Rellenos frescos para emparedados</v>
          </cell>
        </row>
        <row r="12100">
          <cell r="A12100">
            <v>50192504</v>
          </cell>
          <cell r="B12100" t="str">
            <v>Rellenos congelados para emparedados</v>
          </cell>
        </row>
        <row r="12101">
          <cell r="A12101">
            <v>50192601</v>
          </cell>
          <cell r="B12101" t="str">
            <v>Papas preparadas frescas o arroz o pasta o relleno</v>
          </cell>
        </row>
        <row r="12102">
          <cell r="A12102">
            <v>50192602</v>
          </cell>
          <cell r="B12102" t="str">
            <v>Papas preparadas y congeladas o arroz o pasta o relleno</v>
          </cell>
        </row>
        <row r="12103">
          <cell r="A12103">
            <v>50192603</v>
          </cell>
          <cell r="B12103" t="str">
            <v>Papas preparadas de repisa o arroz o pasta o relleno</v>
          </cell>
        </row>
        <row r="12104">
          <cell r="A12104">
            <v>50192701</v>
          </cell>
          <cell r="B12104" t="str">
            <v>Comidas combinadas frescas</v>
          </cell>
        </row>
        <row r="12105">
          <cell r="A12105">
            <v>50192702</v>
          </cell>
          <cell r="B12105" t="str">
            <v>Comidas combinadas congeladas</v>
          </cell>
        </row>
        <row r="12106">
          <cell r="A12106">
            <v>50192703</v>
          </cell>
          <cell r="B12106" t="str">
            <v>Comidas combinadas de repisa</v>
          </cell>
        </row>
        <row r="12107">
          <cell r="A12107">
            <v>50192801</v>
          </cell>
          <cell r="B12107" t="str">
            <v>Pasteles de sal frescos</v>
          </cell>
        </row>
        <row r="12108">
          <cell r="A12108">
            <v>50192802</v>
          </cell>
          <cell r="B12108" t="str">
            <v>Pasteles de sal congelados</v>
          </cell>
        </row>
        <row r="12109">
          <cell r="A12109">
            <v>50192803</v>
          </cell>
          <cell r="B12109" t="str">
            <v>Pasteles de sal de repisa</v>
          </cell>
        </row>
        <row r="12110">
          <cell r="A12110">
            <v>50192901</v>
          </cell>
          <cell r="B12110" t="str">
            <v>Pasta sencilla o fideos</v>
          </cell>
        </row>
        <row r="12111">
          <cell r="A12111">
            <v>50192902</v>
          </cell>
          <cell r="B12111" t="str">
            <v>Pasta o fideos de repisa</v>
          </cell>
        </row>
        <row r="12112">
          <cell r="A12112">
            <v>50193001</v>
          </cell>
          <cell r="B12112" t="str">
            <v>Comida para infante</v>
          </cell>
        </row>
        <row r="12113">
          <cell r="A12113">
            <v>50193002</v>
          </cell>
          <cell r="B12113" t="str">
            <v>Bebidas para infantes</v>
          </cell>
        </row>
        <row r="12114">
          <cell r="A12114">
            <v>50193101</v>
          </cell>
          <cell r="B12114" t="str">
            <v>Pasa bocas mezcla instantáneas</v>
          </cell>
        </row>
        <row r="12115">
          <cell r="A12115">
            <v>50193102</v>
          </cell>
          <cell r="B12115" t="str">
            <v>Mezcla  de postres</v>
          </cell>
        </row>
        <row r="12116">
          <cell r="A12116">
            <v>50193103</v>
          </cell>
          <cell r="B12116" t="str">
            <v>Mezcla de salsa</v>
          </cell>
        </row>
        <row r="12117">
          <cell r="A12117">
            <v>50193104</v>
          </cell>
          <cell r="B12117" t="str">
            <v>Base para sopas</v>
          </cell>
        </row>
        <row r="12118">
          <cell r="A12118">
            <v>50193105</v>
          </cell>
          <cell r="B12118" t="str">
            <v>Mezcla para rebosar o de pan</v>
          </cell>
        </row>
        <row r="12119">
          <cell r="A12119">
            <v>50193201</v>
          </cell>
          <cell r="B12119" t="str">
            <v>Ensalada fresca preparada</v>
          </cell>
        </row>
        <row r="12120">
          <cell r="A12120">
            <v>50193202</v>
          </cell>
          <cell r="B12120" t="str">
            <v>Ensalada preparada congelada</v>
          </cell>
        </row>
        <row r="12121">
          <cell r="A12121">
            <v>50193203</v>
          </cell>
          <cell r="B12121" t="str">
            <v>Ensalada fresca de repisa</v>
          </cell>
        </row>
        <row r="12122">
          <cell r="A12122">
            <v>50201706</v>
          </cell>
          <cell r="B12122" t="str">
            <v>Café</v>
          </cell>
        </row>
        <row r="12123">
          <cell r="A12123">
            <v>50201707</v>
          </cell>
          <cell r="B12123" t="str">
            <v>Sustituto de café</v>
          </cell>
        </row>
        <row r="12124">
          <cell r="A12124">
            <v>50201708</v>
          </cell>
          <cell r="B12124" t="str">
            <v>Bebida de café</v>
          </cell>
        </row>
        <row r="12125">
          <cell r="A12125">
            <v>50201709</v>
          </cell>
          <cell r="B12125" t="str">
            <v>Café instantáneo</v>
          </cell>
        </row>
        <row r="12126">
          <cell r="A12126">
            <v>50201710</v>
          </cell>
          <cell r="B12126" t="str">
            <v>Té de hoja</v>
          </cell>
        </row>
        <row r="12127">
          <cell r="A12127">
            <v>50201711</v>
          </cell>
          <cell r="B12127" t="str">
            <v>Té instantáneo</v>
          </cell>
        </row>
        <row r="12128">
          <cell r="A12128">
            <v>50201712</v>
          </cell>
          <cell r="B12128" t="str">
            <v>Bebidas de té</v>
          </cell>
        </row>
        <row r="12129">
          <cell r="A12129">
            <v>50201713</v>
          </cell>
          <cell r="B12129" t="str">
            <v>Bolsas de té</v>
          </cell>
        </row>
        <row r="12130">
          <cell r="A12130">
            <v>50201714</v>
          </cell>
          <cell r="B12130" t="str">
            <v>Cremas no lácteas</v>
          </cell>
        </row>
        <row r="12131">
          <cell r="A12131">
            <v>50202201</v>
          </cell>
          <cell r="B12131" t="str">
            <v>Cerveza</v>
          </cell>
        </row>
        <row r="12132">
          <cell r="A12132">
            <v>50202202</v>
          </cell>
          <cell r="B12132" t="str">
            <v>Cidra</v>
          </cell>
        </row>
        <row r="12133">
          <cell r="A12133">
            <v>50202203</v>
          </cell>
          <cell r="B12133" t="str">
            <v>Vino</v>
          </cell>
        </row>
        <row r="12134">
          <cell r="A12134">
            <v>50202204</v>
          </cell>
          <cell r="B12134" t="str">
            <v>Vino fortificado</v>
          </cell>
        </row>
        <row r="12135">
          <cell r="A12135">
            <v>50202205</v>
          </cell>
          <cell r="B12135" t="str">
            <v>Vino espumoso</v>
          </cell>
        </row>
        <row r="12136">
          <cell r="A12136">
            <v>50202206</v>
          </cell>
          <cell r="B12136" t="str">
            <v>Licor destilado</v>
          </cell>
        </row>
        <row r="12137">
          <cell r="A12137">
            <v>50202207</v>
          </cell>
          <cell r="B12137" t="str">
            <v>Cocteles de alcohol o bebidas mixtas</v>
          </cell>
        </row>
        <row r="12138">
          <cell r="A12138">
            <v>50202301</v>
          </cell>
          <cell r="B12138" t="str">
            <v>Agua</v>
          </cell>
        </row>
        <row r="12139">
          <cell r="A12139">
            <v>50202302</v>
          </cell>
          <cell r="B12139" t="str">
            <v>Hielo</v>
          </cell>
        </row>
        <row r="12140">
          <cell r="A12140">
            <v>50202303</v>
          </cell>
          <cell r="B12140" t="str">
            <v>Jugos congelados</v>
          </cell>
        </row>
        <row r="12141">
          <cell r="A12141">
            <v>50202304</v>
          </cell>
          <cell r="B12141" t="str">
            <v>Jugos de repisa</v>
          </cell>
        </row>
        <row r="12142">
          <cell r="A12142">
            <v>50202305</v>
          </cell>
          <cell r="B12142" t="str">
            <v>Jugo fresco</v>
          </cell>
        </row>
        <row r="12143">
          <cell r="A12143">
            <v>50202306</v>
          </cell>
          <cell r="B12143" t="str">
            <v>Refrescos</v>
          </cell>
        </row>
        <row r="12144">
          <cell r="A12144">
            <v>50202307</v>
          </cell>
          <cell r="B12144" t="str">
            <v>Bebida de chocolate o malta u otros</v>
          </cell>
        </row>
        <row r="12145">
          <cell r="A12145">
            <v>50202308</v>
          </cell>
          <cell r="B12145" t="str">
            <v>Cocteles libre de alcohol o mezcla de bebidas</v>
          </cell>
        </row>
        <row r="12146">
          <cell r="A12146">
            <v>50202309</v>
          </cell>
          <cell r="B12146" t="str">
            <v>Bebidas deportivas o de energía</v>
          </cell>
        </row>
        <row r="12147">
          <cell r="A12147">
            <v>50202310</v>
          </cell>
          <cell r="B12147" t="str">
            <v>Agua mineral</v>
          </cell>
        </row>
        <row r="12148">
          <cell r="A12148">
            <v>50202311</v>
          </cell>
          <cell r="B12148" t="str">
            <v>Bebida mixta de polvo</v>
          </cell>
        </row>
        <row r="12149">
          <cell r="A12149">
            <v>50211502</v>
          </cell>
          <cell r="B12149" t="str">
            <v>Cigarrillos o cigarros</v>
          </cell>
        </row>
        <row r="12150">
          <cell r="A12150">
            <v>50211503</v>
          </cell>
          <cell r="B12150" t="str">
            <v>Tabaco para pipa o tabaco de hoja</v>
          </cell>
        </row>
        <row r="12151">
          <cell r="A12151">
            <v>50211504</v>
          </cell>
          <cell r="B12151" t="str">
            <v>Tabaco para mascar</v>
          </cell>
        </row>
        <row r="12152">
          <cell r="A12152">
            <v>50211505</v>
          </cell>
          <cell r="B12152" t="str">
            <v>Cigarrillos herbales</v>
          </cell>
        </row>
        <row r="12153">
          <cell r="A12153">
            <v>50211506</v>
          </cell>
          <cell r="B12153" t="str">
            <v>Rapé</v>
          </cell>
        </row>
        <row r="12154">
          <cell r="A12154">
            <v>50211607</v>
          </cell>
          <cell r="B12154" t="str">
            <v>Papel para cigarrillos o filtros</v>
          </cell>
        </row>
        <row r="12155">
          <cell r="A12155">
            <v>50211608</v>
          </cell>
          <cell r="B12155" t="str">
            <v>Encendedores o mecha</v>
          </cell>
        </row>
        <row r="12156">
          <cell r="A12156">
            <v>50211609</v>
          </cell>
          <cell r="B12156" t="str">
            <v>Pipas para fumar</v>
          </cell>
        </row>
        <row r="12157">
          <cell r="A12157">
            <v>50211610</v>
          </cell>
          <cell r="B12157" t="str">
            <v>Limpiadores de tabaco para pipas</v>
          </cell>
        </row>
        <row r="12158">
          <cell r="A12158">
            <v>50211611</v>
          </cell>
          <cell r="B12158" t="str">
            <v>Juego de fumador</v>
          </cell>
        </row>
        <row r="12159">
          <cell r="A12159">
            <v>50211612</v>
          </cell>
          <cell r="B12159" t="str">
            <v>Encendedores para cigarrillos</v>
          </cell>
        </row>
        <row r="12160">
          <cell r="A12160">
            <v>50221001</v>
          </cell>
          <cell r="B12160" t="str">
            <v>Granos</v>
          </cell>
        </row>
        <row r="12161">
          <cell r="A12161">
            <v>50221002</v>
          </cell>
          <cell r="B12161" t="str">
            <v>Harina</v>
          </cell>
        </row>
        <row r="12162">
          <cell r="A12162">
            <v>50221101</v>
          </cell>
          <cell r="B12162" t="str">
            <v>Grano de cereal</v>
          </cell>
        </row>
        <row r="12163">
          <cell r="A12163">
            <v>50221102</v>
          </cell>
          <cell r="B12163" t="str">
            <v>Grano de harina</v>
          </cell>
        </row>
        <row r="12164">
          <cell r="A12164">
            <v>50221201</v>
          </cell>
          <cell r="B12164" t="str">
            <v>Listo para comer o cereal caliente</v>
          </cell>
        </row>
        <row r="12165">
          <cell r="A12165">
            <v>50221202</v>
          </cell>
          <cell r="B12165" t="str">
            <v>Barras de desayuno o de salud</v>
          </cell>
        </row>
        <row r="12166">
          <cell r="A12166">
            <v>51101503</v>
          </cell>
          <cell r="B12166" t="str">
            <v>Cloranfenicol</v>
          </cell>
        </row>
        <row r="12167">
          <cell r="A12167">
            <v>51101504</v>
          </cell>
          <cell r="B12167" t="str">
            <v>Clindamicina</v>
          </cell>
        </row>
        <row r="12168">
          <cell r="A12168">
            <v>51101507</v>
          </cell>
          <cell r="B12168" t="str">
            <v>Penicilina</v>
          </cell>
        </row>
        <row r="12169">
          <cell r="A12169">
            <v>51101508</v>
          </cell>
          <cell r="B12169" t="str">
            <v>Sulfonamidas antibióticas</v>
          </cell>
        </row>
        <row r="12170">
          <cell r="A12170">
            <v>51101509</v>
          </cell>
          <cell r="B12170" t="str">
            <v>Tetraciclina</v>
          </cell>
        </row>
        <row r="12171">
          <cell r="A12171">
            <v>51101510</v>
          </cell>
          <cell r="B12171" t="str">
            <v>Oxitetraciclina</v>
          </cell>
        </row>
        <row r="12172">
          <cell r="A12172">
            <v>51101511</v>
          </cell>
          <cell r="B12172" t="str">
            <v>Amoxicilina</v>
          </cell>
        </row>
        <row r="12173">
          <cell r="A12173">
            <v>51101512</v>
          </cell>
          <cell r="B12173" t="str">
            <v>Cloxacilina</v>
          </cell>
        </row>
        <row r="12174">
          <cell r="A12174">
            <v>51101513</v>
          </cell>
          <cell r="B12174" t="str">
            <v>Neomicina</v>
          </cell>
        </row>
        <row r="12175">
          <cell r="A12175">
            <v>51101514</v>
          </cell>
          <cell r="B12175" t="str">
            <v>Sulfato framicetina</v>
          </cell>
        </row>
        <row r="12176">
          <cell r="A12176">
            <v>51101515</v>
          </cell>
          <cell r="B12176" t="str">
            <v>Clorhidrato de lincomicina</v>
          </cell>
        </row>
        <row r="12177">
          <cell r="A12177">
            <v>51101516</v>
          </cell>
          <cell r="B12177" t="str">
            <v>Gramicidina</v>
          </cell>
        </row>
        <row r="12178">
          <cell r="A12178">
            <v>51101518</v>
          </cell>
          <cell r="B12178" t="str">
            <v>Ofloxacina</v>
          </cell>
        </row>
        <row r="12179">
          <cell r="A12179">
            <v>51101519</v>
          </cell>
          <cell r="B12179" t="str">
            <v>Tiamfenicol</v>
          </cell>
        </row>
        <row r="12180">
          <cell r="A12180">
            <v>51101521</v>
          </cell>
          <cell r="B12180" t="str">
            <v>Pristinamicina</v>
          </cell>
        </row>
        <row r="12181">
          <cell r="A12181">
            <v>51101522</v>
          </cell>
          <cell r="B12181" t="str">
            <v>Claritromicina</v>
          </cell>
        </row>
        <row r="12182">
          <cell r="A12182">
            <v>51101523</v>
          </cell>
          <cell r="B12182" t="str">
            <v>Clorquinaldol</v>
          </cell>
        </row>
        <row r="12183">
          <cell r="A12183">
            <v>51101524</v>
          </cell>
          <cell r="B12183" t="str">
            <v>Bacitracina zinc</v>
          </cell>
        </row>
        <row r="12184">
          <cell r="A12184">
            <v>51101525</v>
          </cell>
          <cell r="B12184" t="str">
            <v>Peróxido de benzoilo</v>
          </cell>
        </row>
        <row r="12185">
          <cell r="A12185">
            <v>51101526</v>
          </cell>
          <cell r="B12185" t="str">
            <v>Polimixinas</v>
          </cell>
        </row>
        <row r="12186">
          <cell r="A12186">
            <v>51101527</v>
          </cell>
          <cell r="B12186" t="str">
            <v>Colistina metansulfonato</v>
          </cell>
        </row>
        <row r="12187">
          <cell r="A12187">
            <v>51101528</v>
          </cell>
          <cell r="B12187" t="str">
            <v>Tirotricina</v>
          </cell>
        </row>
        <row r="12188">
          <cell r="A12188">
            <v>51101530</v>
          </cell>
          <cell r="B12188" t="str">
            <v>Trimetoprima</v>
          </cell>
        </row>
        <row r="12189">
          <cell r="A12189">
            <v>51101531</v>
          </cell>
          <cell r="B12189" t="str">
            <v>Estreptograminas</v>
          </cell>
        </row>
        <row r="12190">
          <cell r="A12190">
            <v>51101532</v>
          </cell>
          <cell r="B12190" t="str">
            <v>Teicoplanina</v>
          </cell>
        </row>
        <row r="12191">
          <cell r="A12191">
            <v>51101533</v>
          </cell>
          <cell r="B12191" t="str">
            <v>Rifamicina</v>
          </cell>
        </row>
        <row r="12192">
          <cell r="A12192">
            <v>51101534</v>
          </cell>
          <cell r="B12192" t="str">
            <v>Ceftibuten</v>
          </cell>
        </row>
        <row r="12193">
          <cell r="A12193">
            <v>51101535</v>
          </cell>
          <cell r="B12193" t="str">
            <v>Cefradina</v>
          </cell>
        </row>
        <row r="12194">
          <cell r="A12194">
            <v>51101536</v>
          </cell>
          <cell r="B12194" t="str">
            <v>Moxifloxacina clorhidrato</v>
          </cell>
        </row>
        <row r="12195">
          <cell r="A12195">
            <v>51101537</v>
          </cell>
          <cell r="B12195" t="str">
            <v>Lomefloxacina cloridrato</v>
          </cell>
        </row>
        <row r="12196">
          <cell r="A12196">
            <v>51101538</v>
          </cell>
          <cell r="B12196" t="str">
            <v>Levofloxacina</v>
          </cell>
        </row>
        <row r="12197">
          <cell r="A12197">
            <v>51101539</v>
          </cell>
          <cell r="B12197" t="str">
            <v>Grepafloxacina clorhidrato</v>
          </cell>
        </row>
        <row r="12198">
          <cell r="A12198">
            <v>51101540</v>
          </cell>
          <cell r="B12198" t="str">
            <v>Gatifloxacina</v>
          </cell>
        </row>
        <row r="12199">
          <cell r="A12199">
            <v>51101541</v>
          </cell>
          <cell r="B12199" t="str">
            <v>Enoxacina</v>
          </cell>
        </row>
        <row r="12200">
          <cell r="A12200">
            <v>51101542</v>
          </cell>
          <cell r="B12200" t="str">
            <v>Ciprofloxacina</v>
          </cell>
        </row>
        <row r="12201">
          <cell r="A12201">
            <v>51101543</v>
          </cell>
          <cell r="B12201" t="str">
            <v>Cefapirina</v>
          </cell>
        </row>
        <row r="12202">
          <cell r="A12202">
            <v>51101544</v>
          </cell>
          <cell r="B12202" t="str">
            <v>Loracarbef</v>
          </cell>
        </row>
        <row r="12203">
          <cell r="A12203">
            <v>51101545</v>
          </cell>
          <cell r="B12203" t="str">
            <v>Ceftizoxima</v>
          </cell>
        </row>
        <row r="12204">
          <cell r="A12204">
            <v>51101546</v>
          </cell>
          <cell r="B12204" t="str">
            <v>Norfloxacina</v>
          </cell>
        </row>
        <row r="12205">
          <cell r="A12205">
            <v>51101547</v>
          </cell>
          <cell r="B12205" t="str">
            <v>Cefprozil</v>
          </cell>
        </row>
        <row r="12206">
          <cell r="A12206">
            <v>51101548</v>
          </cell>
          <cell r="B12206" t="str">
            <v>Fosfomicina trometamol</v>
          </cell>
        </row>
        <row r="12207">
          <cell r="A12207">
            <v>51101549</v>
          </cell>
          <cell r="B12207" t="str">
            <v>Linezolida</v>
          </cell>
        </row>
        <row r="12208">
          <cell r="A12208">
            <v>51101550</v>
          </cell>
          <cell r="B12208" t="str">
            <v>Cefalexina</v>
          </cell>
        </row>
        <row r="12209">
          <cell r="A12209">
            <v>51101551</v>
          </cell>
          <cell r="B12209" t="str">
            <v>Ceftriaxona</v>
          </cell>
        </row>
        <row r="12210">
          <cell r="A12210">
            <v>51101552</v>
          </cell>
          <cell r="B12210" t="str">
            <v>Ceftazidima</v>
          </cell>
        </row>
        <row r="12211">
          <cell r="A12211">
            <v>51101553</v>
          </cell>
          <cell r="B12211" t="str">
            <v>Alatrofloxacina</v>
          </cell>
        </row>
        <row r="12212">
          <cell r="A12212">
            <v>51101554</v>
          </cell>
          <cell r="B12212" t="str">
            <v>Dicloxacilina sódica</v>
          </cell>
        </row>
        <row r="12213">
          <cell r="A12213">
            <v>51101555</v>
          </cell>
          <cell r="B12213" t="str">
            <v>Aztreonam</v>
          </cell>
        </row>
        <row r="12214">
          <cell r="A12214">
            <v>51101556</v>
          </cell>
          <cell r="B12214" t="str">
            <v>Minociclina</v>
          </cell>
        </row>
        <row r="12215">
          <cell r="A12215">
            <v>51101557</v>
          </cell>
          <cell r="B12215" t="str">
            <v>Doxiciclina</v>
          </cell>
        </row>
        <row r="12216">
          <cell r="A12216">
            <v>51101558</v>
          </cell>
          <cell r="B12216" t="str">
            <v>Demeclociclina</v>
          </cell>
        </row>
        <row r="12217">
          <cell r="A12217">
            <v>51101559</v>
          </cell>
          <cell r="B12217" t="str">
            <v>Clortetraciclina</v>
          </cell>
        </row>
        <row r="12218">
          <cell r="A12218">
            <v>51101560</v>
          </cell>
          <cell r="B12218" t="str">
            <v>Ticarcilina</v>
          </cell>
        </row>
        <row r="12219">
          <cell r="A12219">
            <v>51101561</v>
          </cell>
          <cell r="B12219" t="str">
            <v>Piperacilina</v>
          </cell>
        </row>
        <row r="12220">
          <cell r="A12220">
            <v>51101562</v>
          </cell>
          <cell r="B12220" t="str">
            <v>Oxacilina sódica</v>
          </cell>
        </row>
        <row r="12221">
          <cell r="A12221">
            <v>51101563</v>
          </cell>
          <cell r="B12221" t="str">
            <v>Mesilato de trovafloxacina</v>
          </cell>
        </row>
        <row r="12222">
          <cell r="A12222">
            <v>51101564</v>
          </cell>
          <cell r="B12222" t="str">
            <v>Mezlocilina</v>
          </cell>
        </row>
        <row r="12223">
          <cell r="A12223">
            <v>51101565</v>
          </cell>
          <cell r="B12223" t="str">
            <v>Cefpodoxima proxetil</v>
          </cell>
        </row>
        <row r="12224">
          <cell r="A12224">
            <v>51101566</v>
          </cell>
          <cell r="B12224" t="str">
            <v>Carbenicilina</v>
          </cell>
        </row>
        <row r="12225">
          <cell r="A12225">
            <v>51101567</v>
          </cell>
          <cell r="B12225" t="str">
            <v>Ampicilina</v>
          </cell>
        </row>
        <row r="12226">
          <cell r="A12226">
            <v>51101568</v>
          </cell>
          <cell r="B12226" t="str">
            <v>Troleandomicina</v>
          </cell>
        </row>
        <row r="12227">
          <cell r="A12227">
            <v>51101569</v>
          </cell>
          <cell r="B12227" t="str">
            <v>Roxitromicina</v>
          </cell>
        </row>
        <row r="12228">
          <cell r="A12228">
            <v>51101570</v>
          </cell>
          <cell r="B12228" t="str">
            <v>Eritromicina</v>
          </cell>
        </row>
        <row r="12229">
          <cell r="A12229">
            <v>51101571</v>
          </cell>
          <cell r="B12229" t="str">
            <v>Diritromicina</v>
          </cell>
        </row>
        <row r="12230">
          <cell r="A12230">
            <v>51101572</v>
          </cell>
          <cell r="B12230" t="str">
            <v>Azitromicina</v>
          </cell>
        </row>
        <row r="12231">
          <cell r="A12231">
            <v>51101573</v>
          </cell>
          <cell r="B12231" t="str">
            <v>Cefuroxima</v>
          </cell>
        </row>
        <row r="12232">
          <cell r="A12232">
            <v>51101574</v>
          </cell>
          <cell r="B12232" t="str">
            <v>Furazolidona</v>
          </cell>
        </row>
        <row r="12233">
          <cell r="A12233">
            <v>51101575</v>
          </cell>
          <cell r="B12233" t="str">
            <v>Nafcilina sódica</v>
          </cell>
        </row>
        <row r="12234">
          <cell r="A12234">
            <v>51101576</v>
          </cell>
          <cell r="B12234" t="str">
            <v>Cefalotina</v>
          </cell>
        </row>
        <row r="12235">
          <cell r="A12235">
            <v>51101577</v>
          </cell>
          <cell r="B12235" t="str">
            <v>Cefdinir</v>
          </cell>
        </row>
        <row r="12236">
          <cell r="A12236">
            <v>51101578</v>
          </cell>
          <cell r="B12236" t="str">
            <v>Cefazolina</v>
          </cell>
        </row>
        <row r="12237">
          <cell r="A12237">
            <v>51101579</v>
          </cell>
          <cell r="B12237" t="str">
            <v>Cefamandol</v>
          </cell>
        </row>
        <row r="12238">
          <cell r="A12238">
            <v>51101580</v>
          </cell>
          <cell r="B12238" t="str">
            <v>Cefadroxilo</v>
          </cell>
        </row>
        <row r="12239">
          <cell r="A12239">
            <v>51101581</v>
          </cell>
          <cell r="B12239" t="str">
            <v>Cefaclor</v>
          </cell>
        </row>
        <row r="12240">
          <cell r="A12240">
            <v>51101582</v>
          </cell>
          <cell r="B12240" t="str">
            <v>Tobramicina</v>
          </cell>
        </row>
        <row r="12241">
          <cell r="A12241">
            <v>51101583</v>
          </cell>
          <cell r="B12241" t="str">
            <v>Cefditoren</v>
          </cell>
        </row>
        <row r="12242">
          <cell r="A12242">
            <v>51101584</v>
          </cell>
          <cell r="B12242" t="str">
            <v>Gentamicina</v>
          </cell>
        </row>
        <row r="12243">
          <cell r="A12243">
            <v>51101585</v>
          </cell>
          <cell r="B12243" t="str">
            <v>Netilmicina</v>
          </cell>
        </row>
        <row r="12244">
          <cell r="A12244">
            <v>51101586</v>
          </cell>
          <cell r="B12244" t="str">
            <v>Amikacina</v>
          </cell>
        </row>
        <row r="12245">
          <cell r="A12245">
            <v>51101587</v>
          </cell>
          <cell r="B12245" t="str">
            <v>Kanamicina</v>
          </cell>
        </row>
        <row r="12246">
          <cell r="A12246">
            <v>51101588</v>
          </cell>
          <cell r="B12246" t="str">
            <v>Sparfloxacina</v>
          </cell>
        </row>
        <row r="12247">
          <cell r="A12247">
            <v>51101589</v>
          </cell>
          <cell r="B12247" t="str">
            <v>Carbapenémicos incluyendo tienamicinas</v>
          </cell>
        </row>
        <row r="12248">
          <cell r="A12248">
            <v>51101590</v>
          </cell>
          <cell r="B12248" t="str">
            <v>Quinupristina</v>
          </cell>
        </row>
        <row r="12249">
          <cell r="A12249">
            <v>51101591</v>
          </cell>
          <cell r="B12249" t="str">
            <v>Vancomicina</v>
          </cell>
        </row>
        <row r="12250">
          <cell r="A12250">
            <v>51101592</v>
          </cell>
          <cell r="B12250" t="str">
            <v>Cefoxitina</v>
          </cell>
        </row>
        <row r="12251">
          <cell r="A12251">
            <v>51101593</v>
          </cell>
          <cell r="B12251" t="str">
            <v>Cefotaxima</v>
          </cell>
        </row>
        <row r="12252">
          <cell r="A12252">
            <v>51101594</v>
          </cell>
          <cell r="B12252" t="str">
            <v>Cefepima</v>
          </cell>
        </row>
        <row r="12253">
          <cell r="A12253">
            <v>51101595</v>
          </cell>
          <cell r="B12253" t="str">
            <v>Cefotetan</v>
          </cell>
        </row>
        <row r="12254">
          <cell r="A12254">
            <v>51101596</v>
          </cell>
          <cell r="B12254" t="str">
            <v>Cefoperazona</v>
          </cell>
        </row>
        <row r="12255">
          <cell r="A12255">
            <v>51101597</v>
          </cell>
          <cell r="B12255" t="str">
            <v>Mupirocina</v>
          </cell>
        </row>
        <row r="12256">
          <cell r="A12256">
            <v>51101598</v>
          </cell>
          <cell r="B12256" t="str">
            <v>Cefonicida</v>
          </cell>
        </row>
        <row r="12257">
          <cell r="A12257">
            <v>51101599</v>
          </cell>
          <cell r="B12257" t="str">
            <v>Cefixima</v>
          </cell>
        </row>
        <row r="12258">
          <cell r="A12258">
            <v>51101601</v>
          </cell>
          <cell r="B12258" t="str">
            <v>Atovacuona</v>
          </cell>
        </row>
        <row r="12259">
          <cell r="A12259">
            <v>51101602</v>
          </cell>
          <cell r="B12259" t="str">
            <v>Clorhidrato de eflomitina</v>
          </cell>
        </row>
        <row r="12260">
          <cell r="A12260">
            <v>51101603</v>
          </cell>
          <cell r="B12260" t="str">
            <v>Metronidazol</v>
          </cell>
        </row>
        <row r="12261">
          <cell r="A12261">
            <v>51101604</v>
          </cell>
          <cell r="B12261" t="str">
            <v>Antimoniato de meglumina</v>
          </cell>
        </row>
        <row r="12262">
          <cell r="A12262">
            <v>51101606</v>
          </cell>
          <cell r="B12262" t="str">
            <v>Rifapentina</v>
          </cell>
        </row>
        <row r="12263">
          <cell r="A12263">
            <v>51101607</v>
          </cell>
          <cell r="B12263" t="str">
            <v>Óxido de calcio</v>
          </cell>
        </row>
        <row r="12264">
          <cell r="A12264">
            <v>51101610</v>
          </cell>
          <cell r="B12264" t="str">
            <v>Clorocresol</v>
          </cell>
        </row>
        <row r="12265">
          <cell r="A12265">
            <v>51101611</v>
          </cell>
          <cell r="B12265" t="str">
            <v>Meropenem</v>
          </cell>
        </row>
        <row r="12266">
          <cell r="A12266">
            <v>51101612</v>
          </cell>
          <cell r="B12266" t="str">
            <v>Polynoxylin</v>
          </cell>
        </row>
        <row r="12267">
          <cell r="A12267">
            <v>51101613</v>
          </cell>
          <cell r="B12267" t="str">
            <v>Isetionato de pentamidina</v>
          </cell>
        </row>
        <row r="12268">
          <cell r="A12268">
            <v>51101614</v>
          </cell>
          <cell r="B12268" t="str">
            <v>Furoato de diloxanida</v>
          </cell>
        </row>
        <row r="12269">
          <cell r="A12269">
            <v>51101616</v>
          </cell>
          <cell r="B12269" t="str">
            <v>Melarsoprol</v>
          </cell>
        </row>
        <row r="12270">
          <cell r="A12270">
            <v>51101617</v>
          </cell>
          <cell r="B12270" t="str">
            <v>Tinidazol</v>
          </cell>
        </row>
        <row r="12271">
          <cell r="A12271">
            <v>51101618</v>
          </cell>
          <cell r="B12271" t="str">
            <v>Taurolidina</v>
          </cell>
        </row>
        <row r="12272">
          <cell r="A12272">
            <v>51101619</v>
          </cell>
          <cell r="B12272" t="str">
            <v>Secnidazol</v>
          </cell>
        </row>
        <row r="12273">
          <cell r="A12273">
            <v>51101620</v>
          </cell>
          <cell r="B12273" t="str">
            <v>Iodoquinol</v>
          </cell>
        </row>
        <row r="12274">
          <cell r="A12274">
            <v>51101624</v>
          </cell>
          <cell r="B12274" t="str">
            <v>Clorhidrato de metronidazol</v>
          </cell>
        </row>
        <row r="12275">
          <cell r="A12275">
            <v>51101625</v>
          </cell>
          <cell r="B12275" t="str">
            <v>Sulfato de paromomicina</v>
          </cell>
        </row>
        <row r="12276">
          <cell r="A12276">
            <v>51101629</v>
          </cell>
          <cell r="B12276" t="str">
            <v>Glucuronato de trimetrexato</v>
          </cell>
        </row>
        <row r="12277">
          <cell r="A12277">
            <v>51101630</v>
          </cell>
          <cell r="B12277" t="str">
            <v>Isetionato de propamidina</v>
          </cell>
        </row>
        <row r="12278">
          <cell r="A12278">
            <v>51101701</v>
          </cell>
          <cell r="B12278" t="str">
            <v>Albendazol</v>
          </cell>
        </row>
        <row r="12279">
          <cell r="A12279">
            <v>51101702</v>
          </cell>
          <cell r="B12279" t="str">
            <v>Mebendazol</v>
          </cell>
        </row>
        <row r="12280">
          <cell r="A12280">
            <v>51101703</v>
          </cell>
          <cell r="B12280" t="str">
            <v>Oxamniquina</v>
          </cell>
        </row>
        <row r="12281">
          <cell r="A12281">
            <v>51101704</v>
          </cell>
          <cell r="B12281" t="str">
            <v>Citrato de piperazina</v>
          </cell>
        </row>
        <row r="12282">
          <cell r="A12282">
            <v>51101705</v>
          </cell>
          <cell r="B12282" t="str">
            <v>Praziquantel</v>
          </cell>
        </row>
        <row r="12283">
          <cell r="A12283">
            <v>51101706</v>
          </cell>
          <cell r="B12283" t="str">
            <v>Pamoato de pirantel</v>
          </cell>
        </row>
        <row r="12284">
          <cell r="A12284">
            <v>51101707</v>
          </cell>
          <cell r="B12284" t="str">
            <v>Tiabendazol</v>
          </cell>
        </row>
        <row r="12285">
          <cell r="A12285">
            <v>51101708</v>
          </cell>
          <cell r="B12285" t="str">
            <v>Sulfanilamida</v>
          </cell>
        </row>
        <row r="12286">
          <cell r="A12286">
            <v>51101709</v>
          </cell>
          <cell r="B12286" t="str">
            <v>Niclosamida</v>
          </cell>
        </row>
        <row r="12287">
          <cell r="A12287">
            <v>51101710</v>
          </cell>
          <cell r="B12287" t="str">
            <v>Piperazina</v>
          </cell>
        </row>
        <row r="12288">
          <cell r="A12288">
            <v>51101711</v>
          </cell>
          <cell r="B12288" t="str">
            <v>Citrato de dietilcarbamazina</v>
          </cell>
        </row>
        <row r="12289">
          <cell r="A12289">
            <v>51101712</v>
          </cell>
          <cell r="B12289" t="str">
            <v>Tiocianoacetato de isobornilo</v>
          </cell>
        </row>
        <row r="12290">
          <cell r="A12290">
            <v>51101713</v>
          </cell>
          <cell r="B12290" t="str">
            <v>Antiparasitario tópico malatión</v>
          </cell>
        </row>
        <row r="12291">
          <cell r="A12291">
            <v>51101714</v>
          </cell>
          <cell r="B12291" t="str">
            <v>Metilparabeno</v>
          </cell>
        </row>
        <row r="12292">
          <cell r="A12292">
            <v>51101715</v>
          </cell>
          <cell r="B12292" t="str">
            <v>Antiparasitario tópico permetrina</v>
          </cell>
        </row>
        <row r="12293">
          <cell r="A12293">
            <v>51101716</v>
          </cell>
          <cell r="B12293" t="str">
            <v>Tetracloroetileno</v>
          </cell>
        </row>
        <row r="12294">
          <cell r="A12294">
            <v>51101717</v>
          </cell>
          <cell r="B12294" t="str">
            <v>Ivermectina</v>
          </cell>
        </row>
        <row r="12295">
          <cell r="A12295">
            <v>51101718</v>
          </cell>
          <cell r="B12295" t="str">
            <v>Benzoato de bencilo</v>
          </cell>
        </row>
        <row r="12296">
          <cell r="A12296">
            <v>51101719</v>
          </cell>
          <cell r="B12296" t="str">
            <v>Butóxido de piperonilo</v>
          </cell>
        </row>
        <row r="12297">
          <cell r="A12297">
            <v>51101720</v>
          </cell>
          <cell r="B12297" t="str">
            <v>Lindano</v>
          </cell>
        </row>
        <row r="12298">
          <cell r="A12298">
            <v>51101801</v>
          </cell>
          <cell r="B12298" t="str">
            <v>Anfotericina b</v>
          </cell>
        </row>
        <row r="12299">
          <cell r="A12299">
            <v>51101802</v>
          </cell>
          <cell r="B12299" t="str">
            <v>Clorhidrato de butenafina</v>
          </cell>
        </row>
        <row r="12300">
          <cell r="A12300">
            <v>51101803</v>
          </cell>
          <cell r="B12300" t="str">
            <v>Nitrato de butoconazol</v>
          </cell>
        </row>
        <row r="12301">
          <cell r="A12301">
            <v>51101804</v>
          </cell>
          <cell r="B12301" t="str">
            <v>Ciclopiroxolamina</v>
          </cell>
        </row>
        <row r="12302">
          <cell r="A12302">
            <v>51101805</v>
          </cell>
          <cell r="B12302" t="str">
            <v>Clotrimazol</v>
          </cell>
        </row>
        <row r="12303">
          <cell r="A12303">
            <v>51101806</v>
          </cell>
          <cell r="B12303" t="str">
            <v>Nitrato de econazol</v>
          </cell>
        </row>
        <row r="12304">
          <cell r="A12304">
            <v>51101807</v>
          </cell>
          <cell r="B12304" t="str">
            <v>Fluconazol</v>
          </cell>
        </row>
        <row r="12305">
          <cell r="A12305">
            <v>51101808</v>
          </cell>
          <cell r="B12305" t="str">
            <v>Flucitosina</v>
          </cell>
        </row>
        <row r="12306">
          <cell r="A12306">
            <v>51101809</v>
          </cell>
          <cell r="B12306" t="str">
            <v>Griseofulvina</v>
          </cell>
        </row>
        <row r="12307">
          <cell r="A12307">
            <v>51101810</v>
          </cell>
          <cell r="B12307" t="str">
            <v>Itraconazol</v>
          </cell>
        </row>
        <row r="12308">
          <cell r="A12308">
            <v>51101811</v>
          </cell>
          <cell r="B12308" t="str">
            <v>Ketoconazol</v>
          </cell>
        </row>
        <row r="12309">
          <cell r="A12309">
            <v>51101812</v>
          </cell>
          <cell r="B12309" t="str">
            <v>Miconazol</v>
          </cell>
        </row>
        <row r="12310">
          <cell r="A12310">
            <v>51101813</v>
          </cell>
          <cell r="B12310" t="str">
            <v>Clorhidrato de naftifina</v>
          </cell>
        </row>
        <row r="12311">
          <cell r="A12311">
            <v>51101814</v>
          </cell>
          <cell r="B12311" t="str">
            <v>Natamicina</v>
          </cell>
        </row>
        <row r="12312">
          <cell r="A12312">
            <v>51101815</v>
          </cell>
          <cell r="B12312" t="str">
            <v>Nistatina</v>
          </cell>
        </row>
        <row r="12313">
          <cell r="A12313">
            <v>51101816</v>
          </cell>
          <cell r="B12313" t="str">
            <v>Nitrato de oxiconazol</v>
          </cell>
        </row>
        <row r="12314">
          <cell r="A12314">
            <v>51101817</v>
          </cell>
          <cell r="B12314" t="str">
            <v>Nitrato de sulconazol</v>
          </cell>
        </row>
        <row r="12315">
          <cell r="A12315">
            <v>51101818</v>
          </cell>
          <cell r="B12315" t="str">
            <v>Clorhidrato de terbinafina</v>
          </cell>
        </row>
        <row r="12316">
          <cell r="A12316">
            <v>51101819</v>
          </cell>
          <cell r="B12316" t="str">
            <v>Nitrato de terconazol</v>
          </cell>
        </row>
        <row r="12317">
          <cell r="A12317">
            <v>51101820</v>
          </cell>
          <cell r="B12317" t="str">
            <v>Tioconazol</v>
          </cell>
        </row>
        <row r="12318">
          <cell r="A12318">
            <v>51101821</v>
          </cell>
          <cell r="B12318" t="str">
            <v>Tolnaftato</v>
          </cell>
        </row>
        <row r="12319">
          <cell r="A12319">
            <v>51101824</v>
          </cell>
          <cell r="B12319" t="str">
            <v>Ácido undecilénico</v>
          </cell>
        </row>
        <row r="12320">
          <cell r="A12320">
            <v>51101825</v>
          </cell>
          <cell r="B12320" t="str">
            <v>Ciclopirox</v>
          </cell>
        </row>
        <row r="12321">
          <cell r="A12321">
            <v>51101826</v>
          </cell>
          <cell r="B12321" t="str">
            <v>Sulfato de estreptomicina</v>
          </cell>
        </row>
        <row r="12322">
          <cell r="A12322">
            <v>51101827</v>
          </cell>
          <cell r="B12322" t="str">
            <v>Isoconazol</v>
          </cell>
        </row>
        <row r="12323">
          <cell r="A12323">
            <v>51101828</v>
          </cell>
          <cell r="B12323" t="str">
            <v>Terconazol</v>
          </cell>
        </row>
        <row r="12324">
          <cell r="A12324">
            <v>51101829</v>
          </cell>
          <cell r="B12324" t="str">
            <v>Undecilenato de calcio</v>
          </cell>
        </row>
        <row r="12325">
          <cell r="A12325">
            <v>51101830</v>
          </cell>
          <cell r="B12325" t="str">
            <v>Ácido octanoico</v>
          </cell>
        </row>
        <row r="12326">
          <cell r="A12326">
            <v>51101831</v>
          </cell>
          <cell r="B12326" t="str">
            <v>Triacetina</v>
          </cell>
        </row>
        <row r="12327">
          <cell r="A12327">
            <v>51101832</v>
          </cell>
          <cell r="B12327" t="str">
            <v>Voriconazol</v>
          </cell>
        </row>
        <row r="12328">
          <cell r="A12328">
            <v>51101834</v>
          </cell>
          <cell r="B12328" t="str">
            <v>Nitrato de miconazol</v>
          </cell>
        </row>
        <row r="12329">
          <cell r="A12329">
            <v>51101835</v>
          </cell>
          <cell r="B12329" t="str">
            <v>Acetato de caspofungina</v>
          </cell>
        </row>
        <row r="12330">
          <cell r="A12330">
            <v>51101836</v>
          </cell>
          <cell r="B12330" t="str">
            <v>Propionato de sodio</v>
          </cell>
        </row>
        <row r="12331">
          <cell r="A12331">
            <v>51101901</v>
          </cell>
          <cell r="B12331" t="str">
            <v>Aminoquinolinas</v>
          </cell>
        </row>
        <row r="12332">
          <cell r="A12332">
            <v>51101902</v>
          </cell>
          <cell r="B12332" t="str">
            <v>Clorhidrato de mefloquina</v>
          </cell>
        </row>
        <row r="12333">
          <cell r="A12333">
            <v>51101903</v>
          </cell>
          <cell r="B12333" t="str">
            <v>Fosfato de primaquina</v>
          </cell>
        </row>
        <row r="12334">
          <cell r="A12334">
            <v>51101904</v>
          </cell>
          <cell r="B12334" t="str">
            <v>Sulfato de quinina</v>
          </cell>
        </row>
        <row r="12335">
          <cell r="A12335">
            <v>51101905</v>
          </cell>
          <cell r="B12335" t="str">
            <v>Cloroquina</v>
          </cell>
        </row>
        <row r="12336">
          <cell r="A12336">
            <v>51101906</v>
          </cell>
          <cell r="B12336" t="str">
            <v>Proguanil</v>
          </cell>
        </row>
        <row r="12337">
          <cell r="A12337">
            <v>51101907</v>
          </cell>
          <cell r="B12337" t="str">
            <v>Pirimetamina</v>
          </cell>
        </row>
        <row r="12338">
          <cell r="A12338">
            <v>51101908</v>
          </cell>
          <cell r="B12338" t="str">
            <v>Artemeter</v>
          </cell>
        </row>
        <row r="12339">
          <cell r="A12339">
            <v>51101909</v>
          </cell>
          <cell r="B12339" t="str">
            <v>Clorhidrato de cloroquina</v>
          </cell>
        </row>
        <row r="12340">
          <cell r="A12340">
            <v>51101910</v>
          </cell>
          <cell r="B12340" t="str">
            <v>Fosfato de cloroquina</v>
          </cell>
        </row>
        <row r="12341">
          <cell r="A12341">
            <v>51101911</v>
          </cell>
          <cell r="B12341" t="str">
            <v>Clorhidrato de halofantrina</v>
          </cell>
        </row>
        <row r="12342">
          <cell r="A12342">
            <v>51101912</v>
          </cell>
          <cell r="B12342" t="str">
            <v>Sulfato de hidroxicloroquina</v>
          </cell>
        </row>
        <row r="12343">
          <cell r="A12343">
            <v>51102001</v>
          </cell>
          <cell r="B12343" t="str">
            <v>Cicloserina</v>
          </cell>
        </row>
        <row r="12344">
          <cell r="A12344">
            <v>51102002</v>
          </cell>
          <cell r="B12344" t="str">
            <v>Clorhidrato de etambutol</v>
          </cell>
        </row>
        <row r="12345">
          <cell r="A12345">
            <v>51102003</v>
          </cell>
          <cell r="B12345" t="str">
            <v>Isoniazida</v>
          </cell>
        </row>
        <row r="12346">
          <cell r="A12346">
            <v>51102004</v>
          </cell>
          <cell r="B12346" t="str">
            <v>Rifubutina</v>
          </cell>
        </row>
        <row r="12347">
          <cell r="A12347">
            <v>51102005</v>
          </cell>
          <cell r="B12347" t="str">
            <v>Rifampicina</v>
          </cell>
        </row>
        <row r="12348">
          <cell r="A12348">
            <v>51102006</v>
          </cell>
          <cell r="B12348" t="str">
            <v>Guayacol</v>
          </cell>
        </row>
        <row r="12349">
          <cell r="A12349">
            <v>51102007</v>
          </cell>
          <cell r="B12349" t="str">
            <v>Tiacetazona</v>
          </cell>
        </row>
        <row r="12350">
          <cell r="A12350">
            <v>51102008</v>
          </cell>
          <cell r="B12350" t="str">
            <v>Pirazinamida</v>
          </cell>
        </row>
        <row r="12351">
          <cell r="A12351">
            <v>51102009</v>
          </cell>
          <cell r="B12351" t="str">
            <v>Sulfato de capreomicina</v>
          </cell>
        </row>
        <row r="12352">
          <cell r="A12352">
            <v>51102101</v>
          </cell>
          <cell r="B12352" t="str">
            <v>Clofazimina</v>
          </cell>
        </row>
        <row r="12353">
          <cell r="A12353">
            <v>51102102</v>
          </cell>
          <cell r="B12353" t="str">
            <v>Dapsona</v>
          </cell>
        </row>
        <row r="12354">
          <cell r="A12354">
            <v>51102201</v>
          </cell>
          <cell r="B12354" t="str">
            <v>Cinoxacina</v>
          </cell>
        </row>
        <row r="12355">
          <cell r="A12355">
            <v>51102202</v>
          </cell>
          <cell r="B12355" t="str">
            <v>Clorhidrato de flavoxato</v>
          </cell>
        </row>
        <row r="12356">
          <cell r="A12356">
            <v>51102203</v>
          </cell>
          <cell r="B12356" t="str">
            <v>Hipurato de metenamina</v>
          </cell>
        </row>
        <row r="12357">
          <cell r="A12357">
            <v>51102204</v>
          </cell>
          <cell r="B12357" t="str">
            <v>Mandelato de metenamina</v>
          </cell>
        </row>
        <row r="12358">
          <cell r="A12358">
            <v>51102205</v>
          </cell>
          <cell r="B12358" t="str">
            <v>Ácido nalidíxico</v>
          </cell>
        </row>
        <row r="12359">
          <cell r="A12359">
            <v>51102206</v>
          </cell>
          <cell r="B12359" t="str">
            <v>Nitrofurantoina</v>
          </cell>
        </row>
        <row r="12360">
          <cell r="A12360">
            <v>51102207</v>
          </cell>
          <cell r="B12360" t="str">
            <v>Cloruro de oxibutinina</v>
          </cell>
        </row>
        <row r="12361">
          <cell r="A12361">
            <v>51102208</v>
          </cell>
          <cell r="B12361" t="str">
            <v>Pentosano polisulfato sódico</v>
          </cell>
        </row>
        <row r="12362">
          <cell r="A12362">
            <v>51102209</v>
          </cell>
          <cell r="B12362" t="str">
            <v>Clorhidrato de fenazopiridina</v>
          </cell>
        </row>
        <row r="12363">
          <cell r="A12363">
            <v>51102211</v>
          </cell>
          <cell r="B12363" t="str">
            <v>Alfuzosina hidrocloruro</v>
          </cell>
        </row>
        <row r="12364">
          <cell r="A12364">
            <v>51102212</v>
          </cell>
          <cell r="B12364" t="str">
            <v>Ácido acetohidroxámico</v>
          </cell>
        </row>
        <row r="12365">
          <cell r="A12365">
            <v>51102213</v>
          </cell>
          <cell r="B12365" t="str">
            <v>Sulfato  de cefpiroma</v>
          </cell>
        </row>
        <row r="12366">
          <cell r="A12366">
            <v>51102301</v>
          </cell>
          <cell r="B12366" t="str">
            <v>Aciclovir</v>
          </cell>
        </row>
        <row r="12367">
          <cell r="A12367">
            <v>51102302</v>
          </cell>
          <cell r="B12367" t="str">
            <v>Clorhidrato de amantadina</v>
          </cell>
        </row>
        <row r="12368">
          <cell r="A12368">
            <v>51102304</v>
          </cell>
          <cell r="B12368" t="str">
            <v>Didanosina</v>
          </cell>
        </row>
        <row r="12369">
          <cell r="A12369">
            <v>51102305</v>
          </cell>
          <cell r="B12369" t="str">
            <v>Famciclovir</v>
          </cell>
        </row>
        <row r="12370">
          <cell r="A12370">
            <v>51102306</v>
          </cell>
          <cell r="B12370" t="str">
            <v>Foscarnet sódico</v>
          </cell>
        </row>
        <row r="12371">
          <cell r="A12371">
            <v>51102307</v>
          </cell>
          <cell r="B12371" t="str">
            <v>Ganciclovir sódico</v>
          </cell>
        </row>
        <row r="12372">
          <cell r="A12372">
            <v>51102308</v>
          </cell>
          <cell r="B12372" t="str">
            <v>Idoxuridina</v>
          </cell>
        </row>
        <row r="12373">
          <cell r="A12373">
            <v>51102309</v>
          </cell>
          <cell r="B12373" t="str">
            <v>Sulfato de indinavir</v>
          </cell>
        </row>
        <row r="12374">
          <cell r="A12374">
            <v>51102310</v>
          </cell>
          <cell r="B12374" t="str">
            <v>Lamivudina</v>
          </cell>
        </row>
        <row r="12375">
          <cell r="A12375">
            <v>51102311</v>
          </cell>
          <cell r="B12375" t="str">
            <v>Nevirapina</v>
          </cell>
        </row>
        <row r="12376">
          <cell r="A12376">
            <v>51102312</v>
          </cell>
          <cell r="B12376" t="str">
            <v>Ribavirina</v>
          </cell>
        </row>
        <row r="12377">
          <cell r="A12377">
            <v>51102313</v>
          </cell>
          <cell r="B12377" t="str">
            <v>Clorhidrato de rimantadina</v>
          </cell>
        </row>
        <row r="12378">
          <cell r="A12378">
            <v>51102314</v>
          </cell>
          <cell r="B12378" t="str">
            <v>Ritonavir</v>
          </cell>
        </row>
        <row r="12379">
          <cell r="A12379">
            <v>51102315</v>
          </cell>
          <cell r="B12379" t="str">
            <v>Mesilato de saquinavir</v>
          </cell>
        </row>
        <row r="12380">
          <cell r="A12380">
            <v>51102316</v>
          </cell>
          <cell r="B12380" t="str">
            <v>Estavidina</v>
          </cell>
        </row>
        <row r="12381">
          <cell r="A12381">
            <v>51102317</v>
          </cell>
          <cell r="B12381" t="str">
            <v>Trifluradina</v>
          </cell>
        </row>
        <row r="12382">
          <cell r="A12382">
            <v>51102318</v>
          </cell>
          <cell r="B12382" t="str">
            <v>Clorhidrato de valaciclovir</v>
          </cell>
        </row>
        <row r="12383">
          <cell r="A12383">
            <v>51102319</v>
          </cell>
          <cell r="B12383" t="str">
            <v>Vidarabina</v>
          </cell>
        </row>
        <row r="12384">
          <cell r="A12384">
            <v>51102320</v>
          </cell>
          <cell r="B12384" t="str">
            <v>Zalcitabina</v>
          </cell>
        </row>
        <row r="12385">
          <cell r="A12385">
            <v>51102321</v>
          </cell>
          <cell r="B12385" t="str">
            <v>Zidovudina</v>
          </cell>
        </row>
        <row r="12386">
          <cell r="A12386">
            <v>51102322</v>
          </cell>
          <cell r="B12386" t="str">
            <v>Sulfato de abacavir</v>
          </cell>
        </row>
        <row r="12387">
          <cell r="A12387">
            <v>51102323</v>
          </cell>
          <cell r="B12387" t="str">
            <v>Cidofovir</v>
          </cell>
        </row>
        <row r="12388">
          <cell r="A12388">
            <v>51102324</v>
          </cell>
          <cell r="B12388" t="str">
            <v>Mesilato de delavirdina</v>
          </cell>
        </row>
        <row r="12389">
          <cell r="A12389">
            <v>51102325</v>
          </cell>
          <cell r="B12389" t="str">
            <v>Docosanol</v>
          </cell>
        </row>
        <row r="12390">
          <cell r="A12390">
            <v>51102326</v>
          </cell>
          <cell r="B12390" t="str">
            <v>Efavirenz</v>
          </cell>
        </row>
        <row r="12391">
          <cell r="A12391">
            <v>51102327</v>
          </cell>
          <cell r="B12391" t="str">
            <v>Amprenavir</v>
          </cell>
        </row>
        <row r="12392">
          <cell r="A12392">
            <v>51102328</v>
          </cell>
          <cell r="B12392" t="str">
            <v>Fomivirsen sódico</v>
          </cell>
        </row>
        <row r="12393">
          <cell r="A12393">
            <v>51102329</v>
          </cell>
          <cell r="B12393" t="str">
            <v>Mesilato de nelfinavir</v>
          </cell>
        </row>
        <row r="12394">
          <cell r="A12394">
            <v>51102330</v>
          </cell>
          <cell r="B12394" t="str">
            <v>Penciclovir</v>
          </cell>
        </row>
        <row r="12395">
          <cell r="A12395">
            <v>51102331</v>
          </cell>
          <cell r="B12395" t="str">
            <v>Saquinavir</v>
          </cell>
        </row>
        <row r="12396">
          <cell r="A12396">
            <v>51102332</v>
          </cell>
          <cell r="B12396" t="str">
            <v>Fumarato de disoproxilo tenofovir</v>
          </cell>
        </row>
        <row r="12397">
          <cell r="A12397">
            <v>51102333</v>
          </cell>
          <cell r="B12397" t="str">
            <v>Hidrocloruro de valganciclovir</v>
          </cell>
        </row>
        <row r="12398">
          <cell r="A12398">
            <v>51102334</v>
          </cell>
          <cell r="B12398" t="str">
            <v>Zanamivir</v>
          </cell>
        </row>
        <row r="12399">
          <cell r="A12399">
            <v>51102335</v>
          </cell>
          <cell r="B12399" t="str">
            <v>Sodio de aciclovir</v>
          </cell>
        </row>
        <row r="12400">
          <cell r="A12400">
            <v>51102336</v>
          </cell>
          <cell r="B12400" t="str">
            <v>Moroxidina</v>
          </cell>
        </row>
        <row r="12401">
          <cell r="A12401">
            <v>51102402</v>
          </cell>
          <cell r="B12401" t="str">
            <v>Hipromelosa</v>
          </cell>
        </row>
        <row r="12402">
          <cell r="A12402">
            <v>51102501</v>
          </cell>
          <cell r="B12402" t="str">
            <v>Naftenato de cobre</v>
          </cell>
        </row>
        <row r="12403">
          <cell r="A12403">
            <v>51102502</v>
          </cell>
          <cell r="B12403" t="str">
            <v>Toltrazuril</v>
          </cell>
        </row>
        <row r="12404">
          <cell r="A12404">
            <v>51102503</v>
          </cell>
          <cell r="B12404" t="str">
            <v>Flumetrina</v>
          </cell>
        </row>
        <row r="12405">
          <cell r="A12405">
            <v>51102505</v>
          </cell>
          <cell r="B12405" t="str">
            <v>Triclorfon</v>
          </cell>
        </row>
        <row r="12406">
          <cell r="A12406">
            <v>51102506</v>
          </cell>
          <cell r="B12406" t="str">
            <v>Oxfendazol</v>
          </cell>
        </row>
        <row r="12407">
          <cell r="A12407">
            <v>51102507</v>
          </cell>
          <cell r="B12407" t="str">
            <v>Clorhidrato de piperidolato</v>
          </cell>
        </row>
        <row r="12408">
          <cell r="A12408">
            <v>51102601</v>
          </cell>
          <cell r="B12408" t="str">
            <v>Enrofloxacina</v>
          </cell>
        </row>
        <row r="12409">
          <cell r="A12409">
            <v>51102701</v>
          </cell>
          <cell r="B12409" t="str">
            <v>Clofoctol</v>
          </cell>
        </row>
        <row r="12410">
          <cell r="A12410">
            <v>51102702</v>
          </cell>
          <cell r="B12410" t="str">
            <v>Agua estéril para irrigación</v>
          </cell>
        </row>
        <row r="12411">
          <cell r="A12411">
            <v>51102705</v>
          </cell>
          <cell r="B12411" t="str">
            <v>Cetrimida</v>
          </cell>
        </row>
        <row r="12412">
          <cell r="A12412">
            <v>51102706</v>
          </cell>
          <cell r="B12412" t="str">
            <v>Ácido acético  antiséptico</v>
          </cell>
        </row>
        <row r="12413">
          <cell r="A12413">
            <v>51102707</v>
          </cell>
          <cell r="B12413" t="str">
            <v>Gluconato de clorhexidina</v>
          </cell>
        </row>
        <row r="12414">
          <cell r="A12414">
            <v>51102708</v>
          </cell>
          <cell r="B12414" t="str">
            <v>Formaldehído antiséptico</v>
          </cell>
        </row>
        <row r="12415">
          <cell r="A12415">
            <v>51102709</v>
          </cell>
          <cell r="B12415" t="str">
            <v>Peróxido de hidrógeno antiséptico</v>
          </cell>
        </row>
        <row r="12416">
          <cell r="A12416">
            <v>51102710</v>
          </cell>
          <cell r="B12416" t="str">
            <v>Antisépticos basados en alcohol o acetona</v>
          </cell>
        </row>
        <row r="12417">
          <cell r="A12417">
            <v>51102711</v>
          </cell>
          <cell r="B12417" t="str">
            <v>Oxiquinolina</v>
          </cell>
        </row>
        <row r="12418">
          <cell r="A12418">
            <v>51102712</v>
          </cell>
          <cell r="B12418" t="str">
            <v>Antisépticos fenólicos</v>
          </cell>
        </row>
        <row r="12419">
          <cell r="A12419">
            <v>51102713</v>
          </cell>
          <cell r="B12419" t="str">
            <v>Povidona yodada</v>
          </cell>
        </row>
        <row r="12420">
          <cell r="A12420">
            <v>51102714</v>
          </cell>
          <cell r="B12420" t="str">
            <v>Solución de cloruro sódico para irrigación</v>
          </cell>
        </row>
        <row r="12421">
          <cell r="A12421">
            <v>51102715</v>
          </cell>
          <cell r="B12421" t="str">
            <v>Clioquinol</v>
          </cell>
        </row>
        <row r="12422">
          <cell r="A12422">
            <v>51102717</v>
          </cell>
          <cell r="B12422" t="str">
            <v>Nitrofurazona</v>
          </cell>
        </row>
        <row r="12423">
          <cell r="A12423">
            <v>51102718</v>
          </cell>
          <cell r="B12423" t="str">
            <v>Nitrato de plata</v>
          </cell>
        </row>
        <row r="12424">
          <cell r="A12424">
            <v>51102719</v>
          </cell>
          <cell r="B12424" t="str">
            <v>Yodoformo</v>
          </cell>
        </row>
        <row r="12425">
          <cell r="A12425">
            <v>51102720</v>
          </cell>
          <cell r="B12425" t="str">
            <v>Cloroxilenol</v>
          </cell>
        </row>
        <row r="12426">
          <cell r="A12426">
            <v>51102721</v>
          </cell>
          <cell r="B12426" t="str">
            <v>Ictamol</v>
          </cell>
        </row>
        <row r="12427">
          <cell r="A12427">
            <v>51102722</v>
          </cell>
          <cell r="B12427" t="str">
            <v>Geles o soluciones tópicas de yodo</v>
          </cell>
        </row>
        <row r="12428">
          <cell r="A12428">
            <v>51102723</v>
          </cell>
          <cell r="B12428" t="str">
            <v>Merbromina</v>
          </cell>
        </row>
        <row r="12429">
          <cell r="A12429">
            <v>51102724</v>
          </cell>
          <cell r="B12429" t="str">
            <v>Cloruro de benzalconio</v>
          </cell>
        </row>
        <row r="12430">
          <cell r="A12430">
            <v>51102725</v>
          </cell>
          <cell r="B12430" t="str">
            <v>Hexilresorcinol</v>
          </cell>
        </row>
        <row r="12431">
          <cell r="A12431">
            <v>51102726</v>
          </cell>
          <cell r="B12431" t="str">
            <v>Peróxido de carbamida</v>
          </cell>
        </row>
        <row r="12432">
          <cell r="A12432">
            <v>51102727</v>
          </cell>
          <cell r="B12432" t="str">
            <v>Yoduro de timol</v>
          </cell>
        </row>
        <row r="12433">
          <cell r="A12433">
            <v>51102728</v>
          </cell>
          <cell r="B12433" t="str">
            <v>Perborato sódico</v>
          </cell>
        </row>
        <row r="12434">
          <cell r="A12434">
            <v>51102729</v>
          </cell>
          <cell r="B12434" t="str">
            <v>Cloruro de cetilpiridinio</v>
          </cell>
        </row>
        <row r="12435">
          <cell r="A12435">
            <v>51102730</v>
          </cell>
          <cell r="B12435" t="str">
            <v>Isetionato de hexamidina</v>
          </cell>
        </row>
        <row r="12436">
          <cell r="A12436">
            <v>51111501</v>
          </cell>
          <cell r="B12436" t="str">
            <v>Amifostina</v>
          </cell>
        </row>
        <row r="12437">
          <cell r="A12437">
            <v>51111502</v>
          </cell>
          <cell r="B12437" t="str">
            <v>Busulfán</v>
          </cell>
        </row>
        <row r="12438">
          <cell r="A12438">
            <v>51111503</v>
          </cell>
          <cell r="B12438" t="str">
            <v>Carboplatino</v>
          </cell>
        </row>
        <row r="12439">
          <cell r="A12439">
            <v>51111504</v>
          </cell>
          <cell r="B12439" t="str">
            <v>Carmustina</v>
          </cell>
        </row>
        <row r="12440">
          <cell r="A12440">
            <v>51111505</v>
          </cell>
          <cell r="B12440" t="str">
            <v>Clorambucil</v>
          </cell>
        </row>
        <row r="12441">
          <cell r="A12441">
            <v>51111506</v>
          </cell>
          <cell r="B12441" t="str">
            <v>Cisplatino</v>
          </cell>
        </row>
        <row r="12442">
          <cell r="A12442">
            <v>51111507</v>
          </cell>
          <cell r="B12442" t="str">
            <v>Ciclofosfamida</v>
          </cell>
        </row>
        <row r="12443">
          <cell r="A12443">
            <v>51111508</v>
          </cell>
          <cell r="B12443" t="str">
            <v>Dacarbazina</v>
          </cell>
        </row>
        <row r="12444">
          <cell r="A12444">
            <v>51111509</v>
          </cell>
          <cell r="B12444" t="str">
            <v>Ifosfamida</v>
          </cell>
        </row>
        <row r="12445">
          <cell r="A12445">
            <v>51111510</v>
          </cell>
          <cell r="B12445" t="str">
            <v>Lomustina</v>
          </cell>
        </row>
        <row r="12446">
          <cell r="A12446">
            <v>51111511</v>
          </cell>
          <cell r="B12446" t="str">
            <v>Clorhidrato de mecloretamina</v>
          </cell>
        </row>
        <row r="12447">
          <cell r="A12447">
            <v>51111512</v>
          </cell>
          <cell r="B12447" t="str">
            <v>Melfalán</v>
          </cell>
        </row>
        <row r="12448">
          <cell r="A12448">
            <v>51111513</v>
          </cell>
          <cell r="B12448" t="str">
            <v>Mesna</v>
          </cell>
        </row>
        <row r="12449">
          <cell r="A12449">
            <v>51111514</v>
          </cell>
          <cell r="B12449" t="str">
            <v>Pipobroman</v>
          </cell>
        </row>
        <row r="12450">
          <cell r="A12450">
            <v>51111515</v>
          </cell>
          <cell r="B12450" t="str">
            <v>Estreptozocina</v>
          </cell>
        </row>
        <row r="12451">
          <cell r="A12451">
            <v>51111516</v>
          </cell>
          <cell r="B12451" t="str">
            <v>Tiotepa</v>
          </cell>
        </row>
        <row r="12452">
          <cell r="A12452">
            <v>51111517</v>
          </cell>
          <cell r="B12452" t="str">
            <v>Mostaza de uracilo</v>
          </cell>
        </row>
        <row r="12453">
          <cell r="A12453">
            <v>51111518</v>
          </cell>
          <cell r="B12453" t="str">
            <v>Clorhidrato de melfalan</v>
          </cell>
        </row>
        <row r="12454">
          <cell r="A12454">
            <v>51111519</v>
          </cell>
          <cell r="B12454" t="str">
            <v>Temozolomida</v>
          </cell>
        </row>
        <row r="12455">
          <cell r="A12455">
            <v>51111520</v>
          </cell>
          <cell r="B12455" t="str">
            <v>Clorhidrato de procarbazina</v>
          </cell>
        </row>
        <row r="12456">
          <cell r="A12456">
            <v>51111521</v>
          </cell>
          <cell r="B12456" t="str">
            <v>Altretamina</v>
          </cell>
        </row>
        <row r="12457">
          <cell r="A12457">
            <v>51111601</v>
          </cell>
          <cell r="B12457" t="str">
            <v>Cladribina</v>
          </cell>
        </row>
        <row r="12458">
          <cell r="A12458">
            <v>51111602</v>
          </cell>
          <cell r="B12458" t="str">
            <v>Citarabina</v>
          </cell>
        </row>
        <row r="12459">
          <cell r="A12459">
            <v>51111603</v>
          </cell>
          <cell r="B12459" t="str">
            <v>Floxuridina</v>
          </cell>
        </row>
        <row r="12460">
          <cell r="A12460">
            <v>51111604</v>
          </cell>
          <cell r="B12460" t="str">
            <v>Fosfato de fludarabina</v>
          </cell>
        </row>
        <row r="12461">
          <cell r="A12461">
            <v>51111605</v>
          </cell>
          <cell r="B12461" t="str">
            <v>Fluorouracilo</v>
          </cell>
        </row>
        <row r="12462">
          <cell r="A12462">
            <v>51111606</v>
          </cell>
          <cell r="B12462" t="str">
            <v>Hidroxiurea</v>
          </cell>
        </row>
        <row r="12463">
          <cell r="A12463">
            <v>51111609</v>
          </cell>
          <cell r="B12463" t="str">
            <v>Mercaptopurina</v>
          </cell>
        </row>
        <row r="12464">
          <cell r="A12464">
            <v>51111610</v>
          </cell>
          <cell r="B12464" t="str">
            <v>Metotrexato</v>
          </cell>
        </row>
        <row r="12465">
          <cell r="A12465">
            <v>51111611</v>
          </cell>
          <cell r="B12465" t="str">
            <v>Tenipósido</v>
          </cell>
        </row>
        <row r="12466">
          <cell r="A12466">
            <v>51111612</v>
          </cell>
          <cell r="B12466" t="str">
            <v>Tioguanina</v>
          </cell>
        </row>
        <row r="12467">
          <cell r="A12467">
            <v>51111613</v>
          </cell>
          <cell r="B12467" t="str">
            <v>Lenograstim</v>
          </cell>
        </row>
        <row r="12468">
          <cell r="A12468">
            <v>51111614</v>
          </cell>
          <cell r="B12468" t="str">
            <v>Etopósido</v>
          </cell>
        </row>
        <row r="12469">
          <cell r="A12469">
            <v>51111615</v>
          </cell>
          <cell r="B12469" t="str">
            <v>Glutatión</v>
          </cell>
        </row>
        <row r="12470">
          <cell r="A12470">
            <v>51111616</v>
          </cell>
          <cell r="B12470" t="str">
            <v>Capecitabina</v>
          </cell>
        </row>
        <row r="12471">
          <cell r="A12471">
            <v>51111617</v>
          </cell>
          <cell r="B12471" t="str">
            <v>Clorhidrato de gemcitabina</v>
          </cell>
        </row>
        <row r="12472">
          <cell r="A12472">
            <v>51111618</v>
          </cell>
          <cell r="B12472" t="str">
            <v>Metotrexato de sodio</v>
          </cell>
        </row>
        <row r="12473">
          <cell r="A12473">
            <v>51111701</v>
          </cell>
          <cell r="B12473" t="str">
            <v>Sulfato de bleomicina</v>
          </cell>
        </row>
        <row r="12474">
          <cell r="A12474">
            <v>51111702</v>
          </cell>
          <cell r="B12474" t="str">
            <v>Dactinomicina</v>
          </cell>
        </row>
        <row r="12475">
          <cell r="A12475">
            <v>51111703</v>
          </cell>
          <cell r="B12475" t="str">
            <v>Daunorubicinas</v>
          </cell>
        </row>
        <row r="12476">
          <cell r="A12476">
            <v>51111704</v>
          </cell>
          <cell r="B12476" t="str">
            <v>Mitomicina</v>
          </cell>
        </row>
        <row r="12477">
          <cell r="A12477">
            <v>51111705</v>
          </cell>
          <cell r="B12477" t="str">
            <v>Mitotano</v>
          </cell>
        </row>
        <row r="12478">
          <cell r="A12478">
            <v>51111706</v>
          </cell>
          <cell r="B12478" t="str">
            <v>Clorhidrato de mitoxantrona</v>
          </cell>
        </row>
        <row r="12479">
          <cell r="A12479">
            <v>51111707</v>
          </cell>
          <cell r="B12479" t="str">
            <v>Pentostatina</v>
          </cell>
        </row>
        <row r="12480">
          <cell r="A12480">
            <v>51111708</v>
          </cell>
          <cell r="B12480" t="str">
            <v>Plicamicina</v>
          </cell>
        </row>
        <row r="12481">
          <cell r="A12481">
            <v>51111709</v>
          </cell>
          <cell r="B12481" t="str">
            <v>Sulfato de vincristina</v>
          </cell>
        </row>
        <row r="12482">
          <cell r="A12482">
            <v>51111710</v>
          </cell>
          <cell r="B12482" t="str">
            <v>Epirubicina</v>
          </cell>
        </row>
        <row r="12483">
          <cell r="A12483">
            <v>51111711</v>
          </cell>
          <cell r="B12483" t="str">
            <v>Clorhidrato de doxorubicina</v>
          </cell>
        </row>
        <row r="12484">
          <cell r="A12484">
            <v>51111712</v>
          </cell>
          <cell r="B12484" t="str">
            <v>Pirarubicina</v>
          </cell>
        </row>
        <row r="12485">
          <cell r="A12485">
            <v>51111713</v>
          </cell>
          <cell r="B12485" t="str">
            <v>Alemtuzumab</v>
          </cell>
        </row>
        <row r="12486">
          <cell r="A12486">
            <v>51111714</v>
          </cell>
          <cell r="B12486" t="str">
            <v>Clorhidrato de doxorrubicina liposomal</v>
          </cell>
        </row>
        <row r="12487">
          <cell r="A12487">
            <v>51111715</v>
          </cell>
          <cell r="B12487" t="str">
            <v>Epirubicina hidrocloruro</v>
          </cell>
        </row>
        <row r="12488">
          <cell r="A12488">
            <v>51111716</v>
          </cell>
          <cell r="B12488" t="str">
            <v>Rituximab</v>
          </cell>
        </row>
        <row r="12489">
          <cell r="A12489">
            <v>51111717</v>
          </cell>
          <cell r="B12489" t="str">
            <v>Trastuzumab</v>
          </cell>
        </row>
        <row r="12490">
          <cell r="A12490">
            <v>51111718</v>
          </cell>
          <cell r="B12490" t="str">
            <v>Valrubicina</v>
          </cell>
        </row>
        <row r="12491">
          <cell r="A12491">
            <v>51111719</v>
          </cell>
          <cell r="B12491" t="str">
            <v>Clorhidrato de idarrubicina</v>
          </cell>
        </row>
        <row r="12492">
          <cell r="A12492">
            <v>51111801</v>
          </cell>
          <cell r="B12492" t="str">
            <v>Anastrozol</v>
          </cell>
        </row>
        <row r="12493">
          <cell r="A12493">
            <v>51111802</v>
          </cell>
          <cell r="B12493" t="str">
            <v>Bicalutamida</v>
          </cell>
        </row>
        <row r="12494">
          <cell r="A12494">
            <v>51111803</v>
          </cell>
          <cell r="B12494" t="str">
            <v>Fosfato sódico de estramustina</v>
          </cell>
        </row>
        <row r="12495">
          <cell r="A12495">
            <v>51111804</v>
          </cell>
          <cell r="B12495" t="str">
            <v>Flutamida</v>
          </cell>
        </row>
        <row r="12496">
          <cell r="A12496">
            <v>51111805</v>
          </cell>
          <cell r="B12496" t="str">
            <v>Acetato de goserelina</v>
          </cell>
        </row>
        <row r="12497">
          <cell r="A12497">
            <v>51111806</v>
          </cell>
          <cell r="B12497" t="str">
            <v>Clorhidrato de irinotecan</v>
          </cell>
        </row>
        <row r="12498">
          <cell r="A12498">
            <v>51111807</v>
          </cell>
          <cell r="B12498" t="str">
            <v>Acetato de leuprolide</v>
          </cell>
        </row>
        <row r="12499">
          <cell r="A12499">
            <v>51111808</v>
          </cell>
          <cell r="B12499" t="str">
            <v>Nilutamida</v>
          </cell>
        </row>
        <row r="12500">
          <cell r="A12500">
            <v>51111809</v>
          </cell>
          <cell r="B12500" t="str">
            <v>Tamoxifeno</v>
          </cell>
        </row>
        <row r="12501">
          <cell r="A12501">
            <v>51111810</v>
          </cell>
          <cell r="B12501" t="str">
            <v>Testolactona</v>
          </cell>
        </row>
        <row r="12502">
          <cell r="A12502">
            <v>51111811</v>
          </cell>
          <cell r="B12502" t="str">
            <v>Clorhidrato de topotecan</v>
          </cell>
        </row>
        <row r="12503">
          <cell r="A12503">
            <v>51111812</v>
          </cell>
          <cell r="B12503" t="str">
            <v>Sulfato de vinblastina</v>
          </cell>
        </row>
        <row r="12504">
          <cell r="A12504">
            <v>51111813</v>
          </cell>
          <cell r="B12504" t="str">
            <v>Sulfato de vincristina</v>
          </cell>
        </row>
        <row r="12505">
          <cell r="A12505">
            <v>51111814</v>
          </cell>
          <cell r="B12505" t="str">
            <v>Tartrato de vinorelbina</v>
          </cell>
        </row>
        <row r="12506">
          <cell r="A12506">
            <v>51111815</v>
          </cell>
          <cell r="B12506" t="str">
            <v>Triptorelina</v>
          </cell>
        </row>
        <row r="12507">
          <cell r="A12507">
            <v>51111816</v>
          </cell>
          <cell r="B12507" t="str">
            <v>Buserelina</v>
          </cell>
        </row>
        <row r="12508">
          <cell r="A12508">
            <v>51111817</v>
          </cell>
          <cell r="B12508" t="str">
            <v>Citrato de toremifeno</v>
          </cell>
        </row>
        <row r="12509">
          <cell r="A12509">
            <v>51111818</v>
          </cell>
          <cell r="B12509" t="str">
            <v>Pamoato de triptorelina</v>
          </cell>
        </row>
        <row r="12510">
          <cell r="A12510">
            <v>51111819</v>
          </cell>
          <cell r="B12510" t="str">
            <v>Fulvestrant</v>
          </cell>
        </row>
        <row r="12511">
          <cell r="A12511">
            <v>51111820</v>
          </cell>
          <cell r="B12511" t="str">
            <v>Letrozol</v>
          </cell>
        </row>
        <row r="12512">
          <cell r="A12512">
            <v>51111821</v>
          </cell>
          <cell r="B12512" t="str">
            <v>Citrato de tamoxifeno</v>
          </cell>
        </row>
        <row r="12513">
          <cell r="A12513">
            <v>51111901</v>
          </cell>
          <cell r="B12513" t="str">
            <v>Asparaginasa</v>
          </cell>
        </row>
        <row r="12514">
          <cell r="A12514">
            <v>51111902</v>
          </cell>
          <cell r="B12514" t="str">
            <v>Docetaxel</v>
          </cell>
        </row>
        <row r="12515">
          <cell r="A12515">
            <v>51111904</v>
          </cell>
          <cell r="B12515" t="str">
            <v>Paclitaxel</v>
          </cell>
        </row>
        <row r="12516">
          <cell r="A12516">
            <v>51111905</v>
          </cell>
          <cell r="B12516" t="str">
            <v>Porfímero sódico</v>
          </cell>
        </row>
        <row r="12517">
          <cell r="A12517">
            <v>51111906</v>
          </cell>
          <cell r="B12517" t="str">
            <v>Pegaspargasa</v>
          </cell>
        </row>
        <row r="12518">
          <cell r="A12518">
            <v>51111907</v>
          </cell>
          <cell r="B12518" t="str">
            <v>Fenilbutirato de sodio</v>
          </cell>
        </row>
        <row r="12519">
          <cell r="A12519">
            <v>51121501</v>
          </cell>
          <cell r="B12519" t="str">
            <v>Adenosina</v>
          </cell>
        </row>
        <row r="12520">
          <cell r="A12520">
            <v>51121502</v>
          </cell>
          <cell r="B12520" t="str">
            <v>Digoxina</v>
          </cell>
        </row>
        <row r="12521">
          <cell r="A12521">
            <v>51121503</v>
          </cell>
          <cell r="B12521" t="str">
            <v>Gluconato de quinidina</v>
          </cell>
        </row>
        <row r="12522">
          <cell r="A12522">
            <v>51121504</v>
          </cell>
          <cell r="B12522" t="str">
            <v>Flecainida</v>
          </cell>
        </row>
        <row r="12523">
          <cell r="A12523">
            <v>51121506</v>
          </cell>
          <cell r="B12523" t="str">
            <v>Clorhidrato de sotalol</v>
          </cell>
        </row>
        <row r="12524">
          <cell r="A12524">
            <v>51121507</v>
          </cell>
          <cell r="B12524" t="str">
            <v>Clorhidrato de hidroquinidina</v>
          </cell>
        </row>
        <row r="12525">
          <cell r="A12525">
            <v>51121509</v>
          </cell>
          <cell r="B12525" t="str">
            <v>Propafenona</v>
          </cell>
        </row>
        <row r="12526">
          <cell r="A12526">
            <v>51121510</v>
          </cell>
          <cell r="B12526" t="str">
            <v>Disopiramida</v>
          </cell>
        </row>
        <row r="12527">
          <cell r="A12527">
            <v>51121511</v>
          </cell>
          <cell r="B12527" t="str">
            <v>Clorhidrato de amiodarona</v>
          </cell>
        </row>
        <row r="12528">
          <cell r="A12528">
            <v>51121512</v>
          </cell>
          <cell r="B12528" t="str">
            <v>Tosilato de bretilio</v>
          </cell>
        </row>
        <row r="12529">
          <cell r="A12529">
            <v>51121513</v>
          </cell>
          <cell r="B12529" t="str">
            <v>Fosfato de disopiramida</v>
          </cell>
        </row>
        <row r="12530">
          <cell r="A12530">
            <v>51121514</v>
          </cell>
          <cell r="B12530" t="str">
            <v>Dofetilida</v>
          </cell>
        </row>
        <row r="12531">
          <cell r="A12531">
            <v>51121515</v>
          </cell>
          <cell r="B12531" t="str">
            <v>Acetato de flecainida</v>
          </cell>
        </row>
        <row r="12532">
          <cell r="A12532">
            <v>51121516</v>
          </cell>
          <cell r="B12532" t="str">
            <v>Ibutilida fumarato</v>
          </cell>
        </row>
        <row r="12533">
          <cell r="A12533">
            <v>51121517</v>
          </cell>
          <cell r="B12533" t="str">
            <v>Clorhidrato de mexiletina</v>
          </cell>
        </row>
        <row r="12534">
          <cell r="A12534">
            <v>51121518</v>
          </cell>
          <cell r="B12534" t="str">
            <v>Clorhidrato de moricizina</v>
          </cell>
        </row>
        <row r="12535">
          <cell r="A12535">
            <v>51121519</v>
          </cell>
          <cell r="B12535" t="str">
            <v>Clorhidrato de procainamida</v>
          </cell>
        </row>
        <row r="12536">
          <cell r="A12536">
            <v>51121520</v>
          </cell>
          <cell r="B12536" t="str">
            <v>Clorhidrato de propafenona</v>
          </cell>
        </row>
        <row r="12537">
          <cell r="A12537">
            <v>51121521</v>
          </cell>
          <cell r="B12537" t="str">
            <v>Quinidina poligalacturonato</v>
          </cell>
        </row>
        <row r="12538">
          <cell r="A12538">
            <v>51121522</v>
          </cell>
          <cell r="B12538" t="str">
            <v>Clorhidrato de tocainida</v>
          </cell>
        </row>
        <row r="12539">
          <cell r="A12539">
            <v>51121523</v>
          </cell>
          <cell r="B12539" t="str">
            <v>Sulfato de quinidina</v>
          </cell>
        </row>
        <row r="12540">
          <cell r="A12540">
            <v>51121601</v>
          </cell>
          <cell r="B12540" t="str">
            <v>Nitrato de amilo</v>
          </cell>
        </row>
        <row r="12541">
          <cell r="A12541">
            <v>51121602</v>
          </cell>
          <cell r="B12541" t="str">
            <v>Dinitrato de isosorbida</v>
          </cell>
        </row>
        <row r="12542">
          <cell r="A12542">
            <v>51121603</v>
          </cell>
          <cell r="B12542" t="str">
            <v>Nitroglicerina</v>
          </cell>
        </row>
        <row r="12543">
          <cell r="A12543">
            <v>51121604</v>
          </cell>
          <cell r="B12543" t="str">
            <v>Tetranitrato de pentaeritrito</v>
          </cell>
        </row>
        <row r="12544">
          <cell r="A12544">
            <v>51121607</v>
          </cell>
          <cell r="B12544" t="str">
            <v>Nicorandi</v>
          </cell>
        </row>
        <row r="12545">
          <cell r="A12545">
            <v>51121608</v>
          </cell>
          <cell r="B12545" t="str">
            <v>Clorhidrato de nicardipina</v>
          </cell>
        </row>
        <row r="12546">
          <cell r="A12546">
            <v>51121609</v>
          </cell>
          <cell r="B12546" t="str">
            <v>Molsidomina</v>
          </cell>
        </row>
        <row r="12547">
          <cell r="A12547">
            <v>51121610</v>
          </cell>
          <cell r="B12547" t="str">
            <v>Pralidoxima</v>
          </cell>
        </row>
        <row r="12548">
          <cell r="A12548">
            <v>51121611</v>
          </cell>
          <cell r="B12548" t="str">
            <v>Trimetazidina</v>
          </cell>
        </row>
        <row r="12549">
          <cell r="A12549">
            <v>51121614</v>
          </cell>
          <cell r="B12549" t="str">
            <v>Mononitrato de isosorbida</v>
          </cell>
        </row>
        <row r="12550">
          <cell r="A12550">
            <v>51121615</v>
          </cell>
          <cell r="B12550" t="str">
            <v>Clorhidrato de bepridil</v>
          </cell>
        </row>
        <row r="12551">
          <cell r="A12551">
            <v>51121616</v>
          </cell>
          <cell r="B12551" t="str">
            <v>Clorhidrato de isoxsuprina</v>
          </cell>
        </row>
        <row r="12552">
          <cell r="A12552">
            <v>51121701</v>
          </cell>
          <cell r="B12552" t="str">
            <v>Diazóxido</v>
          </cell>
        </row>
        <row r="12553">
          <cell r="A12553">
            <v>51121702</v>
          </cell>
          <cell r="B12553" t="str">
            <v>Terazosina</v>
          </cell>
        </row>
        <row r="12554">
          <cell r="A12554">
            <v>51121703</v>
          </cell>
          <cell r="B12554" t="str">
            <v>Captopril</v>
          </cell>
        </row>
        <row r="12555">
          <cell r="A12555">
            <v>51121704</v>
          </cell>
          <cell r="B12555" t="str">
            <v>Lisinopril</v>
          </cell>
        </row>
        <row r="12556">
          <cell r="A12556">
            <v>51121705</v>
          </cell>
          <cell r="B12556" t="str">
            <v>Felodipino</v>
          </cell>
        </row>
        <row r="12557">
          <cell r="A12557">
            <v>51121706</v>
          </cell>
          <cell r="B12557" t="str">
            <v>Isradipina</v>
          </cell>
        </row>
        <row r="12558">
          <cell r="A12558">
            <v>51121707</v>
          </cell>
          <cell r="B12558" t="str">
            <v>Verapamilo</v>
          </cell>
        </row>
        <row r="12559">
          <cell r="A12559">
            <v>51121708</v>
          </cell>
          <cell r="B12559" t="str">
            <v>Metildopa</v>
          </cell>
        </row>
        <row r="12560">
          <cell r="A12560">
            <v>51121709</v>
          </cell>
          <cell r="B12560" t="str">
            <v>Carvedilol</v>
          </cell>
        </row>
        <row r="12561">
          <cell r="A12561">
            <v>51121710</v>
          </cell>
          <cell r="B12561" t="str">
            <v>Losartán potásico</v>
          </cell>
        </row>
        <row r="12562">
          <cell r="A12562">
            <v>51121711</v>
          </cell>
          <cell r="B12562" t="str">
            <v>Minoxidil</v>
          </cell>
        </row>
        <row r="12563">
          <cell r="A12563">
            <v>51121713</v>
          </cell>
          <cell r="B12563" t="str">
            <v>Clorhidrato de diltiazem</v>
          </cell>
        </row>
        <row r="12564">
          <cell r="A12564">
            <v>51121714</v>
          </cell>
          <cell r="B12564" t="str">
            <v>Vincamina</v>
          </cell>
        </row>
        <row r="12565">
          <cell r="A12565">
            <v>51121715</v>
          </cell>
          <cell r="B12565" t="str">
            <v>Enalapril</v>
          </cell>
        </row>
        <row r="12566">
          <cell r="A12566">
            <v>51121716</v>
          </cell>
          <cell r="B12566" t="str">
            <v>Piretanida</v>
          </cell>
        </row>
        <row r="12567">
          <cell r="A12567">
            <v>51121717</v>
          </cell>
          <cell r="B12567" t="str">
            <v>Mesilato de eprosartán</v>
          </cell>
        </row>
        <row r="12568">
          <cell r="A12568">
            <v>51121718</v>
          </cell>
          <cell r="B12568" t="str">
            <v>Clorhidrato de clonidina</v>
          </cell>
        </row>
        <row r="12569">
          <cell r="A12569">
            <v>51121721</v>
          </cell>
          <cell r="B12569" t="str">
            <v>Tartrato de metoprolol</v>
          </cell>
        </row>
        <row r="12570">
          <cell r="A12570">
            <v>51121722</v>
          </cell>
          <cell r="B12570" t="str">
            <v>Reserpina</v>
          </cell>
        </row>
        <row r="12571">
          <cell r="A12571">
            <v>51121724</v>
          </cell>
          <cell r="B12571" t="str">
            <v>Naftidrofurilo oxalato</v>
          </cell>
        </row>
        <row r="12572">
          <cell r="A12572">
            <v>51121725</v>
          </cell>
          <cell r="B12572" t="str">
            <v>Bisoprolol fumarato</v>
          </cell>
        </row>
        <row r="12573">
          <cell r="A12573">
            <v>51121726</v>
          </cell>
          <cell r="B12573" t="str">
            <v>Indapamida</v>
          </cell>
        </row>
        <row r="12574">
          <cell r="A12574">
            <v>51121727</v>
          </cell>
          <cell r="B12574" t="str">
            <v>Penbutolol</v>
          </cell>
        </row>
        <row r="12575">
          <cell r="A12575">
            <v>51121728</v>
          </cell>
          <cell r="B12575" t="str">
            <v>Prazosina</v>
          </cell>
        </row>
        <row r="12576">
          <cell r="A12576">
            <v>51121729</v>
          </cell>
          <cell r="B12576" t="str">
            <v>Celiprolol</v>
          </cell>
        </row>
        <row r="12577">
          <cell r="A12577">
            <v>51121730</v>
          </cell>
          <cell r="B12577" t="str">
            <v>Ramipril</v>
          </cell>
        </row>
        <row r="12578">
          <cell r="A12578">
            <v>51121731</v>
          </cell>
          <cell r="B12578" t="str">
            <v>Trandolapril</v>
          </cell>
        </row>
        <row r="12579">
          <cell r="A12579">
            <v>51121732</v>
          </cell>
          <cell r="B12579" t="str">
            <v>Combinación de trandolapril y clorhidrato de verapamilo</v>
          </cell>
        </row>
        <row r="12580">
          <cell r="A12580">
            <v>51121733</v>
          </cell>
          <cell r="B12580" t="str">
            <v>Valsartán</v>
          </cell>
        </row>
        <row r="12581">
          <cell r="A12581">
            <v>51121734</v>
          </cell>
          <cell r="B12581" t="str">
            <v>Nicotinato de xantinol</v>
          </cell>
        </row>
        <row r="12582">
          <cell r="A12582">
            <v>51121735</v>
          </cell>
          <cell r="B12582" t="str">
            <v>Candesartán cilexetilo</v>
          </cell>
        </row>
        <row r="12583">
          <cell r="A12583">
            <v>51121737</v>
          </cell>
          <cell r="B12583" t="str">
            <v>Clorhidrato de benazepril</v>
          </cell>
        </row>
        <row r="12584">
          <cell r="A12584">
            <v>51121738</v>
          </cell>
          <cell r="B12584" t="str">
            <v>Deserpidina</v>
          </cell>
        </row>
        <row r="12585">
          <cell r="A12585">
            <v>51121739</v>
          </cell>
          <cell r="B12585" t="str">
            <v>Clorhidrato de verapamilo</v>
          </cell>
        </row>
        <row r="12586">
          <cell r="A12586">
            <v>51121740</v>
          </cell>
          <cell r="B12586" t="str">
            <v>Nisoldipino</v>
          </cell>
        </row>
        <row r="12587">
          <cell r="A12587">
            <v>51121741</v>
          </cell>
          <cell r="B12587" t="str">
            <v>Diclorhidrato de mibefradil</v>
          </cell>
        </row>
        <row r="12588">
          <cell r="A12588">
            <v>51121742</v>
          </cell>
          <cell r="B12588" t="str">
            <v>Diltiazem malato</v>
          </cell>
        </row>
        <row r="12589">
          <cell r="A12589">
            <v>51121743</v>
          </cell>
          <cell r="B12589" t="str">
            <v>Besilato de amlodipina</v>
          </cell>
        </row>
        <row r="12590">
          <cell r="A12590">
            <v>51121744</v>
          </cell>
          <cell r="B12590" t="str">
            <v>Maleato de enalpril</v>
          </cell>
        </row>
        <row r="12591">
          <cell r="A12591">
            <v>51121745</v>
          </cell>
          <cell r="B12591" t="str">
            <v>Dihidrato de enalaprilato</v>
          </cell>
        </row>
        <row r="12592">
          <cell r="A12592">
            <v>51121746</v>
          </cell>
          <cell r="B12592" t="str">
            <v>Mesilato de fenoldopam</v>
          </cell>
        </row>
        <row r="12593">
          <cell r="A12593">
            <v>51121747</v>
          </cell>
          <cell r="B12593" t="str">
            <v>Fosinopril sódico</v>
          </cell>
        </row>
        <row r="12594">
          <cell r="A12594">
            <v>51121748</v>
          </cell>
          <cell r="B12594" t="str">
            <v>Acetato de guanabenz</v>
          </cell>
        </row>
        <row r="12595">
          <cell r="A12595">
            <v>51121749</v>
          </cell>
          <cell r="B12595" t="str">
            <v>Sulfato de guanadrel</v>
          </cell>
        </row>
        <row r="12596">
          <cell r="A12596">
            <v>51121750</v>
          </cell>
          <cell r="B12596" t="str">
            <v>Sulfato de guanetidina</v>
          </cell>
        </row>
        <row r="12597">
          <cell r="A12597">
            <v>51121751</v>
          </cell>
          <cell r="B12597" t="str">
            <v>Clorhidrato de guanfacina</v>
          </cell>
        </row>
        <row r="12598">
          <cell r="A12598">
            <v>51121752</v>
          </cell>
          <cell r="B12598" t="str">
            <v>Hidralazina hidrocloruro</v>
          </cell>
        </row>
        <row r="12599">
          <cell r="A12599">
            <v>51121753</v>
          </cell>
          <cell r="B12599" t="str">
            <v>Irbesartán</v>
          </cell>
        </row>
        <row r="12600">
          <cell r="A12600">
            <v>51121754</v>
          </cell>
          <cell r="B12600" t="str">
            <v>Clorhidrato de mecamilamina</v>
          </cell>
        </row>
        <row r="12601">
          <cell r="A12601">
            <v>51121755</v>
          </cell>
          <cell r="B12601" t="str">
            <v>Clorhidrato de metildopato</v>
          </cell>
        </row>
        <row r="12602">
          <cell r="A12602">
            <v>51121756</v>
          </cell>
          <cell r="B12602" t="str">
            <v>Metirosina</v>
          </cell>
        </row>
        <row r="12603">
          <cell r="A12603">
            <v>51121757</v>
          </cell>
          <cell r="B12603" t="str">
            <v>Clorhidrato de moexipril</v>
          </cell>
        </row>
        <row r="12604">
          <cell r="A12604">
            <v>51121758</v>
          </cell>
          <cell r="B12604" t="str">
            <v>Nitroprusiato de sodio</v>
          </cell>
        </row>
        <row r="12605">
          <cell r="A12605">
            <v>51121759</v>
          </cell>
          <cell r="B12605" t="str">
            <v>Olmesartán medoxomilo</v>
          </cell>
        </row>
        <row r="12606">
          <cell r="A12606">
            <v>51121760</v>
          </cell>
          <cell r="B12606" t="str">
            <v>Perindopril erbumina</v>
          </cell>
        </row>
        <row r="12607">
          <cell r="A12607">
            <v>51121761</v>
          </cell>
          <cell r="B12607" t="str">
            <v>Clorhidrato de quinapril</v>
          </cell>
        </row>
        <row r="12608">
          <cell r="A12608">
            <v>51121762</v>
          </cell>
          <cell r="B12608" t="str">
            <v>Rauwolfia serpentina</v>
          </cell>
        </row>
        <row r="12609">
          <cell r="A12609">
            <v>51121763</v>
          </cell>
          <cell r="B12609" t="str">
            <v>Telmisartán</v>
          </cell>
        </row>
        <row r="12610">
          <cell r="A12610">
            <v>51121764</v>
          </cell>
          <cell r="B12610" t="str">
            <v>Quinapril</v>
          </cell>
        </row>
        <row r="12611">
          <cell r="A12611">
            <v>51121765</v>
          </cell>
          <cell r="B12611" t="str">
            <v>Metoprolol</v>
          </cell>
        </row>
        <row r="12612">
          <cell r="A12612">
            <v>51121801</v>
          </cell>
          <cell r="B12612" t="str">
            <v>Fluvastatina sódica</v>
          </cell>
        </row>
        <row r="12613">
          <cell r="A12613">
            <v>51121802</v>
          </cell>
          <cell r="B12613" t="str">
            <v>Lovastatina</v>
          </cell>
        </row>
        <row r="12614">
          <cell r="A12614">
            <v>51121803</v>
          </cell>
          <cell r="B12614" t="str">
            <v>Simvastatina</v>
          </cell>
        </row>
        <row r="12615">
          <cell r="A12615">
            <v>51121804</v>
          </cell>
          <cell r="B12615" t="str">
            <v>Clofibrato</v>
          </cell>
        </row>
        <row r="12616">
          <cell r="A12616">
            <v>51121805</v>
          </cell>
          <cell r="B12616" t="str">
            <v>Gemfibrozilo</v>
          </cell>
        </row>
        <row r="12617">
          <cell r="A12617">
            <v>51121806</v>
          </cell>
          <cell r="B12617" t="str">
            <v>Pravastatina de sodio</v>
          </cell>
        </row>
        <row r="12618">
          <cell r="A12618">
            <v>51121807</v>
          </cell>
          <cell r="B12618" t="str">
            <v>Polidocanol</v>
          </cell>
        </row>
        <row r="12619">
          <cell r="A12619">
            <v>51121808</v>
          </cell>
          <cell r="B12619" t="str">
            <v>Probucol</v>
          </cell>
        </row>
        <row r="12620">
          <cell r="A12620">
            <v>51121809</v>
          </cell>
          <cell r="B12620" t="str">
            <v>Fenofibrato</v>
          </cell>
        </row>
        <row r="12621">
          <cell r="A12621">
            <v>51121810</v>
          </cell>
          <cell r="B12621" t="str">
            <v>Atorvastatina de calcio</v>
          </cell>
        </row>
        <row r="12622">
          <cell r="A12622">
            <v>51121811</v>
          </cell>
          <cell r="B12622" t="str">
            <v>Cerivastatina sódica</v>
          </cell>
        </row>
        <row r="12623">
          <cell r="A12623">
            <v>51121812</v>
          </cell>
          <cell r="B12623" t="str">
            <v>Colina</v>
          </cell>
        </row>
        <row r="12624">
          <cell r="A12624">
            <v>51121813</v>
          </cell>
          <cell r="B12624" t="str">
            <v>Bitartrato de colina</v>
          </cell>
        </row>
        <row r="12625">
          <cell r="A12625">
            <v>51121814</v>
          </cell>
          <cell r="B12625" t="str">
            <v>Inositol</v>
          </cell>
        </row>
        <row r="12626">
          <cell r="A12626">
            <v>51121815</v>
          </cell>
          <cell r="B12626" t="str">
            <v>Racemetionina</v>
          </cell>
        </row>
        <row r="12627">
          <cell r="A12627">
            <v>51121816</v>
          </cell>
          <cell r="B12627" t="str">
            <v>Fosfatidilcolina</v>
          </cell>
        </row>
        <row r="12628">
          <cell r="A12628">
            <v>51121817</v>
          </cell>
          <cell r="B12628" t="str">
            <v>Colestiramina</v>
          </cell>
        </row>
        <row r="12629">
          <cell r="A12629">
            <v>51121818</v>
          </cell>
          <cell r="B12629" t="str">
            <v>Atorvastatina</v>
          </cell>
        </row>
        <row r="12630">
          <cell r="A12630">
            <v>51121819</v>
          </cell>
          <cell r="B12630" t="str">
            <v>Ezetimiba</v>
          </cell>
        </row>
        <row r="12631">
          <cell r="A12631">
            <v>51121820</v>
          </cell>
          <cell r="B12631" t="str">
            <v>Sulfato de condroitina a</v>
          </cell>
        </row>
        <row r="12632">
          <cell r="A12632">
            <v>51121901</v>
          </cell>
          <cell r="B12632" t="str">
            <v>Lactato de inamrinona</v>
          </cell>
        </row>
        <row r="12633">
          <cell r="A12633">
            <v>51121902</v>
          </cell>
          <cell r="B12633" t="str">
            <v>Lactato de milrinona</v>
          </cell>
        </row>
        <row r="12634">
          <cell r="A12634">
            <v>51121903</v>
          </cell>
          <cell r="B12634" t="str">
            <v>Digitoxina</v>
          </cell>
        </row>
        <row r="12635">
          <cell r="A12635">
            <v>51121904</v>
          </cell>
          <cell r="B12635" t="str">
            <v>Nifedipina</v>
          </cell>
        </row>
        <row r="12636">
          <cell r="A12636">
            <v>51121905</v>
          </cell>
          <cell r="B12636" t="str">
            <v>Enoximona</v>
          </cell>
        </row>
        <row r="12637">
          <cell r="A12637">
            <v>51121906</v>
          </cell>
          <cell r="B12637" t="str">
            <v>Betaína</v>
          </cell>
        </row>
        <row r="12638">
          <cell r="A12638">
            <v>51121907</v>
          </cell>
          <cell r="B12638" t="str">
            <v>Nesiritida</v>
          </cell>
        </row>
        <row r="12639">
          <cell r="A12639">
            <v>51121908</v>
          </cell>
          <cell r="B12639" t="str">
            <v>Hoja de digital en polvo o preparados</v>
          </cell>
        </row>
        <row r="12640">
          <cell r="A12640">
            <v>51122101</v>
          </cell>
          <cell r="B12640" t="str">
            <v>Mesilato de dihidroergocristina</v>
          </cell>
        </row>
        <row r="12641">
          <cell r="A12641">
            <v>51122102</v>
          </cell>
          <cell r="B12641" t="str">
            <v>Clorhidrato de buflomedil</v>
          </cell>
        </row>
        <row r="12642">
          <cell r="A12642">
            <v>51122103</v>
          </cell>
          <cell r="B12642" t="str">
            <v>Clorhidrato de linsidomina</v>
          </cell>
        </row>
        <row r="12643">
          <cell r="A12643">
            <v>51122104</v>
          </cell>
          <cell r="B12643" t="str">
            <v>Papaverina</v>
          </cell>
        </row>
        <row r="12644">
          <cell r="A12644">
            <v>51122105</v>
          </cell>
          <cell r="B12644" t="str">
            <v>Pentifilina</v>
          </cell>
        </row>
        <row r="12645">
          <cell r="A12645">
            <v>51122107</v>
          </cell>
          <cell r="B12645" t="str">
            <v>Tartrato de ifenprodil</v>
          </cell>
        </row>
        <row r="12646">
          <cell r="A12646">
            <v>51122108</v>
          </cell>
          <cell r="B12646" t="str">
            <v>Mesilatos ergoloides</v>
          </cell>
        </row>
        <row r="12647">
          <cell r="A12647">
            <v>51122109</v>
          </cell>
          <cell r="B12647" t="str">
            <v>Clorhidrato de papaverina</v>
          </cell>
        </row>
        <row r="12648">
          <cell r="A12648">
            <v>51122110</v>
          </cell>
          <cell r="B12648" t="str">
            <v>Nimodipina</v>
          </cell>
        </row>
        <row r="12649">
          <cell r="A12649">
            <v>51122111</v>
          </cell>
          <cell r="B12649" t="str">
            <v>Nitrito de amilo</v>
          </cell>
        </row>
        <row r="12650">
          <cell r="A12650">
            <v>51122112</v>
          </cell>
          <cell r="B12650" t="str">
            <v>Alprostadil</v>
          </cell>
        </row>
        <row r="12651">
          <cell r="A12651">
            <v>51122201</v>
          </cell>
          <cell r="B12651" t="str">
            <v>Ornipresina</v>
          </cell>
        </row>
        <row r="12652">
          <cell r="A12652">
            <v>51122301</v>
          </cell>
          <cell r="B12652" t="str">
            <v>Solución de cardioplejia</v>
          </cell>
        </row>
        <row r="12653">
          <cell r="A12653">
            <v>51131501</v>
          </cell>
          <cell r="B12653" t="str">
            <v>Fumarato ferroso</v>
          </cell>
        </row>
        <row r="12654">
          <cell r="A12654">
            <v>51131502</v>
          </cell>
          <cell r="B12654" t="str">
            <v>Gluconato ferroso</v>
          </cell>
        </row>
        <row r="12655">
          <cell r="A12655">
            <v>51131503</v>
          </cell>
          <cell r="B12655" t="str">
            <v>Sulfato ferroso</v>
          </cell>
        </row>
        <row r="12656">
          <cell r="A12656">
            <v>51131504</v>
          </cell>
          <cell r="B12656" t="str">
            <v>Pidolato de magnesio</v>
          </cell>
        </row>
        <row r="12657">
          <cell r="A12657">
            <v>51131505</v>
          </cell>
          <cell r="B12657" t="str">
            <v>Oximetolona</v>
          </cell>
        </row>
        <row r="12658">
          <cell r="A12658">
            <v>51131506</v>
          </cell>
          <cell r="B12658" t="str">
            <v>Eritropoyetina</v>
          </cell>
        </row>
        <row r="12659">
          <cell r="A12659">
            <v>51131507</v>
          </cell>
          <cell r="B12659" t="str">
            <v>Darbepoetina alfa</v>
          </cell>
        </row>
        <row r="12660">
          <cell r="A12660">
            <v>51131508</v>
          </cell>
          <cell r="B12660" t="str">
            <v>Epoetina alfa</v>
          </cell>
        </row>
        <row r="12661">
          <cell r="A12661">
            <v>51131509</v>
          </cell>
          <cell r="B12661" t="str">
            <v>Citrato de amonio férrico</v>
          </cell>
        </row>
        <row r="12662">
          <cell r="A12662">
            <v>51131510</v>
          </cell>
          <cell r="B12662" t="str">
            <v>Polipéptido de hierro heme</v>
          </cell>
        </row>
        <row r="12663">
          <cell r="A12663">
            <v>51131511</v>
          </cell>
          <cell r="B12663" t="str">
            <v>Hierro polisacárido</v>
          </cell>
        </row>
        <row r="12664">
          <cell r="A12664">
            <v>51131512</v>
          </cell>
          <cell r="B12664" t="str">
            <v>Pirofosfato férrico</v>
          </cell>
        </row>
        <row r="12665">
          <cell r="A12665">
            <v>51131513</v>
          </cell>
          <cell r="B12665" t="str">
            <v>Cacodilato ferroso</v>
          </cell>
        </row>
        <row r="12666">
          <cell r="A12666">
            <v>51131514</v>
          </cell>
          <cell r="B12666" t="str">
            <v>Carbonilo de hierro</v>
          </cell>
        </row>
        <row r="12667">
          <cell r="A12667">
            <v>51131515</v>
          </cell>
          <cell r="B12667" t="str">
            <v>Hemina o hematina</v>
          </cell>
        </row>
        <row r="12668">
          <cell r="A12668">
            <v>51131516</v>
          </cell>
          <cell r="B12668" t="str">
            <v>Hierro sacarosa</v>
          </cell>
        </row>
        <row r="12669">
          <cell r="A12669">
            <v>51131601</v>
          </cell>
          <cell r="B12669" t="str">
            <v>Aprotinina</v>
          </cell>
        </row>
        <row r="12670">
          <cell r="A12670">
            <v>51131602</v>
          </cell>
          <cell r="B12670" t="str">
            <v>Heparina de calcio</v>
          </cell>
        </row>
        <row r="12671">
          <cell r="A12671">
            <v>51131603</v>
          </cell>
          <cell r="B12671" t="str">
            <v>Heparina sódica</v>
          </cell>
        </row>
        <row r="12672">
          <cell r="A12672">
            <v>51131604</v>
          </cell>
          <cell r="B12672" t="str">
            <v>Warfarina sódica</v>
          </cell>
        </row>
        <row r="12673">
          <cell r="A12673">
            <v>51131605</v>
          </cell>
          <cell r="B12673" t="str">
            <v>Citrato de sodio</v>
          </cell>
        </row>
        <row r="12674">
          <cell r="A12674">
            <v>51131606</v>
          </cell>
          <cell r="B12674" t="str">
            <v>Apolato de sodio</v>
          </cell>
        </row>
        <row r="12675">
          <cell r="A12675">
            <v>51131607</v>
          </cell>
          <cell r="B12675" t="str">
            <v>Enoxaparina sódica</v>
          </cell>
        </row>
        <row r="12676">
          <cell r="A12676">
            <v>51131608</v>
          </cell>
          <cell r="B12676" t="str">
            <v>Lepirudina</v>
          </cell>
        </row>
        <row r="12677">
          <cell r="A12677">
            <v>51131609</v>
          </cell>
          <cell r="B12677" t="str">
            <v>Desirudina</v>
          </cell>
        </row>
        <row r="12678">
          <cell r="A12678">
            <v>51131610</v>
          </cell>
          <cell r="B12678" t="str">
            <v>Ardeparina de sodio</v>
          </cell>
        </row>
        <row r="12679">
          <cell r="A12679">
            <v>51131611</v>
          </cell>
          <cell r="B12679" t="str">
            <v>Dalteparina sódica</v>
          </cell>
        </row>
        <row r="12680">
          <cell r="A12680">
            <v>51131612</v>
          </cell>
          <cell r="B12680" t="str">
            <v>Danaparoide sódico</v>
          </cell>
        </row>
        <row r="12681">
          <cell r="A12681">
            <v>51131613</v>
          </cell>
          <cell r="B12681" t="str">
            <v>Dicumarol</v>
          </cell>
        </row>
        <row r="12682">
          <cell r="A12682">
            <v>51131614</v>
          </cell>
          <cell r="B12682" t="str">
            <v>Anisindiona</v>
          </cell>
        </row>
        <row r="12683">
          <cell r="A12683">
            <v>51131615</v>
          </cell>
          <cell r="B12683" t="str">
            <v>Fondaparinux sódico</v>
          </cell>
        </row>
        <row r="12684">
          <cell r="A12684">
            <v>51131616</v>
          </cell>
          <cell r="B12684" t="str">
            <v>Tinzaparina sódica</v>
          </cell>
        </row>
        <row r="12685">
          <cell r="A12685">
            <v>51131617</v>
          </cell>
          <cell r="B12685" t="str">
            <v>Solución  anticoagulante citrato fosfato dextrosa</v>
          </cell>
        </row>
        <row r="12686">
          <cell r="A12686">
            <v>51131701</v>
          </cell>
          <cell r="B12686" t="str">
            <v>Abciximab</v>
          </cell>
        </row>
        <row r="12687">
          <cell r="A12687">
            <v>51131702</v>
          </cell>
          <cell r="B12687" t="str">
            <v>Alteplasa</v>
          </cell>
        </row>
        <row r="12688">
          <cell r="A12688">
            <v>51131703</v>
          </cell>
          <cell r="B12688" t="str">
            <v>Estreptoquinasa</v>
          </cell>
        </row>
        <row r="12689">
          <cell r="A12689">
            <v>51131704</v>
          </cell>
          <cell r="B12689" t="str">
            <v>Uroquinasa</v>
          </cell>
        </row>
        <row r="12690">
          <cell r="A12690">
            <v>51131705</v>
          </cell>
          <cell r="B12690" t="str">
            <v>Dipiridamol</v>
          </cell>
        </row>
        <row r="12691">
          <cell r="A12691">
            <v>51131706</v>
          </cell>
          <cell r="B12691" t="str">
            <v>Argatroban</v>
          </cell>
        </row>
        <row r="12692">
          <cell r="A12692">
            <v>51131707</v>
          </cell>
          <cell r="B12692" t="str">
            <v>Bivalirudina</v>
          </cell>
        </row>
        <row r="12693">
          <cell r="A12693">
            <v>51131708</v>
          </cell>
          <cell r="B12693" t="str">
            <v>Cilostazol</v>
          </cell>
        </row>
        <row r="12694">
          <cell r="A12694">
            <v>51131709</v>
          </cell>
          <cell r="B12694" t="str">
            <v>Bisulfato de clopidogrel</v>
          </cell>
        </row>
        <row r="12695">
          <cell r="A12695">
            <v>51131710</v>
          </cell>
          <cell r="B12695" t="str">
            <v>Eptifibatida</v>
          </cell>
        </row>
        <row r="12696">
          <cell r="A12696">
            <v>51131711</v>
          </cell>
          <cell r="B12696" t="str">
            <v>Tenecteplasa</v>
          </cell>
        </row>
        <row r="12697">
          <cell r="A12697">
            <v>51131712</v>
          </cell>
          <cell r="B12697" t="str">
            <v>Clorhidrato de ticlopidina</v>
          </cell>
        </row>
        <row r="12698">
          <cell r="A12698">
            <v>51131713</v>
          </cell>
          <cell r="B12698" t="str">
            <v>Monohidrato hidrocloruro  tirofibán</v>
          </cell>
        </row>
        <row r="12699">
          <cell r="A12699">
            <v>51131714</v>
          </cell>
          <cell r="B12699" t="str">
            <v>Anistreplasa</v>
          </cell>
        </row>
        <row r="12700">
          <cell r="A12700">
            <v>51131715</v>
          </cell>
          <cell r="B12700" t="str">
            <v>Clorhidrato de anagrelida</v>
          </cell>
        </row>
        <row r="12701">
          <cell r="A12701">
            <v>51131716</v>
          </cell>
          <cell r="B12701" t="str">
            <v>Reteplasa</v>
          </cell>
        </row>
        <row r="12702">
          <cell r="A12702">
            <v>51131801</v>
          </cell>
          <cell r="B12702" t="str">
            <v>Fibrinógeno</v>
          </cell>
        </row>
        <row r="12703">
          <cell r="A12703">
            <v>51131802</v>
          </cell>
          <cell r="B12703" t="str">
            <v>Factores antihemofílicos o globulinas</v>
          </cell>
        </row>
        <row r="12704">
          <cell r="A12704">
            <v>51131803</v>
          </cell>
          <cell r="B12704" t="str">
            <v>Trombina</v>
          </cell>
        </row>
        <row r="12705">
          <cell r="A12705">
            <v>51131804</v>
          </cell>
          <cell r="B12705" t="str">
            <v>Oprelvekina</v>
          </cell>
        </row>
        <row r="12706">
          <cell r="A12706">
            <v>51131805</v>
          </cell>
          <cell r="B12706" t="str">
            <v>Etamsilato</v>
          </cell>
        </row>
        <row r="12707">
          <cell r="A12707">
            <v>51131806</v>
          </cell>
          <cell r="B12707" t="str">
            <v>Subsulfato férrico</v>
          </cell>
        </row>
        <row r="12708">
          <cell r="A12708">
            <v>51131807</v>
          </cell>
          <cell r="B12708" t="str">
            <v>Morruato de sodio</v>
          </cell>
        </row>
        <row r="12709">
          <cell r="A12709">
            <v>51131808</v>
          </cell>
          <cell r="B12709" t="str">
            <v>Ácido aminocaproico</v>
          </cell>
        </row>
        <row r="12710">
          <cell r="A12710">
            <v>51131809</v>
          </cell>
          <cell r="B12710" t="str">
            <v>Dobesilato de calcio</v>
          </cell>
        </row>
        <row r="12711">
          <cell r="A12711">
            <v>51131901</v>
          </cell>
          <cell r="B12711" t="str">
            <v>Poligelina</v>
          </cell>
        </row>
        <row r="12712">
          <cell r="A12712">
            <v>51131903</v>
          </cell>
          <cell r="B12712" t="str">
            <v>Gelatina</v>
          </cell>
        </row>
        <row r="12713">
          <cell r="A12713">
            <v>51131904</v>
          </cell>
          <cell r="B12713" t="str">
            <v>Plasma sanguíneo humano</v>
          </cell>
        </row>
        <row r="12714">
          <cell r="A12714">
            <v>51131905</v>
          </cell>
          <cell r="B12714" t="str">
            <v>Dextrano</v>
          </cell>
        </row>
        <row r="12715">
          <cell r="A12715">
            <v>51131906</v>
          </cell>
          <cell r="B12715" t="str">
            <v>Pentastarch</v>
          </cell>
        </row>
        <row r="12716">
          <cell r="A12716">
            <v>51131907</v>
          </cell>
          <cell r="B12716" t="str">
            <v>Fracción de proteína de plasma humano</v>
          </cell>
        </row>
        <row r="12717">
          <cell r="A12717">
            <v>51131908</v>
          </cell>
          <cell r="B12717" t="str">
            <v>Hetastarch</v>
          </cell>
        </row>
        <row r="12718">
          <cell r="A12718">
            <v>51131909</v>
          </cell>
          <cell r="B12718" t="str">
            <v>Albúmina humana</v>
          </cell>
        </row>
        <row r="12719">
          <cell r="A12719">
            <v>51131910</v>
          </cell>
          <cell r="B12719" t="str">
            <v>Polividona o povidona</v>
          </cell>
        </row>
        <row r="12720">
          <cell r="A12720">
            <v>51132001</v>
          </cell>
          <cell r="B12720" t="str">
            <v>Pentoxifilina</v>
          </cell>
        </row>
        <row r="12721">
          <cell r="A12721">
            <v>51141501</v>
          </cell>
          <cell r="B12721" t="str">
            <v>Acetazolamida</v>
          </cell>
        </row>
        <row r="12722">
          <cell r="A12722">
            <v>51141502</v>
          </cell>
          <cell r="B12722" t="str">
            <v>Clonazepam</v>
          </cell>
        </row>
        <row r="12723">
          <cell r="A12723">
            <v>51141503</v>
          </cell>
          <cell r="B12723" t="str">
            <v>Felbamato</v>
          </cell>
        </row>
        <row r="12724">
          <cell r="A12724">
            <v>51141504</v>
          </cell>
          <cell r="B12724" t="str">
            <v>Lamotrigina</v>
          </cell>
        </row>
        <row r="12725">
          <cell r="A12725">
            <v>51141505</v>
          </cell>
          <cell r="B12725" t="str">
            <v>Fenobarbital</v>
          </cell>
        </row>
        <row r="12726">
          <cell r="A12726">
            <v>51141506</v>
          </cell>
          <cell r="B12726" t="str">
            <v>Fenobarbital sódico</v>
          </cell>
        </row>
        <row r="12727">
          <cell r="A12727">
            <v>51141507</v>
          </cell>
          <cell r="B12727" t="str">
            <v>Fenitoína</v>
          </cell>
        </row>
        <row r="12728">
          <cell r="A12728">
            <v>51141508</v>
          </cell>
          <cell r="B12728" t="str">
            <v>Etosuximida</v>
          </cell>
        </row>
        <row r="12729">
          <cell r="A12729">
            <v>51141509</v>
          </cell>
          <cell r="B12729" t="str">
            <v>Vigabatrina</v>
          </cell>
        </row>
        <row r="12730">
          <cell r="A12730">
            <v>51141510</v>
          </cell>
          <cell r="B12730" t="str">
            <v>Barbexaclona</v>
          </cell>
        </row>
        <row r="12731">
          <cell r="A12731">
            <v>51141511</v>
          </cell>
          <cell r="B12731" t="str">
            <v>Urbanyl</v>
          </cell>
        </row>
        <row r="12732">
          <cell r="A12732">
            <v>51141512</v>
          </cell>
          <cell r="B12732" t="str">
            <v>Clobazam</v>
          </cell>
        </row>
        <row r="12733">
          <cell r="A12733">
            <v>51141513</v>
          </cell>
          <cell r="B12733" t="str">
            <v>Carbamazepina</v>
          </cell>
        </row>
        <row r="12734">
          <cell r="A12734">
            <v>51141514</v>
          </cell>
          <cell r="B12734" t="str">
            <v>Zonisamida</v>
          </cell>
        </row>
        <row r="12735">
          <cell r="A12735">
            <v>51141515</v>
          </cell>
          <cell r="B12735" t="str">
            <v>Etotoína</v>
          </cell>
        </row>
        <row r="12736">
          <cell r="A12736">
            <v>51141516</v>
          </cell>
          <cell r="B12736" t="str">
            <v>Fosfenitoína sódica</v>
          </cell>
        </row>
        <row r="12737">
          <cell r="A12737">
            <v>51141517</v>
          </cell>
          <cell r="B12737" t="str">
            <v>Gabapentina</v>
          </cell>
        </row>
        <row r="12738">
          <cell r="A12738">
            <v>51141518</v>
          </cell>
          <cell r="B12738" t="str">
            <v>Levetiracetam</v>
          </cell>
        </row>
        <row r="12739">
          <cell r="A12739">
            <v>51141519</v>
          </cell>
          <cell r="B12739" t="str">
            <v>Mefenitoina</v>
          </cell>
        </row>
        <row r="12740">
          <cell r="A12740">
            <v>51141520</v>
          </cell>
          <cell r="B12740" t="str">
            <v>Mefobarbital</v>
          </cell>
        </row>
        <row r="12741">
          <cell r="A12741">
            <v>51141521</v>
          </cell>
          <cell r="B12741" t="str">
            <v>Metsuximida</v>
          </cell>
        </row>
        <row r="12742">
          <cell r="A12742">
            <v>51141522</v>
          </cell>
          <cell r="B12742" t="str">
            <v>Oxcarbazepina</v>
          </cell>
        </row>
        <row r="12743">
          <cell r="A12743">
            <v>51141523</v>
          </cell>
          <cell r="B12743" t="str">
            <v>Parametadiona</v>
          </cell>
        </row>
        <row r="12744">
          <cell r="A12744">
            <v>51141524</v>
          </cell>
          <cell r="B12744" t="str">
            <v>Fenacemida</v>
          </cell>
        </row>
        <row r="12745">
          <cell r="A12745">
            <v>51141525</v>
          </cell>
          <cell r="B12745" t="str">
            <v>Fenitoína sódica</v>
          </cell>
        </row>
        <row r="12746">
          <cell r="A12746">
            <v>51141526</v>
          </cell>
          <cell r="B12746" t="str">
            <v>Primidona</v>
          </cell>
        </row>
        <row r="12747">
          <cell r="A12747">
            <v>51141527</v>
          </cell>
          <cell r="B12747" t="str">
            <v>Clorhidrato de tiagabina</v>
          </cell>
        </row>
        <row r="12748">
          <cell r="A12748">
            <v>51141528</v>
          </cell>
          <cell r="B12748" t="str">
            <v>Topiramato</v>
          </cell>
        </row>
        <row r="12749">
          <cell r="A12749">
            <v>51141529</v>
          </cell>
          <cell r="B12749" t="str">
            <v>Trimetadiona</v>
          </cell>
        </row>
        <row r="12750">
          <cell r="A12750">
            <v>51141530</v>
          </cell>
          <cell r="B12750" t="str">
            <v>Valproato de sodio</v>
          </cell>
        </row>
        <row r="12751">
          <cell r="A12751">
            <v>51141531</v>
          </cell>
          <cell r="B12751" t="str">
            <v>Ácido valproico</v>
          </cell>
        </row>
        <row r="12752">
          <cell r="A12752">
            <v>51141532</v>
          </cell>
          <cell r="B12752" t="str">
            <v>Acetazolamida sódica</v>
          </cell>
        </row>
        <row r="12753">
          <cell r="A12753">
            <v>51141533</v>
          </cell>
          <cell r="B12753" t="str">
            <v>Divalproex sódico</v>
          </cell>
        </row>
        <row r="12754">
          <cell r="A12754">
            <v>51141601</v>
          </cell>
          <cell r="B12754" t="str">
            <v>Amitriptilina</v>
          </cell>
        </row>
        <row r="12755">
          <cell r="A12755">
            <v>51141602</v>
          </cell>
          <cell r="B12755" t="str">
            <v>Clorhidrato de doxepina</v>
          </cell>
        </row>
        <row r="12756">
          <cell r="A12756">
            <v>51141603</v>
          </cell>
          <cell r="B12756" t="str">
            <v>Pamoato de imipramina</v>
          </cell>
        </row>
        <row r="12757">
          <cell r="A12757">
            <v>51141604</v>
          </cell>
          <cell r="B12757" t="str">
            <v>Mirtazapina</v>
          </cell>
        </row>
        <row r="12758">
          <cell r="A12758">
            <v>51141605</v>
          </cell>
          <cell r="B12758" t="str">
            <v>Hidrocloruro de paroxetina</v>
          </cell>
        </row>
        <row r="12759">
          <cell r="A12759">
            <v>51141606</v>
          </cell>
          <cell r="B12759" t="str">
            <v>Clorhidrato de trazodona</v>
          </cell>
        </row>
        <row r="12760">
          <cell r="A12760">
            <v>51141607</v>
          </cell>
          <cell r="B12760" t="str">
            <v>Maleato de fluvoxamina</v>
          </cell>
        </row>
        <row r="12761">
          <cell r="A12761">
            <v>51141608</v>
          </cell>
          <cell r="B12761" t="str">
            <v>Amitriptilinoxida</v>
          </cell>
        </row>
        <row r="12762">
          <cell r="A12762">
            <v>51141609</v>
          </cell>
          <cell r="B12762" t="str">
            <v>Sulfato de tranilcipromina</v>
          </cell>
        </row>
        <row r="12763">
          <cell r="A12763">
            <v>51141610</v>
          </cell>
          <cell r="B12763" t="str">
            <v>Clorhidrato de desipramina</v>
          </cell>
        </row>
        <row r="12764">
          <cell r="A12764">
            <v>51141611</v>
          </cell>
          <cell r="B12764" t="str">
            <v>Trimipramina mesilato</v>
          </cell>
        </row>
        <row r="12765">
          <cell r="A12765">
            <v>51141612</v>
          </cell>
          <cell r="B12765" t="str">
            <v>Sibutramina</v>
          </cell>
        </row>
        <row r="12766">
          <cell r="A12766">
            <v>51141613</v>
          </cell>
          <cell r="B12766" t="str">
            <v>Clorhidrato de carpipramine</v>
          </cell>
        </row>
        <row r="12767">
          <cell r="A12767">
            <v>51141614</v>
          </cell>
          <cell r="B12767" t="str">
            <v>Clomipramina</v>
          </cell>
        </row>
        <row r="12768">
          <cell r="A12768">
            <v>51141615</v>
          </cell>
          <cell r="B12768" t="str">
            <v>Trimipramina</v>
          </cell>
        </row>
        <row r="12769">
          <cell r="A12769">
            <v>51141616</v>
          </cell>
          <cell r="B12769" t="str">
            <v>Clorhidrato de clomipramina</v>
          </cell>
        </row>
        <row r="12770">
          <cell r="A12770">
            <v>51141617</v>
          </cell>
          <cell r="B12770" t="str">
            <v>Bromhidrato de citalopram</v>
          </cell>
        </row>
        <row r="12771">
          <cell r="A12771">
            <v>51141618</v>
          </cell>
          <cell r="B12771" t="str">
            <v>Clorhidrato de fluoxetina</v>
          </cell>
        </row>
        <row r="12772">
          <cell r="A12772">
            <v>51141619</v>
          </cell>
          <cell r="B12772" t="str">
            <v>Hidrocloruro de sertralina</v>
          </cell>
        </row>
        <row r="12773">
          <cell r="A12773">
            <v>51141620</v>
          </cell>
          <cell r="B12773" t="str">
            <v>Mosto de st'john</v>
          </cell>
        </row>
        <row r="12774">
          <cell r="A12774">
            <v>51141621</v>
          </cell>
          <cell r="B12774" t="str">
            <v>Clorhidrato de imipramina</v>
          </cell>
        </row>
        <row r="12775">
          <cell r="A12775">
            <v>51141622</v>
          </cell>
          <cell r="B12775" t="str">
            <v>Isocarboxazida</v>
          </cell>
        </row>
        <row r="12776">
          <cell r="A12776">
            <v>51141623</v>
          </cell>
          <cell r="B12776" t="str">
            <v>Clorhidrato de caprotilina</v>
          </cell>
        </row>
        <row r="12777">
          <cell r="A12777">
            <v>51141624</v>
          </cell>
          <cell r="B12777" t="str">
            <v>Clorhidrato de nefazodona</v>
          </cell>
        </row>
        <row r="12778">
          <cell r="A12778">
            <v>51141625</v>
          </cell>
          <cell r="B12778" t="str">
            <v>Clorhidrato de nortriptilina</v>
          </cell>
        </row>
        <row r="12779">
          <cell r="A12779">
            <v>51141626</v>
          </cell>
          <cell r="B12779" t="str">
            <v>Clorhidrato de protriptilina</v>
          </cell>
        </row>
        <row r="12780">
          <cell r="A12780">
            <v>51141627</v>
          </cell>
          <cell r="B12780" t="str">
            <v>Maleato de trimipramina</v>
          </cell>
        </row>
        <row r="12781">
          <cell r="A12781">
            <v>51141628</v>
          </cell>
          <cell r="B12781" t="str">
            <v>Nortriptilina</v>
          </cell>
        </row>
        <row r="12782">
          <cell r="A12782">
            <v>51141629</v>
          </cell>
          <cell r="B12782" t="str">
            <v>Amoxapina</v>
          </cell>
        </row>
        <row r="12783">
          <cell r="A12783">
            <v>51141630</v>
          </cell>
          <cell r="B12783" t="str">
            <v>Tiroides</v>
          </cell>
        </row>
        <row r="12784">
          <cell r="A12784">
            <v>51141631</v>
          </cell>
          <cell r="B12784" t="str">
            <v>Hidrocloruro de bupropión</v>
          </cell>
        </row>
        <row r="12785">
          <cell r="A12785">
            <v>51141632</v>
          </cell>
          <cell r="B12785" t="str">
            <v>Sulfato de fenelzina</v>
          </cell>
        </row>
        <row r="12786">
          <cell r="A12786">
            <v>51141633</v>
          </cell>
          <cell r="B12786" t="str">
            <v>Oxalato de escitalopram</v>
          </cell>
        </row>
        <row r="12787">
          <cell r="A12787">
            <v>51141701</v>
          </cell>
          <cell r="B12787" t="str">
            <v>Fenotiazinas</v>
          </cell>
        </row>
        <row r="12788">
          <cell r="A12788">
            <v>51141702</v>
          </cell>
          <cell r="B12788" t="str">
            <v>Haloperidol</v>
          </cell>
        </row>
        <row r="12789">
          <cell r="A12789">
            <v>51141703</v>
          </cell>
          <cell r="B12789" t="str">
            <v>Olanzapina</v>
          </cell>
        </row>
        <row r="12790">
          <cell r="A12790">
            <v>51141704</v>
          </cell>
          <cell r="B12790" t="str">
            <v>Risperidona</v>
          </cell>
        </row>
        <row r="12791">
          <cell r="A12791">
            <v>51141705</v>
          </cell>
          <cell r="B12791" t="str">
            <v>Nicergolina</v>
          </cell>
        </row>
        <row r="12792">
          <cell r="A12792">
            <v>51141706</v>
          </cell>
          <cell r="B12792" t="str">
            <v>Citicolina</v>
          </cell>
        </row>
        <row r="12793">
          <cell r="A12793">
            <v>51141707</v>
          </cell>
          <cell r="B12793" t="str">
            <v>Clorhidrato de buspirona</v>
          </cell>
        </row>
        <row r="12794">
          <cell r="A12794">
            <v>51141708</v>
          </cell>
          <cell r="B12794" t="str">
            <v>Clordiazepóxido</v>
          </cell>
        </row>
        <row r="12795">
          <cell r="A12795">
            <v>51141709</v>
          </cell>
          <cell r="B12795" t="str">
            <v>Flufenazina</v>
          </cell>
        </row>
        <row r="12796">
          <cell r="A12796">
            <v>51141710</v>
          </cell>
          <cell r="B12796" t="str">
            <v>Periciazina</v>
          </cell>
        </row>
        <row r="12797">
          <cell r="A12797">
            <v>51141711</v>
          </cell>
          <cell r="B12797" t="str">
            <v>Levomepromazina</v>
          </cell>
        </row>
        <row r="12798">
          <cell r="A12798">
            <v>51141712</v>
          </cell>
          <cell r="B12798" t="str">
            <v>Zotepina</v>
          </cell>
        </row>
        <row r="12799">
          <cell r="A12799">
            <v>51141713</v>
          </cell>
          <cell r="B12799" t="str">
            <v>Palmitato de pipotiazina</v>
          </cell>
        </row>
        <row r="12800">
          <cell r="A12800">
            <v>51141714</v>
          </cell>
          <cell r="B12800" t="str">
            <v>Piracetam</v>
          </cell>
        </row>
        <row r="12801">
          <cell r="A12801">
            <v>51141715</v>
          </cell>
          <cell r="B12801" t="str">
            <v>Clozapina</v>
          </cell>
        </row>
        <row r="12802">
          <cell r="A12802">
            <v>51141716</v>
          </cell>
          <cell r="B12802" t="str">
            <v>Decanoato de haloperidol</v>
          </cell>
        </row>
        <row r="12803">
          <cell r="A12803">
            <v>51141717</v>
          </cell>
          <cell r="B12803" t="str">
            <v>Lactato de haloperidol</v>
          </cell>
        </row>
        <row r="12804">
          <cell r="A12804">
            <v>51141718</v>
          </cell>
          <cell r="B12804" t="str">
            <v>Clorhidrato de loxapina</v>
          </cell>
        </row>
        <row r="12805">
          <cell r="A12805">
            <v>51141719</v>
          </cell>
          <cell r="B12805" t="str">
            <v>Succinato de loxapina</v>
          </cell>
        </row>
        <row r="12806">
          <cell r="A12806">
            <v>51141720</v>
          </cell>
          <cell r="B12806" t="str">
            <v>Clorhidrato de molindona</v>
          </cell>
        </row>
        <row r="12807">
          <cell r="A12807">
            <v>51141721</v>
          </cell>
          <cell r="B12807" t="str">
            <v>Pimozida</v>
          </cell>
        </row>
        <row r="12808">
          <cell r="A12808">
            <v>51141722</v>
          </cell>
          <cell r="B12808" t="str">
            <v>Fumarato de quetiapina</v>
          </cell>
        </row>
        <row r="12809">
          <cell r="A12809">
            <v>51141723</v>
          </cell>
          <cell r="B12809" t="str">
            <v>Tiotixeno</v>
          </cell>
        </row>
        <row r="12810">
          <cell r="A12810">
            <v>51141724</v>
          </cell>
          <cell r="B12810" t="str">
            <v>Clorhidrato de tiotixeno</v>
          </cell>
        </row>
        <row r="12811">
          <cell r="A12811">
            <v>51141725</v>
          </cell>
          <cell r="B12811" t="str">
            <v>Clorhidrato de ziprasidona</v>
          </cell>
        </row>
        <row r="12812">
          <cell r="A12812">
            <v>51141726</v>
          </cell>
          <cell r="B12812" t="str">
            <v>Clorhidrato de triflupromazina</v>
          </cell>
        </row>
        <row r="12813">
          <cell r="A12813">
            <v>51141727</v>
          </cell>
          <cell r="B12813" t="str">
            <v>Mesilato de ziprasidona</v>
          </cell>
        </row>
        <row r="12814">
          <cell r="A12814">
            <v>51141728</v>
          </cell>
          <cell r="B12814" t="str">
            <v>Droperidol</v>
          </cell>
        </row>
        <row r="12815">
          <cell r="A12815">
            <v>51141729</v>
          </cell>
          <cell r="B12815" t="str">
            <v>Clorhidrato de tioridazina</v>
          </cell>
        </row>
        <row r="12816">
          <cell r="A12816">
            <v>51141801</v>
          </cell>
          <cell r="B12816" t="str">
            <v>Pentobarbital</v>
          </cell>
        </row>
        <row r="12817">
          <cell r="A12817">
            <v>51141802</v>
          </cell>
          <cell r="B12817" t="str">
            <v>Secobarbital sódico</v>
          </cell>
        </row>
        <row r="12818">
          <cell r="A12818">
            <v>51141803</v>
          </cell>
          <cell r="B12818" t="str">
            <v>Hidrato de cloral</v>
          </cell>
        </row>
        <row r="12819">
          <cell r="A12819">
            <v>51141804</v>
          </cell>
          <cell r="B12819" t="str">
            <v>Estazolam</v>
          </cell>
        </row>
        <row r="12820">
          <cell r="A12820">
            <v>51141805</v>
          </cell>
          <cell r="B12820" t="str">
            <v>Triazolam</v>
          </cell>
        </row>
        <row r="12821">
          <cell r="A12821">
            <v>51141806</v>
          </cell>
          <cell r="B12821" t="str">
            <v>Butobarbital</v>
          </cell>
        </row>
        <row r="12822">
          <cell r="A12822">
            <v>51141807</v>
          </cell>
          <cell r="B12822" t="str">
            <v>Flunitrazepam</v>
          </cell>
        </row>
        <row r="12823">
          <cell r="A12823">
            <v>51141808</v>
          </cell>
          <cell r="B12823" t="str">
            <v>Tartrato de zolpidem</v>
          </cell>
        </row>
        <row r="12824">
          <cell r="A12824">
            <v>51141809</v>
          </cell>
          <cell r="B12824" t="str">
            <v>Loprazolam mesilato</v>
          </cell>
        </row>
        <row r="12825">
          <cell r="A12825">
            <v>51141810</v>
          </cell>
          <cell r="B12825" t="str">
            <v>Zoplicona</v>
          </cell>
        </row>
        <row r="12826">
          <cell r="A12826">
            <v>51141811</v>
          </cell>
          <cell r="B12826" t="str">
            <v>Amobarbital sódico</v>
          </cell>
        </row>
        <row r="12827">
          <cell r="A12827">
            <v>51141812</v>
          </cell>
          <cell r="B12827" t="str">
            <v>Didrocloruro de dexmedetomidina</v>
          </cell>
        </row>
        <row r="12828">
          <cell r="A12828">
            <v>51141813</v>
          </cell>
          <cell r="B12828" t="str">
            <v>Etclorvinol</v>
          </cell>
        </row>
        <row r="12829">
          <cell r="A12829">
            <v>51141814</v>
          </cell>
          <cell r="B12829" t="str">
            <v>Clorhidrato de flurazepam</v>
          </cell>
        </row>
        <row r="12830">
          <cell r="A12830">
            <v>51141815</v>
          </cell>
          <cell r="B12830" t="str">
            <v>Glutetimida</v>
          </cell>
        </row>
        <row r="12831">
          <cell r="A12831">
            <v>51141816</v>
          </cell>
          <cell r="B12831" t="str">
            <v>Paraldehído</v>
          </cell>
        </row>
        <row r="12832">
          <cell r="A12832">
            <v>51141817</v>
          </cell>
          <cell r="B12832" t="str">
            <v>Quazepam</v>
          </cell>
        </row>
        <row r="12833">
          <cell r="A12833">
            <v>51141818</v>
          </cell>
          <cell r="B12833" t="str">
            <v>Triptófano</v>
          </cell>
        </row>
        <row r="12834">
          <cell r="A12834">
            <v>51141819</v>
          </cell>
          <cell r="B12834" t="str">
            <v>Zaleplon</v>
          </cell>
        </row>
        <row r="12835">
          <cell r="A12835">
            <v>51141820</v>
          </cell>
          <cell r="B12835" t="str">
            <v>Pentobarbital sódico</v>
          </cell>
        </row>
        <row r="12836">
          <cell r="A12836">
            <v>51141821</v>
          </cell>
          <cell r="B12836" t="str">
            <v>Doxilamina succinato</v>
          </cell>
        </row>
        <row r="12837">
          <cell r="A12837">
            <v>51141822</v>
          </cell>
          <cell r="B12837" t="str">
            <v>Butabarbital</v>
          </cell>
        </row>
        <row r="12838">
          <cell r="A12838">
            <v>51141903</v>
          </cell>
          <cell r="B12838" t="str">
            <v>Carbonato de litio</v>
          </cell>
        </row>
        <row r="12839">
          <cell r="A12839">
            <v>51141904</v>
          </cell>
          <cell r="B12839" t="str">
            <v>Citrato de litio</v>
          </cell>
        </row>
        <row r="12840">
          <cell r="A12840">
            <v>51141907</v>
          </cell>
          <cell r="B12840" t="str">
            <v>Sulpirida</v>
          </cell>
        </row>
        <row r="12841">
          <cell r="A12841">
            <v>51141908</v>
          </cell>
          <cell r="B12841" t="str">
            <v>Tiaprida</v>
          </cell>
        </row>
        <row r="12842">
          <cell r="A12842">
            <v>51141910</v>
          </cell>
          <cell r="B12842" t="str">
            <v>Bromazepam</v>
          </cell>
        </row>
        <row r="12843">
          <cell r="A12843">
            <v>51141911</v>
          </cell>
          <cell r="B12843" t="str">
            <v>Tofisopam</v>
          </cell>
        </row>
        <row r="12844">
          <cell r="A12844">
            <v>51141912</v>
          </cell>
          <cell r="B12844" t="str">
            <v>Hidrocloruro de chlordiazepoxide</v>
          </cell>
        </row>
        <row r="12845">
          <cell r="A12845">
            <v>51141913</v>
          </cell>
          <cell r="B12845" t="str">
            <v>Clormezanone</v>
          </cell>
        </row>
        <row r="12846">
          <cell r="A12846">
            <v>51141914</v>
          </cell>
          <cell r="B12846" t="str">
            <v>Clorazapato dipotásico</v>
          </cell>
        </row>
        <row r="12847">
          <cell r="A12847">
            <v>51141915</v>
          </cell>
          <cell r="B12847" t="str">
            <v>Halazepam</v>
          </cell>
        </row>
        <row r="12848">
          <cell r="A12848">
            <v>51141916</v>
          </cell>
          <cell r="B12848" t="str">
            <v>Lorazepam</v>
          </cell>
        </row>
        <row r="12849">
          <cell r="A12849">
            <v>51141917</v>
          </cell>
          <cell r="B12849" t="str">
            <v>Oxazepam</v>
          </cell>
        </row>
        <row r="12850">
          <cell r="A12850">
            <v>51141918</v>
          </cell>
          <cell r="B12850" t="str">
            <v>Meprobamato</v>
          </cell>
        </row>
        <row r="12851">
          <cell r="A12851">
            <v>51141919</v>
          </cell>
          <cell r="B12851" t="str">
            <v>Alprazolam</v>
          </cell>
        </row>
        <row r="12852">
          <cell r="A12852">
            <v>51141920</v>
          </cell>
          <cell r="B12852" t="str">
            <v>Diazepam</v>
          </cell>
        </row>
        <row r="12853">
          <cell r="A12853">
            <v>51141921</v>
          </cell>
          <cell r="B12853" t="str">
            <v>Clorhidrato de midazoloam</v>
          </cell>
        </row>
        <row r="12854">
          <cell r="A12854">
            <v>51141922</v>
          </cell>
          <cell r="B12854" t="str">
            <v>Temazepam</v>
          </cell>
        </row>
        <row r="12855">
          <cell r="A12855">
            <v>51142001</v>
          </cell>
          <cell r="B12855" t="str">
            <v>Acetaminofén</v>
          </cell>
        </row>
        <row r="12856">
          <cell r="A12856">
            <v>51142002</v>
          </cell>
          <cell r="B12856" t="str">
            <v>Ácido acetilsalicílico</v>
          </cell>
        </row>
        <row r="12857">
          <cell r="A12857">
            <v>51142003</v>
          </cell>
          <cell r="B12857" t="str">
            <v>Mesalamina</v>
          </cell>
        </row>
        <row r="12858">
          <cell r="A12858">
            <v>51142004</v>
          </cell>
          <cell r="B12858" t="str">
            <v>Meprobromato</v>
          </cell>
        </row>
        <row r="12859">
          <cell r="A12859">
            <v>51142005</v>
          </cell>
          <cell r="B12859" t="str">
            <v>Butetisalicilato de metilo</v>
          </cell>
        </row>
        <row r="12860">
          <cell r="A12860">
            <v>51142006</v>
          </cell>
          <cell r="B12860" t="str">
            <v>Oxaceprol</v>
          </cell>
        </row>
        <row r="12861">
          <cell r="A12861">
            <v>51142009</v>
          </cell>
          <cell r="B12861" t="str">
            <v>Metamizol sódico</v>
          </cell>
        </row>
        <row r="12862">
          <cell r="A12862">
            <v>51142010</v>
          </cell>
          <cell r="B12862" t="str">
            <v>Acetanilida</v>
          </cell>
        </row>
        <row r="12863">
          <cell r="A12863">
            <v>51142011</v>
          </cell>
          <cell r="B12863" t="str">
            <v>Salicilato de magnesio</v>
          </cell>
        </row>
        <row r="12864">
          <cell r="A12864">
            <v>51142012</v>
          </cell>
          <cell r="B12864" t="str">
            <v>Ácido mefenámico</v>
          </cell>
        </row>
        <row r="12865">
          <cell r="A12865">
            <v>51142013</v>
          </cell>
          <cell r="B12865" t="str">
            <v>Salicilamida</v>
          </cell>
        </row>
        <row r="12866">
          <cell r="A12866">
            <v>51142014</v>
          </cell>
          <cell r="B12866" t="str">
            <v>Tiosalicilato de sodio</v>
          </cell>
        </row>
        <row r="12867">
          <cell r="A12867">
            <v>51142015</v>
          </cell>
          <cell r="B12867" t="str">
            <v>Salicilato de trietanolamina</v>
          </cell>
        </row>
        <row r="12868">
          <cell r="A12868">
            <v>51142016</v>
          </cell>
          <cell r="B12868" t="str">
            <v>Solución de antipirina y benzocaína</v>
          </cell>
        </row>
        <row r="12869">
          <cell r="A12869">
            <v>51142017</v>
          </cell>
          <cell r="B12869" t="str">
            <v>Salsalato o ácido salicil salicílico</v>
          </cell>
        </row>
        <row r="12870">
          <cell r="A12870">
            <v>51142018</v>
          </cell>
          <cell r="B12870" t="str">
            <v>Inyección de alcohol deshidratado</v>
          </cell>
        </row>
        <row r="12871">
          <cell r="A12871">
            <v>51142101</v>
          </cell>
          <cell r="B12871" t="str">
            <v>Auranofin</v>
          </cell>
        </row>
        <row r="12872">
          <cell r="A12872">
            <v>51142102</v>
          </cell>
          <cell r="B12872" t="str">
            <v>Carpofen</v>
          </cell>
        </row>
        <row r="12873">
          <cell r="A12873">
            <v>51142103</v>
          </cell>
          <cell r="B12873" t="str">
            <v>Diclofenaco potásico</v>
          </cell>
        </row>
        <row r="12874">
          <cell r="A12874">
            <v>51142104</v>
          </cell>
          <cell r="B12874" t="str">
            <v>Diclofenaco sódico</v>
          </cell>
        </row>
        <row r="12875">
          <cell r="A12875">
            <v>51142105</v>
          </cell>
          <cell r="B12875" t="str">
            <v>Flurbiprofeno</v>
          </cell>
        </row>
        <row r="12876">
          <cell r="A12876">
            <v>51142106</v>
          </cell>
          <cell r="B12876" t="str">
            <v>Ibuprofeno</v>
          </cell>
        </row>
        <row r="12877">
          <cell r="A12877">
            <v>51142107</v>
          </cell>
          <cell r="B12877" t="str">
            <v>Indometacina</v>
          </cell>
        </row>
        <row r="12878">
          <cell r="A12878">
            <v>51142108</v>
          </cell>
          <cell r="B12878" t="str">
            <v>Ketoprofeno</v>
          </cell>
        </row>
        <row r="12879">
          <cell r="A12879">
            <v>51142109</v>
          </cell>
          <cell r="B12879" t="str">
            <v>Naproxeno</v>
          </cell>
        </row>
        <row r="12880">
          <cell r="A12880">
            <v>51142110</v>
          </cell>
          <cell r="B12880" t="str">
            <v>Naproxeno sódico</v>
          </cell>
        </row>
        <row r="12881">
          <cell r="A12881">
            <v>51142111</v>
          </cell>
          <cell r="B12881" t="str">
            <v>Oxaprozin</v>
          </cell>
        </row>
        <row r="12882">
          <cell r="A12882">
            <v>51142112</v>
          </cell>
          <cell r="B12882" t="str">
            <v>Sulindaco</v>
          </cell>
        </row>
        <row r="12883">
          <cell r="A12883">
            <v>51142113</v>
          </cell>
          <cell r="B12883" t="str">
            <v>Suprofeno</v>
          </cell>
        </row>
        <row r="12884">
          <cell r="A12884">
            <v>51142114</v>
          </cell>
          <cell r="B12884" t="str">
            <v>Clorhidrato de bencidamina</v>
          </cell>
        </row>
        <row r="12885">
          <cell r="A12885">
            <v>51142116</v>
          </cell>
          <cell r="B12885" t="str">
            <v>Salicilato de dietilamina</v>
          </cell>
        </row>
        <row r="12886">
          <cell r="A12886">
            <v>51142117</v>
          </cell>
          <cell r="B12886" t="str">
            <v>Dietilamina diclofenaco</v>
          </cell>
        </row>
        <row r="12887">
          <cell r="A12887">
            <v>51142118</v>
          </cell>
          <cell r="B12887" t="str">
            <v>Nimesulida</v>
          </cell>
        </row>
        <row r="12888">
          <cell r="A12888">
            <v>51142119</v>
          </cell>
          <cell r="B12888" t="str">
            <v>Benorilato</v>
          </cell>
        </row>
        <row r="12889">
          <cell r="A12889">
            <v>51142120</v>
          </cell>
          <cell r="B12889" t="str">
            <v>Serrapeptasa</v>
          </cell>
        </row>
        <row r="12890">
          <cell r="A12890">
            <v>51142121</v>
          </cell>
          <cell r="B12890" t="str">
            <v>Diclofenaco</v>
          </cell>
        </row>
        <row r="12891">
          <cell r="A12891">
            <v>51142122</v>
          </cell>
          <cell r="B12891" t="str">
            <v>Auriotomalato de sodio</v>
          </cell>
        </row>
        <row r="12892">
          <cell r="A12892">
            <v>51142123</v>
          </cell>
          <cell r="B12892" t="str">
            <v>Ketorolaco trometamol</v>
          </cell>
        </row>
        <row r="12893">
          <cell r="A12893">
            <v>51142124</v>
          </cell>
          <cell r="B12893" t="str">
            <v>Etodolac</v>
          </cell>
        </row>
        <row r="12894">
          <cell r="A12894">
            <v>51142125</v>
          </cell>
          <cell r="B12894" t="str">
            <v>Etofenamato</v>
          </cell>
        </row>
        <row r="12895">
          <cell r="A12895">
            <v>51142126</v>
          </cell>
          <cell r="B12895" t="str">
            <v>Floctafenina</v>
          </cell>
        </row>
        <row r="12896">
          <cell r="A12896">
            <v>51142127</v>
          </cell>
          <cell r="B12896" t="str">
            <v>Emorfazona</v>
          </cell>
        </row>
        <row r="12897">
          <cell r="A12897">
            <v>51142128</v>
          </cell>
          <cell r="B12897" t="str">
            <v>Piroxicam</v>
          </cell>
        </row>
        <row r="12898">
          <cell r="A12898">
            <v>51142129</v>
          </cell>
          <cell r="B12898" t="str">
            <v>Ácido tiaprofénico</v>
          </cell>
        </row>
        <row r="12899">
          <cell r="A12899">
            <v>51142130</v>
          </cell>
          <cell r="B12899" t="str">
            <v>Leflunomida</v>
          </cell>
        </row>
        <row r="12900">
          <cell r="A12900">
            <v>51142131</v>
          </cell>
          <cell r="B12900" t="str">
            <v>Celecoxib</v>
          </cell>
        </row>
        <row r="12901">
          <cell r="A12901">
            <v>51142132</v>
          </cell>
          <cell r="B12901" t="str">
            <v>Aurotioglucosa</v>
          </cell>
        </row>
        <row r="12902">
          <cell r="A12902">
            <v>51142133</v>
          </cell>
          <cell r="B12902" t="str">
            <v>Bromfenac sódico</v>
          </cell>
        </row>
        <row r="12903">
          <cell r="A12903">
            <v>51142134</v>
          </cell>
          <cell r="B12903" t="str">
            <v>Salicilato de colina</v>
          </cell>
        </row>
        <row r="12904">
          <cell r="A12904">
            <v>51142135</v>
          </cell>
          <cell r="B12904" t="str">
            <v>Fenoprofen cálcico</v>
          </cell>
        </row>
        <row r="12905">
          <cell r="A12905">
            <v>51142136</v>
          </cell>
          <cell r="B12905" t="str">
            <v>Flurbiprofen sódico</v>
          </cell>
        </row>
        <row r="12906">
          <cell r="A12906">
            <v>51142137</v>
          </cell>
          <cell r="B12906" t="str">
            <v>Indometacina trihidrato sódica</v>
          </cell>
        </row>
        <row r="12907">
          <cell r="A12907">
            <v>51142138</v>
          </cell>
          <cell r="B12907" t="str">
            <v>Ketorolac trometamina</v>
          </cell>
        </row>
        <row r="12908">
          <cell r="A12908">
            <v>51142139</v>
          </cell>
          <cell r="B12908" t="str">
            <v>Meclofenamato sódico</v>
          </cell>
        </row>
        <row r="12909">
          <cell r="A12909">
            <v>51142140</v>
          </cell>
          <cell r="B12909" t="str">
            <v>Meloxicam</v>
          </cell>
        </row>
        <row r="12910">
          <cell r="A12910">
            <v>51142141</v>
          </cell>
          <cell r="B12910" t="str">
            <v>Nabumetona</v>
          </cell>
        </row>
        <row r="12911">
          <cell r="A12911">
            <v>51142142</v>
          </cell>
          <cell r="B12911" t="str">
            <v>Rofecoxib</v>
          </cell>
        </row>
        <row r="12912">
          <cell r="A12912">
            <v>51142143</v>
          </cell>
          <cell r="B12912" t="str">
            <v>Tolmetin sódico</v>
          </cell>
        </row>
        <row r="12913">
          <cell r="A12913">
            <v>51142144</v>
          </cell>
          <cell r="B12913" t="str">
            <v>Valdecoxib</v>
          </cell>
        </row>
        <row r="12914">
          <cell r="A12914">
            <v>51142145</v>
          </cell>
          <cell r="B12914" t="str">
            <v>Adalimumab</v>
          </cell>
        </row>
        <row r="12915">
          <cell r="A12915">
            <v>51142146</v>
          </cell>
          <cell r="B12915" t="str">
            <v>Diflunisal</v>
          </cell>
        </row>
        <row r="12916">
          <cell r="A12916">
            <v>51142147</v>
          </cell>
          <cell r="B12916" t="str">
            <v>Anakinra</v>
          </cell>
        </row>
        <row r="12917">
          <cell r="A12917">
            <v>51142148</v>
          </cell>
          <cell r="B12917" t="str">
            <v>Hialuronato de sodio</v>
          </cell>
        </row>
        <row r="12918">
          <cell r="A12918">
            <v>51142149</v>
          </cell>
          <cell r="B12918" t="str">
            <v>Glucosamina</v>
          </cell>
        </row>
        <row r="12919">
          <cell r="A12919">
            <v>51142201</v>
          </cell>
          <cell r="B12919" t="str">
            <v>Butorfanol tartrato</v>
          </cell>
        </row>
        <row r="12920">
          <cell r="A12920">
            <v>51142202</v>
          </cell>
          <cell r="B12920" t="str">
            <v>Fosfato codeina</v>
          </cell>
        </row>
        <row r="12921">
          <cell r="A12921">
            <v>51142203</v>
          </cell>
          <cell r="B12921" t="str">
            <v>Sulfato codeina</v>
          </cell>
        </row>
        <row r="12922">
          <cell r="A12922">
            <v>51142205</v>
          </cell>
          <cell r="B12922" t="str">
            <v>Clorhidrato meperidina</v>
          </cell>
        </row>
        <row r="12923">
          <cell r="A12923">
            <v>51142206</v>
          </cell>
          <cell r="B12923" t="str">
            <v>Sulfato de morfina</v>
          </cell>
        </row>
        <row r="12924">
          <cell r="A12924">
            <v>51142207</v>
          </cell>
          <cell r="B12924" t="str">
            <v>Oxicodona</v>
          </cell>
        </row>
        <row r="12925">
          <cell r="A12925">
            <v>51142208</v>
          </cell>
          <cell r="B12925" t="str">
            <v>Citrato sufentanilo</v>
          </cell>
        </row>
        <row r="12926">
          <cell r="A12926">
            <v>51142209</v>
          </cell>
          <cell r="B12926" t="str">
            <v>Clorhidrato nefopam</v>
          </cell>
        </row>
        <row r="12927">
          <cell r="A12927">
            <v>51142210</v>
          </cell>
          <cell r="B12927" t="str">
            <v>Clorhidrato etilmorfina</v>
          </cell>
        </row>
        <row r="12928">
          <cell r="A12928">
            <v>51142211</v>
          </cell>
          <cell r="B12928" t="str">
            <v>Hidrocodona</v>
          </cell>
        </row>
        <row r="12929">
          <cell r="A12929">
            <v>51142212</v>
          </cell>
          <cell r="B12929" t="str">
            <v>Dihidrocodeina resinato</v>
          </cell>
        </row>
        <row r="12930">
          <cell r="A12930">
            <v>51142213</v>
          </cell>
          <cell r="B12930" t="str">
            <v>Napsilato de propoxifeno</v>
          </cell>
        </row>
        <row r="12931">
          <cell r="A12931">
            <v>51142214</v>
          </cell>
          <cell r="B12931" t="str">
            <v>Clorhidrato de alfentanil</v>
          </cell>
        </row>
        <row r="12932">
          <cell r="A12932">
            <v>51142215</v>
          </cell>
          <cell r="B12932" t="str">
            <v>Hidrocloruro de buprenorfina</v>
          </cell>
        </row>
        <row r="12933">
          <cell r="A12933">
            <v>51142216</v>
          </cell>
          <cell r="B12933" t="str">
            <v>Dezocina</v>
          </cell>
        </row>
        <row r="12934">
          <cell r="A12934">
            <v>51142217</v>
          </cell>
          <cell r="B12934" t="str">
            <v>Dihidrocodéina tartrato</v>
          </cell>
        </row>
        <row r="12935">
          <cell r="A12935">
            <v>51142218</v>
          </cell>
          <cell r="B12935" t="str">
            <v>Dihidrocodéina</v>
          </cell>
        </row>
        <row r="12936">
          <cell r="A12936">
            <v>51142219</v>
          </cell>
          <cell r="B12936" t="str">
            <v>Fentanilo</v>
          </cell>
        </row>
        <row r="12937">
          <cell r="A12937">
            <v>51142220</v>
          </cell>
          <cell r="B12937" t="str">
            <v>Citrato de fentanilo</v>
          </cell>
        </row>
        <row r="12938">
          <cell r="A12938">
            <v>51142221</v>
          </cell>
          <cell r="B12938" t="str">
            <v>Bitartrato de hidrocodona</v>
          </cell>
        </row>
        <row r="12939">
          <cell r="A12939">
            <v>51142222</v>
          </cell>
          <cell r="B12939" t="str">
            <v>Hidrocloruro de hidromorfona</v>
          </cell>
        </row>
        <row r="12940">
          <cell r="A12940">
            <v>51142223</v>
          </cell>
          <cell r="B12940" t="str">
            <v>Polistirex de hidrocodona</v>
          </cell>
        </row>
        <row r="12941">
          <cell r="A12941">
            <v>51142224</v>
          </cell>
          <cell r="B12941" t="str">
            <v>Clorhidrato de acetato de levometadil</v>
          </cell>
        </row>
        <row r="12942">
          <cell r="A12942">
            <v>51142225</v>
          </cell>
          <cell r="B12942" t="str">
            <v>Tartrato de levorfanol</v>
          </cell>
        </row>
        <row r="12943">
          <cell r="A12943">
            <v>51142226</v>
          </cell>
          <cell r="B12943" t="str">
            <v>Clorhidrato de metadona</v>
          </cell>
        </row>
        <row r="12944">
          <cell r="A12944">
            <v>51142227</v>
          </cell>
          <cell r="B12944" t="str">
            <v>Clorhidrato de oxicodona</v>
          </cell>
        </row>
        <row r="12945">
          <cell r="A12945">
            <v>51142228</v>
          </cell>
          <cell r="B12945" t="str">
            <v>Clorhidrato de oximorfona</v>
          </cell>
        </row>
        <row r="12946">
          <cell r="A12946">
            <v>51142229</v>
          </cell>
          <cell r="B12946" t="str">
            <v>Clorhidrato de pentazocina</v>
          </cell>
        </row>
        <row r="12947">
          <cell r="A12947">
            <v>51142230</v>
          </cell>
          <cell r="B12947" t="str">
            <v>Lactato de pentazocina</v>
          </cell>
        </row>
        <row r="12948">
          <cell r="A12948">
            <v>51142231</v>
          </cell>
          <cell r="B12948" t="str">
            <v>Clorhidrato de propoxifeno</v>
          </cell>
        </row>
        <row r="12949">
          <cell r="A12949">
            <v>51142232</v>
          </cell>
          <cell r="B12949" t="str">
            <v>Clorhidrato de remifentanilo</v>
          </cell>
        </row>
        <row r="12950">
          <cell r="A12950">
            <v>51142233</v>
          </cell>
          <cell r="B12950" t="str">
            <v>Codeína</v>
          </cell>
        </row>
        <row r="12951">
          <cell r="A12951">
            <v>51142234</v>
          </cell>
          <cell r="B12951" t="str">
            <v>Bitartrato de dihidrocodeína</v>
          </cell>
        </row>
        <row r="12952">
          <cell r="A12952">
            <v>51142235</v>
          </cell>
          <cell r="B12952" t="str">
            <v>Clorhidrato de tramadol</v>
          </cell>
        </row>
        <row r="12953">
          <cell r="A12953">
            <v>51142236</v>
          </cell>
          <cell r="B12953" t="str">
            <v>Opio</v>
          </cell>
        </row>
        <row r="12954">
          <cell r="A12954">
            <v>51142237</v>
          </cell>
          <cell r="B12954" t="str">
            <v>Dextropropoxifeno</v>
          </cell>
        </row>
        <row r="12955">
          <cell r="A12955">
            <v>51142301</v>
          </cell>
          <cell r="B12955" t="str">
            <v>Clorhidrato de nalmefeno</v>
          </cell>
        </row>
        <row r="12956">
          <cell r="A12956">
            <v>51142302</v>
          </cell>
          <cell r="B12956" t="str">
            <v>Hidrocloruro de naloxona</v>
          </cell>
        </row>
        <row r="12957">
          <cell r="A12957">
            <v>51142303</v>
          </cell>
          <cell r="B12957" t="str">
            <v>Naltrexona</v>
          </cell>
        </row>
        <row r="12958">
          <cell r="A12958">
            <v>51142304</v>
          </cell>
          <cell r="B12958" t="str">
            <v>Clorhidrato de nalbufina</v>
          </cell>
        </row>
        <row r="12959">
          <cell r="A12959">
            <v>51142305</v>
          </cell>
          <cell r="B12959" t="str">
            <v>Roxatidina</v>
          </cell>
        </row>
        <row r="12960">
          <cell r="A12960">
            <v>51142401</v>
          </cell>
          <cell r="B12960" t="str">
            <v>Maleato de metisergida</v>
          </cell>
        </row>
        <row r="12961">
          <cell r="A12961">
            <v>51142402</v>
          </cell>
          <cell r="B12961" t="str">
            <v>Succinato de sumatriptán</v>
          </cell>
        </row>
        <row r="12962">
          <cell r="A12962">
            <v>51142403</v>
          </cell>
          <cell r="B12962" t="str">
            <v>Tartrato de ergotamina</v>
          </cell>
        </row>
        <row r="12963">
          <cell r="A12963">
            <v>51142404</v>
          </cell>
          <cell r="B12963" t="str">
            <v>Dihidroergotamina</v>
          </cell>
        </row>
        <row r="12964">
          <cell r="A12964">
            <v>51142405</v>
          </cell>
          <cell r="B12964" t="str">
            <v>Combinación de ácido acetilsalicílico paracetamol</v>
          </cell>
        </row>
        <row r="12965">
          <cell r="A12965">
            <v>51142406</v>
          </cell>
          <cell r="B12965" t="str">
            <v>Almotriptán malato</v>
          </cell>
        </row>
        <row r="12966">
          <cell r="A12966">
            <v>51142407</v>
          </cell>
          <cell r="B12966" t="str">
            <v>Mesilato de dihidroergotamina</v>
          </cell>
        </row>
        <row r="12967">
          <cell r="A12967">
            <v>51142408</v>
          </cell>
          <cell r="B12967" t="str">
            <v>Succinato de frovatriptan</v>
          </cell>
        </row>
        <row r="12968">
          <cell r="A12968">
            <v>51142409</v>
          </cell>
          <cell r="B12968" t="str">
            <v>Isometepteno</v>
          </cell>
        </row>
        <row r="12969">
          <cell r="A12969">
            <v>51142410</v>
          </cell>
          <cell r="B12969" t="str">
            <v>Naratriptán hidrocloruro</v>
          </cell>
        </row>
        <row r="12970">
          <cell r="A12970">
            <v>51142411</v>
          </cell>
          <cell r="B12970" t="str">
            <v>Benzoato de rizatriptán</v>
          </cell>
        </row>
        <row r="12971">
          <cell r="A12971">
            <v>51142412</v>
          </cell>
          <cell r="B12971" t="str">
            <v>Bromhidrato de eletriptan</v>
          </cell>
        </row>
        <row r="12972">
          <cell r="A12972">
            <v>51142413</v>
          </cell>
          <cell r="B12972" t="str">
            <v>Zolmitriptán</v>
          </cell>
        </row>
        <row r="12973">
          <cell r="A12973">
            <v>51142414</v>
          </cell>
          <cell r="B12973" t="str">
            <v>Sumatriptán</v>
          </cell>
        </row>
        <row r="12974">
          <cell r="A12974">
            <v>51142501</v>
          </cell>
          <cell r="B12974" t="str">
            <v>Mesilato de bromocriptina</v>
          </cell>
        </row>
        <row r="12975">
          <cell r="A12975">
            <v>51142502</v>
          </cell>
          <cell r="B12975" t="str">
            <v>Carbidopa</v>
          </cell>
        </row>
        <row r="12976">
          <cell r="A12976">
            <v>51142503</v>
          </cell>
          <cell r="B12976" t="str">
            <v>Levodopa</v>
          </cell>
        </row>
        <row r="12977">
          <cell r="A12977">
            <v>51142504</v>
          </cell>
          <cell r="B12977" t="str">
            <v>Clorhidrato de selegilina</v>
          </cell>
        </row>
        <row r="12978">
          <cell r="A12978">
            <v>51142505</v>
          </cell>
          <cell r="B12978" t="str">
            <v>Biperideno</v>
          </cell>
        </row>
        <row r="12979">
          <cell r="A12979">
            <v>51142506</v>
          </cell>
          <cell r="B12979" t="str">
            <v>Clorhidrato de biperideno</v>
          </cell>
        </row>
        <row r="12980">
          <cell r="A12980">
            <v>51142507</v>
          </cell>
          <cell r="B12980" t="str">
            <v>Mesilato de pergolida</v>
          </cell>
        </row>
        <row r="12981">
          <cell r="A12981">
            <v>51142508</v>
          </cell>
          <cell r="B12981" t="str">
            <v>Dihidrocloruro de pramipexol</v>
          </cell>
        </row>
        <row r="12982">
          <cell r="A12982">
            <v>51142509</v>
          </cell>
          <cell r="B12982" t="str">
            <v>Clorhidrato de ropinirol</v>
          </cell>
        </row>
        <row r="12983">
          <cell r="A12983">
            <v>51142510</v>
          </cell>
          <cell r="B12983" t="str">
            <v>Tolcapone</v>
          </cell>
        </row>
        <row r="12984">
          <cell r="A12984">
            <v>51142601</v>
          </cell>
          <cell r="B12984" t="str">
            <v>Sulfato de anfetamina</v>
          </cell>
        </row>
        <row r="12985">
          <cell r="A12985">
            <v>51142602</v>
          </cell>
          <cell r="B12985" t="str">
            <v>Fenfluramina</v>
          </cell>
        </row>
        <row r="12986">
          <cell r="A12986">
            <v>51142603</v>
          </cell>
          <cell r="B12986" t="str">
            <v>Mazindol</v>
          </cell>
        </row>
        <row r="12987">
          <cell r="A12987">
            <v>51142604</v>
          </cell>
          <cell r="B12987" t="str">
            <v>Pemolina</v>
          </cell>
        </row>
        <row r="12988">
          <cell r="A12988">
            <v>51142605</v>
          </cell>
          <cell r="B12988" t="str">
            <v>Tartrato de fendimetrazina</v>
          </cell>
        </row>
        <row r="12989">
          <cell r="A12989">
            <v>51142606</v>
          </cell>
          <cell r="B12989" t="str">
            <v>Clorhidrato de pipradol</v>
          </cell>
        </row>
        <row r="12990">
          <cell r="A12990">
            <v>51142607</v>
          </cell>
          <cell r="B12990" t="str">
            <v>Fenproporex</v>
          </cell>
        </row>
        <row r="12991">
          <cell r="A12991">
            <v>51142608</v>
          </cell>
          <cell r="B12991" t="str">
            <v>Trimetilxantina</v>
          </cell>
        </row>
        <row r="12992">
          <cell r="A12992">
            <v>51142609</v>
          </cell>
          <cell r="B12992" t="str">
            <v>Clorhidrato de anfepramona</v>
          </cell>
        </row>
        <row r="12993">
          <cell r="A12993">
            <v>51142610</v>
          </cell>
          <cell r="B12993" t="str">
            <v>Cafeína</v>
          </cell>
        </row>
        <row r="12994">
          <cell r="A12994">
            <v>51142611</v>
          </cell>
          <cell r="B12994" t="str">
            <v>Clorhidrato de dexfenfluramina</v>
          </cell>
        </row>
        <row r="12995">
          <cell r="A12995">
            <v>51142612</v>
          </cell>
          <cell r="B12995" t="str">
            <v>Clorhidrato de dietilpropión</v>
          </cell>
        </row>
        <row r="12996">
          <cell r="A12996">
            <v>51142613</v>
          </cell>
          <cell r="B12996" t="str">
            <v>Clorhidrato de fenfluramina</v>
          </cell>
        </row>
        <row r="12997">
          <cell r="A12997">
            <v>51142614</v>
          </cell>
          <cell r="B12997" t="str">
            <v>Clorhidrato de benzfetamina</v>
          </cell>
        </row>
        <row r="12998">
          <cell r="A12998">
            <v>51142615</v>
          </cell>
          <cell r="B12998" t="str">
            <v>Clorhidrato de  fentermina</v>
          </cell>
        </row>
        <row r="12999">
          <cell r="A12999">
            <v>51142616</v>
          </cell>
          <cell r="B12999" t="str">
            <v>Fentermina de resina</v>
          </cell>
        </row>
        <row r="13000">
          <cell r="A13000">
            <v>51142617</v>
          </cell>
          <cell r="B13000" t="str">
            <v>Clorhidrato de sibutramina monohidratada</v>
          </cell>
        </row>
        <row r="13001">
          <cell r="A13001">
            <v>51142618</v>
          </cell>
          <cell r="B13001" t="str">
            <v>Clorhidrato de metilfenidato</v>
          </cell>
        </row>
        <row r="13002">
          <cell r="A13002">
            <v>51142619</v>
          </cell>
          <cell r="B13002" t="str">
            <v>Espíritu aromático de amoníaco</v>
          </cell>
        </row>
        <row r="13003">
          <cell r="A13003">
            <v>51142701</v>
          </cell>
          <cell r="B13003" t="str">
            <v>Fenilbutazona</v>
          </cell>
        </row>
        <row r="13004">
          <cell r="A13004">
            <v>51142702</v>
          </cell>
          <cell r="B13004" t="str">
            <v>Ácido meclofenámico</v>
          </cell>
        </row>
        <row r="13005">
          <cell r="A13005">
            <v>51142801</v>
          </cell>
          <cell r="B13005" t="str">
            <v>Riluzol</v>
          </cell>
        </row>
        <row r="13006">
          <cell r="A13006">
            <v>51142901</v>
          </cell>
          <cell r="B13006" t="str">
            <v>Cloroformo</v>
          </cell>
        </row>
        <row r="13007">
          <cell r="A13007">
            <v>51142902</v>
          </cell>
          <cell r="B13007" t="str">
            <v>Mezcla eutéctica de anestésicos locales</v>
          </cell>
        </row>
        <row r="13008">
          <cell r="A13008">
            <v>51142903</v>
          </cell>
          <cell r="B13008" t="str">
            <v>Ropivacaína</v>
          </cell>
        </row>
        <row r="13009">
          <cell r="A13009">
            <v>51142904</v>
          </cell>
          <cell r="B13009" t="str">
            <v>Lidocaína</v>
          </cell>
        </row>
        <row r="13010">
          <cell r="A13010">
            <v>51142905</v>
          </cell>
          <cell r="B13010" t="str">
            <v>Bupivacaína</v>
          </cell>
        </row>
        <row r="13011">
          <cell r="A13011">
            <v>51142906</v>
          </cell>
          <cell r="B13011" t="str">
            <v>Clorhidrato de ametocaína</v>
          </cell>
        </row>
        <row r="13012">
          <cell r="A13012">
            <v>51142907</v>
          </cell>
          <cell r="B13012" t="str">
            <v>Oxibuprocaína</v>
          </cell>
        </row>
        <row r="13013">
          <cell r="A13013">
            <v>51142908</v>
          </cell>
          <cell r="B13013" t="str">
            <v>Lignocaina</v>
          </cell>
        </row>
        <row r="13014">
          <cell r="A13014">
            <v>51142909</v>
          </cell>
          <cell r="B13014" t="str">
            <v>Benzocaína</v>
          </cell>
        </row>
        <row r="13015">
          <cell r="A13015">
            <v>51142910</v>
          </cell>
          <cell r="B13015" t="str">
            <v>Prilocaina</v>
          </cell>
        </row>
        <row r="13016">
          <cell r="A13016">
            <v>51142911</v>
          </cell>
          <cell r="B13016" t="str">
            <v>Clorhidrato de quinisocaina</v>
          </cell>
        </row>
        <row r="13017">
          <cell r="A13017">
            <v>51142912</v>
          </cell>
          <cell r="B13017" t="str">
            <v>Dibucaina</v>
          </cell>
        </row>
        <row r="13018">
          <cell r="A13018">
            <v>51142913</v>
          </cell>
          <cell r="B13018" t="str">
            <v>Halotano</v>
          </cell>
        </row>
        <row r="13019">
          <cell r="A13019">
            <v>51142914</v>
          </cell>
          <cell r="B13019" t="str">
            <v>Clorhidrato de amilocaína</v>
          </cell>
        </row>
        <row r="13020">
          <cell r="A13020">
            <v>51142915</v>
          </cell>
          <cell r="B13020" t="str">
            <v>Septocaina</v>
          </cell>
        </row>
        <row r="13021">
          <cell r="A13021">
            <v>51142916</v>
          </cell>
          <cell r="B13021" t="str">
            <v>Hialuronidasa</v>
          </cell>
        </row>
        <row r="13022">
          <cell r="A13022">
            <v>51142917</v>
          </cell>
          <cell r="B13022" t="str">
            <v>Mepivacaína</v>
          </cell>
        </row>
        <row r="13023">
          <cell r="A13023">
            <v>51142918</v>
          </cell>
          <cell r="B13023" t="str">
            <v>Articaína</v>
          </cell>
        </row>
        <row r="13024">
          <cell r="A13024">
            <v>51142919</v>
          </cell>
          <cell r="B13024" t="str">
            <v>Isoflurano</v>
          </cell>
        </row>
        <row r="13025">
          <cell r="A13025">
            <v>51142920</v>
          </cell>
          <cell r="B13025" t="str">
            <v>Procaina</v>
          </cell>
        </row>
        <row r="13026">
          <cell r="A13026">
            <v>51142921</v>
          </cell>
          <cell r="B13026" t="str">
            <v>Tiopental sódico</v>
          </cell>
        </row>
        <row r="13027">
          <cell r="A13027">
            <v>51142922</v>
          </cell>
          <cell r="B13027" t="str">
            <v>Clorhidrato de benoxinato</v>
          </cell>
        </row>
        <row r="13028">
          <cell r="A13028">
            <v>51142923</v>
          </cell>
          <cell r="B13028" t="str">
            <v>Butambeno</v>
          </cell>
        </row>
        <row r="13029">
          <cell r="A13029">
            <v>51142924</v>
          </cell>
          <cell r="B13029" t="str">
            <v>Clorobutanol</v>
          </cell>
        </row>
        <row r="13030">
          <cell r="A13030">
            <v>51142925</v>
          </cell>
          <cell r="B13030" t="str">
            <v>Clorhidrato de cloroprocaína</v>
          </cell>
        </row>
        <row r="13031">
          <cell r="A13031">
            <v>51142926</v>
          </cell>
          <cell r="B13031" t="str">
            <v>Clorhidrato de cocaína</v>
          </cell>
        </row>
        <row r="13032">
          <cell r="A13032">
            <v>51142927</v>
          </cell>
          <cell r="B13032" t="str">
            <v>Desflurano</v>
          </cell>
        </row>
        <row r="13033">
          <cell r="A13033">
            <v>51142928</v>
          </cell>
          <cell r="B13033" t="str">
            <v>Clorhidrato de diclonina</v>
          </cell>
        </row>
        <row r="13034">
          <cell r="A13034">
            <v>51142929</v>
          </cell>
          <cell r="B13034" t="str">
            <v>Enflurano</v>
          </cell>
        </row>
        <row r="13035">
          <cell r="A13035">
            <v>51142930</v>
          </cell>
          <cell r="B13035" t="str">
            <v>Éter</v>
          </cell>
        </row>
        <row r="13036">
          <cell r="A13036">
            <v>51142931</v>
          </cell>
          <cell r="B13036" t="str">
            <v>Cloruro de etilo</v>
          </cell>
        </row>
        <row r="13037">
          <cell r="A13037">
            <v>51142932</v>
          </cell>
          <cell r="B13037" t="str">
            <v>Clorhidrato de etidocaína</v>
          </cell>
        </row>
        <row r="13038">
          <cell r="A13038">
            <v>51142933</v>
          </cell>
          <cell r="B13038" t="str">
            <v>Etomidato</v>
          </cell>
        </row>
        <row r="13039">
          <cell r="A13039">
            <v>51142934</v>
          </cell>
          <cell r="B13039" t="str">
            <v>Clorhidrato de ketamina</v>
          </cell>
        </row>
        <row r="13040">
          <cell r="A13040">
            <v>51142935</v>
          </cell>
          <cell r="B13040" t="str">
            <v>Levobupivacaína hidrocloruro</v>
          </cell>
        </row>
        <row r="13041">
          <cell r="A13041">
            <v>51142936</v>
          </cell>
          <cell r="B13041" t="str">
            <v>Levonordefrina</v>
          </cell>
        </row>
        <row r="13042">
          <cell r="A13042">
            <v>51142937</v>
          </cell>
          <cell r="B13042" t="str">
            <v>Clorhidrato de lidocaína</v>
          </cell>
        </row>
        <row r="13043">
          <cell r="A13043">
            <v>51142938</v>
          </cell>
          <cell r="B13043" t="str">
            <v>Metohexital sódico</v>
          </cell>
        </row>
        <row r="13044">
          <cell r="A13044">
            <v>51142939</v>
          </cell>
          <cell r="B13044" t="str">
            <v>Clorhidrato de pramoxina</v>
          </cell>
        </row>
        <row r="13045">
          <cell r="A13045">
            <v>51142940</v>
          </cell>
          <cell r="B13045" t="str">
            <v>Clorhidrato de proparacaína</v>
          </cell>
        </row>
        <row r="13046">
          <cell r="A13046">
            <v>51142941</v>
          </cell>
          <cell r="B13046" t="str">
            <v>Propofol</v>
          </cell>
        </row>
        <row r="13047">
          <cell r="A13047">
            <v>51142942</v>
          </cell>
          <cell r="B13047" t="str">
            <v>Sevoflurano</v>
          </cell>
        </row>
        <row r="13048">
          <cell r="A13048">
            <v>51142943</v>
          </cell>
          <cell r="B13048" t="str">
            <v>Tetracaína</v>
          </cell>
        </row>
        <row r="13049">
          <cell r="A13049">
            <v>51142944</v>
          </cell>
          <cell r="B13049" t="str">
            <v>Clorhidrato de tetracaina</v>
          </cell>
        </row>
        <row r="13050">
          <cell r="A13050">
            <v>51142945</v>
          </cell>
          <cell r="B13050" t="str">
            <v>Clorhidrato de doxapram</v>
          </cell>
        </row>
        <row r="13051">
          <cell r="A13051">
            <v>51142946</v>
          </cell>
          <cell r="B13051" t="str">
            <v>Metoxiflurano</v>
          </cell>
        </row>
        <row r="13052">
          <cell r="A13052">
            <v>51142947</v>
          </cell>
          <cell r="B13052" t="str">
            <v>Clorhidrato de cincocaína</v>
          </cell>
        </row>
        <row r="13053">
          <cell r="A13053">
            <v>51151501</v>
          </cell>
          <cell r="B13053" t="str">
            <v>Cloruro de betanecol</v>
          </cell>
        </row>
        <row r="13054">
          <cell r="A13054">
            <v>51151502</v>
          </cell>
          <cell r="B13054" t="str">
            <v>Cloruro de edrofonio</v>
          </cell>
        </row>
        <row r="13055">
          <cell r="A13055">
            <v>51151503</v>
          </cell>
          <cell r="B13055" t="str">
            <v>Fisostigmina</v>
          </cell>
        </row>
        <row r="13056">
          <cell r="A13056">
            <v>51151504</v>
          </cell>
          <cell r="B13056" t="str">
            <v>Nitrato de pilocarpina</v>
          </cell>
        </row>
        <row r="13057">
          <cell r="A13057">
            <v>51151505</v>
          </cell>
          <cell r="B13057" t="str">
            <v>Clorhidrato de tropatepina</v>
          </cell>
        </row>
        <row r="13058">
          <cell r="A13058">
            <v>51151506</v>
          </cell>
          <cell r="B13058" t="str">
            <v>Inhibidor de la esterasa</v>
          </cell>
        </row>
        <row r="13059">
          <cell r="A13059">
            <v>51151507</v>
          </cell>
          <cell r="B13059" t="str">
            <v>Cloruro de ambenonio</v>
          </cell>
        </row>
        <row r="13060">
          <cell r="A13060">
            <v>51151508</v>
          </cell>
          <cell r="B13060" t="str">
            <v>Dexpantenol</v>
          </cell>
        </row>
        <row r="13061">
          <cell r="A13061">
            <v>51151509</v>
          </cell>
          <cell r="B13061" t="str">
            <v>Donepezilo clorhidrato</v>
          </cell>
        </row>
        <row r="13062">
          <cell r="A13062">
            <v>51151510</v>
          </cell>
          <cell r="B13062" t="str">
            <v>Bromhidrato de galantamina</v>
          </cell>
        </row>
        <row r="13063">
          <cell r="A13063">
            <v>51151511</v>
          </cell>
          <cell r="B13063" t="str">
            <v>Bromuro de mepenzolato</v>
          </cell>
        </row>
        <row r="13064">
          <cell r="A13064">
            <v>51151512</v>
          </cell>
          <cell r="B13064" t="str">
            <v>Metilsulfato de neostigmina</v>
          </cell>
        </row>
        <row r="13065">
          <cell r="A13065">
            <v>51151513</v>
          </cell>
          <cell r="B13065" t="str">
            <v>Bromuro de neostigmina</v>
          </cell>
        </row>
        <row r="13066">
          <cell r="A13066">
            <v>51151514</v>
          </cell>
          <cell r="B13066" t="str">
            <v>Bromuro de piridostigmina</v>
          </cell>
        </row>
        <row r="13067">
          <cell r="A13067">
            <v>51151515</v>
          </cell>
          <cell r="B13067" t="str">
            <v>Tartrato de rivastigmina</v>
          </cell>
        </row>
        <row r="13068">
          <cell r="A13068">
            <v>51151516</v>
          </cell>
          <cell r="B13068" t="str">
            <v>Clorhidrato de tacrina</v>
          </cell>
        </row>
        <row r="13069">
          <cell r="A13069">
            <v>51151517</v>
          </cell>
          <cell r="B13069" t="str">
            <v>Clorhidrato de cevimelina</v>
          </cell>
        </row>
        <row r="13070">
          <cell r="A13070">
            <v>51151518</v>
          </cell>
          <cell r="B13070" t="str">
            <v>Lecitina o fosfatidilcolina</v>
          </cell>
        </row>
        <row r="13071">
          <cell r="A13071">
            <v>51151601</v>
          </cell>
          <cell r="B13071" t="str">
            <v>Sulfato de atropina</v>
          </cell>
        </row>
        <row r="13072">
          <cell r="A13072">
            <v>51151602</v>
          </cell>
          <cell r="B13072" t="str">
            <v>Mesilato de benztropina</v>
          </cell>
        </row>
        <row r="13073">
          <cell r="A13073">
            <v>51151603</v>
          </cell>
          <cell r="B13073" t="str">
            <v>Clorhidrato de prociclidina</v>
          </cell>
        </row>
        <row r="13074">
          <cell r="A13074">
            <v>51151604</v>
          </cell>
          <cell r="B13074" t="str">
            <v>Clorhidrato de trihexifenidilo</v>
          </cell>
        </row>
        <row r="13075">
          <cell r="A13075">
            <v>51151605</v>
          </cell>
          <cell r="B13075" t="str">
            <v>Clorhidrato de ciclopentolato</v>
          </cell>
        </row>
        <row r="13076">
          <cell r="A13076">
            <v>51151606</v>
          </cell>
          <cell r="B13076" t="str">
            <v>Tropicamida</v>
          </cell>
        </row>
        <row r="13077">
          <cell r="A13077">
            <v>51151607</v>
          </cell>
          <cell r="B13077" t="str">
            <v>Bromuro de clidinio</v>
          </cell>
        </row>
        <row r="13078">
          <cell r="A13078">
            <v>51151608</v>
          </cell>
          <cell r="B13078" t="str">
            <v>Clorhidrato de diciclomina</v>
          </cell>
        </row>
        <row r="13079">
          <cell r="A13079">
            <v>51151609</v>
          </cell>
          <cell r="B13079" t="str">
            <v>Bromuro de propantelina</v>
          </cell>
        </row>
        <row r="13080">
          <cell r="A13080">
            <v>51151610</v>
          </cell>
          <cell r="B13080" t="str">
            <v>Alcaloides de belladona</v>
          </cell>
        </row>
        <row r="13081">
          <cell r="A13081">
            <v>51151611</v>
          </cell>
          <cell r="B13081" t="str">
            <v>Glicopirrolato</v>
          </cell>
        </row>
        <row r="13082">
          <cell r="A13082">
            <v>51151612</v>
          </cell>
          <cell r="B13082" t="str">
            <v>Sulfato de hiosciamina</v>
          </cell>
        </row>
        <row r="13083">
          <cell r="A13083">
            <v>51151613</v>
          </cell>
          <cell r="B13083" t="str">
            <v>Bromhidrato de escopolamina</v>
          </cell>
        </row>
        <row r="13084">
          <cell r="A13084">
            <v>51151614</v>
          </cell>
          <cell r="B13084" t="str">
            <v>Homatropina bromhidrato</v>
          </cell>
        </row>
        <row r="13085">
          <cell r="A13085">
            <v>51151615</v>
          </cell>
          <cell r="B13085" t="str">
            <v>Caramifeno</v>
          </cell>
        </row>
        <row r="13086">
          <cell r="A13086">
            <v>51151616</v>
          </cell>
          <cell r="B13086" t="str">
            <v>Atropina</v>
          </cell>
        </row>
        <row r="13087">
          <cell r="A13087">
            <v>51151701</v>
          </cell>
          <cell r="B13087" t="str">
            <v>Albuterol</v>
          </cell>
        </row>
        <row r="13088">
          <cell r="A13088">
            <v>51151702</v>
          </cell>
          <cell r="B13088" t="str">
            <v>Tartrato de brimonidina</v>
          </cell>
        </row>
        <row r="13089">
          <cell r="A13089">
            <v>51151703</v>
          </cell>
          <cell r="B13089" t="str">
            <v>Epinefrina</v>
          </cell>
        </row>
        <row r="13090">
          <cell r="A13090">
            <v>51151704</v>
          </cell>
          <cell r="B13090" t="str">
            <v>Borato de epinefrina</v>
          </cell>
        </row>
        <row r="13091">
          <cell r="A13091">
            <v>51151705</v>
          </cell>
          <cell r="B13091" t="str">
            <v>Clorhidrato de epinefrina</v>
          </cell>
        </row>
        <row r="13092">
          <cell r="A13092">
            <v>51151706</v>
          </cell>
          <cell r="B13092" t="str">
            <v>Isoproterenol</v>
          </cell>
        </row>
        <row r="13093">
          <cell r="A13093">
            <v>51151707</v>
          </cell>
          <cell r="B13093" t="str">
            <v>Sulfato de isoproterenol</v>
          </cell>
        </row>
        <row r="13094">
          <cell r="A13094">
            <v>51151708</v>
          </cell>
          <cell r="B13094" t="str">
            <v>Bitartrato de levarterenol</v>
          </cell>
        </row>
        <row r="13095">
          <cell r="A13095">
            <v>51151709</v>
          </cell>
          <cell r="B13095" t="str">
            <v>Fenilpropanolamina clorhidrato</v>
          </cell>
        </row>
        <row r="13096">
          <cell r="A13096">
            <v>51151710</v>
          </cell>
          <cell r="B13096" t="str">
            <v>Clorhidrato de fenilefrina</v>
          </cell>
        </row>
        <row r="13097">
          <cell r="A13097">
            <v>51151711</v>
          </cell>
          <cell r="B13097" t="str">
            <v>Sulfato de terbutalina</v>
          </cell>
        </row>
        <row r="13098">
          <cell r="A13098">
            <v>51151712</v>
          </cell>
          <cell r="B13098" t="str">
            <v>Clorhidrato de arbutamina</v>
          </cell>
        </row>
        <row r="13099">
          <cell r="A13099">
            <v>51151713</v>
          </cell>
          <cell r="B13099" t="str">
            <v>Clorhidrato de cinamedrina</v>
          </cell>
        </row>
        <row r="13100">
          <cell r="A13100">
            <v>51151714</v>
          </cell>
          <cell r="B13100" t="str">
            <v>Sulfato de d-anfetamina</v>
          </cell>
        </row>
        <row r="13101">
          <cell r="A13101">
            <v>51151715</v>
          </cell>
          <cell r="B13101" t="str">
            <v>Sulfato de efedrina</v>
          </cell>
        </row>
        <row r="13102">
          <cell r="A13102">
            <v>51151716</v>
          </cell>
          <cell r="B13102" t="str">
            <v>Clorhidrato de isoproterenol</v>
          </cell>
        </row>
        <row r="13103">
          <cell r="A13103">
            <v>51151717</v>
          </cell>
          <cell r="B13103" t="str">
            <v>Sulfato de mefentermina</v>
          </cell>
        </row>
        <row r="13104">
          <cell r="A13104">
            <v>51151718</v>
          </cell>
          <cell r="B13104" t="str">
            <v>Bitartrato de metaraminol</v>
          </cell>
        </row>
        <row r="13105">
          <cell r="A13105">
            <v>51151719</v>
          </cell>
          <cell r="B13105" t="str">
            <v>Pseudoefedrina</v>
          </cell>
        </row>
        <row r="13106">
          <cell r="A13106">
            <v>51151720</v>
          </cell>
          <cell r="B13106" t="str">
            <v>Xinafoato de salmeterol</v>
          </cell>
        </row>
        <row r="13107">
          <cell r="A13107">
            <v>51151721</v>
          </cell>
          <cell r="B13107" t="str">
            <v>Clorhidrato de midodrina</v>
          </cell>
        </row>
        <row r="13108">
          <cell r="A13108">
            <v>51151722</v>
          </cell>
          <cell r="B13108" t="str">
            <v>Clorhidrato de levalbuterol</v>
          </cell>
        </row>
        <row r="13109">
          <cell r="A13109">
            <v>51151723</v>
          </cell>
          <cell r="B13109" t="str">
            <v>Clorhidrato de tetrahidrozolina</v>
          </cell>
        </row>
        <row r="13110">
          <cell r="A13110">
            <v>51151724</v>
          </cell>
          <cell r="B13110" t="str">
            <v>Clorhidrato de nafazolina</v>
          </cell>
        </row>
        <row r="13111">
          <cell r="A13111">
            <v>51151725</v>
          </cell>
          <cell r="B13111" t="str">
            <v>Dipivefrina</v>
          </cell>
        </row>
        <row r="13112">
          <cell r="A13112">
            <v>51151726</v>
          </cell>
          <cell r="B13112" t="str">
            <v>Fenilpropanolamina</v>
          </cell>
        </row>
        <row r="13113">
          <cell r="A13113">
            <v>51151727</v>
          </cell>
          <cell r="B13113" t="str">
            <v>Norepinefrina bitartrato</v>
          </cell>
        </row>
        <row r="13114">
          <cell r="A13114">
            <v>51151728</v>
          </cell>
          <cell r="B13114" t="str">
            <v>Bromhidrato hidroxianfetamina</v>
          </cell>
        </row>
        <row r="13115">
          <cell r="A13115">
            <v>51151729</v>
          </cell>
          <cell r="B13115" t="str">
            <v>Clorhidrato de metanfetamina</v>
          </cell>
        </row>
        <row r="13116">
          <cell r="A13116">
            <v>51151730</v>
          </cell>
          <cell r="B13116" t="str">
            <v>Epinefrina bitartrato</v>
          </cell>
        </row>
        <row r="13117">
          <cell r="A13117">
            <v>51151731</v>
          </cell>
          <cell r="B13117" t="str">
            <v>Sulfato de metaproterenol</v>
          </cell>
        </row>
        <row r="13118">
          <cell r="A13118">
            <v>51151732</v>
          </cell>
          <cell r="B13118" t="str">
            <v>Clorhidrato de dobutamina</v>
          </cell>
        </row>
        <row r="13119">
          <cell r="A13119">
            <v>51151733</v>
          </cell>
          <cell r="B13119" t="str">
            <v>Clorhidrato de dipivefrina</v>
          </cell>
        </row>
        <row r="13120">
          <cell r="A13120">
            <v>51151734</v>
          </cell>
          <cell r="B13120" t="str">
            <v>Sulfato de albuterol</v>
          </cell>
        </row>
        <row r="13121">
          <cell r="A13121">
            <v>51151735</v>
          </cell>
          <cell r="B13121" t="str">
            <v>Aspartato de anfetamina</v>
          </cell>
        </row>
        <row r="13122">
          <cell r="A13122">
            <v>51151736</v>
          </cell>
          <cell r="B13122" t="str">
            <v>Mesilato de isoetarina</v>
          </cell>
        </row>
        <row r="13123">
          <cell r="A13123">
            <v>51151737</v>
          </cell>
          <cell r="B13123" t="str">
            <v>Clorhidrato de dopamina</v>
          </cell>
        </row>
        <row r="13124">
          <cell r="A13124">
            <v>51151738</v>
          </cell>
          <cell r="B13124" t="str">
            <v>Fumarato de formoterol</v>
          </cell>
        </row>
        <row r="13125">
          <cell r="A13125">
            <v>51151739</v>
          </cell>
          <cell r="B13125" t="str">
            <v>Clorhidrato de metoxamina</v>
          </cell>
        </row>
        <row r="13126">
          <cell r="A13126">
            <v>51151740</v>
          </cell>
          <cell r="B13126" t="str">
            <v>Clorhidrato de isoetarina</v>
          </cell>
        </row>
        <row r="13127">
          <cell r="A13127">
            <v>51151741</v>
          </cell>
          <cell r="B13127" t="str">
            <v>Efedrina</v>
          </cell>
        </row>
        <row r="13128">
          <cell r="A13128">
            <v>51151742</v>
          </cell>
          <cell r="B13128" t="str">
            <v>Fenilefrina</v>
          </cell>
        </row>
        <row r="13129">
          <cell r="A13129">
            <v>51151743</v>
          </cell>
          <cell r="B13129" t="str">
            <v>Clorhidrato de pseudoefedrina</v>
          </cell>
        </row>
        <row r="13130">
          <cell r="A13130">
            <v>51151744</v>
          </cell>
          <cell r="B13130" t="str">
            <v>Hidrocloruro de efedrina</v>
          </cell>
        </row>
        <row r="13131">
          <cell r="A13131">
            <v>51151745</v>
          </cell>
          <cell r="B13131" t="str">
            <v>Tanato de pseudoefedrina</v>
          </cell>
        </row>
        <row r="13132">
          <cell r="A13132">
            <v>51151746</v>
          </cell>
          <cell r="B13132" t="str">
            <v>Sulfato de pseudoefedrina</v>
          </cell>
        </row>
        <row r="13133">
          <cell r="A13133">
            <v>51151747</v>
          </cell>
          <cell r="B13133" t="str">
            <v>Hidrocloruro de racepinephrine</v>
          </cell>
        </row>
        <row r="13134">
          <cell r="A13134">
            <v>51151748</v>
          </cell>
          <cell r="B13134" t="str">
            <v>Nafazolina</v>
          </cell>
        </row>
        <row r="13135">
          <cell r="A13135">
            <v>51151749</v>
          </cell>
          <cell r="B13135" t="str">
            <v>Dextroanfetamina</v>
          </cell>
        </row>
        <row r="13136">
          <cell r="A13136">
            <v>51151801</v>
          </cell>
          <cell r="B13136" t="str">
            <v>Atenolol</v>
          </cell>
        </row>
        <row r="13137">
          <cell r="A13137">
            <v>51151802</v>
          </cell>
          <cell r="B13137" t="str">
            <v>Hidrocloruro de esmolol</v>
          </cell>
        </row>
        <row r="13138">
          <cell r="A13138">
            <v>51151803</v>
          </cell>
          <cell r="B13138" t="str">
            <v>Nadolol</v>
          </cell>
        </row>
        <row r="13139">
          <cell r="A13139">
            <v>51151804</v>
          </cell>
          <cell r="B13139" t="str">
            <v>Pindolol</v>
          </cell>
        </row>
        <row r="13140">
          <cell r="A13140">
            <v>51151805</v>
          </cell>
          <cell r="B13140" t="str">
            <v>Maleato de timolol</v>
          </cell>
        </row>
        <row r="13141">
          <cell r="A13141">
            <v>51151810</v>
          </cell>
          <cell r="B13141" t="str">
            <v>Mesilato de fentolamina</v>
          </cell>
        </row>
        <row r="13142">
          <cell r="A13142">
            <v>51151811</v>
          </cell>
          <cell r="B13142" t="str">
            <v>Hidrocloruro de yohimbina</v>
          </cell>
        </row>
        <row r="13143">
          <cell r="A13143">
            <v>51151812</v>
          </cell>
          <cell r="B13143" t="str">
            <v>Hidrocloruro de propranolol</v>
          </cell>
        </row>
        <row r="13144">
          <cell r="A13144">
            <v>51151813</v>
          </cell>
          <cell r="B13144" t="str">
            <v>Acebutolol</v>
          </cell>
        </row>
        <row r="13145">
          <cell r="A13145">
            <v>51151814</v>
          </cell>
          <cell r="B13145" t="str">
            <v>Hidrocloruro de betaxolol</v>
          </cell>
        </row>
        <row r="13146">
          <cell r="A13146">
            <v>51151815</v>
          </cell>
          <cell r="B13146" t="str">
            <v>Hidrocloruro de tolazolina</v>
          </cell>
        </row>
        <row r="13147">
          <cell r="A13147">
            <v>51151816</v>
          </cell>
          <cell r="B13147" t="str">
            <v>Hidrocloruro de prazosín</v>
          </cell>
        </row>
        <row r="13148">
          <cell r="A13148">
            <v>51151817</v>
          </cell>
          <cell r="B13148" t="str">
            <v>Hidrocloruro de tamsulosina</v>
          </cell>
        </row>
        <row r="13149">
          <cell r="A13149">
            <v>51151818</v>
          </cell>
          <cell r="B13149" t="str">
            <v>Hidrocloruro de carteolol</v>
          </cell>
        </row>
        <row r="13150">
          <cell r="A13150">
            <v>51151819</v>
          </cell>
          <cell r="B13150" t="str">
            <v>Hidrocloruro de terazosina</v>
          </cell>
        </row>
        <row r="13151">
          <cell r="A13151">
            <v>51151820</v>
          </cell>
          <cell r="B13151" t="str">
            <v>Hidrocloruro de fenoxibenzamina</v>
          </cell>
        </row>
        <row r="13152">
          <cell r="A13152">
            <v>51151821</v>
          </cell>
          <cell r="B13152" t="str">
            <v>Sulfato de penbutolol</v>
          </cell>
        </row>
        <row r="13153">
          <cell r="A13153">
            <v>51151822</v>
          </cell>
          <cell r="B13153" t="str">
            <v>Succinato de metoprolol</v>
          </cell>
        </row>
        <row r="13154">
          <cell r="A13154">
            <v>51151823</v>
          </cell>
          <cell r="B13154" t="str">
            <v>Hidrocloruro de labetalol</v>
          </cell>
        </row>
        <row r="13155">
          <cell r="A13155">
            <v>51151824</v>
          </cell>
          <cell r="B13155" t="str">
            <v>Mesilato de doxazosina</v>
          </cell>
        </row>
        <row r="13156">
          <cell r="A13156">
            <v>51151825</v>
          </cell>
          <cell r="B13156" t="str">
            <v>Hidrocloruro de dapiprazol</v>
          </cell>
        </row>
        <row r="13157">
          <cell r="A13157">
            <v>51151901</v>
          </cell>
          <cell r="B13157" t="str">
            <v>Baclofeno</v>
          </cell>
        </row>
        <row r="13158">
          <cell r="A13158">
            <v>51151902</v>
          </cell>
          <cell r="B13158" t="str">
            <v>Clorzoxazona</v>
          </cell>
        </row>
        <row r="13159">
          <cell r="A13159">
            <v>51151903</v>
          </cell>
          <cell r="B13159" t="str">
            <v>Dantroleno sódico</v>
          </cell>
        </row>
        <row r="13160">
          <cell r="A13160">
            <v>51151904</v>
          </cell>
          <cell r="B13160" t="str">
            <v>Metocarbamol</v>
          </cell>
        </row>
        <row r="13161">
          <cell r="A13161">
            <v>51151905</v>
          </cell>
          <cell r="B13161" t="str">
            <v>Carisoprodol</v>
          </cell>
        </row>
        <row r="13162">
          <cell r="A13162">
            <v>51151906</v>
          </cell>
          <cell r="B13162" t="str">
            <v>Isoxsuprina</v>
          </cell>
        </row>
        <row r="13163">
          <cell r="A13163">
            <v>51151907</v>
          </cell>
          <cell r="B13163" t="str">
            <v>Clorhidrato de ritodrina</v>
          </cell>
        </row>
        <row r="13164">
          <cell r="A13164">
            <v>51151908</v>
          </cell>
          <cell r="B13164" t="str">
            <v>Citrato de orfenadrina</v>
          </cell>
        </row>
        <row r="13165">
          <cell r="A13165">
            <v>51151910</v>
          </cell>
          <cell r="B13165" t="str">
            <v>Nonivamida</v>
          </cell>
        </row>
        <row r="13166">
          <cell r="A13166">
            <v>51151911</v>
          </cell>
          <cell r="B13166" t="str">
            <v>Suxametonio</v>
          </cell>
        </row>
        <row r="13167">
          <cell r="A13167">
            <v>51151912</v>
          </cell>
          <cell r="B13167" t="str">
            <v>Tiocolchicósido</v>
          </cell>
        </row>
        <row r="13168">
          <cell r="A13168">
            <v>51151913</v>
          </cell>
          <cell r="B13168" t="str">
            <v>Clorfenesina carbamato</v>
          </cell>
        </row>
        <row r="13169">
          <cell r="A13169">
            <v>51151914</v>
          </cell>
          <cell r="B13169" t="str">
            <v>Clorhidrato de ciclobenzaprina</v>
          </cell>
        </row>
        <row r="13170">
          <cell r="A13170">
            <v>51151915</v>
          </cell>
          <cell r="B13170" t="str">
            <v>Metaxalona</v>
          </cell>
        </row>
        <row r="13171">
          <cell r="A13171">
            <v>51151916</v>
          </cell>
          <cell r="B13171" t="str">
            <v>Cloruro de succinilcolina</v>
          </cell>
        </row>
        <row r="13172">
          <cell r="A13172">
            <v>51151917</v>
          </cell>
          <cell r="B13172" t="str">
            <v>Clorhidrato de tizanidina</v>
          </cell>
        </row>
        <row r="13173">
          <cell r="A13173">
            <v>51152001</v>
          </cell>
          <cell r="B13173" t="str">
            <v>Besilato de atracurio</v>
          </cell>
        </row>
        <row r="13174">
          <cell r="A13174">
            <v>51152002</v>
          </cell>
          <cell r="B13174" t="str">
            <v>Cloruro de mivacurio</v>
          </cell>
        </row>
        <row r="13175">
          <cell r="A13175">
            <v>51152003</v>
          </cell>
          <cell r="B13175" t="str">
            <v>Bromuro de rocuronio</v>
          </cell>
        </row>
        <row r="13176">
          <cell r="A13176">
            <v>51152004</v>
          </cell>
          <cell r="B13176" t="str">
            <v>Bromuro de vecuronio</v>
          </cell>
        </row>
        <row r="13177">
          <cell r="A13177">
            <v>51152005</v>
          </cell>
          <cell r="B13177" t="str">
            <v>Toxina botulínica</v>
          </cell>
        </row>
        <row r="13178">
          <cell r="A13178">
            <v>51152006</v>
          </cell>
          <cell r="B13178" t="str">
            <v>Cisatracurio</v>
          </cell>
        </row>
        <row r="13179">
          <cell r="A13179">
            <v>51152007</v>
          </cell>
          <cell r="B13179" t="str">
            <v>Cloruro de doxacurio</v>
          </cell>
        </row>
        <row r="13180">
          <cell r="A13180">
            <v>51152008</v>
          </cell>
          <cell r="B13180" t="str">
            <v>Yoduro de metocurina</v>
          </cell>
        </row>
        <row r="13181">
          <cell r="A13181">
            <v>51152009</v>
          </cell>
          <cell r="B13181" t="str">
            <v>Bromuro de pancuronio</v>
          </cell>
        </row>
        <row r="13182">
          <cell r="A13182">
            <v>51152010</v>
          </cell>
          <cell r="B13182" t="str">
            <v>Bromuro de rapacuronio</v>
          </cell>
        </row>
        <row r="13183">
          <cell r="A13183">
            <v>51152011</v>
          </cell>
          <cell r="B13183" t="str">
            <v>Cloruro de tubocurarina</v>
          </cell>
        </row>
        <row r="13184">
          <cell r="A13184">
            <v>51152012</v>
          </cell>
          <cell r="B13184" t="str">
            <v>Bromuro de pipecuronio</v>
          </cell>
        </row>
        <row r="13185">
          <cell r="A13185">
            <v>51161501</v>
          </cell>
          <cell r="B13185" t="str">
            <v>Mesilato de bitolterol</v>
          </cell>
        </row>
        <row r="13186">
          <cell r="A13186">
            <v>51161502</v>
          </cell>
          <cell r="B13186" t="str">
            <v>Nedocromil sódico</v>
          </cell>
        </row>
        <row r="13187">
          <cell r="A13187">
            <v>51161503</v>
          </cell>
          <cell r="B13187" t="str">
            <v>Acetato de pirbuterol</v>
          </cell>
        </row>
        <row r="13188">
          <cell r="A13188">
            <v>51161504</v>
          </cell>
          <cell r="B13188" t="str">
            <v>Aminofilina</v>
          </cell>
        </row>
        <row r="13189">
          <cell r="A13189">
            <v>51161505</v>
          </cell>
          <cell r="B13189" t="str">
            <v>Teofilina</v>
          </cell>
        </row>
        <row r="13190">
          <cell r="A13190">
            <v>51161506</v>
          </cell>
          <cell r="B13190" t="str">
            <v>Terbutalina</v>
          </cell>
        </row>
        <row r="13191">
          <cell r="A13191">
            <v>51161507</v>
          </cell>
          <cell r="B13191" t="str">
            <v>Formoterol</v>
          </cell>
        </row>
        <row r="13192">
          <cell r="A13192">
            <v>51161508</v>
          </cell>
          <cell r="B13192" t="str">
            <v>Sulfato de salbutamol</v>
          </cell>
        </row>
        <row r="13193">
          <cell r="A13193">
            <v>51161510</v>
          </cell>
          <cell r="B13193" t="str">
            <v>Teofilina</v>
          </cell>
        </row>
        <row r="13194">
          <cell r="A13194">
            <v>51161511</v>
          </cell>
          <cell r="B13194" t="str">
            <v>Cromoglicato de sodio</v>
          </cell>
        </row>
        <row r="13195">
          <cell r="A13195">
            <v>51161513</v>
          </cell>
          <cell r="B13195" t="str">
            <v>Difilina</v>
          </cell>
        </row>
        <row r="13196">
          <cell r="A13196">
            <v>51161514</v>
          </cell>
          <cell r="B13196" t="str">
            <v>Oxtrifilina</v>
          </cell>
        </row>
        <row r="13197">
          <cell r="A13197">
            <v>51161515</v>
          </cell>
          <cell r="B13197" t="str">
            <v>Montelukast sódico</v>
          </cell>
        </row>
        <row r="13198">
          <cell r="A13198">
            <v>51161516</v>
          </cell>
          <cell r="B13198" t="str">
            <v>Zafirlukast</v>
          </cell>
        </row>
        <row r="13199">
          <cell r="A13199">
            <v>51161517</v>
          </cell>
          <cell r="B13199" t="str">
            <v>Zileutón</v>
          </cell>
        </row>
        <row r="13200">
          <cell r="A13200">
            <v>51161601</v>
          </cell>
          <cell r="B13200" t="str">
            <v>Astemizol</v>
          </cell>
        </row>
        <row r="13201">
          <cell r="A13201">
            <v>51161602</v>
          </cell>
          <cell r="B13201" t="str">
            <v>Fumarato de clemastina</v>
          </cell>
        </row>
        <row r="13202">
          <cell r="A13202">
            <v>51161603</v>
          </cell>
          <cell r="B13202" t="str">
            <v>Maleato de dexclorfeniramina</v>
          </cell>
        </row>
        <row r="13203">
          <cell r="A13203">
            <v>51161605</v>
          </cell>
          <cell r="B13203" t="str">
            <v>Clorhidrato de levocabastina</v>
          </cell>
        </row>
        <row r="13204">
          <cell r="A13204">
            <v>51161606</v>
          </cell>
          <cell r="B13204" t="str">
            <v>Loratadina</v>
          </cell>
        </row>
        <row r="13205">
          <cell r="A13205">
            <v>51161607</v>
          </cell>
          <cell r="B13205" t="str">
            <v>Terfenadina</v>
          </cell>
        </row>
        <row r="13206">
          <cell r="A13206">
            <v>51161608</v>
          </cell>
          <cell r="B13206" t="str">
            <v>Clorhidrato de betahistina</v>
          </cell>
        </row>
        <row r="13207">
          <cell r="A13207">
            <v>51161609</v>
          </cell>
          <cell r="B13207" t="str">
            <v>Hidrocloruro de triprolidina</v>
          </cell>
        </row>
        <row r="13208">
          <cell r="A13208">
            <v>51161610</v>
          </cell>
          <cell r="B13208" t="str">
            <v>Prometazina</v>
          </cell>
        </row>
        <row r="13209">
          <cell r="A13209">
            <v>51161611</v>
          </cell>
          <cell r="B13209" t="str">
            <v>Oxomemazina</v>
          </cell>
        </row>
        <row r="13210">
          <cell r="A13210">
            <v>51161612</v>
          </cell>
          <cell r="B13210" t="str">
            <v>Ebastina</v>
          </cell>
        </row>
        <row r="13211">
          <cell r="A13211">
            <v>51161613</v>
          </cell>
          <cell r="B13211" t="str">
            <v>Mesilato de dihidroergotoxina</v>
          </cell>
        </row>
        <row r="13212">
          <cell r="A13212">
            <v>51161614</v>
          </cell>
          <cell r="B13212" t="str">
            <v>Clorhidrato de meclozina</v>
          </cell>
        </row>
        <row r="13213">
          <cell r="A13213">
            <v>51161615</v>
          </cell>
          <cell r="B13213" t="str">
            <v>Cetirizina</v>
          </cell>
        </row>
        <row r="13214">
          <cell r="A13214">
            <v>51161616</v>
          </cell>
          <cell r="B13214" t="str">
            <v>Betahistina</v>
          </cell>
        </row>
        <row r="13215">
          <cell r="A13215">
            <v>51161617</v>
          </cell>
          <cell r="B13215" t="str">
            <v>Clorhidrato de buclicina</v>
          </cell>
        </row>
        <row r="13216">
          <cell r="A13216">
            <v>51161618</v>
          </cell>
          <cell r="B13216" t="str">
            <v>Alimemazina</v>
          </cell>
        </row>
        <row r="13217">
          <cell r="A13217">
            <v>51161619</v>
          </cell>
          <cell r="B13217" t="str">
            <v>Mepiramina maleato</v>
          </cell>
        </row>
        <row r="13218">
          <cell r="A13218">
            <v>51161620</v>
          </cell>
          <cell r="B13218" t="str">
            <v>Difenhidramina</v>
          </cell>
        </row>
        <row r="13219">
          <cell r="A13219">
            <v>51161621</v>
          </cell>
          <cell r="B13219" t="str">
            <v>Clorhidrato de fexofenadina</v>
          </cell>
        </row>
        <row r="13220">
          <cell r="A13220">
            <v>51161622</v>
          </cell>
          <cell r="B13220" t="str">
            <v>Cromoglicato de sodio</v>
          </cell>
        </row>
        <row r="13221">
          <cell r="A13221">
            <v>51161623</v>
          </cell>
          <cell r="B13221" t="str">
            <v>Hidroxizina pamoato</v>
          </cell>
        </row>
        <row r="13222">
          <cell r="A13222">
            <v>51161624</v>
          </cell>
          <cell r="B13222" t="str">
            <v>Maleato de  azatadina</v>
          </cell>
        </row>
        <row r="13223">
          <cell r="A13223">
            <v>51161625</v>
          </cell>
          <cell r="B13223" t="str">
            <v>Azelastina hidrocloruro</v>
          </cell>
        </row>
        <row r="13224">
          <cell r="A13224">
            <v>51161626</v>
          </cell>
          <cell r="B13224" t="str">
            <v>Bosentán</v>
          </cell>
        </row>
        <row r="13225">
          <cell r="A13225">
            <v>51161627</v>
          </cell>
          <cell r="B13225" t="str">
            <v>Maleato de bromfeniramina</v>
          </cell>
        </row>
        <row r="13226">
          <cell r="A13226">
            <v>51161628</v>
          </cell>
          <cell r="B13226" t="str">
            <v>Maleato de carbinoxamina</v>
          </cell>
        </row>
        <row r="13227">
          <cell r="A13227">
            <v>51161629</v>
          </cell>
          <cell r="B13227" t="str">
            <v>Hidrocloruro de cetirizina</v>
          </cell>
        </row>
        <row r="13228">
          <cell r="A13228">
            <v>51161630</v>
          </cell>
          <cell r="B13228" t="str">
            <v>Maleato de clorfenamina</v>
          </cell>
        </row>
        <row r="13229">
          <cell r="A13229">
            <v>51161631</v>
          </cell>
          <cell r="B13229" t="str">
            <v>Tanato de clorfenamina</v>
          </cell>
        </row>
        <row r="13230">
          <cell r="A13230">
            <v>51161632</v>
          </cell>
          <cell r="B13230" t="str">
            <v>Clorhidrato de ciproheptadina</v>
          </cell>
        </row>
        <row r="13231">
          <cell r="A13231">
            <v>51161633</v>
          </cell>
          <cell r="B13231" t="str">
            <v>Desloratadina</v>
          </cell>
        </row>
        <row r="13232">
          <cell r="A13232">
            <v>51161634</v>
          </cell>
          <cell r="B13232" t="str">
            <v>Maleato de dexbromfeniramina</v>
          </cell>
        </row>
        <row r="13233">
          <cell r="A13233">
            <v>51161635</v>
          </cell>
          <cell r="B13233" t="str">
            <v>Clorhidrato de difenhidramina</v>
          </cell>
        </row>
        <row r="13234">
          <cell r="A13234">
            <v>51161636</v>
          </cell>
          <cell r="B13234" t="str">
            <v>Tanato de difenhidramina</v>
          </cell>
        </row>
        <row r="13235">
          <cell r="A13235">
            <v>51161637</v>
          </cell>
          <cell r="B13235" t="str">
            <v>Clorhidrato de hidroxizina</v>
          </cell>
        </row>
        <row r="13236">
          <cell r="A13236">
            <v>51161638</v>
          </cell>
          <cell r="B13236" t="str">
            <v>Fumarato de ketotifeno</v>
          </cell>
        </row>
        <row r="13237">
          <cell r="A13237">
            <v>51161639</v>
          </cell>
          <cell r="B13237" t="str">
            <v>Clorhidrato de olopatadina</v>
          </cell>
        </row>
        <row r="13238">
          <cell r="A13238">
            <v>51161640</v>
          </cell>
          <cell r="B13238" t="str">
            <v>Tartrato de fenindamina</v>
          </cell>
        </row>
        <row r="13239">
          <cell r="A13239">
            <v>51161646</v>
          </cell>
          <cell r="B13239" t="str">
            <v>Acrivastina</v>
          </cell>
        </row>
        <row r="13240">
          <cell r="A13240">
            <v>51161647</v>
          </cell>
          <cell r="B13240" t="str">
            <v>Bromfeniramina</v>
          </cell>
        </row>
        <row r="13241">
          <cell r="A13241">
            <v>51161648</v>
          </cell>
          <cell r="B13241" t="str">
            <v>Difumarato de emedastina</v>
          </cell>
        </row>
        <row r="13242">
          <cell r="A13242">
            <v>51161649</v>
          </cell>
          <cell r="B13242" t="str">
            <v>Lodoxamida trometamina</v>
          </cell>
        </row>
        <row r="13243">
          <cell r="A13243">
            <v>51161650</v>
          </cell>
          <cell r="B13243" t="str">
            <v>Clorhidrato de prometazina</v>
          </cell>
        </row>
        <row r="13244">
          <cell r="A13244">
            <v>51161651</v>
          </cell>
          <cell r="B13244" t="str">
            <v>Potasio de pemirolast</v>
          </cell>
        </row>
        <row r="13245">
          <cell r="A13245">
            <v>51161701</v>
          </cell>
          <cell r="B13245" t="str">
            <v>Acetilcisteína</v>
          </cell>
        </row>
        <row r="13246">
          <cell r="A13246">
            <v>51161702</v>
          </cell>
          <cell r="B13246" t="str">
            <v>Beractant</v>
          </cell>
        </row>
        <row r="13247">
          <cell r="A13247">
            <v>51161703</v>
          </cell>
          <cell r="B13247" t="str">
            <v>Budesonida</v>
          </cell>
        </row>
        <row r="13248">
          <cell r="A13248">
            <v>51161704</v>
          </cell>
          <cell r="B13248" t="str">
            <v>Palmitato de colfoscerilo</v>
          </cell>
        </row>
        <row r="13249">
          <cell r="A13249">
            <v>51161705</v>
          </cell>
          <cell r="B13249" t="str">
            <v>Bromuro de ipratropio</v>
          </cell>
        </row>
        <row r="13250">
          <cell r="A13250">
            <v>51161706</v>
          </cell>
          <cell r="B13250" t="str">
            <v>Sobrerol</v>
          </cell>
        </row>
        <row r="13251">
          <cell r="A13251">
            <v>51161707</v>
          </cell>
          <cell r="B13251" t="str">
            <v>Clorhidrato de bamifilina</v>
          </cell>
        </row>
        <row r="13252">
          <cell r="A13252">
            <v>51161708</v>
          </cell>
          <cell r="B13252" t="str">
            <v>Dornasa alfa</v>
          </cell>
        </row>
        <row r="13253">
          <cell r="A13253">
            <v>51161709</v>
          </cell>
          <cell r="B13253" t="str">
            <v>Poractant alfa</v>
          </cell>
        </row>
        <row r="13254">
          <cell r="A13254">
            <v>51161710</v>
          </cell>
          <cell r="B13254" t="str">
            <v>Calfactant</v>
          </cell>
        </row>
        <row r="13255">
          <cell r="A13255">
            <v>51161801</v>
          </cell>
          <cell r="B13255" t="str">
            <v>Benzonatato</v>
          </cell>
        </row>
        <row r="13256">
          <cell r="A13256">
            <v>51161802</v>
          </cell>
          <cell r="B13256" t="str">
            <v>Guaifenesina</v>
          </cell>
        </row>
        <row r="13257">
          <cell r="A13257">
            <v>51161803</v>
          </cell>
          <cell r="B13257" t="str">
            <v>Mentol</v>
          </cell>
        </row>
        <row r="13258">
          <cell r="A13258">
            <v>51161805</v>
          </cell>
          <cell r="B13258" t="str">
            <v>Carbocisteína</v>
          </cell>
        </row>
        <row r="13259">
          <cell r="A13259">
            <v>51161806</v>
          </cell>
          <cell r="B13259" t="str">
            <v>Cloruro de amonio</v>
          </cell>
        </row>
        <row r="13260">
          <cell r="A13260">
            <v>51161808</v>
          </cell>
          <cell r="B13260" t="str">
            <v>Dextrometorfano</v>
          </cell>
        </row>
        <row r="13261">
          <cell r="A13261">
            <v>51161809</v>
          </cell>
          <cell r="B13261" t="str">
            <v>Citrato de oxolamina</v>
          </cell>
        </row>
        <row r="13262">
          <cell r="A13262">
            <v>51161810</v>
          </cell>
          <cell r="B13262" t="str">
            <v>Folcodina</v>
          </cell>
        </row>
        <row r="13263">
          <cell r="A13263">
            <v>51161811</v>
          </cell>
          <cell r="B13263" t="str">
            <v>Bromhexina</v>
          </cell>
        </row>
        <row r="13264">
          <cell r="A13264">
            <v>51161812</v>
          </cell>
          <cell r="B13264" t="str">
            <v>Combinación de acetaminofen y clorfeniramina</v>
          </cell>
        </row>
        <row r="13265">
          <cell r="A13265">
            <v>51161813</v>
          </cell>
          <cell r="B13265" t="str">
            <v>Guayacolsulfonato de potasio</v>
          </cell>
        </row>
        <row r="13266">
          <cell r="A13266">
            <v>51161814</v>
          </cell>
          <cell r="B13266" t="str">
            <v>Bitartrato de fenilpropanolamina</v>
          </cell>
        </row>
        <row r="13267">
          <cell r="A13267">
            <v>51161815</v>
          </cell>
          <cell r="B13267" t="str">
            <v>Tanato de carbetapentano</v>
          </cell>
        </row>
        <row r="13268">
          <cell r="A13268">
            <v>51161817</v>
          </cell>
          <cell r="B13268" t="str">
            <v>Clorhidrato de dextrometorfano</v>
          </cell>
        </row>
        <row r="13269">
          <cell r="A13269">
            <v>51161818</v>
          </cell>
          <cell r="B13269" t="str">
            <v>Dextrometorfano polistirex</v>
          </cell>
        </row>
        <row r="13270">
          <cell r="A13270">
            <v>51161819</v>
          </cell>
          <cell r="B13270" t="str">
            <v>Tanato de dextrometorfano</v>
          </cell>
        </row>
        <row r="13271">
          <cell r="A13271">
            <v>51161820</v>
          </cell>
          <cell r="B13271" t="str">
            <v>Aceite de eucalipto o eucaliptol</v>
          </cell>
        </row>
        <row r="13272">
          <cell r="A13272">
            <v>51161901</v>
          </cell>
          <cell r="B13272" t="str">
            <v>Clorhidrato de oximetazolina</v>
          </cell>
        </row>
        <row r="13273">
          <cell r="A13273">
            <v>51161903</v>
          </cell>
          <cell r="B13273" t="str">
            <v>Clorhidrato de xilometazolina</v>
          </cell>
        </row>
        <row r="13274">
          <cell r="A13274">
            <v>51171501</v>
          </cell>
          <cell r="B13274" t="str">
            <v>Carbonato de calcio</v>
          </cell>
        </row>
        <row r="13275">
          <cell r="A13275">
            <v>51171502</v>
          </cell>
          <cell r="B13275" t="str">
            <v>Magaldrato</v>
          </cell>
        </row>
        <row r="13276">
          <cell r="A13276">
            <v>51171503</v>
          </cell>
          <cell r="B13276" t="str">
            <v>Hidróxido de magnesio</v>
          </cell>
        </row>
        <row r="13277">
          <cell r="A13277">
            <v>51171504</v>
          </cell>
          <cell r="B13277" t="str">
            <v>Antiácidos de bicarbonato de sodio</v>
          </cell>
        </row>
        <row r="13278">
          <cell r="A13278">
            <v>51171505</v>
          </cell>
          <cell r="B13278" t="str">
            <v>Simeticona</v>
          </cell>
        </row>
        <row r="13279">
          <cell r="A13279">
            <v>51171507</v>
          </cell>
          <cell r="B13279" t="str">
            <v>Hidrotalcita</v>
          </cell>
        </row>
        <row r="13280">
          <cell r="A13280">
            <v>51171508</v>
          </cell>
          <cell r="B13280" t="str">
            <v>Carbonato de magnesio</v>
          </cell>
        </row>
        <row r="13281">
          <cell r="A13281">
            <v>51171509</v>
          </cell>
          <cell r="B13281" t="str">
            <v>Clorhidrato de betaína</v>
          </cell>
        </row>
        <row r="13282">
          <cell r="A13282">
            <v>51171510</v>
          </cell>
          <cell r="B13282" t="str">
            <v>Trisilicato de magnesio</v>
          </cell>
        </row>
        <row r="13283">
          <cell r="A13283">
            <v>51171511</v>
          </cell>
          <cell r="B13283" t="str">
            <v>Hidróxido de aluminio</v>
          </cell>
        </row>
        <row r="13284">
          <cell r="A13284">
            <v>51171513</v>
          </cell>
          <cell r="B13284" t="str">
            <v>Dihidroxialuminio-carbonato de sodio</v>
          </cell>
        </row>
        <row r="13285">
          <cell r="A13285">
            <v>51171601</v>
          </cell>
          <cell r="B13285" t="str">
            <v>Cáscara sagrada</v>
          </cell>
        </row>
        <row r="13286">
          <cell r="A13286">
            <v>51171602</v>
          </cell>
          <cell r="B13286" t="str">
            <v>Docusato de calcio</v>
          </cell>
        </row>
        <row r="13287">
          <cell r="A13287">
            <v>51171603</v>
          </cell>
          <cell r="B13287" t="str">
            <v>Docusato potásico</v>
          </cell>
        </row>
        <row r="13288">
          <cell r="A13288">
            <v>51171604</v>
          </cell>
          <cell r="B13288" t="str">
            <v>Docusato de sodio</v>
          </cell>
        </row>
        <row r="13289">
          <cell r="A13289">
            <v>51171605</v>
          </cell>
          <cell r="B13289" t="str">
            <v>Lactulosa</v>
          </cell>
        </row>
        <row r="13290">
          <cell r="A13290">
            <v>51171606</v>
          </cell>
          <cell r="B13290" t="str">
            <v>Sulfato de magnesio</v>
          </cell>
        </row>
        <row r="13291">
          <cell r="A13291">
            <v>51171607</v>
          </cell>
          <cell r="B13291" t="str">
            <v>Mucílago hidrófilo del psilio</v>
          </cell>
        </row>
        <row r="13292">
          <cell r="A13292">
            <v>51171608</v>
          </cell>
          <cell r="B13292" t="str">
            <v>Glicerina</v>
          </cell>
        </row>
        <row r="13293">
          <cell r="A13293">
            <v>51171609</v>
          </cell>
          <cell r="B13293" t="str">
            <v>Ácido dehidrocólico</v>
          </cell>
        </row>
        <row r="13294">
          <cell r="A13294">
            <v>51171610</v>
          </cell>
          <cell r="B13294" t="str">
            <v>Sen o senósidos</v>
          </cell>
        </row>
        <row r="13295">
          <cell r="A13295">
            <v>51171611</v>
          </cell>
          <cell r="B13295" t="str">
            <v>Estimulante bisacodilo</v>
          </cell>
        </row>
        <row r="13296">
          <cell r="A13296">
            <v>51171612</v>
          </cell>
          <cell r="B13296" t="str">
            <v>Metilcelulosa</v>
          </cell>
        </row>
        <row r="13297">
          <cell r="A13297">
            <v>51171613</v>
          </cell>
          <cell r="B13297" t="str">
            <v>Aloína</v>
          </cell>
        </row>
        <row r="13298">
          <cell r="A13298">
            <v>51171614</v>
          </cell>
          <cell r="B13298" t="str">
            <v>Bisacodyl</v>
          </cell>
        </row>
        <row r="13299">
          <cell r="A13299">
            <v>51171615</v>
          </cell>
          <cell r="B13299" t="str">
            <v>Calcio policarbofilo</v>
          </cell>
        </row>
        <row r="13300">
          <cell r="A13300">
            <v>51171616</v>
          </cell>
          <cell r="B13300" t="str">
            <v>Casantranol</v>
          </cell>
        </row>
        <row r="13301">
          <cell r="A13301">
            <v>51171617</v>
          </cell>
          <cell r="B13301" t="str">
            <v>Aceite de ricino</v>
          </cell>
        </row>
        <row r="13302">
          <cell r="A13302">
            <v>51171618</v>
          </cell>
          <cell r="B13302" t="str">
            <v>Monohidrato de cisaprida</v>
          </cell>
        </row>
        <row r="13303">
          <cell r="A13303">
            <v>51171619</v>
          </cell>
          <cell r="B13303" t="str">
            <v>Supositorios de glicerina</v>
          </cell>
        </row>
        <row r="13304">
          <cell r="A13304">
            <v>51171620</v>
          </cell>
          <cell r="B13304" t="str">
            <v>Citrato de magnesio</v>
          </cell>
        </row>
        <row r="13305">
          <cell r="A13305">
            <v>51171621</v>
          </cell>
          <cell r="B13305" t="str">
            <v>Clorhidrato de metoclopramida</v>
          </cell>
        </row>
        <row r="13306">
          <cell r="A13306">
            <v>51171622</v>
          </cell>
          <cell r="B13306" t="str">
            <v>Fosfato de sodio</v>
          </cell>
        </row>
        <row r="13307">
          <cell r="A13307">
            <v>51171623</v>
          </cell>
          <cell r="B13307" t="str">
            <v>Fenolftaleína</v>
          </cell>
        </row>
        <row r="13308">
          <cell r="A13308">
            <v>51171624</v>
          </cell>
          <cell r="B13308" t="str">
            <v>Semilla de psyllium</v>
          </cell>
        </row>
        <row r="13309">
          <cell r="A13309">
            <v>51171626</v>
          </cell>
          <cell r="B13309" t="str">
            <v>Bitartrato de potasio</v>
          </cell>
        </row>
        <row r="13310">
          <cell r="A13310">
            <v>51171627</v>
          </cell>
          <cell r="B13310" t="str">
            <v>Tartrato de sodio y potasio</v>
          </cell>
        </row>
        <row r="13311">
          <cell r="A13311">
            <v>51171628</v>
          </cell>
          <cell r="B13311" t="str">
            <v>Fosfato de potasio</v>
          </cell>
        </row>
        <row r="13312">
          <cell r="A13312">
            <v>51171629</v>
          </cell>
          <cell r="B13312" t="str">
            <v>Sulfato de sodio</v>
          </cell>
        </row>
        <row r="13313">
          <cell r="A13313">
            <v>51171630</v>
          </cell>
          <cell r="B13313" t="str">
            <v>Aceite mineral</v>
          </cell>
        </row>
        <row r="13314">
          <cell r="A13314">
            <v>51171631</v>
          </cell>
          <cell r="B13314" t="str">
            <v>Polietilenglicol laxante</v>
          </cell>
        </row>
        <row r="13315">
          <cell r="A13315">
            <v>51171632</v>
          </cell>
          <cell r="B13315" t="str">
            <v>Cloruro de magnesio</v>
          </cell>
        </row>
        <row r="13316">
          <cell r="A13316">
            <v>51171701</v>
          </cell>
          <cell r="B13316" t="str">
            <v>Clorhidrato de difenoxina</v>
          </cell>
        </row>
        <row r="13317">
          <cell r="A13317">
            <v>51171702</v>
          </cell>
          <cell r="B13317" t="str">
            <v>Hidroclorato de loperamida</v>
          </cell>
        </row>
        <row r="13318">
          <cell r="A13318">
            <v>51171703</v>
          </cell>
          <cell r="B13318" t="str">
            <v>Paregorico</v>
          </cell>
        </row>
        <row r="13319">
          <cell r="A13319">
            <v>51171704</v>
          </cell>
          <cell r="B13319" t="str">
            <v>Nifuroxazida</v>
          </cell>
        </row>
        <row r="13320">
          <cell r="A13320">
            <v>51171706</v>
          </cell>
          <cell r="B13320" t="str">
            <v>Atapulgita</v>
          </cell>
        </row>
        <row r="13321">
          <cell r="A13321">
            <v>51171707</v>
          </cell>
          <cell r="B13321" t="str">
            <v>Subsalicilato de bismuto</v>
          </cell>
        </row>
        <row r="13322">
          <cell r="A13322">
            <v>51171708</v>
          </cell>
          <cell r="B13322" t="str">
            <v>Clorhidrato de difenoxilato</v>
          </cell>
        </row>
        <row r="13323">
          <cell r="A13323">
            <v>51171709</v>
          </cell>
          <cell r="B13323" t="str">
            <v>Saccharomyces boulardii</v>
          </cell>
        </row>
        <row r="13324">
          <cell r="A13324">
            <v>51171710</v>
          </cell>
          <cell r="B13324" t="str">
            <v>Clorhidrato de alosetrón</v>
          </cell>
        </row>
        <row r="13325">
          <cell r="A13325">
            <v>51171711</v>
          </cell>
          <cell r="B13325" t="str">
            <v>Caolín y pectina</v>
          </cell>
        </row>
        <row r="13326">
          <cell r="A13326">
            <v>51171712</v>
          </cell>
          <cell r="B13326" t="str">
            <v>Pectina  purificada con acidophilus</v>
          </cell>
        </row>
        <row r="13327">
          <cell r="A13327">
            <v>51171801</v>
          </cell>
          <cell r="B13327" t="str">
            <v>Dronabinol</v>
          </cell>
        </row>
        <row r="13328">
          <cell r="A13328">
            <v>51171802</v>
          </cell>
          <cell r="B13328" t="str">
            <v>Clorhidrato de granisetrón</v>
          </cell>
        </row>
        <row r="13329">
          <cell r="A13329">
            <v>51171803</v>
          </cell>
          <cell r="B13329" t="str">
            <v>Clorhidrato de meclizina</v>
          </cell>
        </row>
        <row r="13330">
          <cell r="A13330">
            <v>51171804</v>
          </cell>
          <cell r="B13330" t="str">
            <v>Clorhidrato de ondansetrón</v>
          </cell>
        </row>
        <row r="13331">
          <cell r="A13331">
            <v>51171805</v>
          </cell>
          <cell r="B13331" t="str">
            <v>Clorhidrato de trimetobenzamida</v>
          </cell>
        </row>
        <row r="13332">
          <cell r="A13332">
            <v>51171806</v>
          </cell>
          <cell r="B13332" t="str">
            <v>Metoclopramida</v>
          </cell>
        </row>
        <row r="13333">
          <cell r="A13333">
            <v>51171807</v>
          </cell>
          <cell r="B13333" t="str">
            <v>Cinarizina</v>
          </cell>
        </row>
        <row r="13334">
          <cell r="A13334">
            <v>51171808</v>
          </cell>
          <cell r="B13334" t="str">
            <v>Clorhidrato de difenidol</v>
          </cell>
        </row>
        <row r="13335">
          <cell r="A13335">
            <v>51171809</v>
          </cell>
          <cell r="B13335" t="str">
            <v>Ciclizina</v>
          </cell>
        </row>
        <row r="13336">
          <cell r="A13336">
            <v>51171811</v>
          </cell>
          <cell r="B13336" t="str">
            <v>Combinacion de dextrosa fructosa y ácido fosfórico</v>
          </cell>
        </row>
        <row r="13337">
          <cell r="A13337">
            <v>51171812</v>
          </cell>
          <cell r="B13337" t="str">
            <v>Proclorperazina</v>
          </cell>
        </row>
        <row r="13338">
          <cell r="A13338">
            <v>51171813</v>
          </cell>
          <cell r="B13338" t="str">
            <v>Metopimazina</v>
          </cell>
        </row>
        <row r="13339">
          <cell r="A13339">
            <v>51171814</v>
          </cell>
          <cell r="B13339" t="str">
            <v>Mesilato de dolasetrón</v>
          </cell>
        </row>
        <row r="13340">
          <cell r="A13340">
            <v>51171815</v>
          </cell>
          <cell r="B13340" t="str">
            <v>Clorhidrato de ciclizina</v>
          </cell>
        </row>
        <row r="13341">
          <cell r="A13341">
            <v>51171816</v>
          </cell>
          <cell r="B13341" t="str">
            <v>Ondansetrón</v>
          </cell>
        </row>
        <row r="13342">
          <cell r="A13342">
            <v>51171817</v>
          </cell>
          <cell r="B13342" t="str">
            <v>Edisilato de proclorperazina</v>
          </cell>
        </row>
        <row r="13343">
          <cell r="A13343">
            <v>51171818</v>
          </cell>
          <cell r="B13343" t="str">
            <v>Maleato de proclorperazina</v>
          </cell>
        </row>
        <row r="13344">
          <cell r="A13344">
            <v>51171819</v>
          </cell>
          <cell r="B13344" t="str">
            <v>Maleato de tietilperacina</v>
          </cell>
        </row>
        <row r="13345">
          <cell r="A13345">
            <v>51171820</v>
          </cell>
          <cell r="B13345" t="str">
            <v>Dimenhidrinato</v>
          </cell>
        </row>
        <row r="13346">
          <cell r="A13346">
            <v>51171821</v>
          </cell>
          <cell r="B13346" t="str">
            <v>Aprepitant</v>
          </cell>
        </row>
        <row r="13347">
          <cell r="A13347">
            <v>51171822</v>
          </cell>
          <cell r="B13347" t="str">
            <v>Clorhidrato de palonosetrón</v>
          </cell>
        </row>
        <row r="13348">
          <cell r="A13348">
            <v>51171901</v>
          </cell>
          <cell r="B13348" t="str">
            <v>Cimetidina</v>
          </cell>
        </row>
        <row r="13349">
          <cell r="A13349">
            <v>51171902</v>
          </cell>
          <cell r="B13349" t="str">
            <v>Famotidina</v>
          </cell>
        </row>
        <row r="13350">
          <cell r="A13350">
            <v>51171903</v>
          </cell>
          <cell r="B13350" t="str">
            <v>Nizatidina</v>
          </cell>
        </row>
        <row r="13351">
          <cell r="A13351">
            <v>51171904</v>
          </cell>
          <cell r="B13351" t="str">
            <v>Clorhidrato de ranitidina</v>
          </cell>
        </row>
        <row r="13352">
          <cell r="A13352">
            <v>51171905</v>
          </cell>
          <cell r="B13352" t="str">
            <v>Cisapride</v>
          </cell>
        </row>
        <row r="13353">
          <cell r="A13353">
            <v>51171906</v>
          </cell>
          <cell r="B13353" t="str">
            <v>Lansoprazol</v>
          </cell>
        </row>
        <row r="13354">
          <cell r="A13354">
            <v>51171907</v>
          </cell>
          <cell r="B13354" t="str">
            <v>Clordiazepóxido clorhidrato o combinación de bromuro clinidio</v>
          </cell>
        </row>
        <row r="13355">
          <cell r="A13355">
            <v>51171908</v>
          </cell>
          <cell r="B13355" t="str">
            <v>Misoprostol</v>
          </cell>
        </row>
        <row r="13356">
          <cell r="A13356">
            <v>51171909</v>
          </cell>
          <cell r="B13356" t="str">
            <v>Omeprazol</v>
          </cell>
        </row>
        <row r="13357">
          <cell r="A13357">
            <v>51171910</v>
          </cell>
          <cell r="B13357" t="str">
            <v>Pancreatina</v>
          </cell>
        </row>
        <row r="13358">
          <cell r="A13358">
            <v>51171911</v>
          </cell>
          <cell r="B13358" t="str">
            <v>Sucralfato</v>
          </cell>
        </row>
        <row r="13359">
          <cell r="A13359">
            <v>51171912</v>
          </cell>
          <cell r="B13359" t="str">
            <v>Clorhidrato de cimetidina</v>
          </cell>
        </row>
        <row r="13360">
          <cell r="A13360">
            <v>51171913</v>
          </cell>
          <cell r="B13360" t="str">
            <v>Esomeprazol magnesico  trihidrato</v>
          </cell>
        </row>
        <row r="13361">
          <cell r="A13361">
            <v>51171914</v>
          </cell>
          <cell r="B13361" t="str">
            <v>Pantoprazol sódico sesquihidratado</v>
          </cell>
        </row>
        <row r="13362">
          <cell r="A13362">
            <v>51171915</v>
          </cell>
          <cell r="B13362" t="str">
            <v>Pantoprazol sódico</v>
          </cell>
        </row>
        <row r="13363">
          <cell r="A13363">
            <v>51171916</v>
          </cell>
          <cell r="B13363" t="str">
            <v>Rabeprazol sódico</v>
          </cell>
        </row>
        <row r="13364">
          <cell r="A13364">
            <v>51171917</v>
          </cell>
          <cell r="B13364" t="str">
            <v>Citrato de bismuto ranitidina</v>
          </cell>
        </row>
        <row r="13365">
          <cell r="A13365">
            <v>51171918</v>
          </cell>
          <cell r="B13365" t="str">
            <v>Carbonato de aluminio</v>
          </cell>
        </row>
        <row r="13366">
          <cell r="A13366">
            <v>51172001</v>
          </cell>
          <cell r="B13366" t="str">
            <v>Quenodiol</v>
          </cell>
        </row>
        <row r="13367">
          <cell r="A13367">
            <v>51172002</v>
          </cell>
          <cell r="B13367" t="str">
            <v>Monoctanoina</v>
          </cell>
        </row>
        <row r="13368">
          <cell r="A13368">
            <v>51172003</v>
          </cell>
          <cell r="B13368" t="str">
            <v>Ursodiol</v>
          </cell>
        </row>
        <row r="13369">
          <cell r="A13369">
            <v>51172004</v>
          </cell>
          <cell r="B13369" t="str">
            <v>Dimetilsulfóxido</v>
          </cell>
        </row>
        <row r="13370">
          <cell r="A13370">
            <v>51172101</v>
          </cell>
          <cell r="B13370" t="str">
            <v>Clorhidrato de mebeverina</v>
          </cell>
        </row>
        <row r="13371">
          <cell r="A13371">
            <v>51172102</v>
          </cell>
          <cell r="B13371" t="str">
            <v>Clorhidrato de dicicloverina</v>
          </cell>
        </row>
        <row r="13372">
          <cell r="A13372">
            <v>51172103</v>
          </cell>
          <cell r="B13372" t="str">
            <v>Clorhidrato de pitofenona</v>
          </cell>
        </row>
        <row r="13373">
          <cell r="A13373">
            <v>51172105</v>
          </cell>
          <cell r="B13373" t="str">
            <v>Floroglucinol</v>
          </cell>
        </row>
        <row r="13374">
          <cell r="A13374">
            <v>51172106</v>
          </cell>
          <cell r="B13374" t="str">
            <v>Clorhidrato de oxibutinina</v>
          </cell>
        </row>
        <row r="13375">
          <cell r="A13375">
            <v>51172107</v>
          </cell>
          <cell r="B13375" t="str">
            <v>Butilbromuro de hioscina</v>
          </cell>
        </row>
        <row r="13376">
          <cell r="A13376">
            <v>51172108</v>
          </cell>
          <cell r="B13376" t="str">
            <v>Clorhidrato de viquidil</v>
          </cell>
        </row>
        <row r="13377">
          <cell r="A13377">
            <v>51172109</v>
          </cell>
          <cell r="B13377" t="str">
            <v>Trimebutina</v>
          </cell>
        </row>
        <row r="13378">
          <cell r="A13378">
            <v>51172110</v>
          </cell>
          <cell r="B13378" t="str">
            <v>Clorhidrato de prozapina</v>
          </cell>
        </row>
        <row r="13379">
          <cell r="A13379">
            <v>51172111</v>
          </cell>
          <cell r="B13379" t="str">
            <v>Alverina</v>
          </cell>
        </row>
        <row r="13380">
          <cell r="A13380">
            <v>51181501</v>
          </cell>
          <cell r="B13380" t="str">
            <v>Acarbosa</v>
          </cell>
        </row>
        <row r="13381">
          <cell r="A13381">
            <v>51181502</v>
          </cell>
          <cell r="B13381" t="str">
            <v>Acetohexamida</v>
          </cell>
        </row>
        <row r="13382">
          <cell r="A13382">
            <v>51181503</v>
          </cell>
          <cell r="B13382" t="str">
            <v>Clorpropamida</v>
          </cell>
        </row>
        <row r="13383">
          <cell r="A13383">
            <v>51181504</v>
          </cell>
          <cell r="B13383" t="str">
            <v>Glimepirida</v>
          </cell>
        </row>
        <row r="13384">
          <cell r="A13384">
            <v>51181505</v>
          </cell>
          <cell r="B13384" t="str">
            <v>Glipizida</v>
          </cell>
        </row>
        <row r="13385">
          <cell r="A13385">
            <v>51181506</v>
          </cell>
          <cell r="B13385" t="str">
            <v>Insulina</v>
          </cell>
        </row>
        <row r="13386">
          <cell r="A13386">
            <v>51181508</v>
          </cell>
          <cell r="B13386" t="str">
            <v>Glucagón</v>
          </cell>
        </row>
        <row r="13387">
          <cell r="A13387">
            <v>51181509</v>
          </cell>
          <cell r="B13387" t="str">
            <v>Gliclazida</v>
          </cell>
        </row>
        <row r="13388">
          <cell r="A13388">
            <v>51181510</v>
          </cell>
          <cell r="B13388" t="str">
            <v>Clorhidrato de fenformina</v>
          </cell>
        </row>
        <row r="13389">
          <cell r="A13389">
            <v>51181511</v>
          </cell>
          <cell r="B13389" t="str">
            <v>Buformina</v>
          </cell>
        </row>
        <row r="13390">
          <cell r="A13390">
            <v>51181513</v>
          </cell>
          <cell r="B13390" t="str">
            <v>Nateglinida</v>
          </cell>
        </row>
        <row r="13391">
          <cell r="A13391">
            <v>51181514</v>
          </cell>
          <cell r="B13391" t="str">
            <v>Extracto de páncreas</v>
          </cell>
        </row>
        <row r="13392">
          <cell r="A13392">
            <v>51181515</v>
          </cell>
          <cell r="B13392" t="str">
            <v>Tolbutamida</v>
          </cell>
        </row>
        <row r="13393">
          <cell r="A13393">
            <v>51181516</v>
          </cell>
          <cell r="B13393" t="str">
            <v>Glibenclamida o gliburida</v>
          </cell>
        </row>
        <row r="13394">
          <cell r="A13394">
            <v>51181517</v>
          </cell>
          <cell r="B13394" t="str">
            <v>Hidrocloruro de metformina</v>
          </cell>
        </row>
        <row r="13395">
          <cell r="A13395">
            <v>51181519</v>
          </cell>
          <cell r="B13395" t="str">
            <v>Miglitol</v>
          </cell>
        </row>
        <row r="13396">
          <cell r="A13396">
            <v>51181520</v>
          </cell>
          <cell r="B13396" t="str">
            <v>Clorhidrato de pioglitazona</v>
          </cell>
        </row>
        <row r="13397">
          <cell r="A13397">
            <v>51181521</v>
          </cell>
          <cell r="B13397" t="str">
            <v>Repaglinida</v>
          </cell>
        </row>
        <row r="13398">
          <cell r="A13398">
            <v>51181522</v>
          </cell>
          <cell r="B13398" t="str">
            <v>Maleato de rosiglitazona</v>
          </cell>
        </row>
        <row r="13399">
          <cell r="A13399">
            <v>51181523</v>
          </cell>
          <cell r="B13399" t="str">
            <v>Tolazamida</v>
          </cell>
        </row>
        <row r="13400">
          <cell r="A13400">
            <v>51181524</v>
          </cell>
          <cell r="B13400" t="str">
            <v>Troglitazona</v>
          </cell>
        </row>
        <row r="13401">
          <cell r="A13401">
            <v>51181601</v>
          </cell>
          <cell r="B13401" t="str">
            <v>Levotiroxina sódica</v>
          </cell>
        </row>
        <row r="13402">
          <cell r="A13402">
            <v>51181602</v>
          </cell>
          <cell r="B13402" t="str">
            <v>Liotironina sódica</v>
          </cell>
        </row>
        <row r="13403">
          <cell r="A13403">
            <v>51181603</v>
          </cell>
          <cell r="B13403" t="str">
            <v>Liotrix</v>
          </cell>
        </row>
        <row r="13404">
          <cell r="A13404">
            <v>51181604</v>
          </cell>
          <cell r="B13404" t="str">
            <v>Tirotropina</v>
          </cell>
        </row>
        <row r="13405">
          <cell r="A13405">
            <v>51181605</v>
          </cell>
          <cell r="B13405" t="str">
            <v>Metimazol</v>
          </cell>
        </row>
        <row r="13406">
          <cell r="A13406">
            <v>51181606</v>
          </cell>
          <cell r="B13406" t="str">
            <v>Propiltiouracilo</v>
          </cell>
        </row>
        <row r="13407">
          <cell r="A13407">
            <v>51181607</v>
          </cell>
          <cell r="B13407" t="str">
            <v>Yoduro de potasio</v>
          </cell>
        </row>
        <row r="13408">
          <cell r="A13408">
            <v>51181608</v>
          </cell>
          <cell r="B13408" t="str">
            <v>Levotiroxina</v>
          </cell>
        </row>
        <row r="13409">
          <cell r="A13409">
            <v>51181609</v>
          </cell>
          <cell r="B13409" t="str">
            <v>Yoduro de sodio</v>
          </cell>
        </row>
        <row r="13410">
          <cell r="A13410">
            <v>51181701</v>
          </cell>
          <cell r="B13410" t="str">
            <v>Betametasona</v>
          </cell>
        </row>
        <row r="13411">
          <cell r="A13411">
            <v>51181702</v>
          </cell>
          <cell r="B13411" t="str">
            <v>Corticotropina</v>
          </cell>
        </row>
        <row r="13412">
          <cell r="A13412">
            <v>51181703</v>
          </cell>
          <cell r="B13412" t="str">
            <v>Cosintropina</v>
          </cell>
        </row>
        <row r="13413">
          <cell r="A13413">
            <v>51181704</v>
          </cell>
          <cell r="B13413" t="str">
            <v>Dexametasona</v>
          </cell>
        </row>
        <row r="13414">
          <cell r="A13414">
            <v>51181705</v>
          </cell>
          <cell r="B13414" t="str">
            <v>Flunisolida</v>
          </cell>
        </row>
        <row r="13415">
          <cell r="A13415">
            <v>51181706</v>
          </cell>
          <cell r="B13415" t="str">
            <v>Hidrocortisona</v>
          </cell>
        </row>
        <row r="13416">
          <cell r="A13416">
            <v>51181707</v>
          </cell>
          <cell r="B13416" t="str">
            <v>Metilprednisolona</v>
          </cell>
        </row>
        <row r="13417">
          <cell r="A13417">
            <v>51181708</v>
          </cell>
          <cell r="B13417" t="str">
            <v>Prednisolona</v>
          </cell>
        </row>
        <row r="13418">
          <cell r="A13418">
            <v>51181709</v>
          </cell>
          <cell r="B13418" t="str">
            <v>Triamcinolona</v>
          </cell>
        </row>
        <row r="13419">
          <cell r="A13419">
            <v>51181710</v>
          </cell>
          <cell r="B13419" t="str">
            <v>Desoximetasona</v>
          </cell>
        </row>
        <row r="13420">
          <cell r="A13420">
            <v>51181711</v>
          </cell>
          <cell r="B13420" t="str">
            <v>Meprednisona</v>
          </cell>
        </row>
        <row r="13421">
          <cell r="A13421">
            <v>51181712</v>
          </cell>
          <cell r="B13421" t="str">
            <v>Ácido risedrónico</v>
          </cell>
        </row>
        <row r="13422">
          <cell r="A13422">
            <v>51181713</v>
          </cell>
          <cell r="B13422" t="str">
            <v>Prednisona</v>
          </cell>
        </row>
        <row r="13423">
          <cell r="A13423">
            <v>51181714</v>
          </cell>
          <cell r="B13423" t="str">
            <v>Prednicarbato</v>
          </cell>
        </row>
        <row r="13424">
          <cell r="A13424">
            <v>51181715</v>
          </cell>
          <cell r="B13424" t="str">
            <v>Cortisona</v>
          </cell>
        </row>
        <row r="13425">
          <cell r="A13425">
            <v>51181716</v>
          </cell>
          <cell r="B13425" t="str">
            <v>Cortivazol</v>
          </cell>
        </row>
        <row r="13426">
          <cell r="A13426">
            <v>51181717</v>
          </cell>
          <cell r="B13426" t="str">
            <v>Acetato de desoxicortona</v>
          </cell>
        </row>
        <row r="13427">
          <cell r="A13427">
            <v>51181718</v>
          </cell>
          <cell r="B13427" t="str">
            <v>Deflazacort</v>
          </cell>
        </row>
        <row r="13428">
          <cell r="A13428">
            <v>51181719</v>
          </cell>
          <cell r="B13428" t="str">
            <v>Acetónido de fluocinolona</v>
          </cell>
        </row>
        <row r="13429">
          <cell r="A13429">
            <v>51181720</v>
          </cell>
          <cell r="B13429" t="str">
            <v>Diacetato de diflorasona</v>
          </cell>
        </row>
        <row r="13430">
          <cell r="A13430">
            <v>51181721</v>
          </cell>
          <cell r="B13430" t="str">
            <v>Corticorelina ovina triflutato</v>
          </cell>
        </row>
        <row r="13431">
          <cell r="A13431">
            <v>51181722</v>
          </cell>
          <cell r="B13431" t="str">
            <v>Fluticasona</v>
          </cell>
        </row>
        <row r="13432">
          <cell r="A13432">
            <v>51181723</v>
          </cell>
          <cell r="B13432" t="str">
            <v>Acetato de hidrocortisona</v>
          </cell>
        </row>
        <row r="13433">
          <cell r="A13433">
            <v>51181724</v>
          </cell>
          <cell r="B13433" t="str">
            <v>Hidrocortisona buteprato</v>
          </cell>
        </row>
        <row r="13434">
          <cell r="A13434">
            <v>51181725</v>
          </cell>
          <cell r="B13434" t="str">
            <v>Butirato de hidrocortisona</v>
          </cell>
        </row>
        <row r="13435">
          <cell r="A13435">
            <v>51181726</v>
          </cell>
          <cell r="B13435" t="str">
            <v>Fosfato sódico de hidrocortisona</v>
          </cell>
        </row>
        <row r="13436">
          <cell r="A13436">
            <v>51181727</v>
          </cell>
          <cell r="B13436" t="str">
            <v>Valerato de hidrocortisona</v>
          </cell>
        </row>
        <row r="13437">
          <cell r="A13437">
            <v>51181728</v>
          </cell>
          <cell r="B13437" t="str">
            <v>Acetato de metilprednisolona</v>
          </cell>
        </row>
        <row r="13438">
          <cell r="A13438">
            <v>51181729</v>
          </cell>
          <cell r="B13438" t="str">
            <v>Succinato sódico de metilprednisolona</v>
          </cell>
        </row>
        <row r="13439">
          <cell r="A13439">
            <v>51181730</v>
          </cell>
          <cell r="B13439" t="str">
            <v>Acetato de prednisolona</v>
          </cell>
        </row>
        <row r="13440">
          <cell r="A13440">
            <v>51181731</v>
          </cell>
          <cell r="B13440" t="str">
            <v>Acetato de triamcinolona</v>
          </cell>
        </row>
        <row r="13441">
          <cell r="A13441">
            <v>51181732</v>
          </cell>
          <cell r="B13441" t="str">
            <v>Diacetato de triamcinolona</v>
          </cell>
        </row>
        <row r="13442">
          <cell r="A13442">
            <v>51181733</v>
          </cell>
          <cell r="B13442" t="str">
            <v>Hexacetonido de triamcinolona</v>
          </cell>
        </row>
        <row r="13443">
          <cell r="A13443">
            <v>51181734</v>
          </cell>
          <cell r="B13443" t="str">
            <v>Dipropionato de alclometasona</v>
          </cell>
        </row>
        <row r="13444">
          <cell r="A13444">
            <v>51181735</v>
          </cell>
          <cell r="B13444" t="str">
            <v>Propionato de halobetasol</v>
          </cell>
        </row>
        <row r="13445">
          <cell r="A13445">
            <v>51181736</v>
          </cell>
          <cell r="B13445" t="str">
            <v>Fluorometolona</v>
          </cell>
        </row>
        <row r="13446">
          <cell r="A13446">
            <v>51181737</v>
          </cell>
          <cell r="B13446" t="str">
            <v>Halcinonida</v>
          </cell>
        </row>
        <row r="13447">
          <cell r="A13447">
            <v>51181738</v>
          </cell>
          <cell r="B13447" t="str">
            <v>Acetato de fludrocortisona</v>
          </cell>
        </row>
        <row r="13448">
          <cell r="A13448">
            <v>51181739</v>
          </cell>
          <cell r="B13448" t="str">
            <v>Rimexolona</v>
          </cell>
        </row>
        <row r="13449">
          <cell r="A13449">
            <v>51181740</v>
          </cell>
          <cell r="B13449" t="str">
            <v>Fosfato sódico de dexametasona</v>
          </cell>
        </row>
        <row r="13450">
          <cell r="A13450">
            <v>51181741</v>
          </cell>
          <cell r="B13450" t="str">
            <v>Loteprednol etabonato</v>
          </cell>
        </row>
        <row r="13451">
          <cell r="A13451">
            <v>51181742</v>
          </cell>
          <cell r="B13451" t="str">
            <v>Propionato de clobetasol</v>
          </cell>
        </row>
        <row r="13452">
          <cell r="A13452">
            <v>51181743</v>
          </cell>
          <cell r="B13452" t="str">
            <v>Pivalato de clocortolona</v>
          </cell>
        </row>
        <row r="13453">
          <cell r="A13453">
            <v>51181744</v>
          </cell>
          <cell r="B13453" t="str">
            <v>Fluocinonida</v>
          </cell>
        </row>
        <row r="13454">
          <cell r="A13454">
            <v>51181745</v>
          </cell>
          <cell r="B13454" t="str">
            <v>Flurandrenolida</v>
          </cell>
        </row>
        <row r="13455">
          <cell r="A13455">
            <v>51181746</v>
          </cell>
          <cell r="B13455" t="str">
            <v>Amcinonida</v>
          </cell>
        </row>
        <row r="13456">
          <cell r="A13456">
            <v>51181747</v>
          </cell>
          <cell r="B13456" t="str">
            <v>Probutato de hidrocortisona</v>
          </cell>
        </row>
        <row r="13457">
          <cell r="A13457">
            <v>51181748</v>
          </cell>
          <cell r="B13457" t="str">
            <v>Medrisona</v>
          </cell>
        </row>
        <row r="13458">
          <cell r="A13458">
            <v>51181749</v>
          </cell>
          <cell r="B13458" t="str">
            <v>Furoato de mometasona</v>
          </cell>
        </row>
        <row r="13459">
          <cell r="A13459">
            <v>51181750</v>
          </cell>
          <cell r="B13459" t="str">
            <v>Desonida</v>
          </cell>
        </row>
        <row r="13460">
          <cell r="A13460">
            <v>51181751</v>
          </cell>
          <cell r="B13460" t="str">
            <v>Fosfato sódico de prednisolona</v>
          </cell>
        </row>
        <row r="13461">
          <cell r="A13461">
            <v>51181752</v>
          </cell>
          <cell r="B13461" t="str">
            <v>Dipropionato de beclometasona</v>
          </cell>
        </row>
        <row r="13462">
          <cell r="A13462">
            <v>51181753</v>
          </cell>
          <cell r="B13462" t="str">
            <v>Acetato de cortisona</v>
          </cell>
        </row>
        <row r="13463">
          <cell r="A13463">
            <v>51181754</v>
          </cell>
          <cell r="B13463" t="str">
            <v>Dipropionato de betametasona</v>
          </cell>
        </row>
        <row r="13464">
          <cell r="A13464">
            <v>51181755</v>
          </cell>
          <cell r="B13464" t="str">
            <v>Valerato de betametasona</v>
          </cell>
        </row>
        <row r="13465">
          <cell r="A13465">
            <v>51181801</v>
          </cell>
          <cell r="B13465" t="str">
            <v>Clorotrianiseno</v>
          </cell>
        </row>
        <row r="13466">
          <cell r="A13466">
            <v>51181802</v>
          </cell>
          <cell r="B13466" t="str">
            <v>Estrona</v>
          </cell>
        </row>
        <row r="13467">
          <cell r="A13467">
            <v>51181803</v>
          </cell>
          <cell r="B13467" t="str">
            <v>Estrógenos conjugados</v>
          </cell>
        </row>
        <row r="13468">
          <cell r="A13468">
            <v>51181804</v>
          </cell>
          <cell r="B13468" t="str">
            <v>Estropipato</v>
          </cell>
        </row>
        <row r="13469">
          <cell r="A13469">
            <v>51181805</v>
          </cell>
          <cell r="B13469" t="str">
            <v>Levonorgestrel</v>
          </cell>
        </row>
        <row r="13470">
          <cell r="A13470">
            <v>51181806</v>
          </cell>
          <cell r="B13470" t="str">
            <v>Acetato de megestrol</v>
          </cell>
        </row>
        <row r="13471">
          <cell r="A13471">
            <v>51181807</v>
          </cell>
          <cell r="B13471" t="str">
            <v>Etinilestradiol</v>
          </cell>
        </row>
        <row r="13472">
          <cell r="A13472">
            <v>51181808</v>
          </cell>
          <cell r="B13472" t="str">
            <v>Mestranol</v>
          </cell>
        </row>
        <row r="13473">
          <cell r="A13473">
            <v>51181810</v>
          </cell>
          <cell r="B13473" t="str">
            <v>Acetato de clormadinona</v>
          </cell>
        </row>
        <row r="13474">
          <cell r="A13474">
            <v>51181811</v>
          </cell>
          <cell r="B13474" t="str">
            <v>Desogestrel y etinilestradiol</v>
          </cell>
        </row>
        <row r="13475">
          <cell r="A13475">
            <v>51181812</v>
          </cell>
          <cell r="B13475" t="str">
            <v>Dienestrol</v>
          </cell>
        </row>
        <row r="13476">
          <cell r="A13476">
            <v>51181813</v>
          </cell>
          <cell r="B13476" t="str">
            <v>Estradiol</v>
          </cell>
        </row>
        <row r="13477">
          <cell r="A13477">
            <v>51181814</v>
          </cell>
          <cell r="B13477" t="str">
            <v>Etisterona</v>
          </cell>
        </row>
        <row r="13478">
          <cell r="A13478">
            <v>51181815</v>
          </cell>
          <cell r="B13478" t="str">
            <v>Estradiol y acetato de noretisterona</v>
          </cell>
        </row>
        <row r="13479">
          <cell r="A13479">
            <v>51181816</v>
          </cell>
          <cell r="B13479" t="str">
            <v>Hidroxiestrona diacetato</v>
          </cell>
        </row>
        <row r="13480">
          <cell r="A13480">
            <v>51181817</v>
          </cell>
          <cell r="B13480" t="str">
            <v>Promestrieno</v>
          </cell>
        </row>
        <row r="13481">
          <cell r="A13481">
            <v>51181818</v>
          </cell>
          <cell r="B13481" t="str">
            <v>Progesterona</v>
          </cell>
        </row>
        <row r="13482">
          <cell r="A13482">
            <v>51181819</v>
          </cell>
          <cell r="B13482" t="str">
            <v>Promegestona</v>
          </cell>
        </row>
        <row r="13483">
          <cell r="A13483">
            <v>51181820</v>
          </cell>
          <cell r="B13483" t="str">
            <v>Gestrinona</v>
          </cell>
        </row>
        <row r="13484">
          <cell r="A13484">
            <v>51181821</v>
          </cell>
          <cell r="B13484" t="str">
            <v>Cipionato de estradiol</v>
          </cell>
        </row>
        <row r="13485">
          <cell r="A13485">
            <v>51181822</v>
          </cell>
          <cell r="B13485" t="str">
            <v>Valerato de estradiol</v>
          </cell>
        </row>
        <row r="13486">
          <cell r="A13486">
            <v>51181823</v>
          </cell>
          <cell r="B13486" t="str">
            <v>Estrógenos esterificados</v>
          </cell>
        </row>
        <row r="13487">
          <cell r="A13487">
            <v>51181824</v>
          </cell>
          <cell r="B13487" t="str">
            <v>Diacetato de etinodiol</v>
          </cell>
        </row>
        <row r="13488">
          <cell r="A13488">
            <v>51181825</v>
          </cell>
          <cell r="B13488" t="str">
            <v>Dietilestilbestrol</v>
          </cell>
        </row>
        <row r="13489">
          <cell r="A13489">
            <v>51181826</v>
          </cell>
          <cell r="B13489" t="str">
            <v>Caproato de hidroxiprogesterona</v>
          </cell>
        </row>
        <row r="13490">
          <cell r="A13490">
            <v>51181827</v>
          </cell>
          <cell r="B13490" t="str">
            <v>Acetato de medroxiprogesterona</v>
          </cell>
        </row>
        <row r="13491">
          <cell r="A13491">
            <v>51181828</v>
          </cell>
          <cell r="B13491" t="str">
            <v>Noretindrona</v>
          </cell>
        </row>
        <row r="13492">
          <cell r="A13492">
            <v>51181829</v>
          </cell>
          <cell r="B13492" t="str">
            <v>Acetato de noretindrona</v>
          </cell>
        </row>
        <row r="13493">
          <cell r="A13493">
            <v>51181830</v>
          </cell>
          <cell r="B13493" t="str">
            <v>Norgestimato</v>
          </cell>
        </row>
        <row r="13494">
          <cell r="A13494">
            <v>51181831</v>
          </cell>
          <cell r="B13494" t="str">
            <v>Norgestrel</v>
          </cell>
        </row>
        <row r="13495">
          <cell r="A13495">
            <v>51181832</v>
          </cell>
          <cell r="B13495" t="str">
            <v>Etonogestrel y etinil estradiol</v>
          </cell>
        </row>
        <row r="13496">
          <cell r="A13496">
            <v>51181833</v>
          </cell>
          <cell r="B13496" t="str">
            <v>Etinil-estradiol y diacetato de etinodiol</v>
          </cell>
        </row>
        <row r="13497">
          <cell r="A13497">
            <v>51181834</v>
          </cell>
          <cell r="B13497" t="str">
            <v>Noretindrona y  etinil estradiol</v>
          </cell>
        </row>
        <row r="13498">
          <cell r="A13498">
            <v>51181901</v>
          </cell>
          <cell r="B13498" t="str">
            <v>Gonadotropina coriónica</v>
          </cell>
        </row>
        <row r="13499">
          <cell r="A13499">
            <v>51181902</v>
          </cell>
          <cell r="B13499" t="str">
            <v>Danazol</v>
          </cell>
        </row>
        <row r="13500">
          <cell r="A13500">
            <v>51181903</v>
          </cell>
          <cell r="B13500" t="str">
            <v>Acetato de gonadorelina</v>
          </cell>
        </row>
        <row r="13501">
          <cell r="A13501">
            <v>51181904</v>
          </cell>
          <cell r="B13501" t="str">
            <v>Acetato de histrelina</v>
          </cell>
        </row>
        <row r="13502">
          <cell r="A13502">
            <v>51181905</v>
          </cell>
          <cell r="B13502" t="str">
            <v>Menotropinas</v>
          </cell>
        </row>
        <row r="13503">
          <cell r="A13503">
            <v>51181906</v>
          </cell>
          <cell r="B13503" t="str">
            <v>Urofolitropina</v>
          </cell>
        </row>
        <row r="13504">
          <cell r="A13504">
            <v>51181908</v>
          </cell>
          <cell r="B13504" t="str">
            <v>Fosfestrol de sodio</v>
          </cell>
        </row>
        <row r="13505">
          <cell r="A13505">
            <v>51181911</v>
          </cell>
          <cell r="B13505" t="str">
            <v>Citrato de clomifeno</v>
          </cell>
        </row>
        <row r="13506">
          <cell r="A13506">
            <v>51181912</v>
          </cell>
          <cell r="B13506" t="str">
            <v>Folitropina</v>
          </cell>
        </row>
        <row r="13507">
          <cell r="A13507">
            <v>51181913</v>
          </cell>
          <cell r="B13507" t="str">
            <v>Clorhidrato de gonadorelina</v>
          </cell>
        </row>
        <row r="13508">
          <cell r="A13508">
            <v>51182001</v>
          </cell>
          <cell r="B13508" t="str">
            <v>Finasterida</v>
          </cell>
        </row>
        <row r="13509">
          <cell r="A13509">
            <v>51182002</v>
          </cell>
          <cell r="B13509" t="str">
            <v>Testosterona</v>
          </cell>
        </row>
        <row r="13510">
          <cell r="A13510">
            <v>51182003</v>
          </cell>
          <cell r="B13510" t="str">
            <v>Cipionato de testosterona</v>
          </cell>
        </row>
        <row r="13511">
          <cell r="A13511">
            <v>51182004</v>
          </cell>
          <cell r="B13511" t="str">
            <v>Enantato de testosterona</v>
          </cell>
        </row>
        <row r="13512">
          <cell r="A13512">
            <v>51182005</v>
          </cell>
          <cell r="B13512" t="str">
            <v>Propionato de testosterona</v>
          </cell>
        </row>
        <row r="13513">
          <cell r="A13513">
            <v>51182006</v>
          </cell>
          <cell r="B13513" t="str">
            <v>Acetato de trembolona</v>
          </cell>
        </row>
        <row r="13514">
          <cell r="A13514">
            <v>51182007</v>
          </cell>
          <cell r="B13514" t="str">
            <v>Metandriol</v>
          </cell>
        </row>
        <row r="13515">
          <cell r="A13515">
            <v>51182008</v>
          </cell>
          <cell r="B13515" t="str">
            <v>Fluoximesterona</v>
          </cell>
        </row>
        <row r="13516">
          <cell r="A13516">
            <v>51182009</v>
          </cell>
          <cell r="B13516" t="str">
            <v>Metiltestosterona</v>
          </cell>
        </row>
        <row r="13517">
          <cell r="A13517">
            <v>51182010</v>
          </cell>
          <cell r="B13517" t="str">
            <v>Decanoato de nandrolona</v>
          </cell>
        </row>
        <row r="13518">
          <cell r="A13518">
            <v>51182011</v>
          </cell>
          <cell r="B13518" t="str">
            <v>Fenilpropionato de nandrolona</v>
          </cell>
        </row>
        <row r="13519">
          <cell r="A13519">
            <v>51182012</v>
          </cell>
          <cell r="B13519" t="str">
            <v>Prasterona</v>
          </cell>
        </row>
        <row r="13520">
          <cell r="A13520">
            <v>51182013</v>
          </cell>
          <cell r="B13520" t="str">
            <v>Stanozolol</v>
          </cell>
        </row>
        <row r="13521">
          <cell r="A13521">
            <v>51182014</v>
          </cell>
          <cell r="B13521" t="str">
            <v>Dutasteride</v>
          </cell>
        </row>
        <row r="13522">
          <cell r="A13522">
            <v>51182101</v>
          </cell>
          <cell r="B13522" t="str">
            <v>Acetato de desmopresina</v>
          </cell>
        </row>
        <row r="13523">
          <cell r="A13523">
            <v>51182102</v>
          </cell>
          <cell r="B13523" t="str">
            <v>Vasopresina</v>
          </cell>
        </row>
        <row r="13524">
          <cell r="A13524">
            <v>51182201</v>
          </cell>
          <cell r="B13524" t="str">
            <v>Dinoprostona</v>
          </cell>
        </row>
        <row r="13525">
          <cell r="A13525">
            <v>51182202</v>
          </cell>
          <cell r="B13525" t="str">
            <v>Maleato de metilergonovina</v>
          </cell>
        </row>
        <row r="13526">
          <cell r="A13526">
            <v>51182203</v>
          </cell>
          <cell r="B13526" t="str">
            <v>Oxitocina</v>
          </cell>
        </row>
        <row r="13527">
          <cell r="A13527">
            <v>51182204</v>
          </cell>
          <cell r="B13527" t="str">
            <v>Maleato de ergonovina</v>
          </cell>
        </row>
        <row r="13528">
          <cell r="A13528">
            <v>51182301</v>
          </cell>
          <cell r="B13528" t="str">
            <v>Somatrem</v>
          </cell>
        </row>
        <row r="13529">
          <cell r="A13529">
            <v>51182302</v>
          </cell>
          <cell r="B13529" t="str">
            <v>Somatropina</v>
          </cell>
        </row>
        <row r="13530">
          <cell r="A13530">
            <v>51182303</v>
          </cell>
          <cell r="B13530" t="str">
            <v>Somatostatina</v>
          </cell>
        </row>
        <row r="13531">
          <cell r="A13531">
            <v>51182304</v>
          </cell>
          <cell r="B13531" t="str">
            <v>Acetato de octreotida</v>
          </cell>
        </row>
        <row r="13532">
          <cell r="A13532">
            <v>51182401</v>
          </cell>
          <cell r="B13532" t="str">
            <v>Cloruro de calcio</v>
          </cell>
        </row>
        <row r="13533">
          <cell r="A13533">
            <v>51182403</v>
          </cell>
          <cell r="B13533" t="str">
            <v>Gluconato de calcio</v>
          </cell>
        </row>
        <row r="13534">
          <cell r="A13534">
            <v>51182404</v>
          </cell>
          <cell r="B13534" t="str">
            <v>Lactato de calcio</v>
          </cell>
        </row>
        <row r="13535">
          <cell r="A13535">
            <v>51182405</v>
          </cell>
          <cell r="B13535" t="str">
            <v>Fosfato de calcio dibase</v>
          </cell>
        </row>
        <row r="13536">
          <cell r="A13536">
            <v>51182406</v>
          </cell>
          <cell r="B13536" t="str">
            <v>Alendronato sódico</v>
          </cell>
        </row>
        <row r="13537">
          <cell r="A13537">
            <v>51182407</v>
          </cell>
          <cell r="B13537" t="str">
            <v>Calcitonina</v>
          </cell>
        </row>
        <row r="13538">
          <cell r="A13538">
            <v>51182408</v>
          </cell>
          <cell r="B13538" t="str">
            <v>Fosfato  sódico de celulosa</v>
          </cell>
        </row>
        <row r="13539">
          <cell r="A13539">
            <v>51182409</v>
          </cell>
          <cell r="B13539" t="str">
            <v>Nitrato de galio</v>
          </cell>
        </row>
        <row r="13540">
          <cell r="A13540">
            <v>51182410</v>
          </cell>
          <cell r="B13540" t="str">
            <v>Etidronato disódico</v>
          </cell>
        </row>
        <row r="13541">
          <cell r="A13541">
            <v>51182411</v>
          </cell>
          <cell r="B13541" t="str">
            <v>Nandrolona</v>
          </cell>
        </row>
        <row r="13542">
          <cell r="A13542">
            <v>51182412</v>
          </cell>
          <cell r="B13542" t="str">
            <v>Fosfato calcio tribásico</v>
          </cell>
        </row>
        <row r="13543">
          <cell r="A13543">
            <v>51182413</v>
          </cell>
          <cell r="B13543" t="str">
            <v>Calcio fosfato de glicerol</v>
          </cell>
        </row>
        <row r="13544">
          <cell r="A13544">
            <v>51182415</v>
          </cell>
          <cell r="B13544" t="str">
            <v>Ácido zoledrónico</v>
          </cell>
        </row>
        <row r="13545">
          <cell r="A13545">
            <v>51182416</v>
          </cell>
          <cell r="B13545" t="str">
            <v>Pamidronato disódico</v>
          </cell>
        </row>
        <row r="13546">
          <cell r="A13546">
            <v>51182417</v>
          </cell>
          <cell r="B13546" t="str">
            <v>Risedronato de sodio</v>
          </cell>
        </row>
        <row r="13547">
          <cell r="A13547">
            <v>51182418</v>
          </cell>
          <cell r="B13547" t="str">
            <v>Acetato de calcio</v>
          </cell>
        </row>
        <row r="13548">
          <cell r="A13548">
            <v>51182419</v>
          </cell>
          <cell r="B13548" t="str">
            <v>Glucoheptonato de calcio  o gluceptato de calcio</v>
          </cell>
        </row>
        <row r="13549">
          <cell r="A13549">
            <v>51182420</v>
          </cell>
          <cell r="B13549" t="str">
            <v>Dihidrotaquisterol</v>
          </cell>
        </row>
        <row r="13550">
          <cell r="A13550">
            <v>51191501</v>
          </cell>
          <cell r="B13550" t="str">
            <v>Clorotiazida</v>
          </cell>
        </row>
        <row r="13551">
          <cell r="A13551">
            <v>51191502</v>
          </cell>
          <cell r="B13551" t="str">
            <v>Clortalidona</v>
          </cell>
        </row>
        <row r="13552">
          <cell r="A13552">
            <v>51191503</v>
          </cell>
          <cell r="B13552" t="str">
            <v>Metolazona</v>
          </cell>
        </row>
        <row r="13553">
          <cell r="A13553">
            <v>51191504</v>
          </cell>
          <cell r="B13553" t="str">
            <v>Bumetanida</v>
          </cell>
        </row>
        <row r="13554">
          <cell r="A13554">
            <v>51191505</v>
          </cell>
          <cell r="B13554" t="str">
            <v>Etacrinato de sodio</v>
          </cell>
        </row>
        <row r="13555">
          <cell r="A13555">
            <v>51191506</v>
          </cell>
          <cell r="B13555" t="str">
            <v>Clorhidrato de amilorida</v>
          </cell>
        </row>
        <row r="13556">
          <cell r="A13556">
            <v>51191507</v>
          </cell>
          <cell r="B13556" t="str">
            <v>Espironolactona</v>
          </cell>
        </row>
        <row r="13557">
          <cell r="A13557">
            <v>51191508</v>
          </cell>
          <cell r="B13557" t="str">
            <v>Triamtereno</v>
          </cell>
        </row>
        <row r="13558">
          <cell r="A13558">
            <v>51191509</v>
          </cell>
          <cell r="B13558" t="str">
            <v>Manitol</v>
          </cell>
        </row>
        <row r="13559">
          <cell r="A13559">
            <v>51191510</v>
          </cell>
          <cell r="B13559" t="str">
            <v>Furosemida</v>
          </cell>
        </row>
        <row r="13560">
          <cell r="A13560">
            <v>51191511</v>
          </cell>
          <cell r="B13560" t="str">
            <v>Canrenoato de potasio</v>
          </cell>
        </row>
        <row r="13561">
          <cell r="A13561">
            <v>51191512</v>
          </cell>
          <cell r="B13561" t="str">
            <v>Lasitone</v>
          </cell>
        </row>
        <row r="13562">
          <cell r="A13562">
            <v>51191513</v>
          </cell>
          <cell r="B13562" t="str">
            <v>Bendroflumetiazida</v>
          </cell>
        </row>
        <row r="13563">
          <cell r="A13563">
            <v>51191514</v>
          </cell>
          <cell r="B13563" t="str">
            <v>Ácido etacrínico</v>
          </cell>
        </row>
        <row r="13564">
          <cell r="A13564">
            <v>51191515</v>
          </cell>
          <cell r="B13564" t="str">
            <v>Hidroclorotiazida</v>
          </cell>
        </row>
        <row r="13565">
          <cell r="A13565">
            <v>51191516</v>
          </cell>
          <cell r="B13565" t="str">
            <v>Hidroflumetiazida</v>
          </cell>
        </row>
        <row r="13566">
          <cell r="A13566">
            <v>51191517</v>
          </cell>
          <cell r="B13566" t="str">
            <v>Isosorbide</v>
          </cell>
        </row>
        <row r="13567">
          <cell r="A13567">
            <v>51191518</v>
          </cell>
          <cell r="B13567" t="str">
            <v>Meticlotiazida</v>
          </cell>
        </row>
        <row r="13568">
          <cell r="A13568">
            <v>51191519</v>
          </cell>
          <cell r="B13568" t="str">
            <v>Pamabrom</v>
          </cell>
        </row>
        <row r="13569">
          <cell r="A13569">
            <v>51191520</v>
          </cell>
          <cell r="B13569" t="str">
            <v>Politiazida</v>
          </cell>
        </row>
        <row r="13570">
          <cell r="A13570">
            <v>51191521</v>
          </cell>
          <cell r="B13570" t="str">
            <v>Torasemida</v>
          </cell>
        </row>
        <row r="13571">
          <cell r="A13571">
            <v>51191522</v>
          </cell>
          <cell r="B13571" t="str">
            <v>Triclormetiazida</v>
          </cell>
        </row>
        <row r="13572">
          <cell r="A13572">
            <v>51191523</v>
          </cell>
          <cell r="B13572" t="str">
            <v>Diurético osmótico urea</v>
          </cell>
        </row>
        <row r="13573">
          <cell r="A13573">
            <v>51191601</v>
          </cell>
          <cell r="B13573" t="str">
            <v>Dextrosa</v>
          </cell>
        </row>
        <row r="13574">
          <cell r="A13574">
            <v>51191602</v>
          </cell>
          <cell r="B13574" t="str">
            <v>Electrolitos de cloruro de sodio</v>
          </cell>
        </row>
        <row r="13575">
          <cell r="A13575">
            <v>51191603</v>
          </cell>
          <cell r="B13575" t="str">
            <v>Alimentación parenteral total o soluciones apt nutricionales</v>
          </cell>
        </row>
        <row r="13576">
          <cell r="A13576">
            <v>51191604</v>
          </cell>
          <cell r="B13576" t="str">
            <v>Solución ringer lactato</v>
          </cell>
        </row>
        <row r="13577">
          <cell r="A13577">
            <v>51191701</v>
          </cell>
          <cell r="B13577" t="str">
            <v>Trometamina</v>
          </cell>
        </row>
        <row r="13578">
          <cell r="A13578">
            <v>51191702</v>
          </cell>
          <cell r="B13578" t="str">
            <v>Lactato de sodio</v>
          </cell>
        </row>
        <row r="13579">
          <cell r="A13579">
            <v>51191703</v>
          </cell>
          <cell r="B13579" t="str">
            <v>Acetato de sodio</v>
          </cell>
        </row>
        <row r="13580">
          <cell r="A13580">
            <v>51191704</v>
          </cell>
          <cell r="B13580" t="str">
            <v>Soluciones electrolíticas múltiples</v>
          </cell>
        </row>
        <row r="13581">
          <cell r="A13581">
            <v>51191705</v>
          </cell>
          <cell r="B13581" t="str">
            <v>Combinación de ácido cítrico y citrato de potasio</v>
          </cell>
        </row>
        <row r="13582">
          <cell r="A13582">
            <v>51191706</v>
          </cell>
          <cell r="B13582" t="str">
            <v>Combinación de ácido cítrico y citrato de sodio</v>
          </cell>
        </row>
        <row r="13583">
          <cell r="A13583">
            <v>51191801</v>
          </cell>
          <cell r="B13583" t="str">
            <v>Bicarbonato de potasio</v>
          </cell>
        </row>
        <row r="13584">
          <cell r="A13584">
            <v>51191802</v>
          </cell>
          <cell r="B13584" t="str">
            <v>Cloruro de potasio</v>
          </cell>
        </row>
        <row r="13585">
          <cell r="A13585">
            <v>51191803</v>
          </cell>
          <cell r="B13585" t="str">
            <v>Gluconato de potasio</v>
          </cell>
        </row>
        <row r="13586">
          <cell r="A13586">
            <v>51191804</v>
          </cell>
          <cell r="B13586" t="str">
            <v>Acetato de potasio</v>
          </cell>
        </row>
        <row r="13587">
          <cell r="A13587">
            <v>51191805</v>
          </cell>
          <cell r="B13587" t="str">
            <v>Suplemento de potasio</v>
          </cell>
        </row>
        <row r="13588">
          <cell r="A13588">
            <v>51191901</v>
          </cell>
          <cell r="B13588" t="str">
            <v>Residuo de germen de maíz</v>
          </cell>
        </row>
        <row r="13589">
          <cell r="A13589">
            <v>51191902</v>
          </cell>
          <cell r="B13589" t="str">
            <v>Suplementos de amino ácidos</v>
          </cell>
        </row>
        <row r="13590">
          <cell r="A13590">
            <v>51191903</v>
          </cell>
          <cell r="B13590" t="str">
            <v>Pentermina</v>
          </cell>
        </row>
        <row r="13591">
          <cell r="A13591">
            <v>51191904</v>
          </cell>
          <cell r="B13591" t="str">
            <v>Fosfolípidos</v>
          </cell>
        </row>
        <row r="13592">
          <cell r="A13592">
            <v>51191905</v>
          </cell>
          <cell r="B13592" t="str">
            <v>Suplementos vitamínicos</v>
          </cell>
        </row>
        <row r="13593">
          <cell r="A13593">
            <v>51191906</v>
          </cell>
          <cell r="B13593" t="str">
            <v>Solución de rehidratación oral</v>
          </cell>
        </row>
        <row r="13594">
          <cell r="A13594">
            <v>51191907</v>
          </cell>
          <cell r="B13594" t="str">
            <v>Amonio molibdato</v>
          </cell>
        </row>
        <row r="13595">
          <cell r="A13595">
            <v>51201501</v>
          </cell>
          <cell r="B13595" t="str">
            <v>Azatioprina</v>
          </cell>
        </row>
        <row r="13596">
          <cell r="A13596">
            <v>51201502</v>
          </cell>
          <cell r="B13596" t="str">
            <v>Ciclosporina</v>
          </cell>
        </row>
        <row r="13597">
          <cell r="A13597">
            <v>51201503</v>
          </cell>
          <cell r="B13597" t="str">
            <v>Mofetilo micofenolato</v>
          </cell>
        </row>
        <row r="13598">
          <cell r="A13598">
            <v>51201504</v>
          </cell>
          <cell r="B13598" t="str">
            <v>Tacrolimus</v>
          </cell>
        </row>
        <row r="13599">
          <cell r="A13599">
            <v>51201505</v>
          </cell>
          <cell r="B13599" t="str">
            <v>Antilinfocitos</v>
          </cell>
        </row>
        <row r="13600">
          <cell r="A13600">
            <v>51201506</v>
          </cell>
          <cell r="B13600" t="str">
            <v>Defibrotide</v>
          </cell>
        </row>
        <row r="13601">
          <cell r="A13601">
            <v>51201507</v>
          </cell>
          <cell r="B13601" t="str">
            <v>Aldesleukina</v>
          </cell>
        </row>
        <row r="13602">
          <cell r="A13602">
            <v>51201508</v>
          </cell>
          <cell r="B13602" t="str">
            <v>Basiliximab</v>
          </cell>
        </row>
        <row r="13603">
          <cell r="A13603">
            <v>51201509</v>
          </cell>
          <cell r="B13603" t="str">
            <v>Daclizumab</v>
          </cell>
        </row>
        <row r="13604">
          <cell r="A13604">
            <v>51201510</v>
          </cell>
          <cell r="B13604" t="str">
            <v>Imiquimod</v>
          </cell>
        </row>
        <row r="13605">
          <cell r="A13605">
            <v>51201511</v>
          </cell>
          <cell r="B13605" t="str">
            <v>Muromonab cd3</v>
          </cell>
        </row>
        <row r="13606">
          <cell r="A13606">
            <v>51201512</v>
          </cell>
          <cell r="B13606" t="str">
            <v>Clorhidrato de micofenolato de mofetilo</v>
          </cell>
        </row>
        <row r="13607">
          <cell r="A13607">
            <v>51201513</v>
          </cell>
          <cell r="B13607" t="str">
            <v>Peginterferón</v>
          </cell>
        </row>
        <row r="13608">
          <cell r="A13608">
            <v>51201514</v>
          </cell>
          <cell r="B13608" t="str">
            <v>Pimecrolimus</v>
          </cell>
        </row>
        <row r="13609">
          <cell r="A13609">
            <v>51201515</v>
          </cell>
          <cell r="B13609" t="str">
            <v>Sirolimus</v>
          </cell>
        </row>
        <row r="13610">
          <cell r="A13610">
            <v>51201516</v>
          </cell>
          <cell r="B13610" t="str">
            <v>Antilinfocito o inmunoglobulina linfocítica</v>
          </cell>
        </row>
        <row r="13611">
          <cell r="A13611">
            <v>51201517</v>
          </cell>
          <cell r="B13611" t="str">
            <v>Hidrocloruro de guanidina</v>
          </cell>
        </row>
        <row r="13612">
          <cell r="A13612">
            <v>51201518</v>
          </cell>
          <cell r="B13612" t="str">
            <v>Azatioprina sódica</v>
          </cell>
        </row>
        <row r="13613">
          <cell r="A13613">
            <v>51201601</v>
          </cell>
          <cell r="B13613" t="str">
            <v>Antígeno de ántrax</v>
          </cell>
        </row>
        <row r="13614">
          <cell r="A13614">
            <v>51201602</v>
          </cell>
          <cell r="B13614" t="str">
            <v>Antígeno brucélico</v>
          </cell>
        </row>
        <row r="13615">
          <cell r="A13615">
            <v>51201603</v>
          </cell>
          <cell r="B13615" t="str">
            <v>Vacuna contra el cólera</v>
          </cell>
        </row>
        <row r="13616">
          <cell r="A13616">
            <v>51201604</v>
          </cell>
          <cell r="B13616" t="str">
            <v>Difteria</v>
          </cell>
        </row>
        <row r="13617">
          <cell r="A13617">
            <v>51201605</v>
          </cell>
          <cell r="B13617" t="str">
            <v>Vacuna contra el virus de la encefalitis</v>
          </cell>
        </row>
        <row r="13618">
          <cell r="A13618">
            <v>51201606</v>
          </cell>
          <cell r="B13618" t="str">
            <v>Influenza hemofílica</v>
          </cell>
        </row>
        <row r="13619">
          <cell r="A13619">
            <v>51201607</v>
          </cell>
          <cell r="B13619" t="str">
            <v>Vacuna contra el virus de hepatitis b</v>
          </cell>
        </row>
        <row r="13620">
          <cell r="A13620">
            <v>51201608</v>
          </cell>
          <cell r="B13620" t="str">
            <v>Vacuna contra el virus de la influenza</v>
          </cell>
        </row>
        <row r="13621">
          <cell r="A13621">
            <v>51201609</v>
          </cell>
          <cell r="B13621" t="str">
            <v>Vacuna contra el virus del sarampión</v>
          </cell>
        </row>
        <row r="13622">
          <cell r="A13622">
            <v>51201610</v>
          </cell>
          <cell r="B13622" t="str">
            <v>Vacuna meningococo</v>
          </cell>
        </row>
        <row r="13623">
          <cell r="A13623">
            <v>51201611</v>
          </cell>
          <cell r="B13623" t="str">
            <v>Morbillivirus</v>
          </cell>
        </row>
        <row r="13624">
          <cell r="A13624">
            <v>51201612</v>
          </cell>
          <cell r="B13624" t="str">
            <v>Vacuna contra el virus de las paperas</v>
          </cell>
        </row>
        <row r="13625">
          <cell r="A13625">
            <v>51201613</v>
          </cell>
          <cell r="B13625" t="str">
            <v>Parotiditis</v>
          </cell>
        </row>
        <row r="13626">
          <cell r="A13626">
            <v>51201614</v>
          </cell>
          <cell r="B13626" t="str">
            <v>Vacuna contra la pertussis</v>
          </cell>
        </row>
        <row r="13627">
          <cell r="A13627">
            <v>51201615</v>
          </cell>
          <cell r="B13627" t="str">
            <v>Vacuna contra el neumococo</v>
          </cell>
        </row>
        <row r="13628">
          <cell r="A13628">
            <v>51201616</v>
          </cell>
          <cell r="B13628" t="str">
            <v>Vacuna contra el virus del polio</v>
          </cell>
        </row>
        <row r="13629">
          <cell r="A13629">
            <v>51201617</v>
          </cell>
          <cell r="B13629" t="str">
            <v>Vacuna contra la rabia</v>
          </cell>
        </row>
        <row r="13630">
          <cell r="A13630">
            <v>51201618</v>
          </cell>
          <cell r="B13630" t="str">
            <v>Rotavirus</v>
          </cell>
        </row>
        <row r="13631">
          <cell r="A13631">
            <v>51201619</v>
          </cell>
          <cell r="B13631" t="str">
            <v>Vacuna contra el virus de la rubeola</v>
          </cell>
        </row>
        <row r="13632">
          <cell r="A13632">
            <v>51201620</v>
          </cell>
          <cell r="B13632" t="str">
            <v>Viruela</v>
          </cell>
        </row>
        <row r="13633">
          <cell r="A13633">
            <v>51201621</v>
          </cell>
          <cell r="B13633" t="str">
            <v>Toxoide tetánico</v>
          </cell>
        </row>
        <row r="13634">
          <cell r="A13634">
            <v>51201622</v>
          </cell>
          <cell r="B13634" t="str">
            <v>Tuberculosis</v>
          </cell>
        </row>
        <row r="13635">
          <cell r="A13635">
            <v>51201623</v>
          </cell>
          <cell r="B13635" t="str">
            <v>Vacuna contra el tifo</v>
          </cell>
        </row>
        <row r="13636">
          <cell r="A13636">
            <v>51201624</v>
          </cell>
          <cell r="B13636" t="str">
            <v>Vacuna contra el virus de la varicela</v>
          </cell>
        </row>
        <row r="13637">
          <cell r="A13637">
            <v>51201625</v>
          </cell>
          <cell r="B13637" t="str">
            <v>Vacuna contra la fiebre amarilla</v>
          </cell>
        </row>
        <row r="13638">
          <cell r="A13638">
            <v>51201626</v>
          </cell>
          <cell r="B13638" t="str">
            <v>Hepatitis a</v>
          </cell>
        </row>
        <row r="13639">
          <cell r="A13639">
            <v>51201627</v>
          </cell>
          <cell r="B13639" t="str">
            <v>Vacuna contra la hemofilia b</v>
          </cell>
        </row>
        <row r="13640">
          <cell r="A13640">
            <v>51201628</v>
          </cell>
          <cell r="B13640" t="str">
            <v>Vacuna contra los virus del sarampión, paperas y rubeola</v>
          </cell>
        </row>
        <row r="13641">
          <cell r="A13641">
            <v>51201629</v>
          </cell>
          <cell r="B13641" t="str">
            <v>Difteria y toxoide tetánico adsorbido</v>
          </cell>
        </row>
        <row r="13642">
          <cell r="A13642">
            <v>51201631</v>
          </cell>
          <cell r="B13642" t="str">
            <v>Vacuna contra difteria y toxoide tetánico y pertussis acelular</v>
          </cell>
        </row>
        <row r="13643">
          <cell r="A13643">
            <v>51201632</v>
          </cell>
          <cell r="B13643" t="str">
            <v>Difteria y tétano y pertussis celular</v>
          </cell>
        </row>
        <row r="13644">
          <cell r="A13644">
            <v>51201633</v>
          </cell>
          <cell r="B13644" t="str">
            <v>Influenza b hemofílica con difteria y tétano y pertussis acelular</v>
          </cell>
        </row>
        <row r="13645">
          <cell r="A13645">
            <v>51201634</v>
          </cell>
          <cell r="B13645" t="str">
            <v>Influenza b hemofílica con difteria y tétano y pertussis celular conjugadas</v>
          </cell>
        </row>
        <row r="13646">
          <cell r="A13646">
            <v>51201635</v>
          </cell>
          <cell r="B13646" t="str">
            <v>Vacuna contra el virus de la hepatitis a</v>
          </cell>
        </row>
        <row r="13647">
          <cell r="A13647">
            <v>51201636</v>
          </cell>
          <cell r="B13647" t="str">
            <v>Vacuna contra la enfermedad de lyme (borreliosis)</v>
          </cell>
        </row>
        <row r="13648">
          <cell r="A13648">
            <v>51201638</v>
          </cell>
          <cell r="B13648" t="str">
            <v>Vacuna contra la plaga</v>
          </cell>
        </row>
        <row r="13649">
          <cell r="A13649">
            <v>51201639</v>
          </cell>
          <cell r="B13649" t="str">
            <v>Vacuna contra el estafilococo</v>
          </cell>
        </row>
        <row r="13650">
          <cell r="A13650">
            <v>51201646</v>
          </cell>
          <cell r="B13650" t="str">
            <v>Vacuna contra el virus del sarampión y la rubeola</v>
          </cell>
        </row>
        <row r="13651">
          <cell r="A13651">
            <v>51201647</v>
          </cell>
          <cell r="B13651" t="str">
            <v>Vacuna bcg</v>
          </cell>
        </row>
        <row r="13652">
          <cell r="A13652">
            <v>51201648</v>
          </cell>
          <cell r="B13652" t="str">
            <v>Vacuna contra el virus de la rubeola y las paperas</v>
          </cell>
        </row>
        <row r="13653">
          <cell r="A13653">
            <v>51201701</v>
          </cell>
          <cell r="B13653" t="str">
            <v>Hipocruposis</v>
          </cell>
        </row>
        <row r="13654">
          <cell r="A13654">
            <v>51201702</v>
          </cell>
          <cell r="B13654" t="str">
            <v>E coli</v>
          </cell>
        </row>
        <row r="13655">
          <cell r="A13655">
            <v>51201703</v>
          </cell>
          <cell r="B13655" t="str">
            <v>Gumboro</v>
          </cell>
        </row>
        <row r="13656">
          <cell r="A13656">
            <v>51201704</v>
          </cell>
          <cell r="B13656" t="str">
            <v>Bronquitis infecciosa aviar</v>
          </cell>
        </row>
        <row r="13657">
          <cell r="A13657">
            <v>51201705</v>
          </cell>
          <cell r="B13657" t="str">
            <v>Newcastle</v>
          </cell>
        </row>
        <row r="13658">
          <cell r="A13658">
            <v>51201801</v>
          </cell>
          <cell r="B13658" t="str">
            <v>Inmunoglobulinas bacterianas</v>
          </cell>
        </row>
        <row r="13659">
          <cell r="A13659">
            <v>51201802</v>
          </cell>
          <cell r="B13659" t="str">
            <v>Filgrastim</v>
          </cell>
        </row>
        <row r="13660">
          <cell r="A13660">
            <v>51201803</v>
          </cell>
          <cell r="B13660" t="str">
            <v>Pelfigrastim</v>
          </cell>
        </row>
        <row r="13661">
          <cell r="A13661">
            <v>51201804</v>
          </cell>
          <cell r="B13661" t="str">
            <v>Sargramostim</v>
          </cell>
        </row>
        <row r="13662">
          <cell r="A13662">
            <v>51201805</v>
          </cell>
          <cell r="B13662" t="str">
            <v>Inmunoglobulina rho d</v>
          </cell>
        </row>
        <row r="13663">
          <cell r="A13663">
            <v>51201806</v>
          </cell>
          <cell r="B13663" t="str">
            <v>Inmunoglobulina o gamma igg</v>
          </cell>
        </row>
        <row r="13664">
          <cell r="A13664">
            <v>51201807</v>
          </cell>
          <cell r="B13664" t="str">
            <v>Inmunoglobulinas virales</v>
          </cell>
        </row>
        <row r="13665">
          <cell r="A13665">
            <v>51201808</v>
          </cell>
          <cell r="B13665" t="str">
            <v>Clorhidrato levamisol</v>
          </cell>
        </row>
        <row r="13666">
          <cell r="A13666">
            <v>51201809</v>
          </cell>
          <cell r="B13666" t="str">
            <v>Interferon</v>
          </cell>
        </row>
        <row r="13667">
          <cell r="A13667">
            <v>51201901</v>
          </cell>
          <cell r="B13667" t="str">
            <v>Acetato de glatiramer</v>
          </cell>
        </row>
        <row r="13668">
          <cell r="A13668">
            <v>51211501</v>
          </cell>
          <cell r="B13668" t="str">
            <v>Alopurinol</v>
          </cell>
        </row>
        <row r="13669">
          <cell r="A13669">
            <v>51211502</v>
          </cell>
          <cell r="B13669" t="str">
            <v>Colchicina</v>
          </cell>
        </row>
        <row r="13670">
          <cell r="A13670">
            <v>51211503</v>
          </cell>
          <cell r="B13670" t="str">
            <v>Probenecid</v>
          </cell>
        </row>
        <row r="13671">
          <cell r="A13671">
            <v>51211504</v>
          </cell>
          <cell r="B13671" t="str">
            <v>Sulfinpirazona</v>
          </cell>
        </row>
        <row r="13672">
          <cell r="A13672">
            <v>51211505</v>
          </cell>
          <cell r="B13672" t="str">
            <v>Benzbromarona</v>
          </cell>
        </row>
        <row r="13673">
          <cell r="A13673">
            <v>51211601</v>
          </cell>
          <cell r="B13673" t="str">
            <v>Deferoxamina mesilato</v>
          </cell>
        </row>
        <row r="13674">
          <cell r="A13674">
            <v>51211602</v>
          </cell>
          <cell r="B13674" t="str">
            <v>Dexrazoxano</v>
          </cell>
        </row>
        <row r="13675">
          <cell r="A13675">
            <v>51211603</v>
          </cell>
          <cell r="B13675" t="str">
            <v>Digoxina inmune fab</v>
          </cell>
        </row>
        <row r="13676">
          <cell r="A13676">
            <v>51211604</v>
          </cell>
          <cell r="B13676" t="str">
            <v>Dimercaprol</v>
          </cell>
        </row>
        <row r="13677">
          <cell r="A13677">
            <v>51211605</v>
          </cell>
          <cell r="B13677" t="str">
            <v>Edetato disódico</v>
          </cell>
        </row>
        <row r="13678">
          <cell r="A13678">
            <v>51211606</v>
          </cell>
          <cell r="B13678" t="str">
            <v>Flumazenil</v>
          </cell>
        </row>
        <row r="13679">
          <cell r="A13679">
            <v>51211607</v>
          </cell>
          <cell r="B13679" t="str">
            <v>Ipecacuana</v>
          </cell>
        </row>
        <row r="13680">
          <cell r="A13680">
            <v>51211608</v>
          </cell>
          <cell r="B13680" t="str">
            <v>Penicilamina</v>
          </cell>
        </row>
        <row r="13681">
          <cell r="A13681">
            <v>51211609</v>
          </cell>
          <cell r="B13681" t="str">
            <v>Protamina sulfato</v>
          </cell>
        </row>
        <row r="13682">
          <cell r="A13682">
            <v>51211610</v>
          </cell>
          <cell r="B13682" t="str">
            <v>Sulfonato poliestireno sódico</v>
          </cell>
        </row>
        <row r="13683">
          <cell r="A13683">
            <v>51211611</v>
          </cell>
          <cell r="B13683" t="str">
            <v>Trientina</v>
          </cell>
        </row>
        <row r="13684">
          <cell r="A13684">
            <v>51211612</v>
          </cell>
          <cell r="B13684" t="str">
            <v>Leucovorina</v>
          </cell>
        </row>
        <row r="13685">
          <cell r="A13685">
            <v>51211613</v>
          </cell>
          <cell r="B13685" t="str">
            <v>Sorbitol</v>
          </cell>
        </row>
        <row r="13686">
          <cell r="A13686">
            <v>51211615</v>
          </cell>
          <cell r="B13686" t="str">
            <v>Azul de metileno</v>
          </cell>
        </row>
        <row r="13687">
          <cell r="A13687">
            <v>51211616</v>
          </cell>
          <cell r="B13687" t="str">
            <v>Anti venenos</v>
          </cell>
        </row>
        <row r="13688">
          <cell r="A13688">
            <v>51211617</v>
          </cell>
          <cell r="B13688" t="str">
            <v>Leucovorina cálcica</v>
          </cell>
        </row>
        <row r="13689">
          <cell r="A13689">
            <v>51211618</v>
          </cell>
          <cell r="B13689" t="str">
            <v>Antídoto de carbón activado</v>
          </cell>
        </row>
        <row r="13690">
          <cell r="A13690">
            <v>51211619</v>
          </cell>
          <cell r="B13690" t="str">
            <v>Edetato cálcico disódico</v>
          </cell>
        </row>
        <row r="13691">
          <cell r="A13691">
            <v>51211620</v>
          </cell>
          <cell r="B13691" t="str">
            <v>Fomepizol</v>
          </cell>
        </row>
        <row r="13692">
          <cell r="A13692">
            <v>51211621</v>
          </cell>
          <cell r="B13692" t="str">
            <v>Clorhidrato pralidoxima</v>
          </cell>
        </row>
        <row r="13693">
          <cell r="A13693">
            <v>51211622</v>
          </cell>
          <cell r="B13693" t="str">
            <v>Tiosulfato de sodio</v>
          </cell>
        </row>
        <row r="13694">
          <cell r="A13694">
            <v>51211623</v>
          </cell>
          <cell r="B13694" t="str">
            <v>Succimer</v>
          </cell>
        </row>
        <row r="13695">
          <cell r="A13695">
            <v>51211624</v>
          </cell>
          <cell r="B13695" t="str">
            <v>Sulfato de cobre</v>
          </cell>
        </row>
        <row r="13696">
          <cell r="A13696">
            <v>51211625</v>
          </cell>
          <cell r="B13696" t="str">
            <v>Exopeptidasa g2</v>
          </cell>
        </row>
        <row r="13697">
          <cell r="A13697">
            <v>51211901</v>
          </cell>
          <cell r="B13697" t="str">
            <v>Xilacina</v>
          </cell>
        </row>
        <row r="13698">
          <cell r="A13698">
            <v>51212001</v>
          </cell>
          <cell r="B13698" t="str">
            <v>Aceite etérico</v>
          </cell>
        </row>
        <row r="13699">
          <cell r="A13699">
            <v>51212002</v>
          </cell>
          <cell r="B13699" t="str">
            <v>Extracto de centella asiática</v>
          </cell>
        </row>
        <row r="13700">
          <cell r="A13700">
            <v>51212003</v>
          </cell>
          <cell r="B13700" t="str">
            <v>Extracto de ipecacuana</v>
          </cell>
        </row>
        <row r="13701">
          <cell r="A13701">
            <v>51212004</v>
          </cell>
          <cell r="B13701" t="str">
            <v>Aesculus</v>
          </cell>
        </row>
        <row r="13702">
          <cell r="A13702">
            <v>51212005</v>
          </cell>
          <cell r="B13702" t="str">
            <v>Aconitum napellus (acónito común)</v>
          </cell>
        </row>
        <row r="13703">
          <cell r="A13703">
            <v>51212006</v>
          </cell>
          <cell r="B13703" t="str">
            <v>Valeriana</v>
          </cell>
        </row>
        <row r="13704">
          <cell r="A13704">
            <v>51212007</v>
          </cell>
          <cell r="B13704" t="str">
            <v>Ajo</v>
          </cell>
        </row>
        <row r="13705">
          <cell r="A13705">
            <v>51212008</v>
          </cell>
          <cell r="B13705" t="str">
            <v>Celidonia mayor</v>
          </cell>
        </row>
        <row r="13706">
          <cell r="A13706">
            <v>51212009</v>
          </cell>
          <cell r="B13706" t="str">
            <v>Saponaria</v>
          </cell>
        </row>
        <row r="13707">
          <cell r="A13707">
            <v>51212010</v>
          </cell>
          <cell r="B13707" t="str">
            <v>Prímula</v>
          </cell>
        </row>
        <row r="13708">
          <cell r="A13708">
            <v>51212011</v>
          </cell>
          <cell r="B13708" t="str">
            <v>Pimpinella</v>
          </cell>
        </row>
        <row r="13709">
          <cell r="A13709">
            <v>51212012</v>
          </cell>
          <cell r="B13709" t="str">
            <v>Cilantro</v>
          </cell>
        </row>
        <row r="13710">
          <cell r="A13710">
            <v>51212013</v>
          </cell>
          <cell r="B13710" t="str">
            <v>Hedera hélix</v>
          </cell>
        </row>
        <row r="13711">
          <cell r="A13711">
            <v>51212014</v>
          </cell>
          <cell r="B13711" t="str">
            <v>Goma arábiga</v>
          </cell>
        </row>
        <row r="13712">
          <cell r="A13712">
            <v>51212015</v>
          </cell>
          <cell r="B13712" t="str">
            <v>Boneset</v>
          </cell>
        </row>
        <row r="13713">
          <cell r="A13713">
            <v>51212016</v>
          </cell>
          <cell r="B13713" t="str">
            <v>Echinacea</v>
          </cell>
        </row>
        <row r="13714">
          <cell r="A13714">
            <v>51212017</v>
          </cell>
          <cell r="B13714" t="str">
            <v>Acónito</v>
          </cell>
        </row>
        <row r="13715">
          <cell r="A13715">
            <v>51212018</v>
          </cell>
          <cell r="B13715" t="str">
            <v>Coccus cacti</v>
          </cell>
        </row>
        <row r="13716">
          <cell r="A13716">
            <v>51212020</v>
          </cell>
          <cell r="B13716" t="str">
            <v>Menta de gato</v>
          </cell>
        </row>
        <row r="13717">
          <cell r="A13717">
            <v>51212021</v>
          </cell>
          <cell r="B13717" t="str">
            <v>Ginseng</v>
          </cell>
        </row>
        <row r="13718">
          <cell r="A13718">
            <v>51212022</v>
          </cell>
          <cell r="B13718" t="str">
            <v>Asafétida</v>
          </cell>
        </row>
        <row r="13719">
          <cell r="A13719">
            <v>51212023</v>
          </cell>
          <cell r="B13719" t="str">
            <v>Arándano</v>
          </cell>
        </row>
        <row r="13720">
          <cell r="A13720">
            <v>51212024</v>
          </cell>
          <cell r="B13720" t="str">
            <v>Árnica</v>
          </cell>
        </row>
        <row r="13721">
          <cell r="A13721">
            <v>51212025</v>
          </cell>
          <cell r="B13721" t="str">
            <v>Bálsamo del perú</v>
          </cell>
        </row>
        <row r="13722">
          <cell r="A13722">
            <v>51212026</v>
          </cell>
          <cell r="B13722" t="str">
            <v>Eufrasia</v>
          </cell>
        </row>
        <row r="13723">
          <cell r="A13723">
            <v>51212027</v>
          </cell>
          <cell r="B13723" t="str">
            <v>Ginkgo biloba</v>
          </cell>
        </row>
        <row r="13724">
          <cell r="A13724">
            <v>51212028</v>
          </cell>
          <cell r="B13724" t="str">
            <v>Hydrastis</v>
          </cell>
        </row>
        <row r="13725">
          <cell r="A13725">
            <v>51212029</v>
          </cell>
          <cell r="B13725" t="str">
            <v>Gotu kola</v>
          </cell>
        </row>
        <row r="13726">
          <cell r="A13726">
            <v>51212030</v>
          </cell>
          <cell r="B13726" t="str">
            <v>Palma enana americana (saw palmetto)</v>
          </cell>
        </row>
        <row r="13727">
          <cell r="A13727">
            <v>51212031</v>
          </cell>
          <cell r="B13727" t="str">
            <v>Pygeum africano</v>
          </cell>
        </row>
        <row r="13728">
          <cell r="A13728">
            <v>51212032</v>
          </cell>
          <cell r="B13728" t="str">
            <v>Raíz de angélica</v>
          </cell>
        </row>
        <row r="13729">
          <cell r="A13729">
            <v>51212033</v>
          </cell>
          <cell r="B13729" t="str">
            <v>Violeta geneciana</v>
          </cell>
        </row>
        <row r="13730">
          <cell r="A13730">
            <v>51212034</v>
          </cell>
          <cell r="B13730" t="str">
            <v>Capsaicina</v>
          </cell>
        </row>
        <row r="13731">
          <cell r="A13731">
            <v>51212035</v>
          </cell>
          <cell r="B13731" t="str">
            <v>Leche de cardo</v>
          </cell>
        </row>
        <row r="13732">
          <cell r="A13732">
            <v>51212036</v>
          </cell>
          <cell r="B13732" t="str">
            <v>Cohosh negro</v>
          </cell>
        </row>
        <row r="13733">
          <cell r="A13733">
            <v>51212101</v>
          </cell>
          <cell r="B13733" t="str">
            <v>Floruro de sodio</v>
          </cell>
        </row>
        <row r="13734">
          <cell r="A13734">
            <v>51212201</v>
          </cell>
          <cell r="B13734" t="str">
            <v>Disulfiram</v>
          </cell>
        </row>
        <row r="13735">
          <cell r="A13735">
            <v>51212202</v>
          </cell>
          <cell r="B13735" t="str">
            <v>Nicotina</v>
          </cell>
        </row>
        <row r="13736">
          <cell r="A13736">
            <v>51212203</v>
          </cell>
          <cell r="B13736" t="str">
            <v>Nicotina polacrilina</v>
          </cell>
        </row>
        <row r="13737">
          <cell r="A13737">
            <v>51212301</v>
          </cell>
          <cell r="B13737" t="str">
            <v>Aminohipurato sódico</v>
          </cell>
        </row>
        <row r="13738">
          <cell r="A13738">
            <v>51212302</v>
          </cell>
          <cell r="B13738" t="str">
            <v>Aceite etiodizado</v>
          </cell>
        </row>
        <row r="13739">
          <cell r="A13739">
            <v>51212303</v>
          </cell>
          <cell r="B13739" t="str">
            <v>Sodio fluoresceína</v>
          </cell>
        </row>
        <row r="13740">
          <cell r="A13740">
            <v>51212304</v>
          </cell>
          <cell r="B13740" t="str">
            <v>Indigotindisulfonato sódico</v>
          </cell>
        </row>
        <row r="13741">
          <cell r="A13741">
            <v>51212305</v>
          </cell>
          <cell r="B13741" t="str">
            <v>Indocianina verde</v>
          </cell>
        </row>
        <row r="13742">
          <cell r="A13742">
            <v>51212306</v>
          </cell>
          <cell r="B13742" t="str">
            <v>Cloruro de metacolina</v>
          </cell>
        </row>
        <row r="13743">
          <cell r="A13743">
            <v>51212307</v>
          </cell>
          <cell r="B13743" t="str">
            <v>Metirapona</v>
          </cell>
        </row>
        <row r="13744">
          <cell r="A13744">
            <v>51212308</v>
          </cell>
          <cell r="B13744" t="str">
            <v>Sodio de rosa de bengala i 131</v>
          </cell>
        </row>
        <row r="13745">
          <cell r="A13745">
            <v>51212309</v>
          </cell>
          <cell r="B13745" t="str">
            <v>Loxaglato de meglumina</v>
          </cell>
        </row>
        <row r="13746">
          <cell r="A13746">
            <v>51212401</v>
          </cell>
          <cell r="B13746" t="str">
            <v>Sildenafil citrato</v>
          </cell>
        </row>
        <row r="13747">
          <cell r="A13747">
            <v>51212402</v>
          </cell>
          <cell r="B13747" t="str">
            <v>Clorhidrato de vardenafil</v>
          </cell>
        </row>
        <row r="13748">
          <cell r="A13748">
            <v>51241001</v>
          </cell>
          <cell r="B13748" t="str">
            <v>Dioctil sulfosuccinato de sodio</v>
          </cell>
        </row>
        <row r="13749">
          <cell r="A13749">
            <v>51241002</v>
          </cell>
          <cell r="B13749" t="str">
            <v>Oleato polipéptido de trietanolamina</v>
          </cell>
        </row>
        <row r="13750">
          <cell r="A13750">
            <v>51241101</v>
          </cell>
          <cell r="B13750" t="str">
            <v>Cloruro acetilcolina</v>
          </cell>
        </row>
        <row r="13751">
          <cell r="A13751">
            <v>51241102</v>
          </cell>
          <cell r="B13751" t="str">
            <v>Clorhidrato de apraclonidina</v>
          </cell>
        </row>
        <row r="13752">
          <cell r="A13752">
            <v>51241103</v>
          </cell>
          <cell r="B13752" t="str">
            <v>Bimatoprost</v>
          </cell>
        </row>
        <row r="13753">
          <cell r="A13753">
            <v>51241104</v>
          </cell>
          <cell r="B13753" t="str">
            <v>Brinzolamida</v>
          </cell>
        </row>
        <row r="13754">
          <cell r="A13754">
            <v>51241105</v>
          </cell>
          <cell r="B13754" t="str">
            <v>Carbachol</v>
          </cell>
        </row>
        <row r="13755">
          <cell r="A13755">
            <v>51241106</v>
          </cell>
          <cell r="B13755" t="str">
            <v>Demecario bromuro</v>
          </cell>
        </row>
        <row r="13756">
          <cell r="A13756">
            <v>51241107</v>
          </cell>
          <cell r="B13756" t="str">
            <v>Dorzolimato clorhidrato</v>
          </cell>
        </row>
        <row r="13757">
          <cell r="A13757">
            <v>51241108</v>
          </cell>
          <cell r="B13757" t="str">
            <v>Iodeto de ecotiofato</v>
          </cell>
        </row>
        <row r="13758">
          <cell r="A13758">
            <v>51241109</v>
          </cell>
          <cell r="B13758" t="str">
            <v>Borato de epinephryl</v>
          </cell>
        </row>
        <row r="13759">
          <cell r="A13759">
            <v>51241110</v>
          </cell>
          <cell r="B13759" t="str">
            <v>Latanoprost</v>
          </cell>
        </row>
        <row r="13760">
          <cell r="A13760">
            <v>51241111</v>
          </cell>
          <cell r="B13760" t="str">
            <v>Clorhidrato de levobunolol</v>
          </cell>
        </row>
        <row r="13761">
          <cell r="A13761">
            <v>51241112</v>
          </cell>
          <cell r="B13761" t="str">
            <v>Metipranolol</v>
          </cell>
        </row>
        <row r="13762">
          <cell r="A13762">
            <v>51241113</v>
          </cell>
          <cell r="B13762" t="str">
            <v>Sulfato fisostigmina</v>
          </cell>
        </row>
        <row r="13763">
          <cell r="A13763">
            <v>51241114</v>
          </cell>
          <cell r="B13763" t="str">
            <v>Clorhidrato de pilocarpina</v>
          </cell>
        </row>
        <row r="13764">
          <cell r="A13764">
            <v>51241115</v>
          </cell>
          <cell r="B13764" t="str">
            <v>Timolol</v>
          </cell>
        </row>
        <row r="13765">
          <cell r="A13765">
            <v>51241116</v>
          </cell>
          <cell r="B13765" t="str">
            <v>Travoprost</v>
          </cell>
        </row>
        <row r="13766">
          <cell r="A13766">
            <v>51241117</v>
          </cell>
          <cell r="B13766" t="str">
            <v>Isopropil unoprostone</v>
          </cell>
        </row>
        <row r="13767">
          <cell r="A13767">
            <v>51241118</v>
          </cell>
          <cell r="B13767" t="str">
            <v>Diclorfenamida</v>
          </cell>
        </row>
        <row r="13768">
          <cell r="A13768">
            <v>51241119</v>
          </cell>
          <cell r="B13768" t="str">
            <v>Metalzolamida</v>
          </cell>
        </row>
        <row r="13769">
          <cell r="A13769">
            <v>51241120</v>
          </cell>
          <cell r="B13769" t="str">
            <v>Lágrimas artificiales</v>
          </cell>
        </row>
        <row r="13770">
          <cell r="A13770">
            <v>51241201</v>
          </cell>
          <cell r="B13770" t="str">
            <v>Ácido salicílico</v>
          </cell>
        </row>
        <row r="13771">
          <cell r="A13771">
            <v>51241202</v>
          </cell>
          <cell r="B13771" t="str">
            <v>Ácido azelaico</v>
          </cell>
        </row>
        <row r="13772">
          <cell r="A13772">
            <v>51241203</v>
          </cell>
          <cell r="B13772" t="str">
            <v>Subcarbonato de bismuto</v>
          </cell>
        </row>
        <row r="13773">
          <cell r="A13773">
            <v>51241204</v>
          </cell>
          <cell r="B13773" t="str">
            <v>Ácido bórico</v>
          </cell>
        </row>
        <row r="13774">
          <cell r="A13774">
            <v>51241205</v>
          </cell>
          <cell r="B13774" t="str">
            <v>Calamina</v>
          </cell>
        </row>
        <row r="13775">
          <cell r="A13775">
            <v>51241206</v>
          </cell>
          <cell r="B13775" t="str">
            <v>Cloroxina</v>
          </cell>
        </row>
        <row r="13776">
          <cell r="A13776">
            <v>51241207</v>
          </cell>
          <cell r="B13776" t="str">
            <v>Preparaciones tópicas de brea de hulla</v>
          </cell>
        </row>
        <row r="13777">
          <cell r="A13777">
            <v>51241208</v>
          </cell>
          <cell r="B13777" t="str">
            <v>Cremas o ungüentos hidrofilacios</v>
          </cell>
        </row>
        <row r="13778">
          <cell r="A13778">
            <v>51241209</v>
          </cell>
          <cell r="B13778" t="str">
            <v>Hidroquinona</v>
          </cell>
        </row>
        <row r="13779">
          <cell r="A13779">
            <v>51241210</v>
          </cell>
          <cell r="B13779" t="str">
            <v>Salicilato de metilo</v>
          </cell>
        </row>
        <row r="13780">
          <cell r="A13780">
            <v>51241211</v>
          </cell>
          <cell r="B13780" t="str">
            <v>Minoxidil solución tópica</v>
          </cell>
        </row>
        <row r="13781">
          <cell r="A13781">
            <v>51241212</v>
          </cell>
          <cell r="B13781" t="str">
            <v>Papaina</v>
          </cell>
        </row>
        <row r="13782">
          <cell r="A13782">
            <v>51241213</v>
          </cell>
          <cell r="B13782" t="str">
            <v>Preparación tópica de brea de pino</v>
          </cell>
        </row>
        <row r="13783">
          <cell r="A13783">
            <v>51241214</v>
          </cell>
          <cell r="B13783" t="str">
            <v>Podofilox</v>
          </cell>
        </row>
        <row r="13784">
          <cell r="A13784">
            <v>51241215</v>
          </cell>
          <cell r="B13784" t="str">
            <v>Resina podofilina</v>
          </cell>
        </row>
        <row r="13785">
          <cell r="A13785">
            <v>51241216</v>
          </cell>
          <cell r="B13785" t="str">
            <v>Piritionato de zinc</v>
          </cell>
        </row>
        <row r="13786">
          <cell r="A13786">
            <v>51241217</v>
          </cell>
          <cell r="B13786" t="str">
            <v>Resorcinol</v>
          </cell>
        </row>
        <row r="13787">
          <cell r="A13787">
            <v>51241218</v>
          </cell>
          <cell r="B13787" t="str">
            <v>Sulfato de selenio</v>
          </cell>
        </row>
        <row r="13788">
          <cell r="A13788">
            <v>51241219</v>
          </cell>
          <cell r="B13788" t="str">
            <v>Tazaroteno</v>
          </cell>
        </row>
        <row r="13789">
          <cell r="A13789">
            <v>51241220</v>
          </cell>
          <cell r="B13789" t="str">
            <v>Tretinoina</v>
          </cell>
        </row>
        <row r="13790">
          <cell r="A13790">
            <v>51241221</v>
          </cell>
          <cell r="B13790" t="str">
            <v>Tripsina cristalizada</v>
          </cell>
        </row>
        <row r="13791">
          <cell r="A13791">
            <v>51241222</v>
          </cell>
          <cell r="B13791" t="str">
            <v>Dimeticona</v>
          </cell>
        </row>
        <row r="13792">
          <cell r="A13792">
            <v>51241223</v>
          </cell>
          <cell r="B13792" t="str">
            <v>Calcipotriene</v>
          </cell>
        </row>
        <row r="13793">
          <cell r="A13793">
            <v>51241224</v>
          </cell>
          <cell r="B13793" t="str">
            <v>Antralina o ditranol</v>
          </cell>
        </row>
        <row r="13794">
          <cell r="A13794">
            <v>51241225</v>
          </cell>
          <cell r="B13794" t="str">
            <v>Preparaciones tópicas de alcanfor</v>
          </cell>
        </row>
        <row r="13795">
          <cell r="A13795">
            <v>51241226</v>
          </cell>
          <cell r="B13795" t="str">
            <v>Preparaciones tópicas de urea</v>
          </cell>
        </row>
        <row r="13796">
          <cell r="A13796">
            <v>51241227</v>
          </cell>
          <cell r="B13796" t="str">
            <v>Preparaciones tópicas de aceite de turpentina</v>
          </cell>
        </row>
        <row r="13797">
          <cell r="A13797">
            <v>51241228</v>
          </cell>
          <cell r="B13797" t="str">
            <v>Ácido láctico</v>
          </cell>
        </row>
        <row r="13798">
          <cell r="A13798">
            <v>51241229</v>
          </cell>
          <cell r="B13798" t="str">
            <v>Solución sustituta de la saliva</v>
          </cell>
        </row>
        <row r="13799">
          <cell r="A13799">
            <v>51241301</v>
          </cell>
          <cell r="B13799" t="str">
            <v>Acetato de aluminio</v>
          </cell>
        </row>
        <row r="13800">
          <cell r="A13800">
            <v>51241302</v>
          </cell>
          <cell r="B13800" t="str">
            <v>Hamamelis o escoba de bruja</v>
          </cell>
        </row>
        <row r="13801">
          <cell r="A13801">
            <v>51241303</v>
          </cell>
          <cell r="B13801" t="str">
            <v>Acetato de zinc</v>
          </cell>
        </row>
        <row r="13802">
          <cell r="A13802">
            <v>51241304</v>
          </cell>
          <cell r="B13802" t="str">
            <v>Alumbre de amonio</v>
          </cell>
        </row>
        <row r="13803">
          <cell r="A13803">
            <v>51241305</v>
          </cell>
          <cell r="B13803" t="str">
            <v>Ácido tánico</v>
          </cell>
        </row>
        <row r="13804">
          <cell r="A13804">
            <v>51251001</v>
          </cell>
          <cell r="B13804" t="str">
            <v>Butafosfan</v>
          </cell>
        </row>
        <row r="13805">
          <cell r="A13805">
            <v>52101501</v>
          </cell>
          <cell r="B13805" t="str">
            <v>Alfombras orientales</v>
          </cell>
        </row>
        <row r="13806">
          <cell r="A13806">
            <v>52101502</v>
          </cell>
          <cell r="B13806" t="str">
            <v>Alfombras</v>
          </cell>
        </row>
        <row r="13807">
          <cell r="A13807">
            <v>52101503</v>
          </cell>
          <cell r="B13807" t="str">
            <v>Alfombras de lana</v>
          </cell>
        </row>
        <row r="13808">
          <cell r="A13808">
            <v>52101504</v>
          </cell>
          <cell r="B13808" t="str">
            <v>Alfombras de algodón</v>
          </cell>
        </row>
        <row r="13809">
          <cell r="A13809">
            <v>52101505</v>
          </cell>
          <cell r="B13809" t="str">
            <v>Alfombras sintéticas</v>
          </cell>
        </row>
        <row r="13810">
          <cell r="A13810">
            <v>52101506</v>
          </cell>
          <cell r="B13810" t="str">
            <v>Alfombras trenzadas</v>
          </cell>
        </row>
        <row r="13811">
          <cell r="A13811">
            <v>52101507</v>
          </cell>
          <cell r="B13811" t="str">
            <v>Tapetes de baño</v>
          </cell>
        </row>
        <row r="13812">
          <cell r="A13812">
            <v>52101508</v>
          </cell>
          <cell r="B13812" t="str">
            <v>Tapetes de entrada</v>
          </cell>
        </row>
        <row r="13813">
          <cell r="A13813">
            <v>52101509</v>
          </cell>
          <cell r="B13813" t="str">
            <v>Tapetes decorativos</v>
          </cell>
        </row>
        <row r="13814">
          <cell r="A13814">
            <v>52101510</v>
          </cell>
          <cell r="B13814" t="str">
            <v>Tapetes anti fatiga</v>
          </cell>
        </row>
        <row r="13815">
          <cell r="A13815">
            <v>52101511</v>
          </cell>
          <cell r="B13815" t="str">
            <v>Tapetes de caucho o vinilo</v>
          </cell>
        </row>
        <row r="13816">
          <cell r="A13816">
            <v>52101512</v>
          </cell>
          <cell r="B13816" t="str">
            <v>Esterillas para sillas</v>
          </cell>
        </row>
        <row r="13817">
          <cell r="A13817">
            <v>52101513</v>
          </cell>
          <cell r="B13817" t="str">
            <v>Protector de carpetas</v>
          </cell>
        </row>
        <row r="13818">
          <cell r="A13818">
            <v>52121501</v>
          </cell>
          <cell r="B13818" t="str">
            <v>Colchas</v>
          </cell>
        </row>
        <row r="13819">
          <cell r="A13819">
            <v>52121502</v>
          </cell>
          <cell r="B13819" t="str">
            <v>Edredones</v>
          </cell>
        </row>
        <row r="13820">
          <cell r="A13820">
            <v>52121503</v>
          </cell>
          <cell r="B13820" t="str">
            <v>Forros para edredones</v>
          </cell>
        </row>
        <row r="13821">
          <cell r="A13821">
            <v>52121504</v>
          </cell>
          <cell r="B13821" t="str">
            <v>Forros para colchones</v>
          </cell>
        </row>
        <row r="13822">
          <cell r="A13822">
            <v>52121505</v>
          </cell>
          <cell r="B13822" t="str">
            <v>Almohadas</v>
          </cell>
        </row>
        <row r="13823">
          <cell r="A13823">
            <v>52121506</v>
          </cell>
          <cell r="B13823" t="str">
            <v>Rellenos para colchones</v>
          </cell>
        </row>
        <row r="13824">
          <cell r="A13824">
            <v>52121507</v>
          </cell>
          <cell r="B13824" t="str">
            <v>Plumones</v>
          </cell>
        </row>
        <row r="13825">
          <cell r="A13825">
            <v>52121508</v>
          </cell>
          <cell r="B13825" t="str">
            <v>Cobijas</v>
          </cell>
        </row>
        <row r="13826">
          <cell r="A13826">
            <v>52121509</v>
          </cell>
          <cell r="B13826" t="str">
            <v>Sábanas</v>
          </cell>
        </row>
        <row r="13827">
          <cell r="A13827">
            <v>52121510</v>
          </cell>
          <cell r="B13827" t="str">
            <v>Volantes de cama</v>
          </cell>
        </row>
        <row r="13828">
          <cell r="A13828">
            <v>52121511</v>
          </cell>
          <cell r="B13828" t="str">
            <v>Fundas de edredón</v>
          </cell>
        </row>
        <row r="13829">
          <cell r="A13829">
            <v>52121512</v>
          </cell>
          <cell r="B13829" t="str">
            <v>Fundas de almohada</v>
          </cell>
        </row>
        <row r="13830">
          <cell r="A13830">
            <v>52121513</v>
          </cell>
          <cell r="B13830" t="str">
            <v>Cobertores</v>
          </cell>
        </row>
        <row r="13831">
          <cell r="A13831">
            <v>52121601</v>
          </cell>
          <cell r="B13831" t="str">
            <v>Limpiones</v>
          </cell>
        </row>
        <row r="13832">
          <cell r="A13832">
            <v>52121602</v>
          </cell>
          <cell r="B13832" t="str">
            <v>Servilletas</v>
          </cell>
        </row>
        <row r="13833">
          <cell r="A13833">
            <v>52121603</v>
          </cell>
          <cell r="B13833" t="str">
            <v>Tiras de mesa</v>
          </cell>
        </row>
        <row r="13834">
          <cell r="A13834">
            <v>52121604</v>
          </cell>
          <cell r="B13834" t="str">
            <v>Manteles</v>
          </cell>
        </row>
        <row r="13835">
          <cell r="A13835">
            <v>52121605</v>
          </cell>
          <cell r="B13835" t="str">
            <v>Guantes de horno o coge ollas para uso doméstico</v>
          </cell>
        </row>
        <row r="13836">
          <cell r="A13836">
            <v>52121606</v>
          </cell>
          <cell r="B13836" t="str">
            <v>Individuales de mesa</v>
          </cell>
        </row>
        <row r="13837">
          <cell r="A13837">
            <v>52121607</v>
          </cell>
          <cell r="B13837" t="str">
            <v>Faldas de mesa</v>
          </cell>
        </row>
        <row r="13838">
          <cell r="A13838">
            <v>52121608</v>
          </cell>
          <cell r="B13838" t="str">
            <v>Clips para faldas de mesa</v>
          </cell>
        </row>
        <row r="13839">
          <cell r="A13839">
            <v>52121701</v>
          </cell>
          <cell r="B13839" t="str">
            <v>Toallas de baño</v>
          </cell>
        </row>
        <row r="13840">
          <cell r="A13840">
            <v>52121702</v>
          </cell>
          <cell r="B13840" t="str">
            <v>Toallas playeras</v>
          </cell>
        </row>
        <row r="13841">
          <cell r="A13841">
            <v>52121703</v>
          </cell>
          <cell r="B13841" t="str">
            <v>Paños para lavar</v>
          </cell>
        </row>
        <row r="13842">
          <cell r="A13842">
            <v>52121704</v>
          </cell>
          <cell r="B13842" t="str">
            <v>Toallas de manos</v>
          </cell>
        </row>
        <row r="13843">
          <cell r="A13843">
            <v>52131501</v>
          </cell>
          <cell r="B13843" t="str">
            <v>Cortinas</v>
          </cell>
        </row>
        <row r="13844">
          <cell r="A13844">
            <v>52131503</v>
          </cell>
          <cell r="B13844" t="str">
            <v>Colgaduras</v>
          </cell>
        </row>
        <row r="13845">
          <cell r="A13845">
            <v>52131601</v>
          </cell>
          <cell r="B13845" t="str">
            <v>Persianas venecianas</v>
          </cell>
        </row>
        <row r="13846">
          <cell r="A13846">
            <v>52131602</v>
          </cell>
          <cell r="B13846" t="str">
            <v>Persianas enrollables</v>
          </cell>
        </row>
        <row r="13847">
          <cell r="A13847">
            <v>52131603</v>
          </cell>
          <cell r="B13847" t="str">
            <v>Postigos interiores</v>
          </cell>
        </row>
        <row r="13848">
          <cell r="A13848">
            <v>52131604</v>
          </cell>
          <cell r="B13848" t="str">
            <v>Persianas verticales</v>
          </cell>
        </row>
        <row r="13849">
          <cell r="A13849">
            <v>52131701</v>
          </cell>
          <cell r="B13849" t="str">
            <v>Cenefas</v>
          </cell>
        </row>
        <row r="13850">
          <cell r="A13850">
            <v>52131702</v>
          </cell>
          <cell r="B13850" t="str">
            <v>Varillas para cortinas</v>
          </cell>
        </row>
        <row r="13851">
          <cell r="A13851">
            <v>52131703</v>
          </cell>
          <cell r="B13851" t="str">
            <v>Remates para varillas</v>
          </cell>
        </row>
        <row r="13852">
          <cell r="A13852">
            <v>52131704</v>
          </cell>
          <cell r="B13852" t="str">
            <v>Anillos o ganchos para cortinas</v>
          </cell>
        </row>
        <row r="13853">
          <cell r="A13853">
            <v>52141501</v>
          </cell>
          <cell r="B13853" t="str">
            <v>Neveras para uso doméstico</v>
          </cell>
        </row>
        <row r="13854">
          <cell r="A13854">
            <v>52141502</v>
          </cell>
          <cell r="B13854" t="str">
            <v>Hornos microondas para uso doméstico</v>
          </cell>
        </row>
        <row r="13855">
          <cell r="A13855">
            <v>52141503</v>
          </cell>
          <cell r="B13855" t="str">
            <v>Trituradores de basura para uso doméstico</v>
          </cell>
        </row>
        <row r="13856">
          <cell r="A13856">
            <v>52141504</v>
          </cell>
          <cell r="B13856" t="str">
            <v>Fogones para uso doméstico</v>
          </cell>
        </row>
        <row r="13857">
          <cell r="A13857">
            <v>52141505</v>
          </cell>
          <cell r="B13857" t="str">
            <v>Lavadoras de platos para uso doméstico</v>
          </cell>
        </row>
        <row r="13858">
          <cell r="A13858">
            <v>52141506</v>
          </cell>
          <cell r="B13858" t="str">
            <v>Congeladores para uso doméstico</v>
          </cell>
        </row>
        <row r="13859">
          <cell r="A13859">
            <v>52141507</v>
          </cell>
          <cell r="B13859" t="str">
            <v>Congeladores verticales para uso doméstico</v>
          </cell>
        </row>
        <row r="13860">
          <cell r="A13860">
            <v>52141508</v>
          </cell>
          <cell r="B13860" t="str">
            <v>Congeladores horizontales para uso doméstico</v>
          </cell>
        </row>
        <row r="13861">
          <cell r="A13861">
            <v>52141509</v>
          </cell>
          <cell r="B13861" t="str">
            <v>Combinación de neveras y congeladores para uso doméstico</v>
          </cell>
        </row>
        <row r="13862">
          <cell r="A13862">
            <v>52141510</v>
          </cell>
          <cell r="B13862" t="str">
            <v>Aire acondicionado portátil para uso doméstico</v>
          </cell>
        </row>
        <row r="13863">
          <cell r="A13863">
            <v>52141511</v>
          </cell>
          <cell r="B13863" t="str">
            <v>Exprimidores de jugo para uso doméstico</v>
          </cell>
        </row>
        <row r="13864">
          <cell r="A13864">
            <v>52141512</v>
          </cell>
          <cell r="B13864" t="str">
            <v>Planchas para waffles para uso doméstico</v>
          </cell>
        </row>
        <row r="13865">
          <cell r="A13865">
            <v>52141513</v>
          </cell>
          <cell r="B13865" t="str">
            <v>Abrelatas eléctricos para uso doméstico</v>
          </cell>
        </row>
        <row r="13866">
          <cell r="A13866">
            <v>52141514</v>
          </cell>
          <cell r="B13866" t="str">
            <v>Procesadores de alimentos para uso doméstico</v>
          </cell>
        </row>
        <row r="13867">
          <cell r="A13867">
            <v>52141515</v>
          </cell>
          <cell r="B13867" t="str">
            <v>Compactadores de basura para uso doméstico</v>
          </cell>
        </row>
        <row r="13868">
          <cell r="A13868">
            <v>52141516</v>
          </cell>
          <cell r="B13868" t="str">
            <v>Freidoras para uso doméstico</v>
          </cell>
        </row>
        <row r="13869">
          <cell r="A13869">
            <v>52141517</v>
          </cell>
          <cell r="B13869" t="str">
            <v>Máquinas de maíz pira para uso doméstico</v>
          </cell>
        </row>
        <row r="13870">
          <cell r="A13870">
            <v>52141518</v>
          </cell>
          <cell r="B13870" t="str">
            <v>Máquinas para uso doméstico para hacer pan</v>
          </cell>
        </row>
        <row r="13871">
          <cell r="A13871">
            <v>52141519</v>
          </cell>
          <cell r="B13871" t="str">
            <v>Hornos convencionales para uso doméstico</v>
          </cell>
        </row>
        <row r="13872">
          <cell r="A13872">
            <v>52141520</v>
          </cell>
          <cell r="B13872" t="str">
            <v>Mezcladoras para uso doméstico</v>
          </cell>
        </row>
        <row r="13873">
          <cell r="A13873">
            <v>52141521</v>
          </cell>
          <cell r="B13873" t="str">
            <v>Hornos tostadores para uso doméstico</v>
          </cell>
        </row>
        <row r="13874">
          <cell r="A13874">
            <v>52141522</v>
          </cell>
          <cell r="B13874" t="str">
            <v>Tostadoras para uso doméstico</v>
          </cell>
        </row>
        <row r="13875">
          <cell r="A13875">
            <v>52141523</v>
          </cell>
          <cell r="B13875" t="str">
            <v>Teteras eléctricas para uso doméstico</v>
          </cell>
        </row>
        <row r="13876">
          <cell r="A13876">
            <v>52141524</v>
          </cell>
          <cell r="B13876" t="str">
            <v>Licuadoras para uso doméstico</v>
          </cell>
        </row>
        <row r="13877">
          <cell r="A13877">
            <v>52141525</v>
          </cell>
          <cell r="B13877" t="str">
            <v>Hornillas para uso doméstico</v>
          </cell>
        </row>
        <row r="13878">
          <cell r="A13878">
            <v>52141526</v>
          </cell>
          <cell r="B13878" t="str">
            <v>Cafeteras para uso doméstico</v>
          </cell>
        </row>
        <row r="13879">
          <cell r="A13879">
            <v>52141527</v>
          </cell>
          <cell r="B13879" t="str">
            <v>Cuchillos eléctricos para uso doméstico</v>
          </cell>
        </row>
        <row r="13880">
          <cell r="A13880">
            <v>52141528</v>
          </cell>
          <cell r="B13880" t="str">
            <v>Woks eléctricos para uso doméstico</v>
          </cell>
        </row>
        <row r="13881">
          <cell r="A13881">
            <v>52141529</v>
          </cell>
          <cell r="B13881" t="str">
            <v>Moledoras de café para uso doméstico</v>
          </cell>
        </row>
        <row r="13882">
          <cell r="A13882">
            <v>52141530</v>
          </cell>
          <cell r="B13882" t="str">
            <v>Partes de máquinas lavaplatos</v>
          </cell>
        </row>
        <row r="13883">
          <cell r="A13883">
            <v>52141531</v>
          </cell>
          <cell r="B13883" t="str">
            <v>Tajadores de alimentos para uso doméstico</v>
          </cell>
        </row>
        <row r="13884">
          <cell r="A13884">
            <v>52141532</v>
          </cell>
          <cell r="B13884" t="str">
            <v>Sartenes eléctricos para uso doméstico</v>
          </cell>
        </row>
        <row r="13885">
          <cell r="A13885">
            <v>52141533</v>
          </cell>
          <cell r="B13885" t="str">
            <v>Planchas eléctricas para uso doméstico</v>
          </cell>
        </row>
        <row r="13886">
          <cell r="A13886">
            <v>52141534</v>
          </cell>
          <cell r="B13886" t="str">
            <v>Sandwicheras eléctricas para uso doméstico</v>
          </cell>
        </row>
        <row r="13887">
          <cell r="A13887">
            <v>52141535</v>
          </cell>
          <cell r="B13887" t="str">
            <v>Parrillas eléctricas interiores para uso doméstico</v>
          </cell>
        </row>
        <row r="13888">
          <cell r="A13888">
            <v>52141536</v>
          </cell>
          <cell r="B13888" t="str">
            <v>Pizelles o máquinas para hacer galletas para uso doméstico</v>
          </cell>
        </row>
        <row r="13889">
          <cell r="A13889">
            <v>52141537</v>
          </cell>
          <cell r="B13889" t="str">
            <v>Olla de cocción lenta para uso doméstico</v>
          </cell>
        </row>
        <row r="13890">
          <cell r="A13890">
            <v>52141538</v>
          </cell>
          <cell r="B13890" t="str">
            <v>Calienta comidas para uso doméstico</v>
          </cell>
        </row>
        <row r="13891">
          <cell r="A13891">
            <v>52141539</v>
          </cell>
          <cell r="B13891" t="str">
            <v>Máquinas para hacer té para uso doméstico</v>
          </cell>
        </row>
        <row r="13892">
          <cell r="A13892">
            <v>52141601</v>
          </cell>
          <cell r="B13892" t="str">
            <v>Lavadoras de ropa para uso doméstico</v>
          </cell>
        </row>
        <row r="13893">
          <cell r="A13893">
            <v>52141602</v>
          </cell>
          <cell r="B13893" t="str">
            <v>Secadoras de ropa para uso doméstico</v>
          </cell>
        </row>
        <row r="13894">
          <cell r="A13894">
            <v>52141603</v>
          </cell>
          <cell r="B13894" t="str">
            <v>Planchas de ropa para uso doméstico</v>
          </cell>
        </row>
        <row r="13895">
          <cell r="A13895">
            <v>52141604</v>
          </cell>
          <cell r="B13895" t="str">
            <v>Secadoras de calzado</v>
          </cell>
        </row>
        <row r="13896">
          <cell r="A13896">
            <v>52141605</v>
          </cell>
          <cell r="B13896" t="str">
            <v>Canastas de ropa</v>
          </cell>
        </row>
        <row r="13897">
          <cell r="A13897">
            <v>52141606</v>
          </cell>
          <cell r="B13897" t="str">
            <v>Cestas de ropa</v>
          </cell>
        </row>
        <row r="13898">
          <cell r="A13898">
            <v>52141607</v>
          </cell>
          <cell r="B13898" t="str">
            <v>Compuestos para remover arrugas de los textiles</v>
          </cell>
        </row>
        <row r="13899">
          <cell r="A13899">
            <v>52141608</v>
          </cell>
          <cell r="B13899" t="str">
            <v>Plancha de vapor para ropa</v>
          </cell>
        </row>
        <row r="13900">
          <cell r="A13900">
            <v>52141701</v>
          </cell>
          <cell r="B13900" t="str">
            <v>Cepillos de dientes eléctricos para uso doméstico</v>
          </cell>
        </row>
        <row r="13901">
          <cell r="A13901">
            <v>52141703</v>
          </cell>
          <cell r="B13901" t="str">
            <v>Secadores de pelo para uso doméstico</v>
          </cell>
        </row>
        <row r="13902">
          <cell r="A13902">
            <v>52141704</v>
          </cell>
          <cell r="B13902" t="str">
            <v>Máquinas de afeitar eléctricas para uso doméstico</v>
          </cell>
        </row>
        <row r="13903">
          <cell r="A13903">
            <v>52141705</v>
          </cell>
          <cell r="B13903" t="str">
            <v>Partes de afeitadoras o removedores de vello</v>
          </cell>
        </row>
        <row r="13904">
          <cell r="A13904">
            <v>52141706</v>
          </cell>
          <cell r="B13904" t="str">
            <v>Secadores de uñas</v>
          </cell>
        </row>
        <row r="13905">
          <cell r="A13905">
            <v>52141801</v>
          </cell>
          <cell r="B13905" t="str">
            <v>Máquinas de coser para uso doméstico</v>
          </cell>
        </row>
        <row r="13906">
          <cell r="A13906">
            <v>52141802</v>
          </cell>
          <cell r="B13906" t="str">
            <v>Calentadores de espacios para uso doméstico</v>
          </cell>
        </row>
        <row r="13907">
          <cell r="A13907">
            <v>52141803</v>
          </cell>
          <cell r="B13907" t="str">
            <v>Cobijas eléctricas para uso doméstico</v>
          </cell>
        </row>
        <row r="13908">
          <cell r="A13908">
            <v>52151501</v>
          </cell>
          <cell r="B13908" t="str">
            <v>Utensilios de cocina desechables para uso doméstico</v>
          </cell>
        </row>
        <row r="13909">
          <cell r="A13909">
            <v>52151502</v>
          </cell>
          <cell r="B13909" t="str">
            <v>Platos desechables para uso doméstico</v>
          </cell>
        </row>
        <row r="13910">
          <cell r="A13910">
            <v>52151503</v>
          </cell>
          <cell r="B13910" t="str">
            <v>Cubiertos desechables para uso doméstico</v>
          </cell>
        </row>
        <row r="13911">
          <cell r="A13911">
            <v>52151504</v>
          </cell>
          <cell r="B13911" t="str">
            <v>Tazas o vasos o tapas desechables para uso doméstico</v>
          </cell>
        </row>
        <row r="13912">
          <cell r="A13912">
            <v>52151505</v>
          </cell>
          <cell r="B13912" t="str">
            <v>Agitadores desechables para uso doméstico</v>
          </cell>
        </row>
        <row r="13913">
          <cell r="A13913">
            <v>52151506</v>
          </cell>
          <cell r="B13913" t="str">
            <v>Contenedores de alimentos desechables para uso doméstico</v>
          </cell>
        </row>
        <row r="13914">
          <cell r="A13914">
            <v>52151507</v>
          </cell>
          <cell r="B13914" t="str">
            <v>Pitillos desechables para uso doméstico</v>
          </cell>
        </row>
        <row r="13915">
          <cell r="A13915">
            <v>52151601</v>
          </cell>
          <cell r="B13915" t="str">
            <v>Rodillos para uso doméstico</v>
          </cell>
        </row>
        <row r="13916">
          <cell r="A13916">
            <v>52151602</v>
          </cell>
          <cell r="B13916" t="str">
            <v>Tazones mezcladores para uso doméstico</v>
          </cell>
        </row>
        <row r="13917">
          <cell r="A13917">
            <v>52151603</v>
          </cell>
          <cell r="B13917" t="str">
            <v>Ralladores para uso doméstico</v>
          </cell>
        </row>
        <row r="13918">
          <cell r="A13918">
            <v>52151604</v>
          </cell>
          <cell r="B13918" t="str">
            <v>Coladores o coladeras para uso doméstico</v>
          </cell>
        </row>
        <row r="13919">
          <cell r="A13919">
            <v>52151605</v>
          </cell>
          <cell r="B13919" t="str">
            <v>Destapadores o abrelatas para uso doméstico</v>
          </cell>
        </row>
        <row r="13920">
          <cell r="A13920">
            <v>52151606</v>
          </cell>
          <cell r="B13920" t="str">
            <v>Tablas para cortar para uso doméstico</v>
          </cell>
        </row>
        <row r="13921">
          <cell r="A13921">
            <v>52151607</v>
          </cell>
          <cell r="B13921" t="str">
            <v>Tazas medidoras para uso doméstico</v>
          </cell>
        </row>
        <row r="13922">
          <cell r="A13922">
            <v>52151608</v>
          </cell>
          <cell r="B13922" t="str">
            <v>Brochas para rociar alimentos</v>
          </cell>
        </row>
        <row r="13923">
          <cell r="A13923">
            <v>52151609</v>
          </cell>
          <cell r="B13923" t="str">
            <v>Peladora de vegetales</v>
          </cell>
        </row>
        <row r="13924">
          <cell r="A13924">
            <v>52151610</v>
          </cell>
          <cell r="B13924" t="str">
            <v>Cortadores de galletas</v>
          </cell>
        </row>
        <row r="13925">
          <cell r="A13925">
            <v>52151611</v>
          </cell>
          <cell r="B13925" t="str">
            <v>Pinzas de cocina para uso doméstico</v>
          </cell>
        </row>
        <row r="13926">
          <cell r="A13926">
            <v>52151612</v>
          </cell>
          <cell r="B13926" t="str">
            <v>Batidoras de alambre de cocina para uso doméstico</v>
          </cell>
        </row>
        <row r="13927">
          <cell r="A13927">
            <v>52151613</v>
          </cell>
          <cell r="B13927" t="str">
            <v>Raspadores de comida para uso doméstico</v>
          </cell>
        </row>
        <row r="13928">
          <cell r="A13928">
            <v>52151614</v>
          </cell>
          <cell r="B13928" t="str">
            <v>Rejillas enfriadoras para uso doméstico</v>
          </cell>
        </row>
        <row r="13929">
          <cell r="A13929">
            <v>52151615</v>
          </cell>
          <cell r="B13929" t="str">
            <v>Cortadores de pizza para uso doméstico</v>
          </cell>
        </row>
        <row r="13930">
          <cell r="A13930">
            <v>52151616</v>
          </cell>
          <cell r="B13930" t="str">
            <v>Espátulas de cocina para uso doméstico</v>
          </cell>
        </row>
        <row r="13931">
          <cell r="A13931">
            <v>52151617</v>
          </cell>
          <cell r="B13931" t="str">
            <v>Cucharas de madera para uso doméstico</v>
          </cell>
        </row>
        <row r="13932">
          <cell r="A13932">
            <v>52151618</v>
          </cell>
          <cell r="B13932" t="str">
            <v>Paletas de madera para hornear para uso doméstico</v>
          </cell>
        </row>
        <row r="13933">
          <cell r="A13933">
            <v>52151619</v>
          </cell>
          <cell r="B13933" t="str">
            <v>Mezclador de masa para uso doméstico</v>
          </cell>
        </row>
        <row r="13934">
          <cell r="A13934">
            <v>52151620</v>
          </cell>
          <cell r="B13934" t="str">
            <v>Cernedor para uso doméstico</v>
          </cell>
        </row>
        <row r="13935">
          <cell r="A13935">
            <v>52151621</v>
          </cell>
          <cell r="B13935" t="str">
            <v>Estampador para galletas para uso doméstico</v>
          </cell>
        </row>
        <row r="13936">
          <cell r="A13936">
            <v>52151622</v>
          </cell>
          <cell r="B13936" t="str">
            <v>Pistola pastelera para uso doméstico</v>
          </cell>
        </row>
        <row r="13937">
          <cell r="A13937">
            <v>52151623</v>
          </cell>
          <cell r="B13937" t="str">
            <v>Prensa para galletas para uso doméstico</v>
          </cell>
        </row>
        <row r="13938">
          <cell r="A13938">
            <v>52151624</v>
          </cell>
          <cell r="B13938" t="str">
            <v>Afiladores de cuchillos para uso doméstico</v>
          </cell>
        </row>
        <row r="13939">
          <cell r="A13939">
            <v>52151625</v>
          </cell>
          <cell r="B13939" t="str">
            <v>Cortadores de galletas para uso doméstico</v>
          </cell>
        </row>
        <row r="13940">
          <cell r="A13940">
            <v>52151626</v>
          </cell>
          <cell r="B13940" t="str">
            <v>Mandolina para uso doméstico</v>
          </cell>
        </row>
        <row r="13941">
          <cell r="A13941">
            <v>52151627</v>
          </cell>
          <cell r="B13941" t="str">
            <v>Exprimidor de ajo para uso doméstico</v>
          </cell>
        </row>
        <row r="13942">
          <cell r="A13942">
            <v>52151628</v>
          </cell>
          <cell r="B13942" t="str">
            <v>Tajador de huevos para uso doméstico</v>
          </cell>
        </row>
        <row r="13943">
          <cell r="A13943">
            <v>52151629</v>
          </cell>
          <cell r="B13943" t="str">
            <v>Separador de huevos para uso doméstico</v>
          </cell>
        </row>
        <row r="13944">
          <cell r="A13944">
            <v>52151630</v>
          </cell>
          <cell r="B13944" t="str">
            <v>Tajadora de queso para uso doméstico</v>
          </cell>
        </row>
        <row r="13945">
          <cell r="A13945">
            <v>52151631</v>
          </cell>
          <cell r="B13945" t="str">
            <v>Molino de alimentos para uso doméstico</v>
          </cell>
        </row>
        <row r="13946">
          <cell r="A13946">
            <v>52151632</v>
          </cell>
          <cell r="B13946" t="str">
            <v>Embudos de cocina para uso doméstico</v>
          </cell>
        </row>
        <row r="13947">
          <cell r="A13947">
            <v>52151633</v>
          </cell>
          <cell r="B13947" t="str">
            <v>Herramientas para adobar para uso doméstico</v>
          </cell>
        </row>
        <row r="13948">
          <cell r="A13948">
            <v>52151634</v>
          </cell>
          <cell r="B13948" t="str">
            <v>Descorazonadores de manzanas para uso doméstico</v>
          </cell>
        </row>
        <row r="13949">
          <cell r="A13949">
            <v>52151635</v>
          </cell>
          <cell r="B13949" t="str">
            <v>Sacabocados para melón o mantequilla para uso doméstico</v>
          </cell>
        </row>
        <row r="13950">
          <cell r="A13950">
            <v>52151636</v>
          </cell>
          <cell r="B13950" t="str">
            <v>Palas o cucharas para alimentos para uso doméstico</v>
          </cell>
        </row>
        <row r="13951">
          <cell r="A13951">
            <v>52151637</v>
          </cell>
          <cell r="B13951" t="str">
            <v>Tallador de calabazas para uso doméstico</v>
          </cell>
        </row>
        <row r="13952">
          <cell r="A13952">
            <v>52151638</v>
          </cell>
          <cell r="B13952" t="str">
            <v>Cepillo para vegetales para uso doméstico</v>
          </cell>
        </row>
        <row r="13953">
          <cell r="A13953">
            <v>52151639</v>
          </cell>
          <cell r="B13953" t="str">
            <v>Batidora de huevos para uso doméstico</v>
          </cell>
        </row>
        <row r="13954">
          <cell r="A13954">
            <v>52151640</v>
          </cell>
          <cell r="B13954" t="str">
            <v>Estante para secar pasta para uso doméstico</v>
          </cell>
        </row>
        <row r="13955">
          <cell r="A13955">
            <v>52151641</v>
          </cell>
          <cell r="B13955" t="str">
            <v>Batidora de crema para uso doméstico</v>
          </cell>
        </row>
        <row r="13956">
          <cell r="A13956">
            <v>52151642</v>
          </cell>
          <cell r="B13956" t="str">
            <v>Prensa para masa para uso doméstico</v>
          </cell>
        </row>
        <row r="13957">
          <cell r="A13957">
            <v>52151643</v>
          </cell>
          <cell r="B13957" t="str">
            <v>Máquina para hacer ravioli para uso doméstico</v>
          </cell>
        </row>
        <row r="13958">
          <cell r="A13958">
            <v>52151644</v>
          </cell>
          <cell r="B13958" t="str">
            <v>Rociadores de rocío o de gatillo para uso doméstico</v>
          </cell>
        </row>
        <row r="13959">
          <cell r="A13959">
            <v>52151645</v>
          </cell>
          <cell r="B13959" t="str">
            <v>Pincel pastelero para uso doméstico</v>
          </cell>
        </row>
        <row r="13960">
          <cell r="A13960">
            <v>52151646</v>
          </cell>
          <cell r="B13960" t="str">
            <v>Pesas para cocina o dietas para uso doméstico</v>
          </cell>
        </row>
        <row r="13961">
          <cell r="A13961">
            <v>52151647</v>
          </cell>
          <cell r="B13961" t="str">
            <v>Relojes (temporizadores) de cocina para uso doméstico</v>
          </cell>
        </row>
        <row r="13962">
          <cell r="A13962">
            <v>52151648</v>
          </cell>
          <cell r="B13962" t="str">
            <v>Termómetros de alimentos o cocina para uso doméstico</v>
          </cell>
        </row>
        <row r="13963">
          <cell r="A13963">
            <v>52151649</v>
          </cell>
          <cell r="B13963" t="str">
            <v>Guía para tajar pan para uso doméstico</v>
          </cell>
        </row>
        <row r="13964">
          <cell r="A13964">
            <v>52151650</v>
          </cell>
          <cell r="B13964" t="str">
            <v>Escurridores para uso doméstico</v>
          </cell>
        </row>
        <row r="13965">
          <cell r="A13965">
            <v>52151701</v>
          </cell>
          <cell r="B13965" t="str">
            <v>Utensilios para servir para uso doméstico</v>
          </cell>
        </row>
        <row r="13966">
          <cell r="A13966">
            <v>52151702</v>
          </cell>
          <cell r="B13966" t="str">
            <v>Cuchillos para uso doméstico</v>
          </cell>
        </row>
        <row r="13967">
          <cell r="A13967">
            <v>52151703</v>
          </cell>
          <cell r="B13967" t="str">
            <v>Tenedores para uso doméstico</v>
          </cell>
        </row>
        <row r="13968">
          <cell r="A13968">
            <v>52151704</v>
          </cell>
          <cell r="B13968" t="str">
            <v>Cucharas para uso doméstico</v>
          </cell>
        </row>
        <row r="13969">
          <cell r="A13969">
            <v>52151705</v>
          </cell>
          <cell r="B13969" t="str">
            <v>Apoya cucharas</v>
          </cell>
        </row>
        <row r="13970">
          <cell r="A13970">
            <v>52151706</v>
          </cell>
          <cell r="B13970" t="str">
            <v>Palillos</v>
          </cell>
        </row>
        <row r="13971">
          <cell r="A13971">
            <v>52151707</v>
          </cell>
          <cell r="B13971" t="str">
            <v>Set de cuchillos para uso doméstico</v>
          </cell>
        </row>
        <row r="13972">
          <cell r="A13972">
            <v>52151708</v>
          </cell>
          <cell r="B13972" t="str">
            <v>Cuchillos para mantequilla</v>
          </cell>
        </row>
        <row r="13973">
          <cell r="A13973">
            <v>52151709</v>
          </cell>
          <cell r="B13973" t="str">
            <v>Set de cubiertos</v>
          </cell>
        </row>
        <row r="13974">
          <cell r="A13974">
            <v>52151801</v>
          </cell>
          <cell r="B13974" t="str">
            <v>Cacerolas de hierro fundido con tapa para uso doméstico</v>
          </cell>
        </row>
        <row r="13975">
          <cell r="A13975">
            <v>52151802</v>
          </cell>
          <cell r="B13975" t="str">
            <v>Sartenes para uso doméstico</v>
          </cell>
        </row>
        <row r="13976">
          <cell r="A13976">
            <v>52151803</v>
          </cell>
          <cell r="B13976" t="str">
            <v>Cacerolas para uso doméstico</v>
          </cell>
        </row>
        <row r="13977">
          <cell r="A13977">
            <v>52151804</v>
          </cell>
          <cell r="B13977" t="str">
            <v>Teteras para uso doméstico</v>
          </cell>
        </row>
        <row r="13978">
          <cell r="A13978">
            <v>52151805</v>
          </cell>
          <cell r="B13978" t="str">
            <v>Woks para uso doméstico</v>
          </cell>
        </row>
        <row r="13979">
          <cell r="A13979">
            <v>52151806</v>
          </cell>
          <cell r="B13979" t="str">
            <v>Vaporeras para uso doméstico</v>
          </cell>
        </row>
        <row r="13980">
          <cell r="A13980">
            <v>52151807</v>
          </cell>
          <cell r="B13980" t="str">
            <v>Ollas para uso doméstico</v>
          </cell>
        </row>
        <row r="13981">
          <cell r="A13981">
            <v>52151808</v>
          </cell>
          <cell r="B13981" t="str">
            <v>Ollas a presión para uso doméstico</v>
          </cell>
        </row>
        <row r="13982">
          <cell r="A13982">
            <v>52151809</v>
          </cell>
          <cell r="B13982" t="str">
            <v>Sartenes para sofreír para uso doméstico</v>
          </cell>
        </row>
        <row r="13983">
          <cell r="A13983">
            <v>52151810</v>
          </cell>
          <cell r="B13983" t="str">
            <v>Samovares para uso doméstico</v>
          </cell>
        </row>
        <row r="13984">
          <cell r="A13984">
            <v>52151811</v>
          </cell>
          <cell r="B13984" t="str">
            <v>Planchas para uso doméstico</v>
          </cell>
        </row>
        <row r="13985">
          <cell r="A13985">
            <v>52151812</v>
          </cell>
          <cell r="B13985" t="str">
            <v>Cacerolas para baño maría</v>
          </cell>
        </row>
        <row r="13986">
          <cell r="A13986">
            <v>52151813</v>
          </cell>
          <cell r="B13986" t="str">
            <v>Protector de salpicaduras para uso doméstico</v>
          </cell>
        </row>
        <row r="13987">
          <cell r="A13987">
            <v>52151901</v>
          </cell>
          <cell r="B13987" t="str">
            <v>Moldes para muffins para uso doméstico</v>
          </cell>
        </row>
        <row r="13988">
          <cell r="A13988">
            <v>52151902</v>
          </cell>
          <cell r="B13988" t="str">
            <v>Cacerola para hornear para uso doméstico</v>
          </cell>
        </row>
        <row r="13989">
          <cell r="A13989">
            <v>52151903</v>
          </cell>
          <cell r="B13989" t="str">
            <v>Moldes para ponqués o pies para uso doméstico</v>
          </cell>
        </row>
        <row r="13990">
          <cell r="A13990">
            <v>52151904</v>
          </cell>
          <cell r="B13990" t="str">
            <v>Moldes para asar para uso doméstico</v>
          </cell>
        </row>
        <row r="13991">
          <cell r="A13991">
            <v>52151905</v>
          </cell>
          <cell r="B13991" t="str">
            <v>Bandejas de horno para uso doméstico</v>
          </cell>
        </row>
        <row r="13992">
          <cell r="A13992">
            <v>52151906</v>
          </cell>
          <cell r="B13992" t="str">
            <v>Cacerolas para parrilla para uso doméstico</v>
          </cell>
        </row>
        <row r="13993">
          <cell r="A13993">
            <v>52151907</v>
          </cell>
          <cell r="B13993" t="str">
            <v>Moldes para hornear para uso doméstico</v>
          </cell>
        </row>
        <row r="13994">
          <cell r="A13994">
            <v>52151908</v>
          </cell>
          <cell r="B13994" t="str">
            <v>Cacerolas para pizza para uso doméstico</v>
          </cell>
        </row>
        <row r="13995">
          <cell r="A13995">
            <v>52151909</v>
          </cell>
          <cell r="B13995" t="str">
            <v>Cacerolas para hacer tortillas para uso doméstico</v>
          </cell>
        </row>
        <row r="13996">
          <cell r="A13996">
            <v>52152001</v>
          </cell>
          <cell r="B13996" t="str">
            <v>Jarras para uso doméstico</v>
          </cell>
        </row>
        <row r="13997">
          <cell r="A13997">
            <v>52152002</v>
          </cell>
          <cell r="B13997" t="str">
            <v>Contenedores para almacenar alimentos para uso doméstico</v>
          </cell>
        </row>
        <row r="13998">
          <cell r="A13998">
            <v>52152003</v>
          </cell>
          <cell r="B13998" t="str">
            <v>Tazones de ponche para uso doméstico</v>
          </cell>
        </row>
        <row r="13999">
          <cell r="A13999">
            <v>52152004</v>
          </cell>
          <cell r="B13999" t="str">
            <v>Platos para uso doméstico</v>
          </cell>
        </row>
        <row r="14000">
          <cell r="A14000">
            <v>52152005</v>
          </cell>
          <cell r="B14000" t="str">
            <v>Platos pequeños para uso doméstico</v>
          </cell>
        </row>
        <row r="14001">
          <cell r="A14001">
            <v>52152006</v>
          </cell>
          <cell r="B14001" t="str">
            <v>Bandejas o fuentes para uso doméstico</v>
          </cell>
        </row>
        <row r="14002">
          <cell r="A14002">
            <v>52152007</v>
          </cell>
          <cell r="B14002" t="str">
            <v>Tazones para servir para uso doméstico</v>
          </cell>
        </row>
        <row r="14003">
          <cell r="A14003">
            <v>52152008</v>
          </cell>
          <cell r="B14003" t="str">
            <v>Teteras o cafeteras para uso doméstico</v>
          </cell>
        </row>
        <row r="14004">
          <cell r="A14004">
            <v>52152009</v>
          </cell>
          <cell r="B14004" t="str">
            <v>Soperas o ensaladeras para uso doméstico</v>
          </cell>
        </row>
        <row r="14005">
          <cell r="A14005">
            <v>52152010</v>
          </cell>
          <cell r="B14005" t="str">
            <v>Frascos al vacío para uso doméstico</v>
          </cell>
        </row>
        <row r="14006">
          <cell r="A14006">
            <v>52152011</v>
          </cell>
          <cell r="B14006" t="str">
            <v>Partes internas de frascos al vacío</v>
          </cell>
        </row>
        <row r="14007">
          <cell r="A14007">
            <v>52152012</v>
          </cell>
          <cell r="B14007" t="str">
            <v>Cubetas para hielo</v>
          </cell>
        </row>
        <row r="14008">
          <cell r="A14008">
            <v>52152013</v>
          </cell>
          <cell r="B14008" t="str">
            <v>Saleros, pimenteros o especieros</v>
          </cell>
        </row>
        <row r="14009">
          <cell r="A14009">
            <v>52152014</v>
          </cell>
          <cell r="B14009" t="str">
            <v>Sets de garrafas</v>
          </cell>
        </row>
        <row r="14010">
          <cell r="A14010">
            <v>52152015</v>
          </cell>
          <cell r="B14010" t="str">
            <v>Plato para ponqués con tapa para uso doméstico</v>
          </cell>
        </row>
        <row r="14011">
          <cell r="A14011">
            <v>52152016</v>
          </cell>
          <cell r="B14011" t="str">
            <v>Set de servicio de mesa para uso doméstico</v>
          </cell>
        </row>
        <row r="14012">
          <cell r="A14012">
            <v>52152101</v>
          </cell>
          <cell r="B14012" t="str">
            <v>Tazas de café o té para uso doméstico</v>
          </cell>
        </row>
        <row r="14013">
          <cell r="A14013">
            <v>52152102</v>
          </cell>
          <cell r="B14013" t="str">
            <v>Vasos para beber para uso doméstico</v>
          </cell>
        </row>
        <row r="14014">
          <cell r="A14014">
            <v>52152103</v>
          </cell>
          <cell r="B14014" t="str">
            <v>Tazones (“mugs”) para uso doméstico</v>
          </cell>
        </row>
        <row r="14015">
          <cell r="A14015">
            <v>52152104</v>
          </cell>
          <cell r="B14015" t="str">
            <v>Copas para uso doméstico</v>
          </cell>
        </row>
        <row r="14016">
          <cell r="A14016">
            <v>52152105</v>
          </cell>
          <cell r="B14016" t="str">
            <v>Biberones o accesorios</v>
          </cell>
        </row>
        <row r="14017">
          <cell r="A14017">
            <v>52152201</v>
          </cell>
          <cell r="B14017" t="str">
            <v>Papel para forrar repisas</v>
          </cell>
        </row>
        <row r="14018">
          <cell r="A14018">
            <v>52152202</v>
          </cell>
          <cell r="B14018" t="str">
            <v>Escurridor de platos</v>
          </cell>
        </row>
        <row r="14019">
          <cell r="A14019">
            <v>52152203</v>
          </cell>
          <cell r="B14019" t="str">
            <v>Cepillo dispensador de jabón</v>
          </cell>
        </row>
        <row r="14020">
          <cell r="A14020">
            <v>52161502</v>
          </cell>
          <cell r="B14020" t="str">
            <v>Reproductor de casetes o grabadora</v>
          </cell>
        </row>
        <row r="14021">
          <cell r="A14021">
            <v>52161505</v>
          </cell>
          <cell r="B14021" t="str">
            <v>Televisores</v>
          </cell>
        </row>
        <row r="14022">
          <cell r="A14022">
            <v>52161507</v>
          </cell>
          <cell r="B14022" t="str">
            <v>Radios reloj</v>
          </cell>
        </row>
        <row r="14023">
          <cell r="A14023">
            <v>52161508</v>
          </cell>
          <cell r="B14023" t="str">
            <v>Reproductores de discos laser</v>
          </cell>
        </row>
        <row r="14024">
          <cell r="A14024">
            <v>52161509</v>
          </cell>
          <cell r="B14024" t="str">
            <v>Sistemas de estéreo portátiles</v>
          </cell>
        </row>
        <row r="14025">
          <cell r="A14025">
            <v>52161510</v>
          </cell>
          <cell r="B14025" t="str">
            <v>Sistemas de audio de alta fidelidad para el hogar</v>
          </cell>
        </row>
        <row r="14026">
          <cell r="A14026">
            <v>52161511</v>
          </cell>
          <cell r="B14026" t="str">
            <v>Radios</v>
          </cell>
        </row>
        <row r="14027">
          <cell r="A14027">
            <v>52161512</v>
          </cell>
          <cell r="B14027" t="str">
            <v>Altoparlantes</v>
          </cell>
        </row>
        <row r="14028">
          <cell r="A14028">
            <v>52161513</v>
          </cell>
          <cell r="B14028" t="str">
            <v>Combinación de televisor, vhs y grabadora dvd</v>
          </cell>
        </row>
        <row r="14029">
          <cell r="A14029">
            <v>52161514</v>
          </cell>
          <cell r="B14029" t="str">
            <v>Audífonos</v>
          </cell>
        </row>
        <row r="14030">
          <cell r="A14030">
            <v>52161515</v>
          </cell>
          <cell r="B14030" t="str">
            <v>Reproductores o grabadoras de discos compactos</v>
          </cell>
        </row>
        <row r="14031">
          <cell r="A14031">
            <v>52161516</v>
          </cell>
          <cell r="B14031" t="str">
            <v>Reproductores o grabadoras de video discos digitales</v>
          </cell>
        </row>
        <row r="14032">
          <cell r="A14032">
            <v>52161517</v>
          </cell>
          <cell r="B14032" t="str">
            <v>Ecualizadores</v>
          </cell>
        </row>
        <row r="14033">
          <cell r="A14033">
            <v>52161518</v>
          </cell>
          <cell r="B14033" t="str">
            <v>Receptores de sistemas de posicionamiento global</v>
          </cell>
        </row>
        <row r="14034">
          <cell r="A14034">
            <v>52161520</v>
          </cell>
          <cell r="B14034" t="str">
            <v>Micrófonos</v>
          </cell>
        </row>
        <row r="14035">
          <cell r="A14035">
            <v>52161521</v>
          </cell>
          <cell r="B14035" t="str">
            <v>Receptores de multimedia</v>
          </cell>
        </row>
        <row r="14036">
          <cell r="A14036">
            <v>52161522</v>
          </cell>
          <cell r="B14036" t="str">
            <v>Escáneres de radio frecuencia</v>
          </cell>
        </row>
        <row r="14037">
          <cell r="A14037">
            <v>52161523</v>
          </cell>
          <cell r="B14037" t="str">
            <v>Transmisores o receptores de radio frecuencia</v>
          </cell>
        </row>
        <row r="14038">
          <cell r="A14038">
            <v>52161524</v>
          </cell>
          <cell r="B14038" t="str">
            <v>Receptores de radio</v>
          </cell>
        </row>
        <row r="14039">
          <cell r="A14039">
            <v>52161525</v>
          </cell>
          <cell r="B14039" t="str">
            <v>Control remoto</v>
          </cell>
        </row>
        <row r="14040">
          <cell r="A14040">
            <v>52161526</v>
          </cell>
          <cell r="B14040" t="str">
            <v>Receptores de satélite</v>
          </cell>
        </row>
        <row r="14041">
          <cell r="A14041">
            <v>52161527</v>
          </cell>
          <cell r="B14041" t="str">
            <v>Altavoces activos “subwoofer””</v>
          </cell>
        </row>
        <row r="14042">
          <cell r="A14042">
            <v>52161529</v>
          </cell>
          <cell r="B14042" t="str">
            <v>Reproductores o grabadoras de video casetes</v>
          </cell>
        </row>
        <row r="14043">
          <cell r="A14043">
            <v>52161531</v>
          </cell>
          <cell r="B14043" t="str">
            <v>Radio fonógrafos</v>
          </cell>
        </row>
        <row r="14044">
          <cell r="A14044">
            <v>52161532</v>
          </cell>
          <cell r="B14044" t="str">
            <v>Sistemas de karaoke</v>
          </cell>
        </row>
        <row r="14045">
          <cell r="A14045">
            <v>52161533</v>
          </cell>
          <cell r="B14045" t="str">
            <v>Megáfonos</v>
          </cell>
        </row>
        <row r="14046">
          <cell r="A14046">
            <v>52161534</v>
          </cell>
          <cell r="B14046" t="str">
            <v>Grabadora de chip de circuito integrado ic</v>
          </cell>
        </row>
        <row r="14047">
          <cell r="A14047">
            <v>52161535</v>
          </cell>
          <cell r="B14047" t="str">
            <v>Grabadoras de voz digitales</v>
          </cell>
        </row>
        <row r="14048">
          <cell r="A14048">
            <v>52161536</v>
          </cell>
          <cell r="B14048" t="str">
            <v>Grabadoras o reproductores de mini discos</v>
          </cell>
        </row>
        <row r="14049">
          <cell r="A14049">
            <v>52161537</v>
          </cell>
          <cell r="B14049" t="str">
            <v>Borradores magnéticos de almacenamiento de medios</v>
          </cell>
        </row>
        <row r="14050">
          <cell r="A14050">
            <v>52161538</v>
          </cell>
          <cell r="B14050" t="str">
            <v>Aparatos para rebobinar video cintas</v>
          </cell>
        </row>
        <row r="14051">
          <cell r="A14051">
            <v>52161539</v>
          </cell>
          <cell r="B14051" t="str">
            <v>Combinación de reproductor de video disco digital dvd, disco video casete vcd, disco compacto cd</v>
          </cell>
        </row>
        <row r="14052">
          <cell r="A14052">
            <v>52161540</v>
          </cell>
          <cell r="B14052" t="str">
            <v>Mezcladores de video</v>
          </cell>
        </row>
        <row r="14053">
          <cell r="A14053">
            <v>52161541</v>
          </cell>
          <cell r="B14053" t="str">
            <v>Mezcladores de audio</v>
          </cell>
        </row>
        <row r="14054">
          <cell r="A14054">
            <v>52161542</v>
          </cell>
          <cell r="B14054" t="str">
            <v>Pantallas de plasma</v>
          </cell>
        </row>
        <row r="14055">
          <cell r="A14055">
            <v>52161543</v>
          </cell>
          <cell r="B14055" t="str">
            <v>Reproductores o grabadoras mp3</v>
          </cell>
        </row>
        <row r="14056">
          <cell r="A14056">
            <v>52161544</v>
          </cell>
          <cell r="B14056" t="str">
            <v>Borradores de casetes de audio o video</v>
          </cell>
        </row>
        <row r="14057">
          <cell r="A14057">
            <v>52161601</v>
          </cell>
          <cell r="B14057" t="str">
            <v>Almacenador de casetes</v>
          </cell>
        </row>
        <row r="14058">
          <cell r="A14058">
            <v>52161602</v>
          </cell>
          <cell r="B14058" t="str">
            <v>Limpiadores de cabezas de audio o video</v>
          </cell>
        </row>
        <row r="14059">
          <cell r="A14059">
            <v>52161603</v>
          </cell>
          <cell r="B14059" t="str">
            <v>Adaptador de video casetes compactos</v>
          </cell>
        </row>
        <row r="14060">
          <cell r="A14060">
            <v>52161604</v>
          </cell>
          <cell r="B14060" t="str">
            <v>Adaptadores de enchufes hembra de audífonos</v>
          </cell>
        </row>
        <row r="14061">
          <cell r="A14061">
            <v>52171001</v>
          </cell>
          <cell r="B14061" t="str">
            <v>Repisa u organizador colgante para elementos de aseo personal</v>
          </cell>
        </row>
        <row r="14062">
          <cell r="A14062">
            <v>53101501</v>
          </cell>
          <cell r="B14062" t="str">
            <v>Pantalones largos o cortos o pantalonetas para niño</v>
          </cell>
        </row>
        <row r="14063">
          <cell r="A14063">
            <v>53101502</v>
          </cell>
          <cell r="B14063" t="str">
            <v>Pantalones largos o cortos o pantalonetas para hombre</v>
          </cell>
        </row>
        <row r="14064">
          <cell r="A14064">
            <v>53101503</v>
          </cell>
          <cell r="B14064" t="str">
            <v>Pantalones largos o cortos o pantalonetas para niña</v>
          </cell>
        </row>
        <row r="14065">
          <cell r="A14065">
            <v>53101504</v>
          </cell>
          <cell r="B14065" t="str">
            <v>Pantalones largos o cortos o pantalonetas para mujer</v>
          </cell>
        </row>
        <row r="14066">
          <cell r="A14066">
            <v>53101505</v>
          </cell>
          <cell r="B14066" t="str">
            <v>Pantalones largos o cortos o pantalonetas para bebés</v>
          </cell>
        </row>
        <row r="14067">
          <cell r="A14067">
            <v>53101601</v>
          </cell>
          <cell r="B14067" t="str">
            <v>Camisas para niño</v>
          </cell>
        </row>
        <row r="14068">
          <cell r="A14068">
            <v>53101602</v>
          </cell>
          <cell r="B14068" t="str">
            <v>Camisas para hombre</v>
          </cell>
        </row>
        <row r="14069">
          <cell r="A14069">
            <v>53101603</v>
          </cell>
          <cell r="B14069" t="str">
            <v>Camisas o blusas para niña</v>
          </cell>
        </row>
        <row r="14070">
          <cell r="A14070">
            <v>53101604</v>
          </cell>
          <cell r="B14070" t="str">
            <v>Camisas o blusas para mujer</v>
          </cell>
        </row>
        <row r="14071">
          <cell r="A14071">
            <v>53101605</v>
          </cell>
          <cell r="B14071" t="str">
            <v>Camisas o blusas para bebé</v>
          </cell>
        </row>
        <row r="14072">
          <cell r="A14072">
            <v>53101701</v>
          </cell>
          <cell r="B14072" t="str">
            <v>Sweaters para niño</v>
          </cell>
        </row>
        <row r="14073">
          <cell r="A14073">
            <v>53101702</v>
          </cell>
          <cell r="B14073" t="str">
            <v>Sweaters para hombre</v>
          </cell>
        </row>
        <row r="14074">
          <cell r="A14074">
            <v>53101703</v>
          </cell>
          <cell r="B14074" t="str">
            <v>Sweaters para niña</v>
          </cell>
        </row>
        <row r="14075">
          <cell r="A14075">
            <v>53101704</v>
          </cell>
          <cell r="B14075" t="str">
            <v>Sweaters para mujer</v>
          </cell>
        </row>
        <row r="14076">
          <cell r="A14076">
            <v>53101705</v>
          </cell>
          <cell r="B14076" t="str">
            <v>Sweaters para bebé</v>
          </cell>
        </row>
        <row r="14077">
          <cell r="A14077">
            <v>53101801</v>
          </cell>
          <cell r="B14077" t="str">
            <v>Abrigos o chaquetas para niño</v>
          </cell>
        </row>
        <row r="14078">
          <cell r="A14078">
            <v>53101802</v>
          </cell>
          <cell r="B14078" t="str">
            <v>Abrigos o chaquetas para hombre</v>
          </cell>
        </row>
        <row r="14079">
          <cell r="A14079">
            <v>53101803</v>
          </cell>
          <cell r="B14079" t="str">
            <v>Abrigos o chaquetas para niña</v>
          </cell>
        </row>
        <row r="14080">
          <cell r="A14080">
            <v>53101804</v>
          </cell>
          <cell r="B14080" t="str">
            <v>Abrigos o chaquetas para mujer</v>
          </cell>
        </row>
        <row r="14081">
          <cell r="A14081">
            <v>53101805</v>
          </cell>
          <cell r="B14081" t="str">
            <v>Abrigos o chaquetas para bebé</v>
          </cell>
        </row>
        <row r="14082">
          <cell r="A14082">
            <v>53101901</v>
          </cell>
          <cell r="B14082" t="str">
            <v>Trajes para niño</v>
          </cell>
        </row>
        <row r="14083">
          <cell r="A14083">
            <v>53101902</v>
          </cell>
          <cell r="B14083" t="str">
            <v>Trajes para hombre</v>
          </cell>
        </row>
        <row r="14084">
          <cell r="A14084">
            <v>53101903</v>
          </cell>
          <cell r="B14084" t="str">
            <v>Trajes para niña</v>
          </cell>
        </row>
        <row r="14085">
          <cell r="A14085">
            <v>53101904</v>
          </cell>
          <cell r="B14085" t="str">
            <v>Trajes para mujer</v>
          </cell>
        </row>
        <row r="14086">
          <cell r="A14086">
            <v>53101905</v>
          </cell>
          <cell r="B14086" t="str">
            <v>Trajes para bebé</v>
          </cell>
        </row>
        <row r="14087">
          <cell r="A14087">
            <v>53102001</v>
          </cell>
          <cell r="B14087" t="str">
            <v>Vestidos o faldas o saris o kimonos para niña</v>
          </cell>
        </row>
        <row r="14088">
          <cell r="A14088">
            <v>53102002</v>
          </cell>
          <cell r="B14088" t="str">
            <v>Vestidos o faldas o saris o kimonos para para mujer</v>
          </cell>
        </row>
        <row r="14089">
          <cell r="A14089">
            <v>53102003</v>
          </cell>
          <cell r="B14089" t="str">
            <v>Vestidos o faldas o saris o kimonos para bebé</v>
          </cell>
        </row>
        <row r="14090">
          <cell r="A14090">
            <v>53102101</v>
          </cell>
          <cell r="B14090" t="str">
            <v>Overoles o monos para niño</v>
          </cell>
        </row>
        <row r="14091">
          <cell r="A14091">
            <v>53102102</v>
          </cell>
          <cell r="B14091" t="str">
            <v>Overoles o monos para hombre</v>
          </cell>
        </row>
        <row r="14092">
          <cell r="A14092">
            <v>53102103</v>
          </cell>
          <cell r="B14092" t="str">
            <v>Overoles o monos para niña</v>
          </cell>
        </row>
        <row r="14093">
          <cell r="A14093">
            <v>53102104</v>
          </cell>
          <cell r="B14093" t="str">
            <v>Overoles o monos para mujer</v>
          </cell>
        </row>
        <row r="14094">
          <cell r="A14094">
            <v>53102105</v>
          </cell>
          <cell r="B14094" t="str">
            <v>Overoles o monos para bebé</v>
          </cell>
        </row>
        <row r="14095">
          <cell r="A14095">
            <v>53102201</v>
          </cell>
          <cell r="B14095" t="str">
            <v>Vestidos folclóricos para niño</v>
          </cell>
        </row>
        <row r="14096">
          <cell r="A14096">
            <v>53102202</v>
          </cell>
          <cell r="B14096" t="str">
            <v>Vestidos folclóricos para hombre</v>
          </cell>
        </row>
        <row r="14097">
          <cell r="A14097">
            <v>53102203</v>
          </cell>
          <cell r="B14097" t="str">
            <v>Vestidos folclóricos para niña</v>
          </cell>
        </row>
        <row r="14098">
          <cell r="A14098">
            <v>53102204</v>
          </cell>
          <cell r="B14098" t="str">
            <v>Vestidos folclóricos para mujer</v>
          </cell>
        </row>
        <row r="14099">
          <cell r="A14099">
            <v>53102205</v>
          </cell>
          <cell r="B14099" t="str">
            <v>Vestidos folclóricos para bebé</v>
          </cell>
        </row>
        <row r="14100">
          <cell r="A14100">
            <v>53102301</v>
          </cell>
          <cell r="B14100" t="str">
            <v>Camisetas interiores</v>
          </cell>
        </row>
        <row r="14101">
          <cell r="A14101">
            <v>53102302</v>
          </cell>
          <cell r="B14101" t="str">
            <v>Combinaciones</v>
          </cell>
        </row>
        <row r="14102">
          <cell r="A14102">
            <v>53102303</v>
          </cell>
          <cell r="B14102" t="str">
            <v>Calzoncillos</v>
          </cell>
        </row>
        <row r="14103">
          <cell r="A14103">
            <v>53102304</v>
          </cell>
          <cell r="B14103" t="str">
            <v>Brassieres</v>
          </cell>
        </row>
        <row r="14104">
          <cell r="A14104">
            <v>53102305</v>
          </cell>
          <cell r="B14104" t="str">
            <v>Pañales para bebé</v>
          </cell>
        </row>
        <row r="14105">
          <cell r="A14105">
            <v>53102306</v>
          </cell>
          <cell r="B14105" t="str">
            <v>Pañales para adulto</v>
          </cell>
        </row>
        <row r="14106">
          <cell r="A14106">
            <v>53102307</v>
          </cell>
          <cell r="B14106" t="str">
            <v>Prendas para dar forma al cuerpo</v>
          </cell>
        </row>
        <row r="14107">
          <cell r="A14107">
            <v>53102308</v>
          </cell>
          <cell r="B14107" t="str">
            <v>Forros para pañales</v>
          </cell>
        </row>
        <row r="14108">
          <cell r="A14108">
            <v>53102401</v>
          </cell>
          <cell r="B14108" t="str">
            <v>Medias largas</v>
          </cell>
        </row>
        <row r="14109">
          <cell r="A14109">
            <v>53102402</v>
          </cell>
          <cell r="B14109" t="str">
            <v>Calcetines</v>
          </cell>
        </row>
        <row r="14110">
          <cell r="A14110">
            <v>53102403</v>
          </cell>
          <cell r="B14110" t="str">
            <v>Medias veladas</v>
          </cell>
        </row>
        <row r="14111">
          <cell r="A14111">
            <v>53102404</v>
          </cell>
          <cell r="B14111" t="str">
            <v>Medias veladas gruesas (“tights”)</v>
          </cell>
        </row>
        <row r="14112">
          <cell r="A14112">
            <v>53102501</v>
          </cell>
          <cell r="B14112" t="str">
            <v>Cinturones o tirantes</v>
          </cell>
        </row>
        <row r="14113">
          <cell r="A14113">
            <v>53102502</v>
          </cell>
          <cell r="B14113" t="str">
            <v>Corbatas o pañoletas o bufandas</v>
          </cell>
        </row>
        <row r="14114">
          <cell r="A14114">
            <v>53102503</v>
          </cell>
          <cell r="B14114" t="str">
            <v>Sombreros</v>
          </cell>
        </row>
        <row r="14115">
          <cell r="A14115">
            <v>53102504</v>
          </cell>
          <cell r="B14115" t="str">
            <v>Guantes o mitones</v>
          </cell>
        </row>
        <row r="14116">
          <cell r="A14116">
            <v>53102505</v>
          </cell>
          <cell r="B14116" t="str">
            <v>Sombrillas</v>
          </cell>
        </row>
        <row r="14117">
          <cell r="A14117">
            <v>53102506</v>
          </cell>
          <cell r="B14117" t="str">
            <v>Bandas para el sudor</v>
          </cell>
        </row>
        <row r="14118">
          <cell r="A14118">
            <v>53102507</v>
          </cell>
          <cell r="B14118" t="str">
            <v>Ganchos para colgar la ropa</v>
          </cell>
        </row>
        <row r="14119">
          <cell r="A14119">
            <v>53102508</v>
          </cell>
          <cell r="B14119" t="str">
            <v>Bandas para los brazos</v>
          </cell>
        </row>
        <row r="14120">
          <cell r="A14120">
            <v>53102509</v>
          </cell>
          <cell r="B14120" t="str">
            <v>Ligas</v>
          </cell>
        </row>
        <row r="14121">
          <cell r="A14121">
            <v>53102510</v>
          </cell>
          <cell r="B14121" t="str">
            <v>Borlas</v>
          </cell>
        </row>
        <row r="14122">
          <cell r="A14122">
            <v>53102511</v>
          </cell>
          <cell r="B14122" t="str">
            <v>Badanas</v>
          </cell>
        </row>
        <row r="14123">
          <cell r="A14123">
            <v>53102512</v>
          </cell>
          <cell r="B14123" t="str">
            <v>Pañuelos</v>
          </cell>
        </row>
        <row r="14124">
          <cell r="A14124">
            <v>53102513</v>
          </cell>
          <cell r="B14124" t="str">
            <v>Bandas para la cabeza</v>
          </cell>
        </row>
        <row r="14125">
          <cell r="A14125">
            <v>53102514</v>
          </cell>
          <cell r="B14125" t="str">
            <v>Protectores de bolsillos</v>
          </cell>
        </row>
        <row r="14126">
          <cell r="A14126">
            <v>53102515</v>
          </cell>
          <cell r="B14126" t="str">
            <v>Forros para botones</v>
          </cell>
        </row>
        <row r="14127">
          <cell r="A14127">
            <v>53102516</v>
          </cell>
          <cell r="B14127" t="str">
            <v>Gorras</v>
          </cell>
        </row>
        <row r="14128">
          <cell r="A14128">
            <v>53102517</v>
          </cell>
          <cell r="B14128" t="str">
            <v>Sujeta corbatas</v>
          </cell>
        </row>
        <row r="14129">
          <cell r="A14129">
            <v>53102518</v>
          </cell>
          <cell r="B14129" t="str">
            <v>Cheurones</v>
          </cell>
        </row>
        <row r="14130">
          <cell r="A14130">
            <v>53102519</v>
          </cell>
          <cell r="B14130" t="str">
            <v>Golas</v>
          </cell>
        </row>
        <row r="14131">
          <cell r="A14131">
            <v>53102520</v>
          </cell>
          <cell r="B14131" t="str">
            <v>Hombreras o charreteras</v>
          </cell>
        </row>
        <row r="14132">
          <cell r="A14132">
            <v>53102601</v>
          </cell>
          <cell r="B14132" t="str">
            <v>Pijamas o camisas de dormir o batas para niño</v>
          </cell>
        </row>
        <row r="14133">
          <cell r="A14133">
            <v>53102602</v>
          </cell>
          <cell r="B14133" t="str">
            <v>Pijamas o camisas de dormir o batas para hombre</v>
          </cell>
        </row>
        <row r="14134">
          <cell r="A14134">
            <v>53102603</v>
          </cell>
          <cell r="B14134" t="str">
            <v>Pijamas o camisas de dormir o batas para niña</v>
          </cell>
        </row>
        <row r="14135">
          <cell r="A14135">
            <v>53102604</v>
          </cell>
          <cell r="B14135" t="str">
            <v>Pijamas o camisas de dormir o batas para mujer</v>
          </cell>
        </row>
        <row r="14136">
          <cell r="A14136">
            <v>53102605</v>
          </cell>
          <cell r="B14136" t="str">
            <v>Pijamas o camisas de dormir o batas para bebé</v>
          </cell>
        </row>
        <row r="14137">
          <cell r="A14137">
            <v>53102606</v>
          </cell>
          <cell r="B14137" t="str">
            <v>Batas de baño</v>
          </cell>
        </row>
        <row r="14138">
          <cell r="A14138">
            <v>53102701</v>
          </cell>
          <cell r="B14138" t="str">
            <v>Uniformes militares</v>
          </cell>
        </row>
        <row r="14139">
          <cell r="A14139">
            <v>53102702</v>
          </cell>
          <cell r="B14139" t="str">
            <v>Uniformes de agentes de aduna</v>
          </cell>
        </row>
        <row r="14140">
          <cell r="A14140">
            <v>53102703</v>
          </cell>
          <cell r="B14140" t="str">
            <v>Uniformes de policías</v>
          </cell>
        </row>
        <row r="14141">
          <cell r="A14141">
            <v>53102704</v>
          </cell>
          <cell r="B14141" t="str">
            <v>Uniformes institucionales para preparación de alimentos o servicio</v>
          </cell>
        </row>
        <row r="14142">
          <cell r="A14142">
            <v>53102705</v>
          </cell>
          <cell r="B14142" t="str">
            <v>Uniformes de colegio</v>
          </cell>
        </row>
        <row r="14143">
          <cell r="A14143">
            <v>53102706</v>
          </cell>
          <cell r="B14143" t="str">
            <v>Uniformes de personal de seguridad</v>
          </cell>
        </row>
        <row r="14144">
          <cell r="A14144">
            <v>53102707</v>
          </cell>
          <cell r="B14144" t="str">
            <v>Batas de doctor</v>
          </cell>
        </row>
        <row r="14145">
          <cell r="A14145">
            <v>53102708</v>
          </cell>
          <cell r="B14145" t="str">
            <v>Uniformes de enfermera</v>
          </cell>
        </row>
        <row r="14146">
          <cell r="A14146">
            <v>53102709</v>
          </cell>
          <cell r="B14146" t="str">
            <v>Uniformes de personal de ambulancias</v>
          </cell>
        </row>
        <row r="14147">
          <cell r="A14147">
            <v>53102710</v>
          </cell>
          <cell r="B14147" t="str">
            <v>Uniformes corporativos</v>
          </cell>
        </row>
        <row r="14148">
          <cell r="A14148">
            <v>53102711</v>
          </cell>
          <cell r="B14148" t="str">
            <v>Batas para personal de peluquerías</v>
          </cell>
        </row>
        <row r="14149">
          <cell r="A14149">
            <v>53102712</v>
          </cell>
          <cell r="B14149" t="str">
            <v>Uniformes de paramédicos</v>
          </cell>
        </row>
        <row r="14150">
          <cell r="A14150">
            <v>53102801</v>
          </cell>
          <cell r="B14150" t="str">
            <v>Vestidos de baño para hombre</v>
          </cell>
        </row>
        <row r="14151">
          <cell r="A14151">
            <v>53102802</v>
          </cell>
          <cell r="B14151" t="str">
            <v>Vestidos de baño para mujer</v>
          </cell>
        </row>
        <row r="14152">
          <cell r="A14152">
            <v>53102803</v>
          </cell>
          <cell r="B14152" t="str">
            <v>Vestidos de baño para niño</v>
          </cell>
        </row>
        <row r="14153">
          <cell r="A14153">
            <v>53102804</v>
          </cell>
          <cell r="B14153" t="str">
            <v>Vestidos de baño para niña</v>
          </cell>
        </row>
        <row r="14154">
          <cell r="A14154">
            <v>53102805</v>
          </cell>
          <cell r="B14154" t="str">
            <v>Vestidos de baño para bebé</v>
          </cell>
        </row>
        <row r="14155">
          <cell r="A14155">
            <v>53102901</v>
          </cell>
          <cell r="B14155" t="str">
            <v>Ropa atlética para mujer</v>
          </cell>
        </row>
        <row r="14156">
          <cell r="A14156">
            <v>53102902</v>
          </cell>
          <cell r="B14156" t="str">
            <v>Ropa atlética para hombre</v>
          </cell>
        </row>
        <row r="14157">
          <cell r="A14157">
            <v>53102903</v>
          </cell>
          <cell r="B14157" t="str">
            <v>Ropa atlética para niño</v>
          </cell>
        </row>
        <row r="14158">
          <cell r="A14158">
            <v>53102904</v>
          </cell>
          <cell r="B14158" t="str">
            <v>Ropa atlética para niña</v>
          </cell>
        </row>
        <row r="14159">
          <cell r="A14159">
            <v>53103001</v>
          </cell>
          <cell r="B14159" t="str">
            <v>Camisetas (t-shirts) para hombre</v>
          </cell>
        </row>
        <row r="14160">
          <cell r="A14160">
            <v>53103101</v>
          </cell>
          <cell r="B14160" t="str">
            <v>Chalecos para hombre</v>
          </cell>
        </row>
        <row r="14161">
          <cell r="A14161">
            <v>53111501</v>
          </cell>
          <cell r="B14161" t="str">
            <v>Botas para hombre</v>
          </cell>
        </row>
        <row r="14162">
          <cell r="A14162">
            <v>53111502</v>
          </cell>
          <cell r="B14162" t="str">
            <v>Botas para mujer</v>
          </cell>
        </row>
        <row r="14163">
          <cell r="A14163">
            <v>53111503</v>
          </cell>
          <cell r="B14163" t="str">
            <v>Botas para niño</v>
          </cell>
        </row>
        <row r="14164">
          <cell r="A14164">
            <v>53111504</v>
          </cell>
          <cell r="B14164" t="str">
            <v>Botas para niña</v>
          </cell>
        </row>
        <row r="14165">
          <cell r="A14165">
            <v>53111505</v>
          </cell>
          <cell r="B14165" t="str">
            <v>Botas para bebé</v>
          </cell>
        </row>
        <row r="14166">
          <cell r="A14166">
            <v>53111601</v>
          </cell>
          <cell r="B14166" t="str">
            <v>Zapatos para hombre</v>
          </cell>
        </row>
        <row r="14167">
          <cell r="A14167">
            <v>53111602</v>
          </cell>
          <cell r="B14167" t="str">
            <v>Zapatos para mujer</v>
          </cell>
        </row>
        <row r="14168">
          <cell r="A14168">
            <v>53111603</v>
          </cell>
          <cell r="B14168" t="str">
            <v>Zapatos para niño</v>
          </cell>
        </row>
        <row r="14169">
          <cell r="A14169">
            <v>53111604</v>
          </cell>
          <cell r="B14169" t="str">
            <v>Zapatos para niña</v>
          </cell>
        </row>
        <row r="14170">
          <cell r="A14170">
            <v>53111605</v>
          </cell>
          <cell r="B14170" t="str">
            <v>Zapatos para bebé</v>
          </cell>
        </row>
        <row r="14171">
          <cell r="A14171">
            <v>53111701</v>
          </cell>
          <cell r="B14171" t="str">
            <v>Pantuflas para hombre</v>
          </cell>
        </row>
        <row r="14172">
          <cell r="A14172">
            <v>53111702</v>
          </cell>
          <cell r="B14172" t="str">
            <v>Pantuflas para mujer</v>
          </cell>
        </row>
        <row r="14173">
          <cell r="A14173">
            <v>53111703</v>
          </cell>
          <cell r="B14173" t="str">
            <v>Pantuflas para niño</v>
          </cell>
        </row>
        <row r="14174">
          <cell r="A14174">
            <v>53111704</v>
          </cell>
          <cell r="B14174" t="str">
            <v>Pantuflas para niña</v>
          </cell>
        </row>
        <row r="14175">
          <cell r="A14175">
            <v>53111705</v>
          </cell>
          <cell r="B14175" t="str">
            <v>Pantuflas para bebé</v>
          </cell>
        </row>
        <row r="14176">
          <cell r="A14176">
            <v>53111801</v>
          </cell>
          <cell r="B14176" t="str">
            <v>Sandalias para hombre</v>
          </cell>
        </row>
        <row r="14177">
          <cell r="A14177">
            <v>53111802</v>
          </cell>
          <cell r="B14177" t="str">
            <v>Sandalias para mujer</v>
          </cell>
        </row>
        <row r="14178">
          <cell r="A14178">
            <v>53111803</v>
          </cell>
          <cell r="B14178" t="str">
            <v>Sandalias para niño</v>
          </cell>
        </row>
        <row r="14179">
          <cell r="A14179">
            <v>53111804</v>
          </cell>
          <cell r="B14179" t="str">
            <v>Sandalias para niña</v>
          </cell>
        </row>
        <row r="14180">
          <cell r="A14180">
            <v>53111805</v>
          </cell>
          <cell r="B14180" t="str">
            <v>Sandalias para bebé</v>
          </cell>
        </row>
        <row r="14181">
          <cell r="A14181">
            <v>53111901</v>
          </cell>
          <cell r="B14181" t="str">
            <v>Calzado atlético para hombre</v>
          </cell>
        </row>
        <row r="14182">
          <cell r="A14182">
            <v>53111902</v>
          </cell>
          <cell r="B14182" t="str">
            <v>Calzado atlético para mujer</v>
          </cell>
        </row>
        <row r="14183">
          <cell r="A14183">
            <v>53111903</v>
          </cell>
          <cell r="B14183" t="str">
            <v>Calzado atlético para niño</v>
          </cell>
        </row>
        <row r="14184">
          <cell r="A14184">
            <v>53111904</v>
          </cell>
          <cell r="B14184" t="str">
            <v>Calzado atlético para niña</v>
          </cell>
        </row>
        <row r="14185">
          <cell r="A14185">
            <v>53111905</v>
          </cell>
          <cell r="B14185" t="str">
            <v>Calzado atlético para bebé</v>
          </cell>
        </row>
        <row r="14186">
          <cell r="A14186">
            <v>53112001</v>
          </cell>
          <cell r="B14186" t="str">
            <v>Calzadores</v>
          </cell>
        </row>
        <row r="14187">
          <cell r="A14187">
            <v>53112002</v>
          </cell>
          <cell r="B14187" t="str">
            <v>Cordones para zapatos</v>
          </cell>
        </row>
        <row r="14188">
          <cell r="A14188">
            <v>53112003</v>
          </cell>
          <cell r="B14188" t="str">
            <v>Almohadillas para talones</v>
          </cell>
        </row>
        <row r="14189">
          <cell r="A14189">
            <v>53112004</v>
          </cell>
          <cell r="B14189" t="str">
            <v>Estirador de calzado</v>
          </cell>
        </row>
        <row r="14190">
          <cell r="A14190">
            <v>53112005</v>
          </cell>
          <cell r="B14190" t="str">
            <v>Aparato para medir el pie</v>
          </cell>
        </row>
        <row r="14191">
          <cell r="A14191">
            <v>53112101</v>
          </cell>
          <cell r="B14191" t="str">
            <v>Zapatones para hombre</v>
          </cell>
        </row>
        <row r="14192">
          <cell r="A14192">
            <v>53112102</v>
          </cell>
          <cell r="B14192" t="str">
            <v>Zapatones para mujer</v>
          </cell>
        </row>
        <row r="14193">
          <cell r="A14193">
            <v>53112103</v>
          </cell>
          <cell r="B14193" t="str">
            <v>Zapatones para niño</v>
          </cell>
        </row>
        <row r="14194">
          <cell r="A14194">
            <v>53112104</v>
          </cell>
          <cell r="B14194" t="str">
            <v>Zapatones para niña</v>
          </cell>
        </row>
        <row r="14195">
          <cell r="A14195">
            <v>53112105</v>
          </cell>
          <cell r="B14195" t="str">
            <v>Zapatones para bebé</v>
          </cell>
        </row>
        <row r="14196">
          <cell r="A14196">
            <v>53121501</v>
          </cell>
          <cell r="B14196" t="str">
            <v>Porta trajes</v>
          </cell>
        </row>
        <row r="14197">
          <cell r="A14197">
            <v>53121502</v>
          </cell>
          <cell r="B14197" t="str">
            <v>Sets de maletas</v>
          </cell>
        </row>
        <row r="14198">
          <cell r="A14198">
            <v>53121503</v>
          </cell>
          <cell r="B14198" t="str">
            <v>Piezas individuales de maletas</v>
          </cell>
        </row>
        <row r="14199">
          <cell r="A14199">
            <v>53121601</v>
          </cell>
          <cell r="B14199" t="str">
            <v>Bolsos o carteras</v>
          </cell>
        </row>
        <row r="14200">
          <cell r="A14200">
            <v>53121602</v>
          </cell>
          <cell r="B14200" t="str">
            <v>Tulas</v>
          </cell>
        </row>
        <row r="14201">
          <cell r="A14201">
            <v>53121603</v>
          </cell>
          <cell r="B14201" t="str">
            <v>Morrales</v>
          </cell>
        </row>
        <row r="14202">
          <cell r="A14202">
            <v>53121605</v>
          </cell>
          <cell r="B14202" t="str">
            <v>Monederos</v>
          </cell>
        </row>
        <row r="14203">
          <cell r="A14203">
            <v>53121606</v>
          </cell>
          <cell r="B14203" t="str">
            <v>Estuches para labiales</v>
          </cell>
        </row>
        <row r="14204">
          <cell r="A14204">
            <v>53121607</v>
          </cell>
          <cell r="B14204" t="str">
            <v>Cigarrilleras</v>
          </cell>
        </row>
        <row r="14205">
          <cell r="A14205">
            <v>53121608</v>
          </cell>
          <cell r="B14205" t="str">
            <v>Bolsas para compras</v>
          </cell>
        </row>
        <row r="14206">
          <cell r="A14206">
            <v>53121701</v>
          </cell>
          <cell r="B14206" t="str">
            <v>Maletines</v>
          </cell>
        </row>
        <row r="14207">
          <cell r="A14207">
            <v>53121702</v>
          </cell>
          <cell r="B14207" t="str">
            <v>Maletines (“attaches”)</v>
          </cell>
        </row>
        <row r="14208">
          <cell r="A14208">
            <v>53121704</v>
          </cell>
          <cell r="B14208" t="str">
            <v>Portafolios</v>
          </cell>
        </row>
        <row r="14209">
          <cell r="A14209">
            <v>53121705</v>
          </cell>
          <cell r="B14209" t="str">
            <v>Estuches para equipos</v>
          </cell>
        </row>
        <row r="14210">
          <cell r="A14210">
            <v>53121706</v>
          </cell>
          <cell r="B14210" t="str">
            <v>Maletines para computador</v>
          </cell>
        </row>
        <row r="14211">
          <cell r="A14211">
            <v>53121801</v>
          </cell>
          <cell r="B14211" t="str">
            <v>Kits de viaje</v>
          </cell>
        </row>
        <row r="14212">
          <cell r="A14212">
            <v>53121802</v>
          </cell>
          <cell r="B14212" t="str">
            <v>Carritos de viaje</v>
          </cell>
        </row>
        <row r="14213">
          <cell r="A14213">
            <v>53121803</v>
          </cell>
          <cell r="B14213" t="str">
            <v>Cepillos de ropa</v>
          </cell>
        </row>
        <row r="14214">
          <cell r="A14214">
            <v>53121804</v>
          </cell>
          <cell r="B14214" t="str">
            <v>Estuches de maquillaje o manicure</v>
          </cell>
        </row>
        <row r="14215">
          <cell r="A14215">
            <v>53131501</v>
          </cell>
          <cell r="B14215" t="str">
            <v>Enjuague bucal</v>
          </cell>
        </row>
        <row r="14216">
          <cell r="A14216">
            <v>53131502</v>
          </cell>
          <cell r="B14216" t="str">
            <v>Dentífrico</v>
          </cell>
        </row>
        <row r="14217">
          <cell r="A14217">
            <v>53131503</v>
          </cell>
          <cell r="B14217" t="str">
            <v>Cepillos de dientes</v>
          </cell>
        </row>
        <row r="14218">
          <cell r="A14218">
            <v>53131504</v>
          </cell>
          <cell r="B14218" t="str">
            <v>Seda dental</v>
          </cell>
        </row>
        <row r="14219">
          <cell r="A14219">
            <v>53131505</v>
          </cell>
          <cell r="B14219" t="str">
            <v>Chupos o chupetes para bebé</v>
          </cell>
        </row>
        <row r="14220">
          <cell r="A14220">
            <v>53131506</v>
          </cell>
          <cell r="B14220" t="str">
            <v>Kits dentales</v>
          </cell>
        </row>
        <row r="14221">
          <cell r="A14221">
            <v>53131507</v>
          </cell>
          <cell r="B14221" t="str">
            <v>Palillos de dientes (mondadientes)</v>
          </cell>
        </row>
        <row r="14222">
          <cell r="A14222">
            <v>53131508</v>
          </cell>
          <cell r="B14222" t="str">
            <v>Tabletas para limpiar dentaduras postizas</v>
          </cell>
        </row>
        <row r="14223">
          <cell r="A14223">
            <v>53131509</v>
          </cell>
          <cell r="B14223" t="str">
            <v>Refrescadores de aliento</v>
          </cell>
        </row>
        <row r="14224">
          <cell r="A14224">
            <v>53131601</v>
          </cell>
          <cell r="B14224" t="str">
            <v>Gorros de baño</v>
          </cell>
        </row>
        <row r="14225">
          <cell r="A14225">
            <v>53131602</v>
          </cell>
          <cell r="B14225" t="str">
            <v>Artículos para el cuidado del cabello</v>
          </cell>
        </row>
        <row r="14226">
          <cell r="A14226">
            <v>53131603</v>
          </cell>
          <cell r="B14226" t="str">
            <v>Afeitadoras</v>
          </cell>
        </row>
        <row r="14227">
          <cell r="A14227">
            <v>53131604</v>
          </cell>
          <cell r="B14227" t="str">
            <v>Cepillos o peinillas para el cabello</v>
          </cell>
        </row>
        <row r="14228">
          <cell r="A14228">
            <v>53131605</v>
          </cell>
          <cell r="B14228" t="str">
            <v>Kits de tocador</v>
          </cell>
        </row>
        <row r="14229">
          <cell r="A14229">
            <v>53131606</v>
          </cell>
          <cell r="B14229" t="str">
            <v>Desodorantes</v>
          </cell>
        </row>
        <row r="14230">
          <cell r="A14230">
            <v>53131607</v>
          </cell>
          <cell r="B14230" t="str">
            <v>Lociones o aceites para manos o cuerpo</v>
          </cell>
        </row>
        <row r="14231">
          <cell r="A14231">
            <v>53131608</v>
          </cell>
          <cell r="B14231" t="str">
            <v>Jabones</v>
          </cell>
        </row>
        <row r="14232">
          <cell r="A14232">
            <v>53131609</v>
          </cell>
          <cell r="B14232" t="str">
            <v>Productos de protección solar</v>
          </cell>
        </row>
        <row r="14233">
          <cell r="A14233">
            <v>53131610</v>
          </cell>
          <cell r="B14233" t="str">
            <v>Artículos para el cuidado de los ojos</v>
          </cell>
        </row>
        <row r="14234">
          <cell r="A14234">
            <v>53131611</v>
          </cell>
          <cell r="B14234" t="str">
            <v>Cremas de afeitar</v>
          </cell>
        </row>
        <row r="14235">
          <cell r="A14235">
            <v>53131612</v>
          </cell>
          <cell r="B14235" t="str">
            <v>Geles de baño</v>
          </cell>
        </row>
        <row r="14236">
          <cell r="A14236">
            <v>53131613</v>
          </cell>
          <cell r="B14236" t="str">
            <v>Productos para el cuidado de la piel</v>
          </cell>
        </row>
        <row r="14237">
          <cell r="A14237">
            <v>53131614</v>
          </cell>
          <cell r="B14237" t="str">
            <v>Productos para el cuidado de los pies</v>
          </cell>
        </row>
        <row r="14238">
          <cell r="A14238">
            <v>53131615</v>
          </cell>
          <cell r="B14238" t="str">
            <v>Productos para la higiene femenina</v>
          </cell>
        </row>
        <row r="14239">
          <cell r="A14239">
            <v>53131616</v>
          </cell>
          <cell r="B14239" t="str">
            <v>Cremas o lociones para farmacéuticas</v>
          </cell>
        </row>
        <row r="14240">
          <cell r="A14240">
            <v>53131617</v>
          </cell>
          <cell r="B14240" t="str">
            <v>Implementos para la manicure</v>
          </cell>
        </row>
        <row r="14241">
          <cell r="A14241">
            <v>53131618</v>
          </cell>
          <cell r="B14241" t="str">
            <v>Implementos para la pedicura</v>
          </cell>
        </row>
        <row r="14242">
          <cell r="A14242">
            <v>53131619</v>
          </cell>
          <cell r="B14242" t="str">
            <v>Cosméticos</v>
          </cell>
        </row>
        <row r="14243">
          <cell r="A14243">
            <v>53131620</v>
          </cell>
          <cell r="B14243" t="str">
            <v>Perfumes o colonias o fragancias</v>
          </cell>
        </row>
        <row r="14244">
          <cell r="A14244">
            <v>53131621</v>
          </cell>
          <cell r="B14244" t="str">
            <v>Corta uñas</v>
          </cell>
        </row>
        <row r="14245">
          <cell r="A14245">
            <v>53131622</v>
          </cell>
          <cell r="B14245" t="str">
            <v>Condones</v>
          </cell>
        </row>
        <row r="14246">
          <cell r="A14246">
            <v>53131623</v>
          </cell>
          <cell r="B14246" t="str">
            <v>Productos depilatorios o para remover vello</v>
          </cell>
        </row>
        <row r="14247">
          <cell r="A14247">
            <v>53131624</v>
          </cell>
          <cell r="B14247" t="str">
            <v>Paños limpiadores desechables</v>
          </cell>
        </row>
        <row r="14248">
          <cell r="A14248">
            <v>53131625</v>
          </cell>
          <cell r="B14248" t="str">
            <v>Redecillas para el cabello o la barba</v>
          </cell>
        </row>
        <row r="14249">
          <cell r="A14249">
            <v>53131626</v>
          </cell>
          <cell r="B14249" t="str">
            <v>Desinfectante de manos</v>
          </cell>
        </row>
        <row r="14250">
          <cell r="A14250">
            <v>53131627</v>
          </cell>
          <cell r="B14250" t="str">
            <v>Limpiador de manos</v>
          </cell>
        </row>
        <row r="14251">
          <cell r="A14251">
            <v>53131628</v>
          </cell>
          <cell r="B14251" t="str">
            <v>Champús</v>
          </cell>
        </row>
        <row r="14252">
          <cell r="A14252">
            <v>53131629</v>
          </cell>
          <cell r="B14252" t="str">
            <v>Kits de maquillaje</v>
          </cell>
        </row>
        <row r="14253">
          <cell r="A14253">
            <v>53131630</v>
          </cell>
          <cell r="B14253" t="str">
            <v>Bálsamo labial</v>
          </cell>
        </row>
        <row r="14254">
          <cell r="A14254">
            <v>53131631</v>
          </cell>
          <cell r="B14254" t="str">
            <v>Tatuajes</v>
          </cell>
        </row>
        <row r="14255">
          <cell r="A14255">
            <v>53131632</v>
          </cell>
          <cell r="B14255" t="str">
            <v>Marrones calientes</v>
          </cell>
        </row>
        <row r="14256">
          <cell r="A14256">
            <v>53131633</v>
          </cell>
          <cell r="B14256" t="str">
            <v>Hebillas para el pelo</v>
          </cell>
        </row>
        <row r="14257">
          <cell r="A14257">
            <v>53131634</v>
          </cell>
          <cell r="B14257" t="str">
            <v>Productos químicos protectores</v>
          </cell>
        </row>
        <row r="14258">
          <cell r="A14258">
            <v>53131635</v>
          </cell>
          <cell r="B14258" t="str">
            <v>Brochas de afeitar</v>
          </cell>
        </row>
        <row r="14259">
          <cell r="A14259">
            <v>53131636</v>
          </cell>
          <cell r="B14259" t="str">
            <v>Agua de rosas</v>
          </cell>
        </row>
        <row r="14260">
          <cell r="A14260">
            <v>53131637</v>
          </cell>
          <cell r="B14260" t="str">
            <v>Almohadillas de lactancia</v>
          </cell>
        </row>
        <row r="14261">
          <cell r="A14261">
            <v>53131638</v>
          </cell>
          <cell r="B14261" t="str">
            <v>Esmalte para uñas</v>
          </cell>
        </row>
        <row r="14262">
          <cell r="A14262">
            <v>53141501</v>
          </cell>
          <cell r="B14262" t="str">
            <v>Alfileres rectos</v>
          </cell>
        </row>
        <row r="14263">
          <cell r="A14263">
            <v>53141502</v>
          </cell>
          <cell r="B14263" t="str">
            <v>Imperdibles</v>
          </cell>
        </row>
        <row r="14264">
          <cell r="A14264">
            <v>53141503</v>
          </cell>
          <cell r="B14264" t="str">
            <v>Cremalleras</v>
          </cell>
        </row>
        <row r="14265">
          <cell r="A14265">
            <v>53141504</v>
          </cell>
          <cell r="B14265" t="str">
            <v>Hebillas</v>
          </cell>
        </row>
        <row r="14266">
          <cell r="A14266">
            <v>53141505</v>
          </cell>
          <cell r="B14266" t="str">
            <v>Botones</v>
          </cell>
        </row>
        <row r="14267">
          <cell r="A14267">
            <v>53141506</v>
          </cell>
          <cell r="B14267" t="str">
            <v>Cierres</v>
          </cell>
        </row>
        <row r="14268">
          <cell r="A14268">
            <v>53141507</v>
          </cell>
          <cell r="B14268" t="str">
            <v>Broches</v>
          </cell>
        </row>
        <row r="14269">
          <cell r="A14269">
            <v>53141508</v>
          </cell>
          <cell r="B14269" t="str">
            <v>Remaches para ropa</v>
          </cell>
        </row>
        <row r="14270">
          <cell r="A14270">
            <v>53141601</v>
          </cell>
          <cell r="B14270" t="str">
            <v>Alfileteros</v>
          </cell>
        </row>
        <row r="14271">
          <cell r="A14271">
            <v>53141602</v>
          </cell>
          <cell r="B14271" t="str">
            <v>Kits de costura</v>
          </cell>
        </row>
        <row r="14272">
          <cell r="A14272">
            <v>53141603</v>
          </cell>
          <cell r="B14272" t="str">
            <v>Dedales</v>
          </cell>
        </row>
        <row r="14273">
          <cell r="A14273">
            <v>53141604</v>
          </cell>
          <cell r="B14273" t="str">
            <v>Patrones de costura</v>
          </cell>
        </row>
        <row r="14274">
          <cell r="A14274">
            <v>53141605</v>
          </cell>
          <cell r="B14274" t="str">
            <v>Agujas de costura</v>
          </cell>
        </row>
        <row r="14275">
          <cell r="A14275">
            <v>53141606</v>
          </cell>
          <cell r="B14275" t="str">
            <v>Bobinas o sujeta bobinas</v>
          </cell>
        </row>
        <row r="14276">
          <cell r="A14276">
            <v>53141607</v>
          </cell>
          <cell r="B14276" t="str">
            <v>Indicadores de costura</v>
          </cell>
        </row>
        <row r="14277">
          <cell r="A14277">
            <v>53141608</v>
          </cell>
          <cell r="B14277" t="str">
            <v>Aguja pasa cintas</v>
          </cell>
        </row>
        <row r="14278">
          <cell r="A14278">
            <v>53141609</v>
          </cell>
          <cell r="B14278" t="str">
            <v>Pasa presillas</v>
          </cell>
        </row>
        <row r="14279">
          <cell r="A14279">
            <v>53141610</v>
          </cell>
          <cell r="B14279" t="str">
            <v>Sujetadores de tiza para sastres o textiles</v>
          </cell>
        </row>
        <row r="14280">
          <cell r="A14280">
            <v>53141611</v>
          </cell>
          <cell r="B14280" t="str">
            <v>Marcadores de textiles o lápices para textiles o tiza para textiles</v>
          </cell>
        </row>
        <row r="14281">
          <cell r="A14281">
            <v>53141612</v>
          </cell>
          <cell r="B14281" t="str">
            <v>Rueda aserrada seguidora de patrones</v>
          </cell>
        </row>
        <row r="14282">
          <cell r="A14282">
            <v>53141613</v>
          </cell>
          <cell r="B14282" t="str">
            <v>Papel calcante</v>
          </cell>
        </row>
        <row r="14283">
          <cell r="A14283">
            <v>53141614</v>
          </cell>
          <cell r="B14283" t="str">
            <v>Agujas de bordado</v>
          </cell>
        </row>
        <row r="14284">
          <cell r="A14284">
            <v>53141615</v>
          </cell>
          <cell r="B14284" t="str">
            <v>Agujas de tejer</v>
          </cell>
        </row>
        <row r="14285">
          <cell r="A14285">
            <v>53141616</v>
          </cell>
          <cell r="B14285" t="str">
            <v>Lanzaderas para telares</v>
          </cell>
        </row>
        <row r="14286">
          <cell r="A14286">
            <v>53141617</v>
          </cell>
          <cell r="B14286" t="str">
            <v>Lanzaderas para tejidos de algodón</v>
          </cell>
        </row>
        <row r="14287">
          <cell r="A14287">
            <v>53141618</v>
          </cell>
          <cell r="B14287" t="str">
            <v>Lienzo para bordar</v>
          </cell>
        </row>
        <row r="14288">
          <cell r="A14288">
            <v>53141619</v>
          </cell>
          <cell r="B14288" t="str">
            <v>Varas magnéticas</v>
          </cell>
        </row>
        <row r="14289">
          <cell r="A14289">
            <v>53141620</v>
          </cell>
          <cell r="B14289" t="str">
            <v>Corta costuras</v>
          </cell>
        </row>
        <row r="14290">
          <cell r="A14290">
            <v>53141621</v>
          </cell>
          <cell r="B14290" t="str">
            <v>Enhebrador de agujas</v>
          </cell>
        </row>
        <row r="14291">
          <cell r="A14291">
            <v>53141622</v>
          </cell>
          <cell r="B14291" t="str">
            <v>Regla para sastrería</v>
          </cell>
        </row>
        <row r="14292">
          <cell r="A14292">
            <v>53141623</v>
          </cell>
          <cell r="B14292" t="str">
            <v>Refuerzo o cerrado líquido para hilo</v>
          </cell>
        </row>
        <row r="14293">
          <cell r="A14293">
            <v>53141624</v>
          </cell>
          <cell r="B14293" t="str">
            <v>Textiles o agujas para punto de cruz</v>
          </cell>
        </row>
        <row r="14294">
          <cell r="A14294">
            <v>53141625</v>
          </cell>
          <cell r="B14294" t="str">
            <v>Diseños para punto de cruz</v>
          </cell>
        </row>
        <row r="14295">
          <cell r="A14295">
            <v>53141626</v>
          </cell>
          <cell r="B14295" t="str">
            <v>Aro para bordado</v>
          </cell>
        </row>
        <row r="14296">
          <cell r="A14296">
            <v>53141627</v>
          </cell>
          <cell r="B14296" t="str">
            <v>Agujas de croché</v>
          </cell>
        </row>
        <row r="14297">
          <cell r="A14297">
            <v>53141628</v>
          </cell>
          <cell r="B14297" t="str">
            <v>Herramientas para hilvanar acolchados</v>
          </cell>
        </row>
        <row r="14298">
          <cell r="A14298">
            <v>53141629</v>
          </cell>
          <cell r="B14298" t="str">
            <v>Alfileres para acolchados</v>
          </cell>
        </row>
        <row r="14299">
          <cell r="A14299">
            <v>53141630</v>
          </cell>
          <cell r="B14299" t="str">
            <v>Tableros o almohadillas para cortar patrones</v>
          </cell>
        </row>
        <row r="14300">
          <cell r="A14300">
            <v>54101501</v>
          </cell>
          <cell r="B14300" t="str">
            <v>Cadenas de oro o plata o platino</v>
          </cell>
        </row>
        <row r="14301">
          <cell r="A14301">
            <v>54101502</v>
          </cell>
          <cell r="B14301" t="str">
            <v>Collares de joyería fina</v>
          </cell>
        </row>
        <row r="14302">
          <cell r="A14302">
            <v>54101503</v>
          </cell>
          <cell r="B14302" t="str">
            <v>Anillos de  joyería fina</v>
          </cell>
        </row>
        <row r="14303">
          <cell r="A14303">
            <v>54101504</v>
          </cell>
          <cell r="B14303" t="str">
            <v>Aretes de joyería fina</v>
          </cell>
        </row>
        <row r="14304">
          <cell r="A14304">
            <v>54101505</v>
          </cell>
          <cell r="B14304" t="str">
            <v>Joyas finas para el cuerpo</v>
          </cell>
        </row>
        <row r="14305">
          <cell r="A14305">
            <v>54101506</v>
          </cell>
          <cell r="B14305" t="str">
            <v>Brazaletes de joyería fina</v>
          </cell>
        </row>
        <row r="14306">
          <cell r="A14306">
            <v>54101507</v>
          </cell>
          <cell r="B14306" t="str">
            <v>Tiaras</v>
          </cell>
        </row>
        <row r="14307">
          <cell r="A14307">
            <v>54101508</v>
          </cell>
          <cell r="B14307" t="str">
            <v>Revestimientos de joyería fina para reducir el tamaño de un anillo</v>
          </cell>
        </row>
        <row r="14308">
          <cell r="A14308">
            <v>54101509</v>
          </cell>
          <cell r="B14308" t="str">
            <v>Mancornas de joyería fina</v>
          </cell>
        </row>
        <row r="14309">
          <cell r="A14309">
            <v>54101510</v>
          </cell>
          <cell r="B14309" t="str">
            <v>Mariposas para aretes de joyería fina</v>
          </cell>
        </row>
        <row r="14310">
          <cell r="A14310">
            <v>54101511</v>
          </cell>
          <cell r="B14310" t="str">
            <v>Prendedores de joyería fina</v>
          </cell>
        </row>
        <row r="14311">
          <cell r="A14311">
            <v>54101512</v>
          </cell>
          <cell r="B14311" t="str">
            <v>Aros de prendedores para pasar cadenas de joyería fina</v>
          </cell>
        </row>
        <row r="14312">
          <cell r="A14312">
            <v>54101601</v>
          </cell>
          <cell r="B14312" t="str">
            <v>Brazaletes</v>
          </cell>
        </row>
        <row r="14313">
          <cell r="A14313">
            <v>54101602</v>
          </cell>
          <cell r="B14313" t="str">
            <v>Collares</v>
          </cell>
        </row>
        <row r="14314">
          <cell r="A14314">
            <v>54101603</v>
          </cell>
          <cell r="B14314" t="str">
            <v>Anillos</v>
          </cell>
        </row>
        <row r="14315">
          <cell r="A14315">
            <v>54101604</v>
          </cell>
          <cell r="B14315" t="str">
            <v>Aretes</v>
          </cell>
        </row>
        <row r="14316">
          <cell r="A14316">
            <v>54101605</v>
          </cell>
          <cell r="B14316" t="str">
            <v>Joyas para el cuerpo</v>
          </cell>
        </row>
        <row r="14317">
          <cell r="A14317">
            <v>54101701</v>
          </cell>
          <cell r="B14317" t="str">
            <v>Compuestos conservantes</v>
          </cell>
        </row>
        <row r="14318">
          <cell r="A14318">
            <v>54101702</v>
          </cell>
          <cell r="B14318" t="str">
            <v>Bloques para producir hemisferios (“dapping punches”)</v>
          </cell>
        </row>
        <row r="14319">
          <cell r="A14319">
            <v>54101703</v>
          </cell>
          <cell r="B14319" t="str">
            <v>Molinos de alambre</v>
          </cell>
        </row>
        <row r="14320">
          <cell r="A14320">
            <v>54101704</v>
          </cell>
          <cell r="B14320" t="str">
            <v>Mandriles para joyería</v>
          </cell>
        </row>
        <row r="14321">
          <cell r="A14321">
            <v>54101705</v>
          </cell>
          <cell r="B14321" t="str">
            <v>Medidores de tamaño para anillos</v>
          </cell>
        </row>
        <row r="14322">
          <cell r="A14322">
            <v>54101706</v>
          </cell>
          <cell r="B14322" t="str">
            <v>Materiales o accesorios plásticos amigables maleables a bajas temperaturas</v>
          </cell>
        </row>
        <row r="14323">
          <cell r="A14323">
            <v>54111501</v>
          </cell>
          <cell r="B14323" t="str">
            <v>Relojes de pulso</v>
          </cell>
        </row>
        <row r="14324">
          <cell r="A14324">
            <v>54111502</v>
          </cell>
          <cell r="B14324" t="str">
            <v>Relojes de bolsillo</v>
          </cell>
        </row>
        <row r="14325">
          <cell r="A14325">
            <v>54111601</v>
          </cell>
          <cell r="B14325" t="str">
            <v>Relojes de pared</v>
          </cell>
        </row>
        <row r="14326">
          <cell r="A14326">
            <v>54111602</v>
          </cell>
          <cell r="B14326" t="str">
            <v>Relojes de mesa o repisa</v>
          </cell>
        </row>
        <row r="14327">
          <cell r="A14327">
            <v>54111603</v>
          </cell>
          <cell r="B14327" t="str">
            <v>Relojes verticales</v>
          </cell>
        </row>
        <row r="14328">
          <cell r="A14328">
            <v>54111604</v>
          </cell>
          <cell r="B14328" t="str">
            <v>Relojes de arena</v>
          </cell>
        </row>
        <row r="14329">
          <cell r="A14329">
            <v>54111701</v>
          </cell>
          <cell r="B14329" t="str">
            <v>Manecillas para reloj</v>
          </cell>
        </row>
        <row r="14330">
          <cell r="A14330">
            <v>54111702</v>
          </cell>
          <cell r="B14330" t="str">
            <v>Cristales para reloj</v>
          </cell>
        </row>
        <row r="14331">
          <cell r="A14331">
            <v>54111703</v>
          </cell>
          <cell r="B14331" t="str">
            <v>Placas o puentes para relojes</v>
          </cell>
        </row>
        <row r="14332">
          <cell r="A14332">
            <v>54111704</v>
          </cell>
          <cell r="B14332" t="str">
            <v>Correas o bandas o pulseras para relojes</v>
          </cell>
        </row>
        <row r="14333">
          <cell r="A14333">
            <v>54111705</v>
          </cell>
          <cell r="B14333" t="str">
            <v>Estuches para relojes</v>
          </cell>
        </row>
        <row r="14334">
          <cell r="A14334">
            <v>54111706</v>
          </cell>
          <cell r="B14334" t="str">
            <v>Sujetadores para relojes</v>
          </cell>
        </row>
        <row r="14335">
          <cell r="A14335">
            <v>54111707</v>
          </cell>
          <cell r="B14335" t="str">
            <v>Abre estuches para relojes</v>
          </cell>
        </row>
        <row r="14336">
          <cell r="A14336">
            <v>54111708</v>
          </cell>
          <cell r="B14336" t="str">
            <v>Péndulos para relojes</v>
          </cell>
        </row>
        <row r="14337">
          <cell r="A14337">
            <v>54111709</v>
          </cell>
          <cell r="B14337" t="str">
            <v>Kits para reparar relojes</v>
          </cell>
        </row>
        <row r="14338">
          <cell r="A14338">
            <v>54121501</v>
          </cell>
          <cell r="B14338" t="str">
            <v>Diamantes</v>
          </cell>
        </row>
        <row r="14339">
          <cell r="A14339">
            <v>54121502</v>
          </cell>
          <cell r="B14339" t="str">
            <v>Esmeraldas</v>
          </cell>
        </row>
        <row r="14340">
          <cell r="A14340">
            <v>54121503</v>
          </cell>
          <cell r="B14340" t="str">
            <v>Rubíes</v>
          </cell>
        </row>
        <row r="14341">
          <cell r="A14341">
            <v>54121504</v>
          </cell>
          <cell r="B14341" t="str">
            <v>Zafiros</v>
          </cell>
        </row>
        <row r="14342">
          <cell r="A14342">
            <v>54121601</v>
          </cell>
          <cell r="B14342" t="str">
            <v>Granates</v>
          </cell>
        </row>
        <row r="14343">
          <cell r="A14343">
            <v>54121602</v>
          </cell>
          <cell r="B14343" t="str">
            <v>Jades</v>
          </cell>
        </row>
        <row r="14344">
          <cell r="A14344">
            <v>54121603</v>
          </cell>
          <cell r="B14344" t="str">
            <v>Ópalos</v>
          </cell>
        </row>
        <row r="14345">
          <cell r="A14345">
            <v>54121701</v>
          </cell>
          <cell r="B14345" t="str">
            <v>Perlas cultivadas</v>
          </cell>
        </row>
        <row r="14346">
          <cell r="A14346">
            <v>54121702</v>
          </cell>
          <cell r="B14346" t="str">
            <v>Perlas naturales</v>
          </cell>
        </row>
        <row r="14347">
          <cell r="A14347">
            <v>54121801</v>
          </cell>
          <cell r="B14347" t="str">
            <v>Diamantes industriales</v>
          </cell>
        </row>
        <row r="14348">
          <cell r="A14348">
            <v>54121802</v>
          </cell>
          <cell r="B14348" t="str">
            <v>Granates industriales</v>
          </cell>
        </row>
        <row r="14349">
          <cell r="A14349">
            <v>55101501</v>
          </cell>
          <cell r="B14349" t="str">
            <v>Cartas de navegación o atlas o mapas</v>
          </cell>
        </row>
        <row r="14350">
          <cell r="A14350">
            <v>55101502</v>
          </cell>
          <cell r="B14350" t="str">
            <v>Directorios</v>
          </cell>
        </row>
        <row r="14351">
          <cell r="A14351">
            <v>55101503</v>
          </cell>
          <cell r="B14351" t="str">
            <v>Catálogos</v>
          </cell>
        </row>
        <row r="14352">
          <cell r="A14352">
            <v>55101504</v>
          </cell>
          <cell r="B14352" t="str">
            <v>Periódicos</v>
          </cell>
        </row>
        <row r="14353">
          <cell r="A14353">
            <v>55101505</v>
          </cell>
          <cell r="B14353" t="str">
            <v>Historietas cómicas</v>
          </cell>
        </row>
        <row r="14354">
          <cell r="A14354">
            <v>55101506</v>
          </cell>
          <cell r="B14354" t="str">
            <v>Revistas</v>
          </cell>
        </row>
        <row r="14355">
          <cell r="A14355">
            <v>55101507</v>
          </cell>
          <cell r="B14355" t="str">
            <v>Libros para pintar o colorear o ilustrar para niños</v>
          </cell>
        </row>
        <row r="14356">
          <cell r="A14356">
            <v>55101509</v>
          </cell>
          <cell r="B14356" t="str">
            <v>Textos educacionales o vocacionales</v>
          </cell>
        </row>
        <row r="14357">
          <cell r="A14357">
            <v>55101510</v>
          </cell>
          <cell r="B14357" t="str">
            <v>Libros para entretenimiento</v>
          </cell>
        </row>
        <row r="14358">
          <cell r="A14358">
            <v>55101513</v>
          </cell>
          <cell r="B14358" t="str">
            <v>Tarjetas para intercambiar</v>
          </cell>
        </row>
        <row r="14359">
          <cell r="A14359">
            <v>55101514</v>
          </cell>
          <cell r="B14359" t="str">
            <v>Partituras</v>
          </cell>
        </row>
        <row r="14360">
          <cell r="A14360">
            <v>55101515</v>
          </cell>
          <cell r="B14360" t="str">
            <v>Material promocional o reportes anuales</v>
          </cell>
        </row>
        <row r="14361">
          <cell r="A14361">
            <v>55101516</v>
          </cell>
          <cell r="B14361" t="str">
            <v>Manuales operativos o de instrucciones</v>
          </cell>
        </row>
        <row r="14362">
          <cell r="A14362">
            <v>55101517</v>
          </cell>
          <cell r="B14362" t="str">
            <v>Dibujos dimensionales o de tolerancia</v>
          </cell>
        </row>
        <row r="14363">
          <cell r="A14363">
            <v>55101518</v>
          </cell>
          <cell r="B14363" t="str">
            <v>Diagramas o dibujos técnicos</v>
          </cell>
        </row>
        <row r="14364">
          <cell r="A14364">
            <v>55101519</v>
          </cell>
          <cell r="B14364" t="str">
            <v>Publicaciones periódicas</v>
          </cell>
        </row>
        <row r="14365">
          <cell r="A14365">
            <v>55101520</v>
          </cell>
          <cell r="B14365" t="str">
            <v>Hojas o folletos de instrucciones</v>
          </cell>
        </row>
        <row r="14366">
          <cell r="A14366">
            <v>55101521</v>
          </cell>
          <cell r="B14366" t="str">
            <v>Manuales de propietario o usuario</v>
          </cell>
        </row>
        <row r="14367">
          <cell r="A14367">
            <v>55101522</v>
          </cell>
          <cell r="B14367" t="str">
            <v>Globos terrestres o celestes</v>
          </cell>
        </row>
        <row r="14368">
          <cell r="A14368">
            <v>55101523</v>
          </cell>
          <cell r="B14368" t="str">
            <v>Libros de ejercicios</v>
          </cell>
        </row>
        <row r="14369">
          <cell r="A14369">
            <v>55101524</v>
          </cell>
          <cell r="B14369" t="str">
            <v>Libros de referencia</v>
          </cell>
        </row>
        <row r="14370">
          <cell r="A14370">
            <v>55101525</v>
          </cell>
          <cell r="B14370" t="str">
            <v>Enciclopedias</v>
          </cell>
        </row>
        <row r="14371">
          <cell r="A14371">
            <v>55101526</v>
          </cell>
          <cell r="B14371" t="str">
            <v>Diccionarios</v>
          </cell>
        </row>
        <row r="14372">
          <cell r="A14372">
            <v>55101527</v>
          </cell>
          <cell r="B14372" t="str">
            <v>Cancioneros</v>
          </cell>
        </row>
        <row r="14373">
          <cell r="A14373">
            <v>55101528</v>
          </cell>
          <cell r="B14373" t="str">
            <v>Libros religiosos</v>
          </cell>
        </row>
        <row r="14374">
          <cell r="A14374">
            <v>55111501</v>
          </cell>
          <cell r="B14374" t="str">
            <v>Directorios electrónicos</v>
          </cell>
        </row>
        <row r="14375">
          <cell r="A14375">
            <v>55111502</v>
          </cell>
          <cell r="B14375" t="str">
            <v>Diccionarios electrónicos</v>
          </cell>
        </row>
        <row r="14376">
          <cell r="A14376">
            <v>55111503</v>
          </cell>
          <cell r="B14376" t="str">
            <v>Enciclopedias electrónicas</v>
          </cell>
        </row>
        <row r="14377">
          <cell r="A14377">
            <v>55111504</v>
          </cell>
          <cell r="B14377" t="str">
            <v>Catálogos electrónicos</v>
          </cell>
        </row>
        <row r="14378">
          <cell r="A14378">
            <v>55111505</v>
          </cell>
          <cell r="B14378" t="str">
            <v>Libros en cintas o en discos compactos</v>
          </cell>
        </row>
        <row r="14379">
          <cell r="A14379">
            <v>55111506</v>
          </cell>
          <cell r="B14379" t="str">
            <v>Revistas electrónicas</v>
          </cell>
        </row>
        <row r="14380">
          <cell r="A14380">
            <v>55111507</v>
          </cell>
          <cell r="B14380" t="str">
            <v>Periódicos electrónicos</v>
          </cell>
        </row>
        <row r="14381">
          <cell r="A14381">
            <v>55111508</v>
          </cell>
          <cell r="B14381" t="str">
            <v>Cartas de navegación o mapas o atlas electrónicos</v>
          </cell>
        </row>
        <row r="14382">
          <cell r="A14382">
            <v>55111509</v>
          </cell>
          <cell r="B14382" t="str">
            <v>Música de fondo</v>
          </cell>
        </row>
        <row r="14383">
          <cell r="A14383">
            <v>55111510</v>
          </cell>
          <cell r="B14383" t="str">
            <v>Películas de cine en celuloide</v>
          </cell>
        </row>
        <row r="14384">
          <cell r="A14384">
            <v>55111511</v>
          </cell>
          <cell r="B14384" t="str">
            <v>Películas de cine en video cinta</v>
          </cell>
        </row>
        <row r="14385">
          <cell r="A14385">
            <v>55111512</v>
          </cell>
          <cell r="B14385" t="str">
            <v>Música en cintas o discos compactos</v>
          </cell>
        </row>
        <row r="14386">
          <cell r="A14386">
            <v>55111513</v>
          </cell>
          <cell r="B14386" t="str">
            <v>Textos electrónicos educacionales o vocacionales</v>
          </cell>
        </row>
        <row r="14387">
          <cell r="A14387">
            <v>55111514</v>
          </cell>
          <cell r="B14387" t="str">
            <v>Películas de cine en discos de video digital dvd</v>
          </cell>
        </row>
        <row r="14388">
          <cell r="A14388">
            <v>55111601</v>
          </cell>
          <cell r="B14388" t="str">
            <v>Documentación de software o manuales de usuario electrónicos</v>
          </cell>
        </row>
        <row r="14389">
          <cell r="A14389">
            <v>55121501</v>
          </cell>
          <cell r="B14389" t="str">
            <v>Etiquetas para el equipaje</v>
          </cell>
        </row>
        <row r="14390">
          <cell r="A14390">
            <v>55121502</v>
          </cell>
          <cell r="B14390" t="str">
            <v>Etiquetas de seguridad</v>
          </cell>
        </row>
        <row r="14391">
          <cell r="A14391">
            <v>55121503</v>
          </cell>
          <cell r="B14391" t="str">
            <v>Etiquetas de identificación</v>
          </cell>
        </row>
        <row r="14392">
          <cell r="A14392">
            <v>55121504</v>
          </cell>
          <cell r="B14392" t="str">
            <v>Etiquetas para llaves</v>
          </cell>
        </row>
        <row r="14393">
          <cell r="A14393">
            <v>55121505</v>
          </cell>
          <cell r="B14393" t="str">
            <v>Porta etiquetas o accesorios</v>
          </cell>
        </row>
        <row r="14394">
          <cell r="A14394">
            <v>55121506</v>
          </cell>
          <cell r="B14394" t="str">
            <v>Etiquetas de precio</v>
          </cell>
        </row>
        <row r="14395">
          <cell r="A14395">
            <v>55121601</v>
          </cell>
          <cell r="B14395" t="str">
            <v>Kits para remover etiquetas</v>
          </cell>
        </row>
        <row r="14396">
          <cell r="A14396">
            <v>55121602</v>
          </cell>
          <cell r="B14396" t="str">
            <v>Etiquetas para ropa</v>
          </cell>
        </row>
        <row r="14397">
          <cell r="A14397">
            <v>55121604</v>
          </cell>
          <cell r="B14397" t="str">
            <v>Etiquetas para latas o botellas</v>
          </cell>
        </row>
        <row r="14398">
          <cell r="A14398">
            <v>55121605</v>
          </cell>
          <cell r="B14398" t="str">
            <v>Etiquetas de direcciones o de correo</v>
          </cell>
        </row>
        <row r="14399">
          <cell r="A14399">
            <v>55121606</v>
          </cell>
          <cell r="B14399" t="str">
            <v>Etiquetas auto adhesivas</v>
          </cell>
        </row>
        <row r="14400">
          <cell r="A14400">
            <v>55121607</v>
          </cell>
          <cell r="B14400" t="str">
            <v>Calcomanías</v>
          </cell>
        </row>
        <row r="14401">
          <cell r="A14401">
            <v>55121608</v>
          </cell>
          <cell r="B14401" t="str">
            <v>Etiquetas de códigos de barra</v>
          </cell>
        </row>
        <row r="14402">
          <cell r="A14402">
            <v>55121609</v>
          </cell>
          <cell r="B14402" t="str">
            <v>Etiquetas para paquetes</v>
          </cell>
        </row>
        <row r="14403">
          <cell r="A14403">
            <v>55121610</v>
          </cell>
          <cell r="B14403" t="str">
            <v>Etiquetas numeradas consecutivamente</v>
          </cell>
        </row>
        <row r="14404">
          <cell r="A14404">
            <v>55121611</v>
          </cell>
          <cell r="B14404" t="str">
            <v>Cintas para hacer etiquetas</v>
          </cell>
        </row>
        <row r="14405">
          <cell r="A14405">
            <v>55121612</v>
          </cell>
          <cell r="B14405" t="str">
            <v>Etiquetas para impresoras</v>
          </cell>
        </row>
        <row r="14406">
          <cell r="A14406">
            <v>55121613</v>
          </cell>
          <cell r="B14406" t="str">
            <v>Etiquetas de códigos de color</v>
          </cell>
        </row>
        <row r="14407">
          <cell r="A14407">
            <v>55121614</v>
          </cell>
          <cell r="B14407" t="str">
            <v>Etiquetas removibles</v>
          </cell>
        </row>
        <row r="14408">
          <cell r="A14408">
            <v>55121615</v>
          </cell>
          <cell r="B14408" t="str">
            <v>Puntos o flechas adhesivas</v>
          </cell>
        </row>
        <row r="14409">
          <cell r="A14409">
            <v>55121616</v>
          </cell>
          <cell r="B14409" t="str">
            <v>Banderas auto adhesivas</v>
          </cell>
        </row>
        <row r="14410">
          <cell r="A14410">
            <v>55121617</v>
          </cell>
          <cell r="B14410" t="str">
            <v>Protectores de etiquetas</v>
          </cell>
        </row>
        <row r="14411">
          <cell r="A14411">
            <v>55121618</v>
          </cell>
          <cell r="B14411" t="str">
            <v>Porta etiquetas</v>
          </cell>
        </row>
        <row r="14412">
          <cell r="A14412">
            <v>55121619</v>
          </cell>
          <cell r="B14412" t="str">
            <v>Etiquetas no adhesivas</v>
          </cell>
        </row>
        <row r="14413">
          <cell r="A14413">
            <v>55121620</v>
          </cell>
          <cell r="B14413" t="str">
            <v>Etiquetas multipropósito</v>
          </cell>
        </row>
        <row r="14414">
          <cell r="A14414">
            <v>55121621</v>
          </cell>
          <cell r="B14414" t="str">
            <v>Sellos notariales</v>
          </cell>
        </row>
        <row r="14415">
          <cell r="A14415">
            <v>55121701</v>
          </cell>
          <cell r="B14415" t="str">
            <v>Placas con inscripción metálicas</v>
          </cell>
        </row>
        <row r="14416">
          <cell r="A14416">
            <v>55121702</v>
          </cell>
          <cell r="B14416" t="str">
            <v>Placas con inscripción no metálicas</v>
          </cell>
        </row>
        <row r="14417">
          <cell r="A14417">
            <v>55121703</v>
          </cell>
          <cell r="B14417" t="str">
            <v>Señales iluminadas</v>
          </cell>
        </row>
        <row r="14418">
          <cell r="A14418">
            <v>55121704</v>
          </cell>
          <cell r="B14418" t="str">
            <v>Señales de seguridad</v>
          </cell>
        </row>
        <row r="14419">
          <cell r="A14419">
            <v>55121705</v>
          </cell>
          <cell r="B14419" t="str">
            <v>Señales auto adhesivas</v>
          </cell>
        </row>
        <row r="14420">
          <cell r="A14420">
            <v>55121706</v>
          </cell>
          <cell r="B14420" t="str">
            <v>Pancartas</v>
          </cell>
        </row>
        <row r="14421">
          <cell r="A14421">
            <v>55121707</v>
          </cell>
          <cell r="B14421" t="str">
            <v>Señales magnéticas</v>
          </cell>
        </row>
        <row r="14422">
          <cell r="A14422">
            <v>55121708</v>
          </cell>
          <cell r="B14422" t="str">
            <v>Señales de neón</v>
          </cell>
        </row>
        <row r="14423">
          <cell r="A14423">
            <v>55121709</v>
          </cell>
          <cell r="B14423" t="str">
            <v>Señales con mensajes móviles</v>
          </cell>
        </row>
        <row r="14424">
          <cell r="A14424">
            <v>55121710</v>
          </cell>
          <cell r="B14424" t="str">
            <v>Signos de tráfico</v>
          </cell>
        </row>
        <row r="14425">
          <cell r="A14425">
            <v>55121711</v>
          </cell>
          <cell r="B14425" t="str">
            <v>Vallas publicitarias</v>
          </cell>
        </row>
        <row r="14426">
          <cell r="A14426">
            <v>55121712</v>
          </cell>
          <cell r="B14426" t="str">
            <v>Señales direccionales</v>
          </cell>
        </row>
        <row r="14427">
          <cell r="A14427">
            <v>55121713</v>
          </cell>
          <cell r="B14427" t="str">
            <v>Señales de punto de venta</v>
          </cell>
        </row>
        <row r="14428">
          <cell r="A14428">
            <v>55121714</v>
          </cell>
          <cell r="B14428" t="str">
            <v>Pendones</v>
          </cell>
        </row>
        <row r="14429">
          <cell r="A14429">
            <v>55121715</v>
          </cell>
          <cell r="B14429" t="str">
            <v>Banderas o accesorios</v>
          </cell>
        </row>
        <row r="14430">
          <cell r="A14430">
            <v>55121716</v>
          </cell>
          <cell r="B14430" t="str">
            <v>Señales de madera</v>
          </cell>
        </row>
        <row r="14431">
          <cell r="A14431">
            <v>55121717</v>
          </cell>
          <cell r="B14431" t="str">
            <v>Placas de identificación de máquinas</v>
          </cell>
        </row>
        <row r="14432">
          <cell r="A14432">
            <v>55121718</v>
          </cell>
          <cell r="B14432" t="str">
            <v>Señales informativas</v>
          </cell>
        </row>
        <row r="14433">
          <cell r="A14433">
            <v>55121719</v>
          </cell>
          <cell r="B14433" t="str">
            <v>Componentes de señalización</v>
          </cell>
        </row>
        <row r="14434">
          <cell r="A14434">
            <v>55121720</v>
          </cell>
          <cell r="B14434" t="str">
            <v>Emblemas</v>
          </cell>
        </row>
        <row r="14435">
          <cell r="A14435">
            <v>55121721</v>
          </cell>
          <cell r="B14435" t="str">
            <v>Caracteres de señalización</v>
          </cell>
        </row>
        <row r="14436">
          <cell r="A14436">
            <v>55121722</v>
          </cell>
          <cell r="B14436" t="str">
            <v>Mástiles de bandera, piezas o accesorios</v>
          </cell>
        </row>
        <row r="14437">
          <cell r="A14437">
            <v>55121723</v>
          </cell>
          <cell r="B14437" t="str">
            <v>Bases o soportes para señales</v>
          </cell>
        </row>
        <row r="14438">
          <cell r="A14438">
            <v>55121724</v>
          </cell>
          <cell r="B14438" t="str">
            <v>Bases de banderas</v>
          </cell>
        </row>
        <row r="14439">
          <cell r="A14439">
            <v>55121725</v>
          </cell>
          <cell r="B14439" t="str">
            <v>Kits de señalización</v>
          </cell>
        </row>
        <row r="14440">
          <cell r="A14440">
            <v>55121726</v>
          </cell>
          <cell r="B14440" t="str">
            <v>Paneles de identificación</v>
          </cell>
        </row>
        <row r="14441">
          <cell r="A14441">
            <v>55121727</v>
          </cell>
          <cell r="B14441" t="str">
            <v>Letreros</v>
          </cell>
        </row>
        <row r="14442">
          <cell r="A14442">
            <v>55121728</v>
          </cell>
          <cell r="B14442" t="str">
            <v>Cubiertas de señales</v>
          </cell>
        </row>
        <row r="14443">
          <cell r="A14443">
            <v>55121729</v>
          </cell>
          <cell r="B14443" t="str">
            <v>Indicadores</v>
          </cell>
        </row>
        <row r="14444">
          <cell r="A14444">
            <v>55121730</v>
          </cell>
          <cell r="B14444" t="str">
            <v>Señales de accidente</v>
          </cell>
        </row>
        <row r="14445">
          <cell r="A14445">
            <v>55121731</v>
          </cell>
          <cell r="B14445" t="str">
            <v>Marcadores de identificación</v>
          </cell>
        </row>
        <row r="14446">
          <cell r="A14446">
            <v>55121732</v>
          </cell>
          <cell r="B14446" t="str">
            <v>Divisores de tamaño</v>
          </cell>
        </row>
        <row r="14447">
          <cell r="A14447">
            <v>55121801</v>
          </cell>
          <cell r="B14447" t="str">
            <v>Discos de impuestos de vehículos</v>
          </cell>
        </row>
        <row r="14448">
          <cell r="A14448">
            <v>55121802</v>
          </cell>
          <cell r="B14448" t="str">
            <v>Tarjetas o bandas de identificación o productos similares</v>
          </cell>
        </row>
        <row r="14449">
          <cell r="A14449">
            <v>55121803</v>
          </cell>
          <cell r="B14449" t="str">
            <v>Pasaportes</v>
          </cell>
        </row>
        <row r="14450">
          <cell r="A14450">
            <v>55121804</v>
          </cell>
          <cell r="B14450" t="str">
            <v>Gafetes o porta gafetes</v>
          </cell>
        </row>
        <row r="14451">
          <cell r="A14451">
            <v>55121806</v>
          </cell>
          <cell r="B14451" t="str">
            <v>Kits de bandas de identificación personal o accesorios</v>
          </cell>
        </row>
        <row r="14452">
          <cell r="A14452">
            <v>55121807</v>
          </cell>
          <cell r="B14452" t="str">
            <v>Porta productos de identificación o accesorios</v>
          </cell>
        </row>
        <row r="14453">
          <cell r="A14453">
            <v>56101501</v>
          </cell>
          <cell r="B14453" t="str">
            <v>Stands</v>
          </cell>
        </row>
        <row r="14454">
          <cell r="A14454">
            <v>56101502</v>
          </cell>
          <cell r="B14454" t="str">
            <v>Sofás</v>
          </cell>
        </row>
        <row r="14455">
          <cell r="A14455">
            <v>56101503</v>
          </cell>
          <cell r="B14455" t="str">
            <v>Armarios para abrigos</v>
          </cell>
        </row>
        <row r="14456">
          <cell r="A14456">
            <v>56101504</v>
          </cell>
          <cell r="B14456" t="str">
            <v>Asientos</v>
          </cell>
        </row>
        <row r="14457">
          <cell r="A14457">
            <v>56101505</v>
          </cell>
          <cell r="B14457" t="str">
            <v>Centros de entretenimiento</v>
          </cell>
        </row>
        <row r="14458">
          <cell r="A14458">
            <v>56101506</v>
          </cell>
          <cell r="B14458" t="str">
            <v>Futones</v>
          </cell>
        </row>
        <row r="14459">
          <cell r="A14459">
            <v>56101507</v>
          </cell>
          <cell r="B14459" t="str">
            <v>Bibliotecas</v>
          </cell>
        </row>
        <row r="14460">
          <cell r="A14460">
            <v>56101508</v>
          </cell>
          <cell r="B14460" t="str">
            <v>Colchones o sets para dormir</v>
          </cell>
        </row>
        <row r="14461">
          <cell r="A14461">
            <v>56101509</v>
          </cell>
          <cell r="B14461" t="str">
            <v>Vestidores o armarios</v>
          </cell>
        </row>
        <row r="14462">
          <cell r="A14462">
            <v>56101510</v>
          </cell>
          <cell r="B14462" t="str">
            <v>Divisiones</v>
          </cell>
        </row>
        <row r="14463">
          <cell r="A14463">
            <v>56101513</v>
          </cell>
          <cell r="B14463" t="str">
            <v>Cunas o accesorios</v>
          </cell>
        </row>
        <row r="14464">
          <cell r="A14464">
            <v>56101514</v>
          </cell>
          <cell r="B14464" t="str">
            <v>Taburetes</v>
          </cell>
        </row>
        <row r="14465">
          <cell r="A14465">
            <v>56101515</v>
          </cell>
          <cell r="B14465" t="str">
            <v>Camas</v>
          </cell>
        </row>
        <row r="14466">
          <cell r="A14466">
            <v>56101516</v>
          </cell>
          <cell r="B14466" t="str">
            <v>Cómodas</v>
          </cell>
        </row>
        <row r="14467">
          <cell r="A14467">
            <v>56101518</v>
          </cell>
          <cell r="B14467" t="str">
            <v>Estanterías de pared</v>
          </cell>
        </row>
        <row r="14468">
          <cell r="A14468">
            <v>56101519</v>
          </cell>
          <cell r="B14468" t="str">
            <v>Mesas</v>
          </cell>
        </row>
        <row r="14469">
          <cell r="A14469">
            <v>56101520</v>
          </cell>
          <cell r="B14469" t="str">
            <v>Casilleros (“lockers”)</v>
          </cell>
        </row>
        <row r="14470">
          <cell r="A14470">
            <v>56101521</v>
          </cell>
          <cell r="B14470" t="str">
            <v>Cabeceras o pies de cama</v>
          </cell>
        </row>
        <row r="14471">
          <cell r="A14471">
            <v>56101522</v>
          </cell>
          <cell r="B14471" t="str">
            <v>Sillas de brazos</v>
          </cell>
        </row>
        <row r="14472">
          <cell r="A14472">
            <v>56101523</v>
          </cell>
          <cell r="B14472" t="str">
            <v>Paragüeros o soportes para paraguas</v>
          </cell>
        </row>
        <row r="14473">
          <cell r="A14473">
            <v>56101524</v>
          </cell>
          <cell r="B14473" t="str">
            <v>Mesas de plancha</v>
          </cell>
        </row>
        <row r="14474">
          <cell r="A14474">
            <v>56101525</v>
          </cell>
          <cell r="B14474" t="str">
            <v>Forros para mesas de plancha</v>
          </cell>
        </row>
        <row r="14475">
          <cell r="A14475">
            <v>56101526</v>
          </cell>
          <cell r="B14475" t="str">
            <v>Bar refrigerador</v>
          </cell>
        </row>
        <row r="14476">
          <cell r="A14476">
            <v>56101527</v>
          </cell>
          <cell r="B14476" t="str">
            <v>Secadores de linos tipo hogar</v>
          </cell>
        </row>
        <row r="14477">
          <cell r="A14477">
            <v>56101528</v>
          </cell>
          <cell r="B14477" t="str">
            <v>Plantas artificiales</v>
          </cell>
        </row>
        <row r="14478">
          <cell r="A14478">
            <v>56101529</v>
          </cell>
          <cell r="B14478" t="str">
            <v>Revisteros</v>
          </cell>
        </row>
        <row r="14479">
          <cell r="A14479">
            <v>56101530</v>
          </cell>
          <cell r="B14479" t="str">
            <v>Gabinetes de almacenamiento</v>
          </cell>
        </row>
        <row r="14480">
          <cell r="A14480">
            <v>56101531</v>
          </cell>
          <cell r="B14480" t="str">
            <v>Zapateras</v>
          </cell>
        </row>
        <row r="14481">
          <cell r="A14481">
            <v>56101532</v>
          </cell>
          <cell r="B14481" t="str">
            <v>Set de muebles</v>
          </cell>
        </row>
        <row r="14482">
          <cell r="A14482">
            <v>56101533</v>
          </cell>
          <cell r="B14482" t="str">
            <v>Descansa brazos</v>
          </cell>
        </row>
        <row r="14483">
          <cell r="A14483">
            <v>56101535</v>
          </cell>
          <cell r="B14483" t="str">
            <v>Mesas de ruedas</v>
          </cell>
        </row>
        <row r="14484">
          <cell r="A14484">
            <v>56101536</v>
          </cell>
          <cell r="B14484" t="str">
            <v>Trípodes para instrumentos</v>
          </cell>
        </row>
        <row r="14485">
          <cell r="A14485">
            <v>56101537</v>
          </cell>
          <cell r="B14485" t="str">
            <v>Tocadores</v>
          </cell>
        </row>
        <row r="14486">
          <cell r="A14486">
            <v>56101538</v>
          </cell>
          <cell r="B14486" t="str">
            <v>Mesas o bufetes para el comedor</v>
          </cell>
        </row>
        <row r="14487">
          <cell r="A14487">
            <v>56101539</v>
          </cell>
          <cell r="B14487" t="str">
            <v>Armazones o partes o accesorios para camas</v>
          </cell>
        </row>
        <row r="14488">
          <cell r="A14488">
            <v>56101540</v>
          </cell>
          <cell r="B14488" t="str">
            <v>Solterones</v>
          </cell>
        </row>
        <row r="14489">
          <cell r="A14489">
            <v>56101541</v>
          </cell>
          <cell r="B14489" t="str">
            <v>Ventiladores de colchones</v>
          </cell>
        </row>
        <row r="14490">
          <cell r="A14490">
            <v>56101601</v>
          </cell>
          <cell r="B14490" t="str">
            <v>Paraguas para jardín</v>
          </cell>
        </row>
        <row r="14491">
          <cell r="A14491">
            <v>56101602</v>
          </cell>
          <cell r="B14491" t="str">
            <v>Sillas para jardín</v>
          </cell>
        </row>
        <row r="14492">
          <cell r="A14492">
            <v>56101603</v>
          </cell>
          <cell r="B14492" t="str">
            <v>Mesas para jardín o mesas para picnic</v>
          </cell>
        </row>
        <row r="14493">
          <cell r="A14493">
            <v>56101604</v>
          </cell>
          <cell r="B14493" t="str">
            <v>Columpios para jardín</v>
          </cell>
        </row>
        <row r="14494">
          <cell r="A14494">
            <v>56101605</v>
          </cell>
          <cell r="B14494" t="str">
            <v>Bancos para jardín</v>
          </cell>
        </row>
        <row r="14495">
          <cell r="A14495">
            <v>56101606</v>
          </cell>
          <cell r="B14495" t="str">
            <v>Materas</v>
          </cell>
        </row>
        <row r="14496">
          <cell r="A14496">
            <v>56101607</v>
          </cell>
          <cell r="B14496" t="str">
            <v>Secadora de ropa para exteriores</v>
          </cell>
        </row>
        <row r="14497">
          <cell r="A14497">
            <v>56101608</v>
          </cell>
          <cell r="B14497" t="str">
            <v>Estantes para bicicletas</v>
          </cell>
        </row>
        <row r="14498">
          <cell r="A14498">
            <v>56101701</v>
          </cell>
          <cell r="B14498" t="str">
            <v>Cajoneras o estanterías</v>
          </cell>
        </row>
        <row r="14499">
          <cell r="A14499">
            <v>56101702</v>
          </cell>
          <cell r="B14499" t="str">
            <v>Gabinetes de archivo o accesorios</v>
          </cell>
        </row>
        <row r="14500">
          <cell r="A14500">
            <v>56101703</v>
          </cell>
          <cell r="B14500" t="str">
            <v>Escritorios</v>
          </cell>
        </row>
        <row r="14501">
          <cell r="A14501">
            <v>56101704</v>
          </cell>
          <cell r="B14501" t="str">
            <v>Bases para mesas</v>
          </cell>
        </row>
        <row r="14502">
          <cell r="A14502">
            <v>56101705</v>
          </cell>
          <cell r="B14502" t="str">
            <v>Vitrinas</v>
          </cell>
        </row>
        <row r="14503">
          <cell r="A14503">
            <v>56101706</v>
          </cell>
          <cell r="B14503" t="str">
            <v>Mesas de conferencia</v>
          </cell>
        </row>
        <row r="14504">
          <cell r="A14504">
            <v>56101707</v>
          </cell>
          <cell r="B14504" t="str">
            <v>Mesas de dibujo</v>
          </cell>
        </row>
        <row r="14505">
          <cell r="A14505">
            <v>56101708</v>
          </cell>
          <cell r="B14505" t="str">
            <v>Archivadores móviles</v>
          </cell>
        </row>
        <row r="14506">
          <cell r="A14506">
            <v>56101710</v>
          </cell>
          <cell r="B14506" t="str">
            <v>Carritos o soportes para proyectores</v>
          </cell>
        </row>
        <row r="14507">
          <cell r="A14507">
            <v>56101711</v>
          </cell>
          <cell r="B14507" t="str">
            <v>Conectores de muebles modulares</v>
          </cell>
        </row>
        <row r="14508">
          <cell r="A14508">
            <v>56101712</v>
          </cell>
          <cell r="B14508" t="str">
            <v>Pedestales</v>
          </cell>
        </row>
        <row r="14509">
          <cell r="A14509">
            <v>56101713</v>
          </cell>
          <cell r="B14509" t="str">
            <v>Puestos (mesas) laterales de escritorios</v>
          </cell>
        </row>
        <row r="14510">
          <cell r="A14510">
            <v>56101714</v>
          </cell>
          <cell r="B14510" t="str">
            <v>Estantes para carpetas de información</v>
          </cell>
        </row>
        <row r="14511">
          <cell r="A14511">
            <v>56101715</v>
          </cell>
          <cell r="B14511" t="str">
            <v>Organizadores o clasificadores de correspondencia</v>
          </cell>
        </row>
        <row r="14512">
          <cell r="A14512">
            <v>56101716</v>
          </cell>
          <cell r="B14512" t="str">
            <v>Gavetas organizadoras para el escritorio</v>
          </cell>
        </row>
        <row r="14513">
          <cell r="A14513">
            <v>56101717</v>
          </cell>
          <cell r="B14513" t="str">
            <v>Eleva mesas</v>
          </cell>
        </row>
        <row r="14514">
          <cell r="A14514">
            <v>56101803</v>
          </cell>
          <cell r="B14514" t="str">
            <v>Coches de bebé</v>
          </cell>
        </row>
        <row r="14515">
          <cell r="A14515">
            <v>56101804</v>
          </cell>
          <cell r="B14515" t="str">
            <v>Cunas o corrales o accesorios</v>
          </cell>
        </row>
        <row r="14516">
          <cell r="A14516">
            <v>56101805</v>
          </cell>
          <cell r="B14516" t="str">
            <v>Asientos de bebé para el carro</v>
          </cell>
        </row>
        <row r="14517">
          <cell r="A14517">
            <v>56101806</v>
          </cell>
          <cell r="B14517" t="str">
            <v>Asientos de comer (para bebés) o accesorios</v>
          </cell>
        </row>
        <row r="14518">
          <cell r="A14518">
            <v>56101807</v>
          </cell>
          <cell r="B14518" t="str">
            <v>Asientos rebotadores para bebés</v>
          </cell>
        </row>
        <row r="14519">
          <cell r="A14519">
            <v>56101808</v>
          </cell>
          <cell r="B14519" t="str">
            <v>Columpios o rebotadores o accesorios</v>
          </cell>
        </row>
        <row r="14520">
          <cell r="A14520">
            <v>56101809</v>
          </cell>
          <cell r="B14520" t="str">
            <v>Micas o bacinillas</v>
          </cell>
        </row>
        <row r="14521">
          <cell r="A14521">
            <v>56101810</v>
          </cell>
          <cell r="B14521" t="str">
            <v>Bañeras o tinas para bebés</v>
          </cell>
        </row>
        <row r="14522">
          <cell r="A14522">
            <v>56101811</v>
          </cell>
          <cell r="B14522" t="str">
            <v>Cunas</v>
          </cell>
        </row>
        <row r="14523">
          <cell r="A14523">
            <v>56101812</v>
          </cell>
          <cell r="B14523" t="str">
            <v>Mesas para cambiar al bebé o accesorios</v>
          </cell>
        </row>
        <row r="14524">
          <cell r="A14524">
            <v>56101813</v>
          </cell>
          <cell r="B14524" t="str">
            <v>Asientos para el baño para bebés</v>
          </cell>
        </row>
        <row r="14525">
          <cell r="A14525">
            <v>56101901</v>
          </cell>
          <cell r="B14525" t="str">
            <v>Tapas de muebles o superficies de trabajo</v>
          </cell>
        </row>
        <row r="14526">
          <cell r="A14526">
            <v>56101902</v>
          </cell>
          <cell r="B14526" t="str">
            <v>Discos movibles para muebles</v>
          </cell>
        </row>
        <row r="14527">
          <cell r="A14527">
            <v>56101903</v>
          </cell>
          <cell r="B14527" t="str">
            <v>Protectores o almohadillas o copas para las patas de los muebles</v>
          </cell>
        </row>
        <row r="14528">
          <cell r="A14528">
            <v>56101904</v>
          </cell>
          <cell r="B14528" t="str">
            <v>Bases o patas o extensiones de patas para muebles</v>
          </cell>
        </row>
        <row r="14529">
          <cell r="A14529">
            <v>56101905</v>
          </cell>
          <cell r="B14529" t="str">
            <v>Ensamblajes o secciones de paneles</v>
          </cell>
        </row>
        <row r="14530">
          <cell r="A14530">
            <v>56101906</v>
          </cell>
          <cell r="B14530" t="str">
            <v>Tablas de extensión para mesas</v>
          </cell>
        </row>
        <row r="14531">
          <cell r="A14531">
            <v>56101907</v>
          </cell>
          <cell r="B14531" t="str">
            <v>Fundas para muebles</v>
          </cell>
        </row>
        <row r="14532">
          <cell r="A14532">
            <v>56111501</v>
          </cell>
          <cell r="B14532" t="str">
            <v>Paquetes de muebles de recepción para oficinas</v>
          </cell>
        </row>
        <row r="14533">
          <cell r="A14533">
            <v>56111502</v>
          </cell>
          <cell r="B14533" t="str">
            <v>Paquetes de muebles para ejecutivos no modulares</v>
          </cell>
        </row>
        <row r="14534">
          <cell r="A14534">
            <v>56111503</v>
          </cell>
          <cell r="B14534" t="str">
            <v>Paquetes de muebles para ejecutivos modulares</v>
          </cell>
        </row>
        <row r="14535">
          <cell r="A14535">
            <v>56111504</v>
          </cell>
          <cell r="B14535" t="str">
            <v>Paquetes de muebles de gerencia no modulares</v>
          </cell>
        </row>
        <row r="14536">
          <cell r="A14536">
            <v>56111505</v>
          </cell>
          <cell r="B14536" t="str">
            <v>Paquetes de muebles de gerencia modulares</v>
          </cell>
        </row>
        <row r="14537">
          <cell r="A14537">
            <v>56111506</v>
          </cell>
          <cell r="B14537" t="str">
            <v>Paquetes de muebles para personal no modulares</v>
          </cell>
        </row>
        <row r="14538">
          <cell r="A14538">
            <v>56111507</v>
          </cell>
          <cell r="B14538" t="str">
            <v>Paquetes de muebles para personal modulares</v>
          </cell>
        </row>
        <row r="14539">
          <cell r="A14539">
            <v>56111508</v>
          </cell>
          <cell r="B14539" t="str">
            <v>Paquetes de muebles para técnicos no modulares</v>
          </cell>
        </row>
        <row r="14540">
          <cell r="A14540">
            <v>56111509</v>
          </cell>
          <cell r="B14540" t="str">
            <v>Paquetes de muebles para técnicos modulares</v>
          </cell>
        </row>
        <row r="14541">
          <cell r="A14541">
            <v>56111510</v>
          </cell>
          <cell r="B14541" t="str">
            <v>Paquetes de muebles secretariales no modulares</v>
          </cell>
        </row>
        <row r="14542">
          <cell r="A14542">
            <v>56111511</v>
          </cell>
          <cell r="B14542" t="str">
            <v>Paquetes de muebles secretariales modulares</v>
          </cell>
        </row>
        <row r="14543">
          <cell r="A14543">
            <v>56111512</v>
          </cell>
          <cell r="B14543" t="str">
            <v>Paquetes de muebles para recepción no modulares</v>
          </cell>
        </row>
        <row r="14544">
          <cell r="A14544">
            <v>56111513</v>
          </cell>
          <cell r="B14544" t="str">
            <v>Paquetes de muebles de salas de juntas no modulares</v>
          </cell>
        </row>
        <row r="14545">
          <cell r="A14545">
            <v>56111514</v>
          </cell>
          <cell r="B14545" t="str">
            <v>Paquetes de muebles de mostrador modulares</v>
          </cell>
        </row>
        <row r="14546">
          <cell r="A14546">
            <v>56111601</v>
          </cell>
          <cell r="B14546" t="str">
            <v>Biombos (mamparas) para sistemas de paneles</v>
          </cell>
        </row>
        <row r="14547">
          <cell r="A14547">
            <v>56111602</v>
          </cell>
          <cell r="B14547" t="str">
            <v>Almacenamiento para sistemas de paneles</v>
          </cell>
        </row>
        <row r="14548">
          <cell r="A14548">
            <v>56111603</v>
          </cell>
          <cell r="B14548" t="str">
            <v>Organizadores para sistemas de paneles</v>
          </cell>
        </row>
        <row r="14549">
          <cell r="A14549">
            <v>56111604</v>
          </cell>
          <cell r="B14549" t="str">
            <v>Superficies de trabajo para sistemas de paneles</v>
          </cell>
        </row>
        <row r="14550">
          <cell r="A14550">
            <v>56111605</v>
          </cell>
          <cell r="B14550" t="str">
            <v>Iluminación o electricidad o componentes de información para sistemas de paneles</v>
          </cell>
        </row>
        <row r="14551">
          <cell r="A14551">
            <v>56111606</v>
          </cell>
          <cell r="B14551" t="str">
            <v>Partes o accesorios para sistemas de paneles</v>
          </cell>
        </row>
        <row r="14552">
          <cell r="A14552">
            <v>56111701</v>
          </cell>
          <cell r="B14552" t="str">
            <v>Escritorios no modulares</v>
          </cell>
        </row>
        <row r="14553">
          <cell r="A14553">
            <v>56111702</v>
          </cell>
          <cell r="B14553" t="str">
            <v>Cajoneras o estanterías no modulares</v>
          </cell>
        </row>
        <row r="14554">
          <cell r="A14554">
            <v>56111703</v>
          </cell>
          <cell r="B14554" t="str">
            <v>Almacenamiento no modular</v>
          </cell>
        </row>
        <row r="14555">
          <cell r="A14555">
            <v>56111704</v>
          </cell>
          <cell r="B14555" t="str">
            <v>Organizadores no modular</v>
          </cell>
        </row>
        <row r="14556">
          <cell r="A14556">
            <v>56111705</v>
          </cell>
          <cell r="B14556" t="str">
            <v>Iluminación o electricidad o componentes de información no modulares</v>
          </cell>
        </row>
        <row r="14557">
          <cell r="A14557">
            <v>56111706</v>
          </cell>
          <cell r="B14557" t="str">
            <v>Partes o accesorios no modulares</v>
          </cell>
        </row>
        <row r="14558">
          <cell r="A14558">
            <v>56111707</v>
          </cell>
          <cell r="B14558" t="str">
            <v>Repisas no modulares</v>
          </cell>
        </row>
        <row r="14559">
          <cell r="A14559">
            <v>56111801</v>
          </cell>
          <cell r="B14559" t="str">
            <v>Iluminación o electricidad o componentes de información de pie</v>
          </cell>
        </row>
        <row r="14560">
          <cell r="A14560">
            <v>56111802</v>
          </cell>
          <cell r="B14560" t="str">
            <v>Mesas individuales (sin apoyo)</v>
          </cell>
        </row>
        <row r="14561">
          <cell r="A14561">
            <v>56111803</v>
          </cell>
          <cell r="B14561" t="str">
            <v>Almacenamiento individual (sin apoyo)</v>
          </cell>
        </row>
        <row r="14562">
          <cell r="A14562">
            <v>56111804</v>
          </cell>
          <cell r="B14562" t="str">
            <v>Organizadores individual (sin apoyo)</v>
          </cell>
        </row>
        <row r="14563">
          <cell r="A14563">
            <v>56111805</v>
          </cell>
          <cell r="B14563" t="str">
            <v>Partes o accesorios individuales (sin apoyo)</v>
          </cell>
        </row>
        <row r="14564">
          <cell r="A14564">
            <v>56111901</v>
          </cell>
          <cell r="B14564" t="str">
            <v>Iluminación o electricidad o componentes de información industriales</v>
          </cell>
        </row>
        <row r="14565">
          <cell r="A14565">
            <v>56111902</v>
          </cell>
          <cell r="B14565" t="str">
            <v>Superficies de trabajo industriales</v>
          </cell>
        </row>
        <row r="14566">
          <cell r="A14566">
            <v>56111903</v>
          </cell>
          <cell r="B14566" t="str">
            <v>Unidades de almacenamiento industriales</v>
          </cell>
        </row>
        <row r="14567">
          <cell r="A14567">
            <v>56111904</v>
          </cell>
          <cell r="B14567" t="str">
            <v>Organizadores industriales</v>
          </cell>
        </row>
        <row r="14568">
          <cell r="A14568">
            <v>56111905</v>
          </cell>
          <cell r="B14568" t="str">
            <v>Partes o accesorios industriales</v>
          </cell>
        </row>
        <row r="14569">
          <cell r="A14569">
            <v>56111906</v>
          </cell>
          <cell r="B14569" t="str">
            <v>Gabinetes o cajones o estantes industriales</v>
          </cell>
        </row>
        <row r="14570">
          <cell r="A14570">
            <v>56111907</v>
          </cell>
          <cell r="B14570" t="str">
            <v>Carritos de herramientas industriales</v>
          </cell>
        </row>
        <row r="14571">
          <cell r="A14571">
            <v>56112001</v>
          </cell>
          <cell r="B14571" t="str">
            <v>Iluminación o electricidad o componentes de información de soporte para computadores</v>
          </cell>
        </row>
        <row r="14572">
          <cell r="A14572">
            <v>56112002</v>
          </cell>
          <cell r="B14572" t="str">
            <v>Superficies de trabajo de soporte para computadores</v>
          </cell>
        </row>
        <row r="14573">
          <cell r="A14573">
            <v>56112003</v>
          </cell>
          <cell r="B14573" t="str">
            <v>Accesorios de almacenamiento de soporte para computadores</v>
          </cell>
        </row>
        <row r="14574">
          <cell r="A14574">
            <v>56112004</v>
          </cell>
          <cell r="B14574" t="str">
            <v>Organizadores de soporte para computadores</v>
          </cell>
        </row>
        <row r="14575">
          <cell r="A14575">
            <v>56112005</v>
          </cell>
          <cell r="B14575" t="str">
            <v>Partes o accesorios de soporte para computadores</v>
          </cell>
        </row>
        <row r="14576">
          <cell r="A14576">
            <v>56112101</v>
          </cell>
          <cell r="B14576" t="str">
            <v>Silletería para auditorios o estadios o uso especiales</v>
          </cell>
        </row>
        <row r="14577">
          <cell r="A14577">
            <v>56112102</v>
          </cell>
          <cell r="B14577" t="str">
            <v>Sillas para grupos de trabajo</v>
          </cell>
        </row>
        <row r="14578">
          <cell r="A14578">
            <v>56112103</v>
          </cell>
          <cell r="B14578" t="str">
            <v>Sillas para visitantes</v>
          </cell>
        </row>
        <row r="14579">
          <cell r="A14579">
            <v>56112104</v>
          </cell>
          <cell r="B14579" t="str">
            <v>Sillas para ejecutivos</v>
          </cell>
        </row>
        <row r="14580">
          <cell r="A14580">
            <v>56112105</v>
          </cell>
          <cell r="B14580" t="str">
            <v>Sillas para descansar</v>
          </cell>
        </row>
        <row r="14581">
          <cell r="A14581">
            <v>56112106</v>
          </cell>
          <cell r="B14581" t="str">
            <v>Sillas altas (taburetes)</v>
          </cell>
        </row>
        <row r="14582">
          <cell r="A14582">
            <v>56112107</v>
          </cell>
          <cell r="B14582" t="str">
            <v>Partes o accesorios para sillas</v>
          </cell>
        </row>
        <row r="14583">
          <cell r="A14583">
            <v>56112108</v>
          </cell>
          <cell r="B14583" t="str">
            <v>Combinación de asiento con escritorio</v>
          </cell>
        </row>
        <row r="14584">
          <cell r="A14584">
            <v>56112109</v>
          </cell>
          <cell r="B14584" t="str">
            <v>Bancos</v>
          </cell>
        </row>
        <row r="14585">
          <cell r="A14585">
            <v>56112110</v>
          </cell>
          <cell r="B14585" t="str">
            <v>Sillas para músicos</v>
          </cell>
        </row>
        <row r="14586">
          <cell r="A14586">
            <v>56121001</v>
          </cell>
          <cell r="B14586" t="str">
            <v>Carritos para libros</v>
          </cell>
        </row>
        <row r="14587">
          <cell r="A14587">
            <v>56121002</v>
          </cell>
          <cell r="B14587" t="str">
            <v>Escritorios o componentes de circulación para bibliotecarios</v>
          </cell>
        </row>
        <row r="14588">
          <cell r="A14588">
            <v>56121003</v>
          </cell>
          <cell r="B14588" t="str">
            <v>Muebles para devolver libros</v>
          </cell>
        </row>
        <row r="14589">
          <cell r="A14589">
            <v>56121004</v>
          </cell>
          <cell r="B14589" t="str">
            <v>Unidades de catálogo de tarjetas</v>
          </cell>
        </row>
        <row r="14590">
          <cell r="A14590">
            <v>56121005</v>
          </cell>
          <cell r="B14590" t="str">
            <v>Estanterías para diccionarios</v>
          </cell>
        </row>
        <row r="14591">
          <cell r="A14591">
            <v>56121006</v>
          </cell>
          <cell r="B14591" t="str">
            <v>Bancas tapizadas</v>
          </cell>
        </row>
        <row r="14592">
          <cell r="A14592">
            <v>56121007</v>
          </cell>
          <cell r="B14592" t="str">
            <v>Tablas de acceso público</v>
          </cell>
        </row>
        <row r="14593">
          <cell r="A14593">
            <v>56121008</v>
          </cell>
          <cell r="B14593" t="str">
            <v>Unidades para ojear libros</v>
          </cell>
        </row>
        <row r="14594">
          <cell r="A14594">
            <v>56121009</v>
          </cell>
          <cell r="B14594" t="str">
            <v>Mesas de lectura inclinadas</v>
          </cell>
        </row>
        <row r="14595">
          <cell r="A14595">
            <v>56121010</v>
          </cell>
          <cell r="B14595" t="str">
            <v>Kioscos de libros</v>
          </cell>
        </row>
        <row r="14596">
          <cell r="A14596">
            <v>56121011</v>
          </cell>
          <cell r="B14596" t="str">
            <v>Exhibidores de discos compactos o de audio casetes para bibliotecas</v>
          </cell>
        </row>
        <row r="14597">
          <cell r="A14597">
            <v>56121012</v>
          </cell>
          <cell r="B14597" t="str">
            <v>Stands de islas giratorias</v>
          </cell>
        </row>
        <row r="14598">
          <cell r="A14598">
            <v>56121014</v>
          </cell>
          <cell r="B14598" t="str">
            <v>Bolsas o estantes para bolsas</v>
          </cell>
        </row>
        <row r="14599">
          <cell r="A14599">
            <v>56121101</v>
          </cell>
          <cell r="B14599" t="str">
            <v>Caballetes</v>
          </cell>
        </row>
        <row r="14600">
          <cell r="A14600">
            <v>56121102</v>
          </cell>
          <cell r="B14600" t="str">
            <v>Mesas de dibujo para estudiantes</v>
          </cell>
        </row>
        <row r="14601">
          <cell r="A14601">
            <v>56121201</v>
          </cell>
          <cell r="B14601" t="str">
            <v>Camilla de primeros auxilios</v>
          </cell>
        </row>
        <row r="14602">
          <cell r="A14602">
            <v>56121301</v>
          </cell>
          <cell r="B14602" t="str">
            <v>Escenarios pequeños (por ejemplo para un coro)</v>
          </cell>
        </row>
        <row r="14603">
          <cell r="A14603">
            <v>56121302</v>
          </cell>
          <cell r="B14603" t="str">
            <v>Carritos para mover mesas o asientos</v>
          </cell>
        </row>
        <row r="14604">
          <cell r="A14604">
            <v>56121303</v>
          </cell>
          <cell r="B14604" t="str">
            <v>Esteras de caucho para pisos</v>
          </cell>
        </row>
        <row r="14605">
          <cell r="A14605">
            <v>56121304</v>
          </cell>
          <cell r="B14605" t="str">
            <v>Mesas para planos</v>
          </cell>
        </row>
        <row r="14606">
          <cell r="A14606">
            <v>56121401</v>
          </cell>
          <cell r="B14606" t="str">
            <v>Mesas móviles para bancos</v>
          </cell>
        </row>
        <row r="14607">
          <cell r="A14607">
            <v>56121402</v>
          </cell>
          <cell r="B14607" t="str">
            <v>Mesas móviles para taburetes</v>
          </cell>
        </row>
        <row r="14608">
          <cell r="A14608">
            <v>56121403</v>
          </cell>
          <cell r="B14608" t="str">
            <v>Mesas móviles</v>
          </cell>
        </row>
        <row r="14609">
          <cell r="A14609">
            <v>56121501</v>
          </cell>
          <cell r="B14609" t="str">
            <v>Mesas para actividades</v>
          </cell>
        </row>
        <row r="14610">
          <cell r="A14610">
            <v>56121502</v>
          </cell>
          <cell r="B14610" t="str">
            <v>Asientos para aulas de clase</v>
          </cell>
        </row>
        <row r="14611">
          <cell r="A14611">
            <v>56121503</v>
          </cell>
          <cell r="B14611" t="str">
            <v>Bancos para aulas de clase</v>
          </cell>
        </row>
        <row r="14612">
          <cell r="A14612">
            <v>56121504</v>
          </cell>
          <cell r="B14612" t="str">
            <v>Taburetes para aulas de clase</v>
          </cell>
        </row>
        <row r="14613">
          <cell r="A14613">
            <v>56121505</v>
          </cell>
          <cell r="B14613" t="str">
            <v>Mesas para aulas de clase</v>
          </cell>
        </row>
        <row r="14614">
          <cell r="A14614">
            <v>56121506</v>
          </cell>
          <cell r="B14614" t="str">
            <v>Pupitres</v>
          </cell>
        </row>
        <row r="14615">
          <cell r="A14615">
            <v>56121507</v>
          </cell>
          <cell r="B14615" t="str">
            <v>Bancas cubículo (pupitres con bloqueo visual para evitar distracciones)</v>
          </cell>
        </row>
        <row r="14616">
          <cell r="A14616">
            <v>56121508</v>
          </cell>
          <cell r="B14616" t="str">
            <v>Pupitres de computador para estudiantes</v>
          </cell>
        </row>
        <row r="14617">
          <cell r="A14617">
            <v>56121509</v>
          </cell>
          <cell r="B14617" t="str">
            <v>Mesas de computador para estudiantes</v>
          </cell>
        </row>
        <row r="14618">
          <cell r="A14618">
            <v>56121601</v>
          </cell>
          <cell r="B14618" t="str">
            <v>Sets de sala de tamaño de niños</v>
          </cell>
        </row>
        <row r="14619">
          <cell r="A14619">
            <v>56121602</v>
          </cell>
          <cell r="B14619" t="str">
            <v>Sofás de tamaño de niños</v>
          </cell>
        </row>
        <row r="14620">
          <cell r="A14620">
            <v>56121603</v>
          </cell>
          <cell r="B14620" t="str">
            <v>Sillones de tamaño de niños</v>
          </cell>
        </row>
        <row r="14621">
          <cell r="A14621">
            <v>56121604</v>
          </cell>
          <cell r="B14621" t="str">
            <v>Pufs de tamaño de niños</v>
          </cell>
        </row>
        <row r="14622">
          <cell r="A14622">
            <v>56121605</v>
          </cell>
          <cell r="B14622" t="str">
            <v>Biombos de poca altura o paneles para jugar</v>
          </cell>
        </row>
        <row r="14623">
          <cell r="A14623">
            <v>56121606</v>
          </cell>
          <cell r="B14623" t="str">
            <v>Esterillas de descanso para niños</v>
          </cell>
        </row>
        <row r="14624">
          <cell r="A14624">
            <v>56121607</v>
          </cell>
          <cell r="B14624" t="str">
            <v>Estantes o percheros para esterillas de descanso para niños</v>
          </cell>
        </row>
        <row r="14625">
          <cell r="A14625">
            <v>56121608</v>
          </cell>
          <cell r="B14625" t="str">
            <v>Catres para niños</v>
          </cell>
        </row>
        <row r="14626">
          <cell r="A14626">
            <v>56121609</v>
          </cell>
          <cell r="B14626" t="str">
            <v>Cargadores de catres para niños</v>
          </cell>
        </row>
        <row r="14627">
          <cell r="A14627">
            <v>56121610</v>
          </cell>
          <cell r="B14627" t="str">
            <v>Centros de actividades para catres para niños</v>
          </cell>
        </row>
        <row r="14628">
          <cell r="A14628">
            <v>56121701</v>
          </cell>
          <cell r="B14628" t="str">
            <v>Unidades de almacenamiento general</v>
          </cell>
        </row>
        <row r="14629">
          <cell r="A14629">
            <v>56121702</v>
          </cell>
          <cell r="B14629" t="str">
            <v>Unidades de almacenamiento de libros</v>
          </cell>
        </row>
        <row r="14630">
          <cell r="A14630">
            <v>56121703</v>
          </cell>
          <cell r="B14630" t="str">
            <v>Cubos (modulares) para guardar juguetes</v>
          </cell>
        </row>
        <row r="14631">
          <cell r="A14631">
            <v>56121704</v>
          </cell>
          <cell r="B14631" t="str">
            <v>Gabinetes institucionales de almacenamiento</v>
          </cell>
        </row>
        <row r="14632">
          <cell r="A14632">
            <v>56121801</v>
          </cell>
          <cell r="B14632" t="str">
            <v>Gabinetes para almacenamiento de herramientas de educación técnico o gabinetes con herramientas</v>
          </cell>
        </row>
        <row r="14633">
          <cell r="A14633">
            <v>56121802</v>
          </cell>
          <cell r="B14633" t="str">
            <v>Gabinetes para almacenamiento de herramientas de taller general o gabinetes con herramientas</v>
          </cell>
        </row>
        <row r="14634">
          <cell r="A14634">
            <v>56121803</v>
          </cell>
          <cell r="B14634" t="str">
            <v>Gabinetes para almacenamiento de herramientas para trabajar en madera o gabinetes con herramientas</v>
          </cell>
        </row>
        <row r="14635">
          <cell r="A14635">
            <v>56121804</v>
          </cell>
          <cell r="B14635" t="str">
            <v>Escritorio técnico para instructores</v>
          </cell>
        </row>
        <row r="14636">
          <cell r="A14636">
            <v>56121805</v>
          </cell>
          <cell r="B14636" t="str">
            <v>Archivos planos</v>
          </cell>
        </row>
        <row r="14637">
          <cell r="A14637">
            <v>56121901</v>
          </cell>
          <cell r="B14637" t="str">
            <v>Mesas de demostración de máquinas de coser</v>
          </cell>
        </row>
        <row r="14638">
          <cell r="A14638">
            <v>56122001</v>
          </cell>
          <cell r="B14638" t="str">
            <v>Bancas de laboratorio</v>
          </cell>
        </row>
        <row r="14639">
          <cell r="A14639">
            <v>56122002</v>
          </cell>
          <cell r="B14639" t="str">
            <v>Unidades o accesorios de almacenamiento para laboratorios</v>
          </cell>
        </row>
        <row r="14640">
          <cell r="A14640">
            <v>56122003</v>
          </cell>
          <cell r="B14640" t="str">
            <v>Puestos de trabajo para laboratorios</v>
          </cell>
        </row>
        <row r="14641">
          <cell r="A14641">
            <v>56122004</v>
          </cell>
          <cell r="B14641" t="str">
            <v>Unidades de bases para lavamanos</v>
          </cell>
        </row>
        <row r="14642">
          <cell r="A14642">
            <v>60101001</v>
          </cell>
          <cell r="B14642" t="str">
            <v>Kits de matemáticas para sumar</v>
          </cell>
        </row>
        <row r="14643">
          <cell r="A14643">
            <v>60101002</v>
          </cell>
          <cell r="B14643" t="str">
            <v>Kits de matemáticas para dividir</v>
          </cell>
        </row>
        <row r="14644">
          <cell r="A14644">
            <v>60101003</v>
          </cell>
          <cell r="B14644" t="str">
            <v>Kits de matemáticas de fracciones</v>
          </cell>
        </row>
        <row r="14645">
          <cell r="A14645">
            <v>60101004</v>
          </cell>
          <cell r="B14645" t="str">
            <v>Kits de matemáticas para bachillerato básico</v>
          </cell>
        </row>
        <row r="14646">
          <cell r="A14646">
            <v>60101005</v>
          </cell>
          <cell r="B14646" t="str">
            <v>Kits de matemáticas para la primera infancia</v>
          </cell>
        </row>
        <row r="14647">
          <cell r="A14647">
            <v>60101006</v>
          </cell>
          <cell r="B14647" t="str">
            <v>Kits de matemáticas para mediciones</v>
          </cell>
        </row>
        <row r="14648">
          <cell r="A14648">
            <v>60101007</v>
          </cell>
          <cell r="B14648" t="str">
            <v>Kits de matemáticas para multiplicar</v>
          </cell>
        </row>
        <row r="14649">
          <cell r="A14649">
            <v>60101008</v>
          </cell>
          <cell r="B14649" t="str">
            <v>Kits de matemáticas para primaria</v>
          </cell>
        </row>
        <row r="14650">
          <cell r="A14650">
            <v>60101009</v>
          </cell>
          <cell r="B14650" t="str">
            <v>Kits de matemáticas para restar</v>
          </cell>
        </row>
        <row r="14651">
          <cell r="A14651">
            <v>60101010</v>
          </cell>
          <cell r="B14651" t="str">
            <v>Kits de matemáticas para bachillerato</v>
          </cell>
        </row>
        <row r="14652">
          <cell r="A14652">
            <v>60101101</v>
          </cell>
          <cell r="B14652" t="str">
            <v>Lectores electrónicos de tarjetas</v>
          </cell>
        </row>
        <row r="14653">
          <cell r="A14653">
            <v>60101102</v>
          </cell>
          <cell r="B14653" t="str">
            <v>Materiales de aprendizaje electrónico basados en el plan de estudios</v>
          </cell>
        </row>
        <row r="14654">
          <cell r="A14654">
            <v>60101103</v>
          </cell>
          <cell r="B14654" t="str">
            <v>Globos terráqueos electrónicos</v>
          </cell>
        </row>
        <row r="14655">
          <cell r="A14655">
            <v>60101104</v>
          </cell>
          <cell r="B14655" t="str">
            <v>Máquinas electrónicas de pruebas</v>
          </cell>
        </row>
        <row r="14656">
          <cell r="A14656">
            <v>60101201</v>
          </cell>
          <cell r="B14656" t="str">
            <v>Adhesivos de seguimiento basados en la biblia</v>
          </cell>
        </row>
        <row r="14657">
          <cell r="A14657">
            <v>60101202</v>
          </cell>
          <cell r="B14657" t="str">
            <v>Tablas de incentivo basados en la biblia</v>
          </cell>
        </row>
        <row r="14658">
          <cell r="A14658">
            <v>60101203</v>
          </cell>
          <cell r="B14658" t="str">
            <v>Adhesivos para pegar en las tablas de incentivo</v>
          </cell>
        </row>
        <row r="14659">
          <cell r="A14659">
            <v>60101204</v>
          </cell>
          <cell r="B14659" t="str">
            <v>Tablas de incentivo</v>
          </cell>
        </row>
        <row r="14660">
          <cell r="A14660">
            <v>60101205</v>
          </cell>
          <cell r="B14660" t="str">
            <v>Tarjetas perforadas de incentivo</v>
          </cell>
        </row>
        <row r="14661">
          <cell r="A14661">
            <v>60101301</v>
          </cell>
          <cell r="B14661" t="str">
            <v>Adhesivos basados en la biblia</v>
          </cell>
        </row>
        <row r="14662">
          <cell r="A14662">
            <v>60101302</v>
          </cell>
          <cell r="B14662" t="str">
            <v>Adhesivos gigantes</v>
          </cell>
        </row>
        <row r="14663">
          <cell r="A14663">
            <v>60101304</v>
          </cell>
          <cell r="B14663" t="str">
            <v>Adhesivos de fotos</v>
          </cell>
        </row>
        <row r="14664">
          <cell r="A14664">
            <v>60101305</v>
          </cell>
          <cell r="B14664" t="str">
            <v>Adhesivos de recompensa</v>
          </cell>
        </row>
        <row r="14665">
          <cell r="A14665">
            <v>60101306</v>
          </cell>
          <cell r="B14665" t="str">
            <v>Adhesivos perfumados</v>
          </cell>
        </row>
        <row r="14666">
          <cell r="A14666">
            <v>60101307</v>
          </cell>
          <cell r="B14666" t="str">
            <v>Adhesivos de formas</v>
          </cell>
        </row>
        <row r="14667">
          <cell r="A14667">
            <v>60101308</v>
          </cell>
          <cell r="B14667" t="str">
            <v>Adhesivos brillantes</v>
          </cell>
        </row>
        <row r="14668">
          <cell r="A14668">
            <v>60101309</v>
          </cell>
          <cell r="B14668" t="str">
            <v>Adhesivos de recompensa con forma de estrella</v>
          </cell>
        </row>
        <row r="14669">
          <cell r="A14669">
            <v>60101310</v>
          </cell>
          <cell r="B14669" t="str">
            <v>Surtidos de adhesivos</v>
          </cell>
        </row>
        <row r="14670">
          <cell r="A14670">
            <v>60101311</v>
          </cell>
          <cell r="B14670" t="str">
            <v>Libros de adhesivos</v>
          </cell>
        </row>
        <row r="14671">
          <cell r="A14671">
            <v>60101312</v>
          </cell>
          <cell r="B14671" t="str">
            <v>Cajas de adhesivos</v>
          </cell>
        </row>
        <row r="14672">
          <cell r="A14672">
            <v>60101313</v>
          </cell>
          <cell r="B14672" t="str">
            <v>Calcomanías para tatuaje</v>
          </cell>
        </row>
        <row r="14673">
          <cell r="A14673">
            <v>60101314</v>
          </cell>
          <cell r="B14673" t="str">
            <v>Tarjetas didácticas de sumas</v>
          </cell>
        </row>
        <row r="14674">
          <cell r="A14674">
            <v>60101315</v>
          </cell>
          <cell r="B14674" t="str">
            <v>Tarjetas didácticas de cultura general</v>
          </cell>
        </row>
        <row r="14675">
          <cell r="A14675">
            <v>60101316</v>
          </cell>
          <cell r="B14675" t="str">
            <v>Tarjetas didácticas en blanco</v>
          </cell>
        </row>
        <row r="14676">
          <cell r="A14676">
            <v>60101317</v>
          </cell>
          <cell r="B14676" t="str">
            <v>Tarjetas didácticas de divisiones</v>
          </cell>
        </row>
        <row r="14677">
          <cell r="A14677">
            <v>60101318</v>
          </cell>
          <cell r="B14677" t="str">
            <v>Tarjetas didácticas electrónicas</v>
          </cell>
        </row>
        <row r="14678">
          <cell r="A14678">
            <v>60101319</v>
          </cell>
          <cell r="B14678" t="str">
            <v>Tarjetas didácticas de equivalencias</v>
          </cell>
        </row>
        <row r="14679">
          <cell r="A14679">
            <v>60101320</v>
          </cell>
          <cell r="B14679" t="str">
            <v>Tarjetas didácticas de fracciones</v>
          </cell>
        </row>
        <row r="14680">
          <cell r="A14680">
            <v>60101321</v>
          </cell>
          <cell r="B14680" t="str">
            <v>Tarjetas didácticas de mayor que o menor que</v>
          </cell>
        </row>
        <row r="14681">
          <cell r="A14681">
            <v>60101322</v>
          </cell>
          <cell r="B14681" t="str">
            <v>Tarjetas didácticas de multiplicaciones</v>
          </cell>
        </row>
        <row r="14682">
          <cell r="A14682">
            <v>60101323</v>
          </cell>
          <cell r="B14682" t="str">
            <v>Tarjetas didácticas de restas</v>
          </cell>
        </row>
        <row r="14683">
          <cell r="A14683">
            <v>60101324</v>
          </cell>
          <cell r="B14683" t="str">
            <v>Tarjetas didácticas del alfabeto</v>
          </cell>
        </row>
        <row r="14684">
          <cell r="A14684">
            <v>60101325</v>
          </cell>
          <cell r="B14684" t="str">
            <v>Tarjetas didácticas de construcción de palabras</v>
          </cell>
        </row>
        <row r="14685">
          <cell r="A14685">
            <v>60101326</v>
          </cell>
          <cell r="B14685" t="str">
            <v>Tarjetas didácticas de fonética</v>
          </cell>
        </row>
        <row r="14686">
          <cell r="A14686">
            <v>60101327</v>
          </cell>
          <cell r="B14686" t="str">
            <v>Tarjetas didácticas de escritura o escritura a mano</v>
          </cell>
        </row>
        <row r="14687">
          <cell r="A14687">
            <v>60101328</v>
          </cell>
          <cell r="B14687" t="str">
            <v>Tarjetas didácticas de los números</v>
          </cell>
        </row>
        <row r="14688">
          <cell r="A14688">
            <v>60101329</v>
          </cell>
          <cell r="B14688" t="str">
            <v>Tarjetas didácticas del dinero</v>
          </cell>
        </row>
        <row r="14689">
          <cell r="A14689">
            <v>60101330</v>
          </cell>
          <cell r="B14689" t="str">
            <v>Tarjetas didácticas de la hora</v>
          </cell>
        </row>
        <row r="14690">
          <cell r="A14690">
            <v>60101331</v>
          </cell>
          <cell r="B14690" t="str">
            <v>Tarjetas de los estados (departamentos)</v>
          </cell>
        </row>
        <row r="14691">
          <cell r="A14691">
            <v>60101401</v>
          </cell>
          <cell r="B14691" t="str">
            <v>Insignias</v>
          </cell>
        </row>
        <row r="14692">
          <cell r="A14692">
            <v>60101402</v>
          </cell>
          <cell r="B14692" t="str">
            <v>Botones de premio</v>
          </cell>
        </row>
        <row r="14693">
          <cell r="A14693">
            <v>60101403</v>
          </cell>
          <cell r="B14693" t="str">
            <v>Coronas de celebración</v>
          </cell>
        </row>
        <row r="14694">
          <cell r="A14694">
            <v>60101404</v>
          </cell>
          <cell r="B14694" t="str">
            <v>Joyas de recompense</v>
          </cell>
        </row>
        <row r="14695">
          <cell r="A14695">
            <v>60101405</v>
          </cell>
          <cell r="B14695" t="str">
            <v>Cintas o escarapelas para el salón de clases</v>
          </cell>
        </row>
        <row r="14696">
          <cell r="A14696">
            <v>60101601</v>
          </cell>
          <cell r="B14696" t="str">
            <v>Certificados basados en la biblia</v>
          </cell>
        </row>
        <row r="14697">
          <cell r="A14697">
            <v>60101602</v>
          </cell>
          <cell r="B14697" t="str">
            <v>Certificados en blanco</v>
          </cell>
        </row>
        <row r="14698">
          <cell r="A14698">
            <v>60101603</v>
          </cell>
          <cell r="B14698" t="str">
            <v>Marcos para certificados</v>
          </cell>
        </row>
        <row r="14699">
          <cell r="A14699">
            <v>60101604</v>
          </cell>
          <cell r="B14699" t="str">
            <v>Soportes para certificados</v>
          </cell>
        </row>
        <row r="14700">
          <cell r="A14700">
            <v>60101605</v>
          </cell>
          <cell r="B14700" t="str">
            <v>Cintas para certificados</v>
          </cell>
        </row>
        <row r="14701">
          <cell r="A14701">
            <v>60101606</v>
          </cell>
          <cell r="B14701" t="str">
            <v>Diplomas</v>
          </cell>
        </row>
        <row r="14702">
          <cell r="A14702">
            <v>60101607</v>
          </cell>
          <cell r="B14702" t="str">
            <v>Certificados de idioma extranjero</v>
          </cell>
        </row>
        <row r="14703">
          <cell r="A14703">
            <v>60101608</v>
          </cell>
          <cell r="B14703" t="str">
            <v>Certificados de buena actitud</v>
          </cell>
        </row>
        <row r="14704">
          <cell r="A14704">
            <v>60101609</v>
          </cell>
          <cell r="B14704" t="str">
            <v>Certificados específicos de grado</v>
          </cell>
        </row>
        <row r="14705">
          <cell r="A14705">
            <v>60101610</v>
          </cell>
          <cell r="B14705" t="str">
            <v>Certificados específicos de asignatura</v>
          </cell>
        </row>
        <row r="14706">
          <cell r="A14706">
            <v>60101701</v>
          </cell>
          <cell r="B14706" t="str">
            <v>Libros de recursos para la evaluación</v>
          </cell>
        </row>
        <row r="14707">
          <cell r="A14707">
            <v>60101702</v>
          </cell>
          <cell r="B14707" t="str">
            <v>Calendarios o recortables</v>
          </cell>
        </row>
        <row r="14708">
          <cell r="A14708">
            <v>60101703</v>
          </cell>
          <cell r="B14708" t="str">
            <v>Materiales pedagógicos para la formación del carácter</v>
          </cell>
        </row>
        <row r="14709">
          <cell r="A14709">
            <v>60101704</v>
          </cell>
          <cell r="B14709" t="str">
            <v>Libros de actividades en clase</v>
          </cell>
        </row>
        <row r="14710">
          <cell r="A14710">
            <v>60101705</v>
          </cell>
          <cell r="B14710" t="str">
            <v>Materiales pedagógicos para el pensamiento crítico</v>
          </cell>
        </row>
        <row r="14711">
          <cell r="A14711">
            <v>60101706</v>
          </cell>
          <cell r="B14711" t="str">
            <v>Guías para planes de estudios integrados</v>
          </cell>
        </row>
        <row r="14712">
          <cell r="A14712">
            <v>60101707</v>
          </cell>
          <cell r="B14712" t="str">
            <v>Guías para el plan de estudios</v>
          </cell>
        </row>
        <row r="14713">
          <cell r="A14713">
            <v>60101708</v>
          </cell>
          <cell r="B14713" t="str">
            <v>Gráficos de tela</v>
          </cell>
        </row>
        <row r="14714">
          <cell r="A14714">
            <v>60101709</v>
          </cell>
          <cell r="B14714" t="str">
            <v>Materiales para flanelógrafos</v>
          </cell>
        </row>
        <row r="14715">
          <cell r="A14715">
            <v>60101710</v>
          </cell>
          <cell r="B14715" t="str">
            <v>Regalos del educador</v>
          </cell>
        </row>
        <row r="14716">
          <cell r="A14716">
            <v>60101711</v>
          </cell>
          <cell r="B14716" t="str">
            <v>Sellos para calificar</v>
          </cell>
        </row>
        <row r="14717">
          <cell r="A14717">
            <v>60101712</v>
          </cell>
          <cell r="B14717" t="str">
            <v>Pases (permisos) para salir al pasillo</v>
          </cell>
        </row>
        <row r="14718">
          <cell r="A14718">
            <v>60101713</v>
          </cell>
          <cell r="B14718" t="str">
            <v>Materiales pedagógicos para la educación en el hogar</v>
          </cell>
        </row>
        <row r="14719">
          <cell r="A14719">
            <v>60101714</v>
          </cell>
          <cell r="B14719" t="str">
            <v>Recursos para tareas en casa</v>
          </cell>
        </row>
        <row r="14720">
          <cell r="A14720">
            <v>60101715</v>
          </cell>
          <cell r="B14720" t="str">
            <v>Libros de ideas</v>
          </cell>
        </row>
        <row r="14721">
          <cell r="A14721">
            <v>60101716</v>
          </cell>
          <cell r="B14721" t="str">
            <v>Materiales para tableros magnéticos</v>
          </cell>
        </row>
        <row r="14722">
          <cell r="A14722">
            <v>60101717</v>
          </cell>
          <cell r="B14722" t="str">
            <v>Placas o etiquetas de identificación</v>
          </cell>
        </row>
        <row r="14723">
          <cell r="A14723">
            <v>60101718</v>
          </cell>
          <cell r="B14723" t="str">
            <v>Libros de planificación del profesor</v>
          </cell>
        </row>
        <row r="14724">
          <cell r="A14724">
            <v>60101719</v>
          </cell>
          <cell r="B14724" t="str">
            <v>Cartelera con bolsillos</v>
          </cell>
        </row>
        <row r="14725">
          <cell r="A14725">
            <v>60101720</v>
          </cell>
          <cell r="B14725" t="str">
            <v>Postales de comunicación del profesor</v>
          </cell>
        </row>
        <row r="14726">
          <cell r="A14726">
            <v>60101721</v>
          </cell>
          <cell r="B14726" t="str">
            <v>Libros de recursos profesionales para el profesor</v>
          </cell>
        </row>
        <row r="14727">
          <cell r="A14727">
            <v>60101722</v>
          </cell>
          <cell r="B14727" t="str">
            <v>Libros de calificaciones de la clase del profesor</v>
          </cell>
        </row>
        <row r="14728">
          <cell r="A14728">
            <v>60101723</v>
          </cell>
          <cell r="B14728" t="str">
            <v>Diagramas de asientos de los estudiantes en el salón de clases</v>
          </cell>
        </row>
        <row r="14729">
          <cell r="A14729">
            <v>60101724</v>
          </cell>
          <cell r="B14729" t="str">
            <v>Carpetas o formularios del profesor suplente</v>
          </cell>
        </row>
        <row r="14730">
          <cell r="A14730">
            <v>60101725</v>
          </cell>
          <cell r="B14730" t="str">
            <v>Libros de actividades o recursos tecnológicos</v>
          </cell>
        </row>
        <row r="14731">
          <cell r="A14731">
            <v>60101726</v>
          </cell>
          <cell r="B14731" t="str">
            <v>Guías de referencia sobre tecnología</v>
          </cell>
        </row>
        <row r="14732">
          <cell r="A14732">
            <v>60101727</v>
          </cell>
          <cell r="B14732" t="str">
            <v>Materiales pedagógicos  para hacer exámenes</v>
          </cell>
        </row>
        <row r="14733">
          <cell r="A14733">
            <v>60101728</v>
          </cell>
          <cell r="B14733" t="str">
            <v>Materiales de pedagógicos para unidades temáticas</v>
          </cell>
        </row>
        <row r="14734">
          <cell r="A14734">
            <v>60101729</v>
          </cell>
          <cell r="B14734" t="str">
            <v>Kits de enseñanza para bachillerato básico</v>
          </cell>
        </row>
        <row r="14735">
          <cell r="A14735">
            <v>60101730</v>
          </cell>
          <cell r="B14735" t="str">
            <v>Manuales de laboratorio</v>
          </cell>
        </row>
        <row r="14736">
          <cell r="A14736">
            <v>60101731</v>
          </cell>
          <cell r="B14736" t="str">
            <v>Rollos o tiras de frases</v>
          </cell>
        </row>
        <row r="14737">
          <cell r="A14737">
            <v>60101732</v>
          </cell>
          <cell r="B14737" t="str">
            <v>Punteros</v>
          </cell>
        </row>
        <row r="14738">
          <cell r="A14738">
            <v>60101801</v>
          </cell>
          <cell r="B14738" t="str">
            <v>Guías de referencia bíblica</v>
          </cell>
        </row>
        <row r="14739">
          <cell r="A14739">
            <v>60101802</v>
          </cell>
          <cell r="B14739" t="str">
            <v>Obras de teatro basadas en la biblia</v>
          </cell>
        </row>
        <row r="14740">
          <cell r="A14740">
            <v>60101803</v>
          </cell>
          <cell r="B14740" t="str">
            <v>Libros de actividades o recursos basados en la biblia</v>
          </cell>
        </row>
        <row r="14741">
          <cell r="A14741">
            <v>60101804</v>
          </cell>
          <cell r="B14741" t="str">
            <v>Libros de recursos para actividades en la escuela dominical</v>
          </cell>
        </row>
        <row r="14742">
          <cell r="A14742">
            <v>60101805</v>
          </cell>
          <cell r="B14742" t="str">
            <v>Recursos para escuelas bíblicas de vacaciones</v>
          </cell>
        </row>
        <row r="14743">
          <cell r="A14743">
            <v>60101806</v>
          </cell>
          <cell r="B14743" t="str">
            <v>Emblemas o símbolos sagrados</v>
          </cell>
        </row>
        <row r="14744">
          <cell r="A14744">
            <v>60101807</v>
          </cell>
          <cell r="B14744" t="str">
            <v>Rosarios</v>
          </cell>
        </row>
        <row r="14745">
          <cell r="A14745">
            <v>60101808</v>
          </cell>
          <cell r="B14745" t="str">
            <v>Ruedas de oración</v>
          </cell>
        </row>
        <row r="14746">
          <cell r="A14746">
            <v>60101809</v>
          </cell>
          <cell r="B14746" t="str">
            <v>Suministros o kits de productos religiosos</v>
          </cell>
        </row>
        <row r="14747">
          <cell r="A14747">
            <v>60101810</v>
          </cell>
          <cell r="B14747" t="str">
            <v>Patenas</v>
          </cell>
        </row>
        <row r="14748">
          <cell r="A14748">
            <v>60101811</v>
          </cell>
          <cell r="B14748" t="str">
            <v>Vestimentas</v>
          </cell>
        </row>
        <row r="14749">
          <cell r="A14749">
            <v>60101901</v>
          </cell>
          <cell r="B14749" t="str">
            <v>Libros de actividades del alfabeto</v>
          </cell>
        </row>
        <row r="14750">
          <cell r="A14750">
            <v>60101902</v>
          </cell>
          <cell r="B14750" t="str">
            <v>Cubos con el alfabeto</v>
          </cell>
        </row>
        <row r="14751">
          <cell r="A14751">
            <v>60101903</v>
          </cell>
          <cell r="B14751" t="str">
            <v>Cintas adhesivas de escritorio con el alfabeto</v>
          </cell>
        </row>
        <row r="14752">
          <cell r="A14752">
            <v>60101904</v>
          </cell>
          <cell r="B14752" t="str">
            <v>Kits del alfabeto</v>
          </cell>
        </row>
        <row r="14753">
          <cell r="A14753">
            <v>60101905</v>
          </cell>
          <cell r="B14753" t="str">
            <v>Fichas con letras del alfabeto</v>
          </cell>
        </row>
        <row r="14754">
          <cell r="A14754">
            <v>60101906</v>
          </cell>
          <cell r="B14754" t="str">
            <v>Postales con el alfabeto</v>
          </cell>
        </row>
        <row r="14755">
          <cell r="A14755">
            <v>60101907</v>
          </cell>
          <cell r="B14755" t="str">
            <v>Guías de referencia del alfabeto</v>
          </cell>
        </row>
        <row r="14756">
          <cell r="A14756">
            <v>60101908</v>
          </cell>
          <cell r="B14756" t="str">
            <v>Libros de recursos del alfabeto</v>
          </cell>
        </row>
        <row r="14757">
          <cell r="A14757">
            <v>60101909</v>
          </cell>
          <cell r="B14757" t="str">
            <v>Sellos del alfabeto</v>
          </cell>
        </row>
        <row r="14758">
          <cell r="A14758">
            <v>60101910</v>
          </cell>
          <cell r="B14758" t="str">
            <v>Tarjetas del alfabeto para murales</v>
          </cell>
        </row>
        <row r="14759">
          <cell r="A14759">
            <v>60101911</v>
          </cell>
          <cell r="B14759" t="str">
            <v>Alfabetos táctiles</v>
          </cell>
        </row>
        <row r="14760">
          <cell r="A14760">
            <v>60102001</v>
          </cell>
          <cell r="B14760" t="str">
            <v>Espejos para uso logopédico</v>
          </cell>
        </row>
        <row r="14761">
          <cell r="A14761">
            <v>60102002</v>
          </cell>
          <cell r="B14761" t="str">
            <v>Materiales pedagógicos para ortografía</v>
          </cell>
        </row>
        <row r="14762">
          <cell r="A14762">
            <v>60102003</v>
          </cell>
          <cell r="B14762" t="str">
            <v>Libros de actividades para construcción de palabras</v>
          </cell>
        </row>
        <row r="14763">
          <cell r="A14763">
            <v>60102004</v>
          </cell>
          <cell r="B14763" t="str">
            <v>Kits para construcción de palabras</v>
          </cell>
        </row>
        <row r="14764">
          <cell r="A14764">
            <v>60102005</v>
          </cell>
          <cell r="B14764" t="str">
            <v>Libros de recursos para construcción de palabras</v>
          </cell>
        </row>
        <row r="14765">
          <cell r="A14765">
            <v>60102006</v>
          </cell>
          <cell r="B14765" t="str">
            <v>Fichas para construcción de palabras</v>
          </cell>
        </row>
        <row r="14766">
          <cell r="A14766">
            <v>60102007</v>
          </cell>
          <cell r="B14766" t="str">
            <v>Murales de palabras</v>
          </cell>
        </row>
        <row r="14767">
          <cell r="A14767">
            <v>60102101</v>
          </cell>
          <cell r="B14767" t="str">
            <v>Libros de recursos de adjetivos</v>
          </cell>
        </row>
        <row r="14768">
          <cell r="A14768">
            <v>60102102</v>
          </cell>
          <cell r="B14768" t="str">
            <v>Libros de recursos de adverbios</v>
          </cell>
        </row>
        <row r="14769">
          <cell r="A14769">
            <v>60102103</v>
          </cell>
          <cell r="B14769" t="str">
            <v>Libros de recursos de gramática</v>
          </cell>
        </row>
        <row r="14770">
          <cell r="A14770">
            <v>60102104</v>
          </cell>
          <cell r="B14770" t="str">
            <v>Libros de recursos de sustantivos</v>
          </cell>
        </row>
        <row r="14771">
          <cell r="A14771">
            <v>60102105</v>
          </cell>
          <cell r="B14771" t="str">
            <v>Libros de recursos de puntuación</v>
          </cell>
        </row>
        <row r="14772">
          <cell r="A14772">
            <v>60102106</v>
          </cell>
          <cell r="B14772" t="str">
            <v>Libros de recursos de verbos</v>
          </cell>
        </row>
        <row r="14773">
          <cell r="A14773">
            <v>60102201</v>
          </cell>
          <cell r="B14773" t="str">
            <v>Libros de actividades de fonética</v>
          </cell>
        </row>
        <row r="14774">
          <cell r="A14774">
            <v>60102202</v>
          </cell>
          <cell r="B14774" t="str">
            <v>Tarjetas de ejercicios fonéticos de repetición</v>
          </cell>
        </row>
        <row r="14775">
          <cell r="A14775">
            <v>60102203</v>
          </cell>
          <cell r="B14775" t="str">
            <v>Kit de fonética</v>
          </cell>
        </row>
        <row r="14776">
          <cell r="A14776">
            <v>60102204</v>
          </cell>
          <cell r="B14776" t="str">
            <v>Tarjetas de imágenes de fonética</v>
          </cell>
        </row>
        <row r="14777">
          <cell r="A14777">
            <v>60102205</v>
          </cell>
          <cell r="B14777" t="str">
            <v>Libros de recursos de fonética</v>
          </cell>
        </row>
        <row r="14778">
          <cell r="A14778">
            <v>60102206</v>
          </cell>
          <cell r="B14778" t="str">
            <v>Fichas de fonética</v>
          </cell>
        </row>
        <row r="14779">
          <cell r="A14779">
            <v>60102301</v>
          </cell>
          <cell r="B14779" t="str">
            <v>Libros de actividades de lectura</v>
          </cell>
        </row>
        <row r="14780">
          <cell r="A14780">
            <v>60102302</v>
          </cell>
          <cell r="B14780" t="str">
            <v>Libros de lectura para principiantes</v>
          </cell>
        </row>
        <row r="14781">
          <cell r="A14781">
            <v>60102303</v>
          </cell>
          <cell r="B14781" t="str">
            <v>Libros de literatura infantil basados en la biblia</v>
          </cell>
        </row>
        <row r="14782">
          <cell r="A14782">
            <v>60102304</v>
          </cell>
          <cell r="B14782" t="str">
            <v>Libros de literatura infantil</v>
          </cell>
        </row>
        <row r="14783">
          <cell r="A14783">
            <v>60102305</v>
          </cell>
          <cell r="B14783" t="str">
            <v>Habilidades para la lectura crítica</v>
          </cell>
        </row>
        <row r="14784">
          <cell r="A14784">
            <v>60102306</v>
          </cell>
          <cell r="B14784" t="str">
            <v>Flanelógrafos</v>
          </cell>
        </row>
        <row r="14785">
          <cell r="A14785">
            <v>60102307</v>
          </cell>
          <cell r="B14785" t="str">
            <v>Libros de recursos de poesía</v>
          </cell>
        </row>
        <row r="14786">
          <cell r="A14786">
            <v>60102308</v>
          </cell>
          <cell r="B14786" t="str">
            <v>Materiales de comprensión de lectura</v>
          </cell>
        </row>
        <row r="14787">
          <cell r="A14787">
            <v>60102309</v>
          </cell>
          <cell r="B14787" t="str">
            <v>Kits o materiales de desarrollo de la lectura</v>
          </cell>
        </row>
        <row r="14788">
          <cell r="A14788">
            <v>60102310</v>
          </cell>
          <cell r="B14788" t="str">
            <v>Libros de recursos de lectura</v>
          </cell>
        </row>
        <row r="14789">
          <cell r="A14789">
            <v>60102311</v>
          </cell>
          <cell r="B14789" t="str">
            <v>Unidades temáticas de lectura</v>
          </cell>
        </row>
        <row r="14790">
          <cell r="A14790">
            <v>60102312</v>
          </cell>
          <cell r="B14790" t="str">
            <v>Libros de recursos o actividades de vocabulario.</v>
          </cell>
        </row>
        <row r="14791">
          <cell r="A14791">
            <v>60102401</v>
          </cell>
          <cell r="B14791" t="str">
            <v>Abacos</v>
          </cell>
        </row>
        <row r="14792">
          <cell r="A14792">
            <v>60102402</v>
          </cell>
          <cell r="B14792" t="str">
            <v>Libros de recursos o actividades para trabajar con material didáctico manipulable de matemáticas temprana</v>
          </cell>
        </row>
        <row r="14793">
          <cell r="A14793">
            <v>60102403</v>
          </cell>
          <cell r="B14793" t="str">
            <v>Tarjetas de actividades para trabajar material didáctico manipulable de matemáticas temprana</v>
          </cell>
        </row>
        <row r="14794">
          <cell r="A14794">
            <v>60102404</v>
          </cell>
          <cell r="B14794" t="str">
            <v>Cuentas o sets de actividades con cuentas para matemáticas temprana</v>
          </cell>
        </row>
        <row r="14795">
          <cell r="A14795">
            <v>60102405</v>
          </cell>
          <cell r="B14795" t="str">
            <v>Contadores o sets de actividades con contadores para matemáticas temprana</v>
          </cell>
        </row>
        <row r="14796">
          <cell r="A14796">
            <v>60102406</v>
          </cell>
          <cell r="B14796" t="str">
            <v>Bandejas o boles para contar o clasificar para matemáticas tempranas</v>
          </cell>
        </row>
        <row r="14797">
          <cell r="A14797">
            <v>60102407</v>
          </cell>
          <cell r="B14797" t="str">
            <v>Cordones o sets de cordones para matemáticas temprana</v>
          </cell>
        </row>
        <row r="14798">
          <cell r="A14798">
            <v>60102408</v>
          </cell>
          <cell r="B14798" t="str">
            <v>Material didáctico manipulable de vinculación o sets de actividades de vinculación para matemáticas temprana</v>
          </cell>
        </row>
        <row r="14799">
          <cell r="A14799">
            <v>60102409</v>
          </cell>
          <cell r="B14799" t="str">
            <v>Fichas para juegos de matemáticas</v>
          </cell>
        </row>
        <row r="14800">
          <cell r="A14800">
            <v>60102410</v>
          </cell>
          <cell r="B14800" t="str">
            <v>Tarjetas con números</v>
          </cell>
        </row>
        <row r="14801">
          <cell r="A14801">
            <v>60102411</v>
          </cell>
          <cell r="B14801" t="str">
            <v>Modelos con formas de números o accesorios</v>
          </cell>
        </row>
        <row r="14802">
          <cell r="A14802">
            <v>60102412</v>
          </cell>
          <cell r="B14802" t="str">
            <v>Tableros perforados para matemáticas básicas</v>
          </cell>
        </row>
        <row r="14803">
          <cell r="A14803">
            <v>60102413</v>
          </cell>
          <cell r="B14803" t="str">
            <v>Ganchos para tablero perforado para matemáticas temprana</v>
          </cell>
        </row>
        <row r="14804">
          <cell r="A14804">
            <v>60102414</v>
          </cell>
          <cell r="B14804" t="str">
            <v>Material didácticos manipulativos de clasificación o sets de actividades de clasificación para matemáticas temprana</v>
          </cell>
        </row>
        <row r="14805">
          <cell r="A14805">
            <v>60102501</v>
          </cell>
          <cell r="B14805" t="str">
            <v>Libros de recursos o de actividades de la suma</v>
          </cell>
        </row>
        <row r="14806">
          <cell r="A14806">
            <v>60102502</v>
          </cell>
          <cell r="B14806" t="str">
            <v>Modelos de las operaciones básicas</v>
          </cell>
        </row>
        <row r="14807">
          <cell r="A14807">
            <v>60102503</v>
          </cell>
          <cell r="B14807" t="str">
            <v>Guías de referencia de las operaciones básicas</v>
          </cell>
        </row>
        <row r="14808">
          <cell r="A14808">
            <v>60102504</v>
          </cell>
          <cell r="B14808" t="str">
            <v>Libros de recursos o actividades de la división</v>
          </cell>
        </row>
        <row r="14809">
          <cell r="A14809">
            <v>60102505</v>
          </cell>
          <cell r="B14809" t="str">
            <v>Libros de recursos o actividades de la multiplicación</v>
          </cell>
        </row>
        <row r="14810">
          <cell r="A14810">
            <v>60102506</v>
          </cell>
          <cell r="B14810" t="str">
            <v>Libros de recursos o actividades de la resta</v>
          </cell>
        </row>
        <row r="14811">
          <cell r="A14811">
            <v>60102507</v>
          </cell>
          <cell r="B14811" t="str">
            <v>Cintas adhesivas de escritorio con los números</v>
          </cell>
        </row>
        <row r="14812">
          <cell r="A14812">
            <v>60102508</v>
          </cell>
          <cell r="B14812" t="str">
            <v>Tableros o gráficas del uno al cien</v>
          </cell>
        </row>
        <row r="14813">
          <cell r="A14813">
            <v>60102509</v>
          </cell>
          <cell r="B14813" t="str">
            <v>Fichas con números del uno al cien</v>
          </cell>
        </row>
        <row r="14814">
          <cell r="A14814">
            <v>60102510</v>
          </cell>
          <cell r="B14814" t="str">
            <v>Kits de números</v>
          </cell>
        </row>
        <row r="14815">
          <cell r="A14815">
            <v>60102511</v>
          </cell>
          <cell r="B14815" t="str">
            <v>Rectas numéricas</v>
          </cell>
        </row>
        <row r="14816">
          <cell r="A14816">
            <v>60102512</v>
          </cell>
          <cell r="B14816" t="str">
            <v>libros de recursos o actividades de numeración</v>
          </cell>
        </row>
        <row r="14817">
          <cell r="A14817">
            <v>60102513</v>
          </cell>
          <cell r="B14817" t="str">
            <v>Dominós</v>
          </cell>
        </row>
        <row r="14818">
          <cell r="A14818">
            <v>60102601</v>
          </cell>
          <cell r="B14818" t="str">
            <v>Fichas o contadores de dos caras</v>
          </cell>
        </row>
        <row r="14819">
          <cell r="A14819">
            <v>60102602</v>
          </cell>
          <cell r="B14819" t="str">
            <v>Pirinolas</v>
          </cell>
        </row>
        <row r="14820">
          <cell r="A14820">
            <v>60102603</v>
          </cell>
          <cell r="B14820" t="str">
            <v>Juegos de dados</v>
          </cell>
        </row>
        <row r="14821">
          <cell r="A14821">
            <v>60102604</v>
          </cell>
          <cell r="B14821" t="str">
            <v>Libros de recursos o actividades de probabilidades</v>
          </cell>
        </row>
        <row r="14822">
          <cell r="A14822">
            <v>60102605</v>
          </cell>
          <cell r="B14822" t="str">
            <v>Libros de recursos o actividades de lógica</v>
          </cell>
        </row>
        <row r="14823">
          <cell r="A14823">
            <v>60102606</v>
          </cell>
          <cell r="B14823" t="str">
            <v>Bloques de atributos</v>
          </cell>
        </row>
        <row r="14824">
          <cell r="A14824">
            <v>60102607</v>
          </cell>
          <cell r="B14824" t="str">
            <v>Tarjetas de actividades de bloques de atributos</v>
          </cell>
        </row>
        <row r="14825">
          <cell r="A14825">
            <v>60102608</v>
          </cell>
          <cell r="B14825" t="str">
            <v>Libros de recursos o actividades de atributos</v>
          </cell>
        </row>
        <row r="14826">
          <cell r="A14826">
            <v>60102609</v>
          </cell>
          <cell r="B14826" t="str">
            <v>Esterilla de representación gráfica</v>
          </cell>
        </row>
        <row r="14827">
          <cell r="A14827">
            <v>60102610</v>
          </cell>
          <cell r="B14827" t="str">
            <v>Libros de recursos o actividades de representación gráfica</v>
          </cell>
        </row>
        <row r="14828">
          <cell r="A14828">
            <v>60102611</v>
          </cell>
          <cell r="B14828" t="str">
            <v>Juegos de lógica</v>
          </cell>
        </row>
        <row r="14829">
          <cell r="A14829">
            <v>60102612</v>
          </cell>
          <cell r="B14829" t="str">
            <v>Kits o sets de atributos</v>
          </cell>
        </row>
        <row r="14830">
          <cell r="A14830">
            <v>60102613</v>
          </cell>
          <cell r="B14830" t="str">
            <v>Libros de recursos o actividades de resolución de problemas</v>
          </cell>
        </row>
        <row r="14831">
          <cell r="A14831">
            <v>60102614</v>
          </cell>
          <cell r="B14831" t="str">
            <v>Tarjetas de actividades de resolución de problemas</v>
          </cell>
        </row>
        <row r="14832">
          <cell r="A14832">
            <v>60102701</v>
          </cell>
          <cell r="B14832" t="str">
            <v>Libros de recursos o actividades de bloques geométricos o de bloques para patrones</v>
          </cell>
        </row>
        <row r="14833">
          <cell r="A14833">
            <v>60102702</v>
          </cell>
          <cell r="B14833" t="str">
            <v>Bloques para patrones</v>
          </cell>
        </row>
        <row r="14834">
          <cell r="A14834">
            <v>60102703</v>
          </cell>
          <cell r="B14834" t="str">
            <v>Tarjetas de patrones o actividades de bloques para patrones</v>
          </cell>
        </row>
        <row r="14835">
          <cell r="A14835">
            <v>60102704</v>
          </cell>
          <cell r="B14835" t="str">
            <v>Sets de actividades o juegos de bloques para patrones</v>
          </cell>
        </row>
        <row r="14836">
          <cell r="A14836">
            <v>60102705</v>
          </cell>
          <cell r="B14836" t="str">
            <v>Adhesivos de bloques para patrones</v>
          </cell>
        </row>
        <row r="14837">
          <cell r="A14837">
            <v>60102706</v>
          </cell>
          <cell r="B14837" t="str">
            <v>Espejo de bloques para patrones</v>
          </cell>
        </row>
        <row r="14838">
          <cell r="A14838">
            <v>60102707</v>
          </cell>
          <cell r="B14838" t="str">
            <v>Afiches o tablas de bloques para patrones</v>
          </cell>
        </row>
        <row r="14839">
          <cell r="A14839">
            <v>60102708</v>
          </cell>
          <cell r="B14839" t="str">
            <v>Bloques lógicos</v>
          </cell>
        </row>
        <row r="14840">
          <cell r="A14840">
            <v>60102709</v>
          </cell>
          <cell r="B14840" t="str">
            <v>Tarjetas de patrones o actividades de bloques lógicos</v>
          </cell>
        </row>
        <row r="14841">
          <cell r="A14841">
            <v>60102710</v>
          </cell>
          <cell r="B14841" t="str">
            <v>Sets de actividades de bloques lógicos</v>
          </cell>
        </row>
        <row r="14842">
          <cell r="A14842">
            <v>60102711</v>
          </cell>
          <cell r="B14842" t="str">
            <v>Libros de recursos o actividades del tangram</v>
          </cell>
        </row>
        <row r="14843">
          <cell r="A14843">
            <v>60102712</v>
          </cell>
          <cell r="B14843" t="str">
            <v>Tarjetas de patrones o actividades del tangram</v>
          </cell>
        </row>
        <row r="14844">
          <cell r="A14844">
            <v>60102713</v>
          </cell>
          <cell r="B14844" t="str">
            <v>Sets de actividades de rompecabezas tangram</v>
          </cell>
        </row>
        <row r="14845">
          <cell r="A14845">
            <v>60102714</v>
          </cell>
          <cell r="B14845" t="str">
            <v>Rompecabezas tangram</v>
          </cell>
        </row>
        <row r="14846">
          <cell r="A14846">
            <v>60102715</v>
          </cell>
          <cell r="B14846" t="str">
            <v>Libros de recursos y actividades de pentominós</v>
          </cell>
        </row>
        <row r="14847">
          <cell r="A14847">
            <v>60102717</v>
          </cell>
          <cell r="B14847" t="str">
            <v>Pentominós</v>
          </cell>
        </row>
        <row r="14848">
          <cell r="A14848">
            <v>60102718</v>
          </cell>
          <cell r="B14848" t="str">
            <v>Sets de actividades de pentominós</v>
          </cell>
        </row>
        <row r="14849">
          <cell r="A14849">
            <v>60102801</v>
          </cell>
          <cell r="B14849" t="str">
            <v>Bloques de base diez</v>
          </cell>
        </row>
        <row r="14850">
          <cell r="A14850">
            <v>60102802</v>
          </cell>
          <cell r="B14850" t="str">
            <v>Libros de recursos o actividades de base diez o valor posicional</v>
          </cell>
        </row>
        <row r="14851">
          <cell r="A14851">
            <v>60102803</v>
          </cell>
          <cell r="B14851" t="str">
            <v>Tarjetas de actividades de  base diez o valor posicional</v>
          </cell>
        </row>
        <row r="14852">
          <cell r="A14852">
            <v>60102804</v>
          </cell>
          <cell r="B14852" t="str">
            <v>Sellos de caucho de base diez</v>
          </cell>
        </row>
        <row r="14853">
          <cell r="A14853">
            <v>60102805</v>
          </cell>
          <cell r="B14853" t="str">
            <v>Cuadrículas de valor posicional</v>
          </cell>
        </row>
        <row r="14854">
          <cell r="A14854">
            <v>60102806</v>
          </cell>
          <cell r="B14854" t="str">
            <v>Sets de actividades o juegos de valor posicional</v>
          </cell>
        </row>
        <row r="14855">
          <cell r="A14855">
            <v>60102807</v>
          </cell>
          <cell r="B14855" t="str">
            <v>Modelos o accesorios de valor posicional</v>
          </cell>
        </row>
        <row r="14856">
          <cell r="A14856">
            <v>60102901</v>
          </cell>
          <cell r="B14856" t="str">
            <v>Libros de recursos o actividades sobre el dinero</v>
          </cell>
        </row>
        <row r="14857">
          <cell r="A14857">
            <v>60102902</v>
          </cell>
          <cell r="B14857" t="str">
            <v>Billetes de juego para la clase</v>
          </cell>
        </row>
        <row r="14858">
          <cell r="A14858">
            <v>60102903</v>
          </cell>
          <cell r="B14858" t="str">
            <v>Monedas de juego para la clase</v>
          </cell>
        </row>
        <row r="14859">
          <cell r="A14859">
            <v>60102904</v>
          </cell>
          <cell r="B14859" t="str">
            <v>Cubos o dados de monedas</v>
          </cell>
        </row>
        <row r="14860">
          <cell r="A14860">
            <v>60102905</v>
          </cell>
          <cell r="B14860" t="str">
            <v>Dinero magnético</v>
          </cell>
        </row>
        <row r="14861">
          <cell r="A14861">
            <v>60102906</v>
          </cell>
          <cell r="B14861" t="str">
            <v>Filminas de billetes</v>
          </cell>
        </row>
        <row r="14862">
          <cell r="A14862">
            <v>60102907</v>
          </cell>
          <cell r="B14862" t="str">
            <v>Filminas de monedas</v>
          </cell>
        </row>
        <row r="14863">
          <cell r="A14863">
            <v>60102908</v>
          </cell>
          <cell r="B14863" t="str">
            <v>Rompecabezas del dinero</v>
          </cell>
        </row>
        <row r="14864">
          <cell r="A14864">
            <v>60102909</v>
          </cell>
          <cell r="B14864" t="str">
            <v>Sellos de caucho del dinero</v>
          </cell>
        </row>
        <row r="14865">
          <cell r="A14865">
            <v>60102910</v>
          </cell>
          <cell r="B14865" t="str">
            <v>Alcancía de monedas</v>
          </cell>
        </row>
        <row r="14866">
          <cell r="A14866">
            <v>60102911</v>
          </cell>
          <cell r="B14866" t="str">
            <v>Kits o juegos del dinero</v>
          </cell>
        </row>
        <row r="14867">
          <cell r="A14867">
            <v>60102912</v>
          </cell>
          <cell r="B14867" t="str">
            <v>Cajas registradoras de juguete</v>
          </cell>
        </row>
        <row r="14868">
          <cell r="A14868">
            <v>60102913</v>
          </cell>
          <cell r="B14868" t="str">
            <v>Guías de referencia del dinero</v>
          </cell>
        </row>
        <row r="14869">
          <cell r="A14869">
            <v>60102914</v>
          </cell>
          <cell r="B14869" t="str">
            <v>Libros de recursos o actividades de la hora</v>
          </cell>
        </row>
        <row r="14870">
          <cell r="A14870">
            <v>60102915</v>
          </cell>
          <cell r="B14870" t="str">
            <v>Sellos de caucho de la hora</v>
          </cell>
        </row>
        <row r="14871">
          <cell r="A14871">
            <v>60102916</v>
          </cell>
          <cell r="B14871" t="str">
            <v>Kits de la hora</v>
          </cell>
        </row>
        <row r="14872">
          <cell r="A14872">
            <v>60102917</v>
          </cell>
          <cell r="B14872" t="str">
            <v>Guías de referencia de la hora</v>
          </cell>
        </row>
        <row r="14873">
          <cell r="A14873">
            <v>60103001</v>
          </cell>
          <cell r="B14873" t="str">
            <v>Círculos o cuadrados de fracciones</v>
          </cell>
        </row>
        <row r="14874">
          <cell r="A14874">
            <v>60103002</v>
          </cell>
          <cell r="B14874" t="str">
            <v>Cuadrados de decimales</v>
          </cell>
        </row>
        <row r="14875">
          <cell r="A14875">
            <v>60103003</v>
          </cell>
          <cell r="B14875" t="str">
            <v>Libros de actividades de fracciones</v>
          </cell>
        </row>
        <row r="14876">
          <cell r="A14876">
            <v>60103004</v>
          </cell>
          <cell r="B14876" t="str">
            <v>Barras de fracciones</v>
          </cell>
        </row>
        <row r="14877">
          <cell r="A14877">
            <v>60103005</v>
          </cell>
          <cell r="B14877" t="str">
            <v>Gráficos de fracciones</v>
          </cell>
        </row>
        <row r="14878">
          <cell r="A14878">
            <v>60103006</v>
          </cell>
          <cell r="B14878" t="str">
            <v>Dados de fracciones</v>
          </cell>
        </row>
        <row r="14879">
          <cell r="A14879">
            <v>60103007</v>
          </cell>
          <cell r="B14879" t="str">
            <v>Juegos de fracciones</v>
          </cell>
        </row>
        <row r="14880">
          <cell r="A14880">
            <v>60103008</v>
          </cell>
          <cell r="B14880" t="str">
            <v>Kits de fracciones</v>
          </cell>
        </row>
        <row r="14881">
          <cell r="A14881">
            <v>60103009</v>
          </cell>
          <cell r="B14881" t="str">
            <v>Fichas con fracciones</v>
          </cell>
        </row>
        <row r="14882">
          <cell r="A14882">
            <v>60103010</v>
          </cell>
          <cell r="B14882" t="str">
            <v>Discos con fracciones</v>
          </cell>
        </row>
        <row r="14883">
          <cell r="A14883">
            <v>60103012</v>
          </cell>
          <cell r="B14883" t="str">
            <v>Libro de actividades de pentominós</v>
          </cell>
        </row>
        <row r="14884">
          <cell r="A14884">
            <v>60103013</v>
          </cell>
          <cell r="B14884" t="str">
            <v>Tarjetas de patrones de pentominós</v>
          </cell>
        </row>
        <row r="14885">
          <cell r="A14885">
            <v>60103101</v>
          </cell>
          <cell r="B14885" t="str">
            <v>Libros de recursos o  actividades de geometría</v>
          </cell>
        </row>
        <row r="14886">
          <cell r="A14886">
            <v>60103102</v>
          </cell>
          <cell r="B14886" t="str">
            <v>Afiches o cuadros de geometría</v>
          </cell>
        </row>
        <row r="14887">
          <cell r="A14887">
            <v>60103103</v>
          </cell>
          <cell r="B14887" t="str">
            <v>Tableros geométricos</v>
          </cell>
        </row>
        <row r="14888">
          <cell r="A14888">
            <v>60103104</v>
          </cell>
          <cell r="B14888" t="str">
            <v>Sets de construcción de formas geométricas</v>
          </cell>
        </row>
        <row r="14889">
          <cell r="A14889">
            <v>60103105</v>
          </cell>
          <cell r="B14889" t="str">
            <v>Tableros geométricos de doble cara</v>
          </cell>
        </row>
        <row r="14890">
          <cell r="A14890">
            <v>60103106</v>
          </cell>
          <cell r="B14890" t="str">
            <v>Kits de actividades o juegos para tableros geométricos</v>
          </cell>
        </row>
        <row r="14891">
          <cell r="A14891">
            <v>60103107</v>
          </cell>
          <cell r="B14891" t="str">
            <v>Bandas elásticas para tableros geométricos</v>
          </cell>
        </row>
        <row r="14892">
          <cell r="A14892">
            <v>60103108</v>
          </cell>
          <cell r="B14892" t="str">
            <v>Tarjetas de actividades de tableros geométricos</v>
          </cell>
        </row>
        <row r="14893">
          <cell r="A14893">
            <v>60103109</v>
          </cell>
          <cell r="B14893" t="str">
            <v>Instrumentos de dibujo geométrico para la pizarra</v>
          </cell>
        </row>
        <row r="14894">
          <cell r="A14894">
            <v>60103110</v>
          </cell>
          <cell r="B14894" t="str">
            <v>Guías de referencia de geometría</v>
          </cell>
        </row>
        <row r="14895">
          <cell r="A14895">
            <v>60103111</v>
          </cell>
          <cell r="B14895" t="str">
            <v>Espejo geométrico</v>
          </cell>
        </row>
        <row r="14896">
          <cell r="A14896">
            <v>60103112</v>
          </cell>
          <cell r="B14896" t="str">
            <v>Modelos geométricos sólidos</v>
          </cell>
        </row>
        <row r="14897">
          <cell r="A14897">
            <v>60103201</v>
          </cell>
          <cell r="B14897" t="str">
            <v>Libros de recursos o de actividades de álgebra</v>
          </cell>
        </row>
        <row r="14898">
          <cell r="A14898">
            <v>60103202</v>
          </cell>
          <cell r="B14898" t="str">
            <v>Cubos de centímetro</v>
          </cell>
        </row>
        <row r="14899">
          <cell r="A14899">
            <v>60103203</v>
          </cell>
          <cell r="B14899" t="str">
            <v>Guías de referencia de preálgebra o álgebra</v>
          </cell>
        </row>
        <row r="14900">
          <cell r="A14900">
            <v>60103204</v>
          </cell>
          <cell r="B14900" t="str">
            <v>Modelos o accesorios de álgebra</v>
          </cell>
        </row>
        <row r="14901">
          <cell r="A14901">
            <v>60103301</v>
          </cell>
          <cell r="B14901" t="str">
            <v>Libros de recursos o actividades de cálculo</v>
          </cell>
        </row>
        <row r="14902">
          <cell r="A14902">
            <v>60103302</v>
          </cell>
          <cell r="B14902" t="str">
            <v>Guías de referencia de precálculo o cálculo</v>
          </cell>
        </row>
        <row r="14903">
          <cell r="A14903">
            <v>60103303</v>
          </cell>
          <cell r="B14903" t="str">
            <v>Libros de recursos o actividades de precálculo</v>
          </cell>
        </row>
        <row r="14904">
          <cell r="A14904">
            <v>60103401</v>
          </cell>
          <cell r="B14904" t="str">
            <v>Afiches o carteles de geografía</v>
          </cell>
        </row>
        <row r="14905">
          <cell r="A14905">
            <v>60103402</v>
          </cell>
          <cell r="B14905" t="str">
            <v>Libros de recursos o actividades de los continentes</v>
          </cell>
        </row>
        <row r="14906">
          <cell r="A14906">
            <v>60103403</v>
          </cell>
          <cell r="B14906" t="str">
            <v>Materiales de aprendizaje electrónico de ciencias sociales</v>
          </cell>
        </row>
        <row r="14907">
          <cell r="A14907">
            <v>60103404</v>
          </cell>
          <cell r="B14907" t="str">
            <v>Guías de referencia de geografía</v>
          </cell>
        </row>
        <row r="14908">
          <cell r="A14908">
            <v>60103405</v>
          </cell>
          <cell r="B14908" t="str">
            <v>Estantes para mapas</v>
          </cell>
        </row>
        <row r="14909">
          <cell r="A14909">
            <v>60103406</v>
          </cell>
          <cell r="B14909" t="str">
            <v>Kits de plantillas de mapas</v>
          </cell>
        </row>
        <row r="14910">
          <cell r="A14910">
            <v>60103407</v>
          </cell>
          <cell r="B14910" t="str">
            <v>Mapas murales portátiles</v>
          </cell>
        </row>
        <row r="14911">
          <cell r="A14911">
            <v>60103408</v>
          </cell>
          <cell r="B14911" t="str">
            <v>Libros de recursos o actividades de geografía</v>
          </cell>
        </row>
        <row r="14912">
          <cell r="A14912">
            <v>60103409</v>
          </cell>
          <cell r="B14912" t="str">
            <v>Medidores de mapas</v>
          </cell>
        </row>
        <row r="14913">
          <cell r="A14913">
            <v>60103410</v>
          </cell>
          <cell r="B14913" t="str">
            <v>Material didáctico para la enseñanza de mapas</v>
          </cell>
        </row>
        <row r="14914">
          <cell r="A14914">
            <v>60103501</v>
          </cell>
          <cell r="B14914" t="str">
            <v>Libros de recursos o actividades de economía</v>
          </cell>
        </row>
        <row r="14915">
          <cell r="A14915">
            <v>60103502</v>
          </cell>
          <cell r="B14915" t="str">
            <v>Libros de recursos o actividades del gobierno</v>
          </cell>
        </row>
        <row r="14916">
          <cell r="A14916">
            <v>60103503</v>
          </cell>
          <cell r="B14916" t="str">
            <v>Guías de referencia del gobierno</v>
          </cell>
        </row>
        <row r="14917">
          <cell r="A14917">
            <v>60103504</v>
          </cell>
          <cell r="B14917" t="str">
            <v>Unidades temáticas de los estados</v>
          </cell>
        </row>
        <row r="14918">
          <cell r="A14918">
            <v>60103601</v>
          </cell>
          <cell r="B14918" t="str">
            <v>Recursos de civilizaciones de la antigüedad</v>
          </cell>
        </row>
        <row r="14919">
          <cell r="A14919">
            <v>60103602</v>
          </cell>
          <cell r="B14919" t="str">
            <v>Recursos de tradiciones, rituales o costumbres</v>
          </cell>
        </row>
        <row r="14920">
          <cell r="A14920">
            <v>60103603</v>
          </cell>
          <cell r="B14920" t="str">
            <v>Recursos de diversidad étnica</v>
          </cell>
        </row>
        <row r="14921">
          <cell r="A14921">
            <v>60103604</v>
          </cell>
          <cell r="B14921" t="str">
            <v>Recursos de genealogía</v>
          </cell>
        </row>
        <row r="14922">
          <cell r="A14922">
            <v>60103605</v>
          </cell>
          <cell r="B14922" t="str">
            <v>Recursos para festivos multiculturales</v>
          </cell>
        </row>
        <row r="14923">
          <cell r="A14923">
            <v>60103606</v>
          </cell>
          <cell r="B14923" t="str">
            <v>Unidades temáticas multiculturales</v>
          </cell>
        </row>
        <row r="14924">
          <cell r="A14924">
            <v>60103701</v>
          </cell>
          <cell r="B14924" t="str">
            <v>Recursos para aprender a hablar español</v>
          </cell>
        </row>
        <row r="14925">
          <cell r="A14925">
            <v>60103702</v>
          </cell>
          <cell r="B14925" t="str">
            <v>Recursos para aprender a hablar francés</v>
          </cell>
        </row>
        <row r="14926">
          <cell r="A14926">
            <v>60103703</v>
          </cell>
          <cell r="B14926" t="str">
            <v>Recursos para aprender a hablar alemán</v>
          </cell>
        </row>
        <row r="14927">
          <cell r="A14927">
            <v>60103704</v>
          </cell>
          <cell r="B14927" t="str">
            <v>Recursos para aprender a hablar inglés</v>
          </cell>
        </row>
        <row r="14928">
          <cell r="A14928">
            <v>60103705</v>
          </cell>
          <cell r="B14928" t="str">
            <v>Recursos para aprender a hablar latín</v>
          </cell>
        </row>
        <row r="14929">
          <cell r="A14929">
            <v>60103706</v>
          </cell>
          <cell r="B14929" t="str">
            <v>Recursos para aprender a hablar italiano</v>
          </cell>
        </row>
        <row r="14930">
          <cell r="A14930">
            <v>60103801</v>
          </cell>
          <cell r="B14930" t="str">
            <v>Libros de recursos de historia africana</v>
          </cell>
        </row>
        <row r="14931">
          <cell r="A14931">
            <v>60103802</v>
          </cell>
          <cell r="B14931" t="str">
            <v>Afiches o cuadros de historia</v>
          </cell>
        </row>
        <row r="14932">
          <cell r="A14932">
            <v>60103803</v>
          </cell>
          <cell r="B14932" t="str">
            <v>Libros de recursos de historia europea</v>
          </cell>
        </row>
        <row r="14933">
          <cell r="A14933">
            <v>60103804</v>
          </cell>
          <cell r="B14933" t="str">
            <v>Mapas históricos</v>
          </cell>
        </row>
        <row r="14934">
          <cell r="A14934">
            <v>60103805</v>
          </cell>
          <cell r="B14934" t="str">
            <v>Unidades temáticas de historia</v>
          </cell>
        </row>
        <row r="14935">
          <cell r="A14935">
            <v>60103806</v>
          </cell>
          <cell r="B14935" t="str">
            <v>Tarjetas de fotos de historia</v>
          </cell>
        </row>
        <row r="14936">
          <cell r="A14936">
            <v>60103807</v>
          </cell>
          <cell r="B14936" t="str">
            <v>Libros de recursos de historia</v>
          </cell>
        </row>
        <row r="14937">
          <cell r="A14937">
            <v>60103808</v>
          </cell>
          <cell r="B14937" t="str">
            <v>Recursos de historia de la mujer</v>
          </cell>
        </row>
        <row r="14938">
          <cell r="A14938">
            <v>60103809</v>
          </cell>
          <cell r="B14938" t="str">
            <v>Recursos de historia mundial</v>
          </cell>
        </row>
        <row r="14939">
          <cell r="A14939">
            <v>60103903</v>
          </cell>
          <cell r="B14939" t="str">
            <v>Modelos de anfibios</v>
          </cell>
        </row>
        <row r="14940">
          <cell r="A14940">
            <v>60103904</v>
          </cell>
          <cell r="B14940" t="str">
            <v>Cultivos de hongos</v>
          </cell>
        </row>
        <row r="14941">
          <cell r="A14941">
            <v>60103905</v>
          </cell>
          <cell r="B14941" t="str">
            <v>Kits o materiales de cultivos</v>
          </cell>
        </row>
        <row r="14942">
          <cell r="A14942">
            <v>60103906</v>
          </cell>
          <cell r="B14942" t="str">
            <v>Cultivos de protozoos</v>
          </cell>
        </row>
        <row r="14943">
          <cell r="A14943">
            <v>60103907</v>
          </cell>
          <cell r="B14943" t="str">
            <v>Plantas de acuario</v>
          </cell>
        </row>
        <row r="14944">
          <cell r="A14944">
            <v>60103908</v>
          </cell>
          <cell r="B14944" t="str">
            <v>Plantas de terrario</v>
          </cell>
        </row>
        <row r="14945">
          <cell r="A14945">
            <v>60103909</v>
          </cell>
          <cell r="B14945" t="str">
            <v>Invertebrados vivos</v>
          </cell>
        </row>
        <row r="14946">
          <cell r="A14946">
            <v>60103911</v>
          </cell>
          <cell r="B14946" t="str">
            <v>Vertebrados vivos</v>
          </cell>
        </row>
        <row r="14947">
          <cell r="A14947">
            <v>60103915</v>
          </cell>
          <cell r="B14947" t="str">
            <v>Kits o materiales de disección</v>
          </cell>
        </row>
        <row r="14948">
          <cell r="A14948">
            <v>60103916</v>
          </cell>
          <cell r="B14948" t="str">
            <v>Embriones conservados</v>
          </cell>
        </row>
        <row r="14949">
          <cell r="A14949">
            <v>60103918</v>
          </cell>
          <cell r="B14949" t="str">
            <v>Biosferas</v>
          </cell>
        </row>
        <row r="14950">
          <cell r="A14950">
            <v>60103919</v>
          </cell>
          <cell r="B14950" t="str">
            <v>Kits o materiales para experimentos de biología</v>
          </cell>
        </row>
        <row r="14951">
          <cell r="A14951">
            <v>60103920</v>
          </cell>
          <cell r="B14951" t="str">
            <v>Kits o materiales para tinción</v>
          </cell>
        </row>
        <row r="14952">
          <cell r="A14952">
            <v>60103921</v>
          </cell>
          <cell r="B14952" t="str">
            <v>Especímenes de ciclo vital preservado</v>
          </cell>
        </row>
        <row r="14953">
          <cell r="A14953">
            <v>60103922</v>
          </cell>
          <cell r="B14953" t="str">
            <v>Guías de referencia de biología</v>
          </cell>
        </row>
        <row r="14954">
          <cell r="A14954">
            <v>60103923</v>
          </cell>
          <cell r="B14954" t="str">
            <v>Espécimen de esqueleto o hueso o concha</v>
          </cell>
        </row>
        <row r="14955">
          <cell r="A14955">
            <v>60103924</v>
          </cell>
          <cell r="B14955" t="str">
            <v>Libros de recursos o actividades de biología</v>
          </cell>
        </row>
        <row r="14956">
          <cell r="A14956">
            <v>60103925</v>
          </cell>
          <cell r="B14956" t="str">
            <v>Kits de estudio o actividades de biología</v>
          </cell>
        </row>
        <row r="14957">
          <cell r="A14957">
            <v>60103926</v>
          </cell>
          <cell r="B14957" t="str">
            <v>Afiches o cuadros de biología</v>
          </cell>
        </row>
        <row r="14958">
          <cell r="A14958">
            <v>60103927</v>
          </cell>
          <cell r="B14958" t="str">
            <v>Especímenes preservados de cuerpos u órganos de plantas</v>
          </cell>
        </row>
        <row r="14959">
          <cell r="A14959">
            <v>60103928</v>
          </cell>
          <cell r="B14959" t="str">
            <v>Tarjetas de fotos o actividades de biología</v>
          </cell>
        </row>
        <row r="14960">
          <cell r="A14960">
            <v>60103929</v>
          </cell>
          <cell r="B14960" t="str">
            <v>Especímenes del ciclo vital de plantas</v>
          </cell>
        </row>
        <row r="14961">
          <cell r="A14961">
            <v>60103930</v>
          </cell>
          <cell r="B14961" t="str">
            <v>Combinación de especímenes y organismos</v>
          </cell>
        </row>
        <row r="14962">
          <cell r="A14962">
            <v>60103931</v>
          </cell>
          <cell r="B14962" t="str">
            <v>Especímenes del cuerpo animal, partes u órganos</v>
          </cell>
        </row>
        <row r="14963">
          <cell r="A14963">
            <v>60103932</v>
          </cell>
          <cell r="B14963" t="str">
            <v>Exhibiciones de ecosistemas</v>
          </cell>
        </row>
        <row r="14964">
          <cell r="A14964">
            <v>60103933</v>
          </cell>
          <cell r="B14964" t="str">
            <v>Especímenes del cuerpo humano, partes u órganos</v>
          </cell>
        </row>
        <row r="14965">
          <cell r="A14965">
            <v>60103934</v>
          </cell>
          <cell r="B14965" t="str">
            <v>Cultivos de tejidos</v>
          </cell>
        </row>
        <row r="14966">
          <cell r="A14966">
            <v>60103936</v>
          </cell>
          <cell r="B14966" t="str">
            <v>Sets o diagramas de anatomía</v>
          </cell>
        </row>
        <row r="14967">
          <cell r="A14967">
            <v>60104001</v>
          </cell>
          <cell r="B14967" t="str">
            <v>Modelos de ácido desoxirribonucleico (adn)</v>
          </cell>
        </row>
        <row r="14968">
          <cell r="A14968">
            <v>60104002</v>
          </cell>
          <cell r="B14968" t="str">
            <v>Kits de experimentos de ácido desoxirribonucleico (adn)</v>
          </cell>
        </row>
        <row r="14969">
          <cell r="A14969">
            <v>60104003</v>
          </cell>
          <cell r="B14969" t="str">
            <v>Libros de genética</v>
          </cell>
        </row>
        <row r="14970">
          <cell r="A14970">
            <v>60104004</v>
          </cell>
          <cell r="B14970" t="str">
            <v>Kits de genética</v>
          </cell>
        </row>
        <row r="14971">
          <cell r="A14971">
            <v>60104005</v>
          </cell>
          <cell r="B14971" t="str">
            <v>Kits de enseñanza de bacterias</v>
          </cell>
        </row>
        <row r="14972">
          <cell r="A14972">
            <v>60104006</v>
          </cell>
          <cell r="B14972" t="str">
            <v>Materiales de prueba de bacterias</v>
          </cell>
        </row>
        <row r="14973">
          <cell r="A14973">
            <v>60104007</v>
          </cell>
          <cell r="B14973" t="str">
            <v>Kits o materiales de enzimología</v>
          </cell>
        </row>
        <row r="14974">
          <cell r="A14974">
            <v>60104008</v>
          </cell>
          <cell r="B14974" t="str">
            <v>Kits o materiales de prueba de proteínas</v>
          </cell>
        </row>
        <row r="14975">
          <cell r="A14975">
            <v>60104101</v>
          </cell>
          <cell r="B14975" t="str">
            <v>Modelos del cuerpo humano, partes u órganos</v>
          </cell>
        </row>
        <row r="14976">
          <cell r="A14976">
            <v>60104102</v>
          </cell>
          <cell r="B14976" t="str">
            <v>Modelos de células</v>
          </cell>
        </row>
        <row r="14977">
          <cell r="A14977">
            <v>60104103</v>
          </cell>
          <cell r="B14977" t="str">
            <v>Kits de enseñanza de células</v>
          </cell>
        </row>
        <row r="14978">
          <cell r="A14978">
            <v>60104104</v>
          </cell>
          <cell r="B14978" t="str">
            <v>Kits de enseñanza de los sistemas del cuerpo</v>
          </cell>
        </row>
        <row r="14979">
          <cell r="A14979">
            <v>60104105</v>
          </cell>
          <cell r="B14979" t="str">
            <v>Materiales de enseñanza de los sistemas del cuerpo</v>
          </cell>
        </row>
        <row r="14980">
          <cell r="A14980">
            <v>60104106</v>
          </cell>
          <cell r="B14980" t="str">
            <v>Modelos del cuerpo de plantas, partes u órganos</v>
          </cell>
        </row>
        <row r="14981">
          <cell r="A14981">
            <v>60104107</v>
          </cell>
          <cell r="B14981" t="str">
            <v>Modelos del cuerpo de animales, partes u órganos</v>
          </cell>
        </row>
        <row r="14982">
          <cell r="A14982">
            <v>60104201</v>
          </cell>
          <cell r="B14982" t="str">
            <v>Productos químicos de prueba del agua</v>
          </cell>
        </row>
        <row r="14983">
          <cell r="A14983">
            <v>60104202</v>
          </cell>
          <cell r="B14983" t="str">
            <v>Kits de muestreo y pruebas del agua</v>
          </cell>
        </row>
        <row r="14984">
          <cell r="A14984">
            <v>60104203</v>
          </cell>
          <cell r="B14984" t="str">
            <v>Modelos del agua</v>
          </cell>
        </row>
        <row r="14985">
          <cell r="A14985">
            <v>60104204</v>
          </cell>
          <cell r="B14985" t="str">
            <v>Materiales de ecología acuática</v>
          </cell>
        </row>
        <row r="14986">
          <cell r="A14986">
            <v>60104301</v>
          </cell>
          <cell r="B14986" t="str">
            <v>Modelos de astronomía</v>
          </cell>
        </row>
        <row r="14987">
          <cell r="A14987">
            <v>60104302</v>
          </cell>
          <cell r="B14987" t="str">
            <v>Diagramas de astronomía</v>
          </cell>
        </row>
        <row r="14988">
          <cell r="A14988">
            <v>60104303</v>
          </cell>
          <cell r="B14988" t="str">
            <v>Kits de estudio de astronomía</v>
          </cell>
        </row>
        <row r="14989">
          <cell r="A14989">
            <v>60104401</v>
          </cell>
          <cell r="B14989" t="str">
            <v>Sets de especímenes de roca</v>
          </cell>
        </row>
        <row r="14990">
          <cell r="A14990">
            <v>60104402</v>
          </cell>
          <cell r="B14990" t="str">
            <v>Especímenes de roca</v>
          </cell>
        </row>
        <row r="14991">
          <cell r="A14991">
            <v>60104403</v>
          </cell>
          <cell r="B14991" t="str">
            <v>Fósiles</v>
          </cell>
        </row>
        <row r="14992">
          <cell r="A14992">
            <v>60104404</v>
          </cell>
          <cell r="B14992" t="str">
            <v>Modelos de accidentes geográficos</v>
          </cell>
        </row>
        <row r="14993">
          <cell r="A14993">
            <v>60104405</v>
          </cell>
          <cell r="B14993" t="str">
            <v>Modelos de fósiles</v>
          </cell>
        </row>
        <row r="14994">
          <cell r="A14994">
            <v>60104406</v>
          </cell>
          <cell r="B14994" t="str">
            <v>Herramientas para geología de campo</v>
          </cell>
        </row>
        <row r="14995">
          <cell r="A14995">
            <v>60104407</v>
          </cell>
          <cell r="B14995" t="str">
            <v>Mesas de simulación de corrientes de agua</v>
          </cell>
        </row>
        <row r="14996">
          <cell r="A14996">
            <v>60104408</v>
          </cell>
          <cell r="B14996" t="str">
            <v>Kits de estudio de geología</v>
          </cell>
        </row>
        <row r="14997">
          <cell r="A14997">
            <v>60104501</v>
          </cell>
          <cell r="B14997" t="str">
            <v>Afiches o cuadros de la tabla periódica</v>
          </cell>
        </row>
        <row r="14998">
          <cell r="A14998">
            <v>60104502</v>
          </cell>
          <cell r="B14998" t="str">
            <v>Kits de análisis del consumidor</v>
          </cell>
        </row>
        <row r="14999">
          <cell r="A14999">
            <v>60104503</v>
          </cell>
          <cell r="B14999" t="str">
            <v>Kits para clase de química</v>
          </cell>
        </row>
        <row r="15000">
          <cell r="A15000">
            <v>60104504</v>
          </cell>
          <cell r="B15000" t="str">
            <v>Kits de demostración de química</v>
          </cell>
        </row>
        <row r="15001">
          <cell r="A15001">
            <v>60104505</v>
          </cell>
          <cell r="B15001" t="str">
            <v>Modelos atómicos</v>
          </cell>
        </row>
        <row r="15002">
          <cell r="A15002">
            <v>60104506</v>
          </cell>
          <cell r="B15002" t="str">
            <v>Modelos moleculares</v>
          </cell>
        </row>
        <row r="15003">
          <cell r="A15003">
            <v>60104507</v>
          </cell>
          <cell r="B15003" t="str">
            <v>Herramientas para demostración electroquímica</v>
          </cell>
        </row>
        <row r="15004">
          <cell r="A15004">
            <v>60104508</v>
          </cell>
          <cell r="B15004" t="str">
            <v>Kits de electroquímica</v>
          </cell>
        </row>
        <row r="15005">
          <cell r="A15005">
            <v>60104509</v>
          </cell>
          <cell r="B15005" t="str">
            <v>Pilas de combustible</v>
          </cell>
        </row>
        <row r="15006">
          <cell r="A15006">
            <v>60104511</v>
          </cell>
          <cell r="B15006" t="str">
            <v>Instrumentos de microquímica</v>
          </cell>
        </row>
        <row r="15007">
          <cell r="A15007">
            <v>60104601</v>
          </cell>
          <cell r="B15007" t="str">
            <v>Mesas de fuerzas</v>
          </cell>
        </row>
        <row r="15008">
          <cell r="A15008">
            <v>60104602</v>
          </cell>
          <cell r="B15008" t="str">
            <v>Modelos de gravedad o sets de modelos</v>
          </cell>
        </row>
        <row r="15009">
          <cell r="A15009">
            <v>60104604</v>
          </cell>
          <cell r="B15009" t="str">
            <v>Planos inclinados</v>
          </cell>
        </row>
        <row r="15010">
          <cell r="A15010">
            <v>60104605</v>
          </cell>
          <cell r="B15010" t="str">
            <v>Aparato de fricción</v>
          </cell>
        </row>
        <row r="15011">
          <cell r="A15011">
            <v>60104606</v>
          </cell>
          <cell r="B15011" t="str">
            <v>Carros de física</v>
          </cell>
        </row>
        <row r="15012">
          <cell r="A15012">
            <v>60104607</v>
          </cell>
          <cell r="B15012" t="str">
            <v>Equipo de péndulo</v>
          </cell>
        </row>
        <row r="15013">
          <cell r="A15013">
            <v>60104608</v>
          </cell>
          <cell r="B15013" t="str">
            <v>Equipo de torque</v>
          </cell>
        </row>
        <row r="15014">
          <cell r="A15014">
            <v>60104609</v>
          </cell>
          <cell r="B15014" t="str">
            <v>Aparato de movimiento de proyectiles</v>
          </cell>
        </row>
        <row r="15015">
          <cell r="A15015">
            <v>60104610</v>
          </cell>
          <cell r="B15015" t="str">
            <v>Mesas de aire</v>
          </cell>
        </row>
        <row r="15016">
          <cell r="A15016">
            <v>60104611</v>
          </cell>
          <cell r="B15016" t="str">
            <v>Equipos de aire</v>
          </cell>
        </row>
        <row r="15017">
          <cell r="A15017">
            <v>60104612</v>
          </cell>
          <cell r="B15017" t="str">
            <v>Aparato para luz o foto</v>
          </cell>
        </row>
        <row r="15018">
          <cell r="A15018">
            <v>60104701</v>
          </cell>
          <cell r="B15018" t="str">
            <v>Dispositivos de recolección solar</v>
          </cell>
        </row>
        <row r="15019">
          <cell r="A15019">
            <v>60104702</v>
          </cell>
          <cell r="B15019" t="str">
            <v>Kits solares</v>
          </cell>
        </row>
        <row r="15020">
          <cell r="A15020">
            <v>60104703</v>
          </cell>
          <cell r="B15020" t="str">
            <v>Kits de demostración de energía</v>
          </cell>
        </row>
        <row r="15021">
          <cell r="A15021">
            <v>60104704</v>
          </cell>
          <cell r="B15021" t="str">
            <v>Kits de clases de energía</v>
          </cell>
        </row>
        <row r="15022">
          <cell r="A15022">
            <v>60104705</v>
          </cell>
          <cell r="B15022" t="str">
            <v>Kits de demostración de materia</v>
          </cell>
        </row>
        <row r="15023">
          <cell r="A15023">
            <v>60104706</v>
          </cell>
          <cell r="B15023" t="str">
            <v>Kits de clases de materia</v>
          </cell>
        </row>
        <row r="15024">
          <cell r="A15024">
            <v>60104707</v>
          </cell>
          <cell r="B15024" t="str">
            <v>Manómetros</v>
          </cell>
        </row>
        <row r="15025">
          <cell r="A15025">
            <v>60104708</v>
          </cell>
          <cell r="B15025" t="str">
            <v>Aparato de difusión de gases</v>
          </cell>
        </row>
        <row r="15026">
          <cell r="A15026">
            <v>60104801</v>
          </cell>
          <cell r="B15026" t="str">
            <v>Generadores de ondas</v>
          </cell>
        </row>
        <row r="15027">
          <cell r="A15027">
            <v>60104802</v>
          </cell>
          <cell r="B15027" t="str">
            <v>Tanques de ondas</v>
          </cell>
        </row>
        <row r="15028">
          <cell r="A15028">
            <v>60104803</v>
          </cell>
          <cell r="B15028" t="str">
            <v>Fuentes de ondas</v>
          </cell>
        </row>
        <row r="15029">
          <cell r="A15029">
            <v>60104804</v>
          </cell>
          <cell r="B15029" t="str">
            <v>Sets de demostración de ondas</v>
          </cell>
        </row>
        <row r="15030">
          <cell r="A15030">
            <v>60104805</v>
          </cell>
          <cell r="B15030" t="str">
            <v>Diapasones</v>
          </cell>
        </row>
        <row r="15031">
          <cell r="A15031">
            <v>60104806</v>
          </cell>
          <cell r="B15031" t="str">
            <v>Demostradores del efecto doppler</v>
          </cell>
        </row>
        <row r="15032">
          <cell r="A15032">
            <v>60104807</v>
          </cell>
          <cell r="B15032" t="str">
            <v>Equipo de resonancia</v>
          </cell>
        </row>
        <row r="15033">
          <cell r="A15033">
            <v>60104808</v>
          </cell>
          <cell r="B15033" t="str">
            <v>Fonómetros</v>
          </cell>
        </row>
        <row r="15034">
          <cell r="A15034">
            <v>60104809</v>
          </cell>
          <cell r="B15034" t="str">
            <v>Aparato de ondas</v>
          </cell>
        </row>
        <row r="15035">
          <cell r="A15035">
            <v>60104810</v>
          </cell>
          <cell r="B15035" t="str">
            <v>Espectroscopios</v>
          </cell>
        </row>
        <row r="15036">
          <cell r="A15036">
            <v>60104811</v>
          </cell>
          <cell r="B15036" t="str">
            <v>Diagramas del espectro</v>
          </cell>
        </row>
        <row r="15037">
          <cell r="A15037">
            <v>60104812</v>
          </cell>
          <cell r="B15037" t="str">
            <v>Kits de demostración de la luz</v>
          </cell>
        </row>
        <row r="15038">
          <cell r="A15038">
            <v>60104813</v>
          </cell>
          <cell r="B15038" t="str">
            <v>Cartas o muestras de colores</v>
          </cell>
        </row>
        <row r="15039">
          <cell r="A15039">
            <v>60104814</v>
          </cell>
          <cell r="B15039" t="str">
            <v>Radiómetro</v>
          </cell>
        </row>
        <row r="15040">
          <cell r="A15040">
            <v>60104815</v>
          </cell>
          <cell r="B15040" t="str">
            <v>Equipo de refracción o reflexión</v>
          </cell>
        </row>
        <row r="15041">
          <cell r="A15041">
            <v>60104816</v>
          </cell>
          <cell r="B15041" t="str">
            <v>Sets o kits ópticos</v>
          </cell>
        </row>
        <row r="15042">
          <cell r="A15042">
            <v>60104901</v>
          </cell>
          <cell r="B15042" t="str">
            <v>Generadores de van de graff</v>
          </cell>
        </row>
        <row r="15043">
          <cell r="A15043">
            <v>60104902</v>
          </cell>
          <cell r="B15043" t="str">
            <v>Aparato de electrostática</v>
          </cell>
        </row>
        <row r="15044">
          <cell r="A15044">
            <v>60104903</v>
          </cell>
          <cell r="B15044" t="str">
            <v>Kits de electrostática</v>
          </cell>
        </row>
        <row r="15045">
          <cell r="A15045">
            <v>60104904</v>
          </cell>
          <cell r="B15045" t="str">
            <v>Kits de electricidad</v>
          </cell>
        </row>
        <row r="15046">
          <cell r="A15046">
            <v>60104905</v>
          </cell>
          <cell r="B15046" t="str">
            <v>Tableros de demostración de electricidad</v>
          </cell>
        </row>
        <row r="15047">
          <cell r="A15047">
            <v>60104906</v>
          </cell>
          <cell r="B15047" t="str">
            <v>Kits de baterías</v>
          </cell>
        </row>
        <row r="15048">
          <cell r="A15048">
            <v>60104907</v>
          </cell>
          <cell r="B15048" t="str">
            <v>Generadores portátiles</v>
          </cell>
        </row>
        <row r="15049">
          <cell r="A15049">
            <v>60104908</v>
          </cell>
          <cell r="B15049" t="str">
            <v>Aparato de electromagnetismo</v>
          </cell>
        </row>
        <row r="15050">
          <cell r="A15050">
            <v>60104909</v>
          </cell>
          <cell r="B15050" t="str">
            <v>Aparato de magnetismo</v>
          </cell>
        </row>
        <row r="15051">
          <cell r="A15051">
            <v>60104910</v>
          </cell>
          <cell r="B15051" t="str">
            <v>Electroimanes</v>
          </cell>
        </row>
        <row r="15052">
          <cell r="A15052">
            <v>60104911</v>
          </cell>
          <cell r="B15052" t="str">
            <v>Campanas eléctricas o accesorios</v>
          </cell>
        </row>
        <row r="15053">
          <cell r="A15053">
            <v>60104912</v>
          </cell>
          <cell r="B15053" t="str">
            <v>Alambres o cables eléctricos</v>
          </cell>
        </row>
        <row r="15054">
          <cell r="A15054">
            <v>60105001</v>
          </cell>
          <cell r="B15054" t="str">
            <v>Sets de radioactividad</v>
          </cell>
        </row>
        <row r="15055">
          <cell r="A15055">
            <v>60105002</v>
          </cell>
          <cell r="B15055" t="str">
            <v>Contadores geiger</v>
          </cell>
        </row>
        <row r="15056">
          <cell r="A15056">
            <v>60105003</v>
          </cell>
          <cell r="B15056" t="str">
            <v>Aparato de electrones</v>
          </cell>
        </row>
        <row r="15057">
          <cell r="A15057">
            <v>60105004</v>
          </cell>
          <cell r="B15057" t="str">
            <v>Señales de advertencia de radiación</v>
          </cell>
        </row>
        <row r="15058">
          <cell r="A15058">
            <v>60105005</v>
          </cell>
          <cell r="B15058" t="str">
            <v>Diapositivas de física nuclear</v>
          </cell>
        </row>
        <row r="15059">
          <cell r="A15059">
            <v>60105006</v>
          </cell>
          <cell r="B15059" t="str">
            <v>Diagramas de física nuclear</v>
          </cell>
        </row>
        <row r="15060">
          <cell r="A15060">
            <v>60105101</v>
          </cell>
          <cell r="B15060" t="str">
            <v>Sets de cohetes</v>
          </cell>
        </row>
        <row r="15061">
          <cell r="A15061">
            <v>60105102</v>
          </cell>
          <cell r="B15061" t="str">
            <v>Aparato de lanzamiento</v>
          </cell>
        </row>
        <row r="15062">
          <cell r="A15062">
            <v>60105103</v>
          </cell>
          <cell r="B15062" t="str">
            <v>Dispositivos para la medición de alturas</v>
          </cell>
        </row>
        <row r="15063">
          <cell r="A15063">
            <v>60105104</v>
          </cell>
          <cell r="B15063" t="str">
            <v>Kits de aviones</v>
          </cell>
        </row>
        <row r="15064">
          <cell r="A15064">
            <v>60105201</v>
          </cell>
          <cell r="B15064" t="str">
            <v>Materiales de enseñanza para desarrollar habilidades de escucha</v>
          </cell>
        </row>
        <row r="15065">
          <cell r="A15065">
            <v>60105202</v>
          </cell>
          <cell r="B15065" t="str">
            <v>Materiales de enseñanza de  habilidades de estudio</v>
          </cell>
        </row>
        <row r="15066">
          <cell r="A15066">
            <v>60105203</v>
          </cell>
          <cell r="B15066" t="str">
            <v>Materiales de enseñanza de preparación de exámenes</v>
          </cell>
        </row>
        <row r="15067">
          <cell r="A15067">
            <v>60105301</v>
          </cell>
          <cell r="B15067" t="str">
            <v>Materiales de enseñanza de habilidades para la educación o planificación o toma de decisiones para el trabajo</v>
          </cell>
        </row>
        <row r="15068">
          <cell r="A15068">
            <v>60105302</v>
          </cell>
          <cell r="B15068" t="str">
            <v>Materiales de enseñanza de  habilidades laborales básicas</v>
          </cell>
        </row>
        <row r="15069">
          <cell r="A15069">
            <v>60105303</v>
          </cell>
          <cell r="B15069" t="str">
            <v>Materiales de enseñanza de habilidades para la búsqueda de empleo</v>
          </cell>
        </row>
        <row r="15070">
          <cell r="A15070">
            <v>60105304</v>
          </cell>
          <cell r="B15070" t="str">
            <v>Materiales de enseñanza de habilidades para el manejo del tiempo</v>
          </cell>
        </row>
        <row r="15071">
          <cell r="A15071">
            <v>60105305</v>
          </cell>
          <cell r="B15071" t="str">
            <v>Materiales de enseñanza de habilidades para entrevistas</v>
          </cell>
        </row>
        <row r="15072">
          <cell r="A15072">
            <v>60105306</v>
          </cell>
          <cell r="B15072" t="str">
            <v>Materiales de enseñanza de habilidades para elaborar la hoja de vida</v>
          </cell>
        </row>
        <row r="15073">
          <cell r="A15073">
            <v>60105307</v>
          </cell>
          <cell r="B15073" t="str">
            <v>Materiales de enseñanza de formación de ética laboral o actitudes</v>
          </cell>
        </row>
        <row r="15074">
          <cell r="A15074">
            <v>60105308</v>
          </cell>
          <cell r="B15074" t="str">
            <v>Materiales de enseñanza para desarrollar habilidades de trabajo en equipo</v>
          </cell>
        </row>
        <row r="15075">
          <cell r="A15075">
            <v>60105309</v>
          </cell>
          <cell r="B15075" t="str">
            <v>Materiales de enseñanza de etiqueta empresarial</v>
          </cell>
        </row>
        <row r="15076">
          <cell r="A15076">
            <v>60105401</v>
          </cell>
          <cell r="B15076" t="str">
            <v>Materiales de enseñanza del manejo del dinero o de las finanzas personales</v>
          </cell>
        </row>
        <row r="15077">
          <cell r="A15077">
            <v>60105402</v>
          </cell>
          <cell r="B15077" t="str">
            <v>Materiales de enseñanza de habilidades de consumo y comparación de precios</v>
          </cell>
        </row>
        <row r="15078">
          <cell r="A15078">
            <v>60105403</v>
          </cell>
          <cell r="B15078" t="str">
            <v>Materiales de enseñanza de vida independiente</v>
          </cell>
        </row>
        <row r="15079">
          <cell r="A15079">
            <v>60105404</v>
          </cell>
          <cell r="B15079" t="str">
            <v>Materiales de enseñanza para la comprensión de los créditos o préstamos de consumo</v>
          </cell>
        </row>
        <row r="15080">
          <cell r="A15080">
            <v>60105405</v>
          </cell>
          <cell r="B15080" t="str">
            <v>Materiales de enseñanza de comparación o cobertura de seguros</v>
          </cell>
        </row>
        <row r="15081">
          <cell r="A15081">
            <v>60105406</v>
          </cell>
          <cell r="B15081" t="str">
            <v>Materiales de enseñanza para compra de casa</v>
          </cell>
        </row>
        <row r="15082">
          <cell r="A15082">
            <v>60105407</v>
          </cell>
          <cell r="B15082" t="str">
            <v>Materiales de enseñanza para alquiler de apartamento</v>
          </cell>
        </row>
        <row r="15083">
          <cell r="A15083">
            <v>60105408</v>
          </cell>
          <cell r="B15083" t="str">
            <v>Materiales de enseñanza para compra de carro</v>
          </cell>
        </row>
        <row r="15084">
          <cell r="A15084">
            <v>60105409</v>
          </cell>
          <cell r="B15084" t="str">
            <v>Materiales de enseñanza  de publicidad o comercialización de marcas</v>
          </cell>
        </row>
        <row r="15085">
          <cell r="A15085">
            <v>60105410</v>
          </cell>
          <cell r="B15085" t="str">
            <v>Materiales de enseñanza de habilidades para la vida en familia o para el establecimiento de relaciones</v>
          </cell>
        </row>
        <row r="15086">
          <cell r="A15086">
            <v>60105411</v>
          </cell>
          <cell r="B15086" t="str">
            <v>Materiales de enseñanza para el desarrollo de la autoestima y el autoconcepto</v>
          </cell>
        </row>
        <row r="15087">
          <cell r="A15087">
            <v>60105412</v>
          </cell>
          <cell r="B15087" t="str">
            <v>Materiales de enseñanza de prevención de la violencia o de educación para la evasión de la violencia</v>
          </cell>
        </row>
        <row r="15088">
          <cell r="A15088">
            <v>60105413</v>
          </cell>
          <cell r="B15088" t="str">
            <v>Materiales de enseñanza  de formación para el manejo de la ira</v>
          </cell>
        </row>
        <row r="15089">
          <cell r="A15089">
            <v>60105414</v>
          </cell>
          <cell r="B15089" t="str">
            <v>Materiales educativos para la enseñanza de la paciencia</v>
          </cell>
        </row>
        <row r="15090">
          <cell r="A15090">
            <v>60105415</v>
          </cell>
          <cell r="B15090" t="str">
            <v>Materiales de enseñanza de formación de la tolerancia</v>
          </cell>
        </row>
        <row r="15091">
          <cell r="A15091">
            <v>60105416</v>
          </cell>
          <cell r="B15091" t="str">
            <v>Materiales de enseñanza de seguridad personal</v>
          </cell>
        </row>
        <row r="15092">
          <cell r="A15092">
            <v>60105417</v>
          </cell>
          <cell r="B15092" t="str">
            <v>Materiales de enseñanza de resolución de conflictos personales</v>
          </cell>
        </row>
        <row r="15093">
          <cell r="A15093">
            <v>60105418</v>
          </cell>
          <cell r="B15093" t="str">
            <v>Guías de asesoramiento práctico para adolescentes</v>
          </cell>
        </row>
        <row r="15094">
          <cell r="A15094">
            <v>60105419</v>
          </cell>
          <cell r="B15094" t="str">
            <v>Materiales de enseñanza de desarrollo de aptitudes sociales</v>
          </cell>
        </row>
        <row r="15095">
          <cell r="A15095">
            <v>60105420</v>
          </cell>
          <cell r="B15095" t="str">
            <v>Materiales de enseñanza de modales o etiqueta o cortesía</v>
          </cell>
        </row>
        <row r="15096">
          <cell r="A15096">
            <v>60105421</v>
          </cell>
          <cell r="B15096" t="str">
            <v>Materiales de enseñanza para entender o tratar con la diversidad cultural</v>
          </cell>
        </row>
        <row r="15097">
          <cell r="A15097">
            <v>60105422</v>
          </cell>
          <cell r="B15097" t="str">
            <v>Materiales de enseñanza para interpretar el lenguaje corporal</v>
          </cell>
        </row>
        <row r="15098">
          <cell r="A15098">
            <v>60105423</v>
          </cell>
          <cell r="B15098" t="str">
            <v>Materiales de enseñanza para el desarrollo de la capacidad de adaptación</v>
          </cell>
        </row>
        <row r="15099">
          <cell r="A15099">
            <v>60105424</v>
          </cell>
          <cell r="B15099" t="str">
            <v>Materiales de enseñanza de comprensión del servicio a la comunidad</v>
          </cell>
        </row>
        <row r="15100">
          <cell r="A15100">
            <v>60105425</v>
          </cell>
          <cell r="B15100" t="str">
            <v>Materiales de enseñanza para el desarrollo de habilidades de negación</v>
          </cell>
        </row>
        <row r="15101">
          <cell r="A15101">
            <v>60105426</v>
          </cell>
          <cell r="B15101" t="str">
            <v>Materiales de enseñanza de habilidades de responsabilidad o toma de decisiones</v>
          </cell>
        </row>
        <row r="15102">
          <cell r="A15102">
            <v>60105427</v>
          </cell>
          <cell r="B15102" t="str">
            <v>Materiales de enseñanza de comprensión de los derechos legales de los adolescentes</v>
          </cell>
        </row>
        <row r="15103">
          <cell r="A15103">
            <v>60105428</v>
          </cell>
          <cell r="B15103" t="str">
            <v>Materiales de enseñanza de las repercusiones de la deserción escolar</v>
          </cell>
        </row>
        <row r="15104">
          <cell r="A15104">
            <v>60105429</v>
          </cell>
          <cell r="B15104" t="str">
            <v>Videos de las relaciones interraciales</v>
          </cell>
        </row>
        <row r="15105">
          <cell r="A15105">
            <v>60105501</v>
          </cell>
          <cell r="B15105" t="str">
            <v>Materiales de enseñanza de feng shui</v>
          </cell>
        </row>
        <row r="15106">
          <cell r="A15106">
            <v>60105502</v>
          </cell>
          <cell r="B15106" t="str">
            <v>Materiales de enseñanza para utilizar color o pintura para la decoración del hogar</v>
          </cell>
        </row>
        <row r="15107">
          <cell r="A15107">
            <v>60105503</v>
          </cell>
          <cell r="B15107" t="str">
            <v>Materiales de enseñanza  para la  planificación o diseño del hogar</v>
          </cell>
        </row>
        <row r="15108">
          <cell r="A15108">
            <v>60105504</v>
          </cell>
          <cell r="B15108" t="str">
            <v>Materiales de enseñanza de diseño de jardines</v>
          </cell>
        </row>
        <row r="15109">
          <cell r="A15109">
            <v>60105505</v>
          </cell>
          <cell r="B15109" t="str">
            <v>Materiales de enseñanza para la decoración o amueblamiento del hogar</v>
          </cell>
        </row>
        <row r="15110">
          <cell r="A15110">
            <v>60105601</v>
          </cell>
          <cell r="B15110" t="str">
            <v>Materiales de enseñanza de dietas balanceadas o pautas alimentarias</v>
          </cell>
        </row>
        <row r="15111">
          <cell r="A15111">
            <v>60105602</v>
          </cell>
          <cell r="B15111" t="str">
            <v>Materiales de enseñanza de habilidades de planificación de menús para planes de estudios de nutrición</v>
          </cell>
        </row>
        <row r="15112">
          <cell r="A15112">
            <v>60105603</v>
          </cell>
          <cell r="B15112" t="str">
            <v>Materiales de enseñanza de comprensión del etiquetado nutricional</v>
          </cell>
        </row>
        <row r="15113">
          <cell r="A15113">
            <v>60105604</v>
          </cell>
          <cell r="B15113" t="str">
            <v>Materiales de enseñanza de compra de alimentos</v>
          </cell>
        </row>
        <row r="15114">
          <cell r="A15114">
            <v>60105605</v>
          </cell>
          <cell r="B15114" t="str">
            <v>Módulos de demostración de opciones de alimentos saludables</v>
          </cell>
        </row>
        <row r="15115">
          <cell r="A15115">
            <v>60105606</v>
          </cell>
          <cell r="B15115" t="str">
            <v>Materiales de enseñanza de comprensión de los efectos de las grasas alimenticias</v>
          </cell>
        </row>
        <row r="15116">
          <cell r="A15116">
            <v>60105607</v>
          </cell>
          <cell r="B15116" t="str">
            <v>Materiales de enseñanza de comprensión del vegetarianismo</v>
          </cell>
        </row>
        <row r="15117">
          <cell r="A15117">
            <v>60105608</v>
          </cell>
          <cell r="B15117" t="str">
            <v>Libros de cocina o recetarios</v>
          </cell>
        </row>
        <row r="15118">
          <cell r="A15118">
            <v>60105609</v>
          </cell>
          <cell r="B15118" t="str">
            <v>Materiales de enseñanza de  educación acerca de los trastornos alimenticios</v>
          </cell>
        </row>
        <row r="15119">
          <cell r="A15119">
            <v>60105610</v>
          </cell>
          <cell r="B15119" t="str">
            <v>Materiales de enseñanza sobre el control de peso o el ejercicio</v>
          </cell>
        </row>
        <row r="15120">
          <cell r="A15120">
            <v>60105611</v>
          </cell>
          <cell r="B15120" t="str">
            <v>Materiales de enseñanza de la medición de sólidos o líquidos en la cocina</v>
          </cell>
        </row>
        <row r="15121">
          <cell r="A15121">
            <v>60105612</v>
          </cell>
          <cell r="B15121" t="str">
            <v>Materiales de enseñanza de equivalencias o matemáticas en la cocina</v>
          </cell>
        </row>
        <row r="15122">
          <cell r="A15122">
            <v>60105613</v>
          </cell>
          <cell r="B15122" t="str">
            <v>Materiales de enseñanza sobre los utensilios de cocina</v>
          </cell>
        </row>
        <row r="15123">
          <cell r="A15123">
            <v>60105614</v>
          </cell>
          <cell r="B15123" t="str">
            <v>Materiales de enseñanza sobre la higiene o la seguridad en la cocina</v>
          </cell>
        </row>
        <row r="15124">
          <cell r="A15124">
            <v>60105615</v>
          </cell>
          <cell r="B15124" t="str">
            <v>Materiales de enseñanza sobre la inocuidad de los alimentos</v>
          </cell>
        </row>
        <row r="15125">
          <cell r="A15125">
            <v>60105616</v>
          </cell>
          <cell r="B15125" t="str">
            <v>Materiales de enseñanza sobre actividades de la ciencia de los alimentos</v>
          </cell>
        </row>
        <row r="15126">
          <cell r="A15126">
            <v>60105617</v>
          </cell>
          <cell r="B15126" t="str">
            <v>Materiales de enseñanza de habilidades culinarias</v>
          </cell>
        </row>
        <row r="15127">
          <cell r="A15127">
            <v>60105618</v>
          </cell>
          <cell r="B15127" t="str">
            <v>Materiales de enseñanza de etiqueta o modales en la mesa</v>
          </cell>
        </row>
        <row r="15128">
          <cell r="A15128">
            <v>60105619</v>
          </cell>
          <cell r="B15128" t="str">
            <v>Materiales de enseñanza sobre cómo poner la mesa</v>
          </cell>
        </row>
        <row r="15129">
          <cell r="A15129">
            <v>60105620</v>
          </cell>
          <cell r="B15129" t="str">
            <v>Materiales de enseñanza de capacitación de los servicios de alimentación</v>
          </cell>
        </row>
        <row r="15130">
          <cell r="A15130">
            <v>60105621</v>
          </cell>
          <cell r="B15130" t="str">
            <v>Materiales de enseñanza de educación acerca del abuso de drogas o  tabaco o alcohol</v>
          </cell>
        </row>
        <row r="15131">
          <cell r="A15131">
            <v>60105622</v>
          </cell>
          <cell r="B15131" t="str">
            <v>Simuladores para fumar</v>
          </cell>
        </row>
        <row r="15132">
          <cell r="A15132">
            <v>60105623</v>
          </cell>
          <cell r="B15132" t="str">
            <v>Materiales de enseñanza de comprensión de las adicciones o cómo evitarlas</v>
          </cell>
        </row>
        <row r="15133">
          <cell r="A15133">
            <v>60105624</v>
          </cell>
          <cell r="B15133" t="str">
            <v>Materiales de enseñanza de los síntomas de depresión en adolescentes</v>
          </cell>
        </row>
        <row r="15134">
          <cell r="A15134">
            <v>60105625</v>
          </cell>
          <cell r="B15134" t="str">
            <v>Materiales de enseñanza de capacitación para evitar el suicidio de adolescentes</v>
          </cell>
        </row>
        <row r="15135">
          <cell r="A15135">
            <v>60105626</v>
          </cell>
          <cell r="B15135" t="str">
            <v>Materiales de enseñanza para lidiar con el estrés</v>
          </cell>
        </row>
        <row r="15136">
          <cell r="A15136">
            <v>60105701</v>
          </cell>
          <cell r="B15136" t="str">
            <v>Álbumes de recuerdos</v>
          </cell>
        </row>
        <row r="15137">
          <cell r="A15137">
            <v>60105702</v>
          </cell>
          <cell r="B15137" t="str">
            <v>Tornillos de extensión para álbumes de recuerdos</v>
          </cell>
        </row>
        <row r="15138">
          <cell r="A15138">
            <v>60105703</v>
          </cell>
          <cell r="B15138" t="str">
            <v>Papel para álbumes de recuerdos</v>
          </cell>
        </row>
        <row r="15139">
          <cell r="A15139">
            <v>60105704</v>
          </cell>
          <cell r="B15139" t="str">
            <v>Barras de pegante libres de ácido</v>
          </cell>
        </row>
        <row r="15140">
          <cell r="A15140">
            <v>60105705</v>
          </cell>
          <cell r="B15140" t="str">
            <v>Cinta pegante libre de ácido</v>
          </cell>
        </row>
        <row r="15141">
          <cell r="A15141">
            <v>60105801</v>
          </cell>
          <cell r="B15141" t="str">
            <v>Materiales de enseñanza de habilidades para la costura</v>
          </cell>
        </row>
        <row r="15142">
          <cell r="A15142">
            <v>60105802</v>
          </cell>
          <cell r="B15142" t="str">
            <v>Materiales para proyectos de costura</v>
          </cell>
        </row>
        <row r="15143">
          <cell r="A15143">
            <v>60105803</v>
          </cell>
          <cell r="B15143" t="str">
            <v>Materiales de enseñanza de comprensión de la confección o hechura de ropa</v>
          </cell>
        </row>
        <row r="15144">
          <cell r="A15144">
            <v>60105804</v>
          </cell>
          <cell r="B15144" t="str">
            <v>Materiales de enseñanza de diseño o modas de ropa</v>
          </cell>
        </row>
        <row r="15145">
          <cell r="A15145">
            <v>60105805</v>
          </cell>
          <cell r="B15145" t="str">
            <v>Materiales de enseñanza de análisis de colores personales</v>
          </cell>
        </row>
        <row r="15146">
          <cell r="A15146">
            <v>60105806</v>
          </cell>
          <cell r="B15146" t="str">
            <v>Materiales de enseñanza de los principios básicos de la comercialización de la moda o la venta al por  menor</v>
          </cell>
        </row>
        <row r="15147">
          <cell r="A15147">
            <v>60105807</v>
          </cell>
          <cell r="B15147" t="str">
            <v>Materiales de enseñanza de la ciencia de los tejidos o las fibras</v>
          </cell>
        </row>
        <row r="15148">
          <cell r="A15148">
            <v>60105808</v>
          </cell>
          <cell r="B15148" t="str">
            <v>Materiales de enseñanza del cuidado o mantenimiento o lavado de la ropa</v>
          </cell>
        </row>
        <row r="15149">
          <cell r="A15149">
            <v>60105809</v>
          </cell>
          <cell r="B15149" t="str">
            <v>Materiales para la enseñanza del arte del color en el diseño  de telas</v>
          </cell>
        </row>
        <row r="15150">
          <cell r="A15150">
            <v>60105810</v>
          </cell>
          <cell r="B15150" t="str">
            <v>Materiales de enseñanza sobre pinturas y tintes para telas</v>
          </cell>
        </row>
        <row r="15151">
          <cell r="A15151">
            <v>60105811</v>
          </cell>
          <cell r="B15151" t="str">
            <v>Materiales de enseñanza para proyectos de acolchado</v>
          </cell>
        </row>
        <row r="15152">
          <cell r="A15152">
            <v>60105901</v>
          </cell>
          <cell r="B15152" t="str">
            <v>Materiales de enseñanza de educación sexual o enfermedades de transmisión sexual</v>
          </cell>
        </row>
        <row r="15153">
          <cell r="A15153">
            <v>60105902</v>
          </cell>
          <cell r="B15153" t="str">
            <v>Materiales de enseñanza de recursos de nutrición prenatal o abuso fetal</v>
          </cell>
        </row>
        <row r="15154">
          <cell r="A15154">
            <v>60105903</v>
          </cell>
          <cell r="B15154" t="str">
            <v>Materiales de enseñanza de habilidades para la crianza de los hijos</v>
          </cell>
        </row>
        <row r="15155">
          <cell r="A15155">
            <v>60105904</v>
          </cell>
          <cell r="B15155" t="str">
            <v>Materiales de enseñanza sobre el desarrollo de niño</v>
          </cell>
        </row>
        <row r="15156">
          <cell r="A15156">
            <v>60105905</v>
          </cell>
          <cell r="B15156" t="str">
            <v>Materiales de enseñanza de comprensión de la violación en una cita o las habilidades para salir en cita o el acoso</v>
          </cell>
        </row>
        <row r="15157">
          <cell r="A15157">
            <v>60105906</v>
          </cell>
          <cell r="B15157" t="str">
            <v>Materiales de enseñanza de educación sobre el parto</v>
          </cell>
        </row>
        <row r="15158">
          <cell r="A15158">
            <v>60105907</v>
          </cell>
          <cell r="B15158" t="str">
            <v>Materiales de enseñanza sobre el embarazo, desde la concepción hasta el parto</v>
          </cell>
        </row>
        <row r="15159">
          <cell r="A15159">
            <v>60105908</v>
          </cell>
          <cell r="B15159" t="str">
            <v>Materiales de enseñanza de comprensión de los riesgos de defectos de nacimiento</v>
          </cell>
        </row>
        <row r="15160">
          <cell r="A15160">
            <v>60105909</v>
          </cell>
          <cell r="B15160" t="str">
            <v>Simuladores de embarazo</v>
          </cell>
        </row>
        <row r="15161">
          <cell r="A15161">
            <v>60105910</v>
          </cell>
          <cell r="B15161" t="str">
            <v>Simuladores de bebés y accesorios</v>
          </cell>
        </row>
        <row r="15162">
          <cell r="A15162">
            <v>60105911</v>
          </cell>
          <cell r="B15162" t="str">
            <v>Materiales de enseñanza de formación sobre puericultura</v>
          </cell>
        </row>
        <row r="15163">
          <cell r="A15163">
            <v>60105912</v>
          </cell>
          <cell r="B15163" t="str">
            <v>Materiales de enseñanza de comprensión del abuso infantil  físico o emocional</v>
          </cell>
        </row>
        <row r="15164">
          <cell r="A15164">
            <v>60105913</v>
          </cell>
          <cell r="B15164" t="str">
            <v>Materiales de enseñanza para padres sobre educación de habilidades para la disciplina</v>
          </cell>
        </row>
        <row r="15165">
          <cell r="A15165">
            <v>60105914</v>
          </cell>
          <cell r="B15165" t="str">
            <v>Materiales de enseñanza de seguridad del hogar o de protección para evitar usos indebidos por los niños</v>
          </cell>
        </row>
        <row r="15166">
          <cell r="A15166">
            <v>60105915</v>
          </cell>
          <cell r="B15166" t="str">
            <v>Materiales de enseñanza sobre resucitación cardiopulmonar o apoyo básico de vida</v>
          </cell>
        </row>
        <row r="15167">
          <cell r="A15167">
            <v>60105916</v>
          </cell>
          <cell r="B15167" t="str">
            <v>Materiales de enseñanza de comprensión de las enfermedades de la infancia</v>
          </cell>
        </row>
        <row r="15168">
          <cell r="A15168">
            <v>60105917</v>
          </cell>
          <cell r="B15168" t="str">
            <v>Materiales de enseñanza de comprensión del trastorno por déficit de atención con hiperactividad</v>
          </cell>
        </row>
        <row r="15169">
          <cell r="A15169">
            <v>60105918</v>
          </cell>
          <cell r="B15169" t="str">
            <v>Materiales de enseñanza para el cuidador de niños</v>
          </cell>
        </row>
        <row r="15170">
          <cell r="A15170">
            <v>60105919</v>
          </cell>
          <cell r="B15170" t="str">
            <v>Materiales de enseñanza para el cuidado de niños</v>
          </cell>
        </row>
        <row r="15171">
          <cell r="A15171">
            <v>60106001</v>
          </cell>
          <cell r="B15171" t="str">
            <v>Libros de ideas o recursos del plan de estudios de bachillerato básico</v>
          </cell>
        </row>
        <row r="15172">
          <cell r="A15172">
            <v>60106002</v>
          </cell>
          <cell r="B15172" t="str">
            <v>Libros de ideas o recursos del plan de estudios de bachillerato</v>
          </cell>
        </row>
        <row r="15173">
          <cell r="A15173">
            <v>60106003</v>
          </cell>
          <cell r="B15173" t="str">
            <v>Proyectos de estudio independiente de economía doméstica</v>
          </cell>
        </row>
        <row r="15174">
          <cell r="A15174">
            <v>60106004</v>
          </cell>
          <cell r="B15174" t="str">
            <v>Recursos o guías de proyectos o actividades de economía doméstica</v>
          </cell>
        </row>
        <row r="15175">
          <cell r="A15175">
            <v>60106101</v>
          </cell>
          <cell r="B15175" t="str">
            <v>Materiales didácticos sobre el automóvil</v>
          </cell>
        </row>
        <row r="15176">
          <cell r="A15176">
            <v>60106102</v>
          </cell>
          <cell r="B15176" t="str">
            <v>Materiales didácticos de construcción</v>
          </cell>
        </row>
        <row r="15177">
          <cell r="A15177">
            <v>60106103</v>
          </cell>
          <cell r="B15177" t="str">
            <v>Materiales didácticos de diseño o delineación</v>
          </cell>
        </row>
        <row r="15178">
          <cell r="A15178">
            <v>60106104</v>
          </cell>
          <cell r="B15178" t="str">
            <v>Materiales didácticos de electricidad o electrónica</v>
          </cell>
        </row>
        <row r="15179">
          <cell r="A15179">
            <v>60106105</v>
          </cell>
          <cell r="B15179" t="str">
            <v>Materiales didácticos de artes gráficas o fotografía</v>
          </cell>
        </row>
        <row r="15180">
          <cell r="A15180">
            <v>60106106</v>
          </cell>
          <cell r="B15180" t="str">
            <v>Materiales didácticos de  horticultura</v>
          </cell>
        </row>
        <row r="15181">
          <cell r="A15181">
            <v>60106107</v>
          </cell>
          <cell r="B15181" t="str">
            <v>Materiales didácticos de manufactura</v>
          </cell>
        </row>
        <row r="15182">
          <cell r="A15182">
            <v>60106108</v>
          </cell>
          <cell r="B15182" t="str">
            <v>Materiales didácticos de seguridad o peligro</v>
          </cell>
        </row>
        <row r="15183">
          <cell r="A15183">
            <v>60106109</v>
          </cell>
          <cell r="B15183" t="str">
            <v>Materiales didácticos de soldadura</v>
          </cell>
        </row>
        <row r="15184">
          <cell r="A15184">
            <v>60106201</v>
          </cell>
          <cell r="B15184" t="str">
            <v>Materiales didácticos de agricultura</v>
          </cell>
        </row>
        <row r="15185">
          <cell r="A15185">
            <v>60106202</v>
          </cell>
          <cell r="B15185" t="str">
            <v>Materiales didácticos de biotecnología</v>
          </cell>
        </row>
        <row r="15186">
          <cell r="A15186">
            <v>60106203</v>
          </cell>
          <cell r="B15186" t="str">
            <v>Materiales didácticos de comunicaciones</v>
          </cell>
        </row>
        <row r="15187">
          <cell r="A15187">
            <v>60106204</v>
          </cell>
          <cell r="B15187" t="str">
            <v>Materiales didácticos de informática</v>
          </cell>
        </row>
        <row r="15188">
          <cell r="A15188">
            <v>60106205</v>
          </cell>
          <cell r="B15188" t="str">
            <v>Materiales didácticos de energía o electricidad</v>
          </cell>
        </row>
        <row r="15189">
          <cell r="A15189">
            <v>60106206</v>
          </cell>
          <cell r="B15189" t="str">
            <v>Materiales didácticos del medio ambiente</v>
          </cell>
        </row>
        <row r="15190">
          <cell r="A15190">
            <v>60106207</v>
          </cell>
          <cell r="B15190" t="str">
            <v>Materiales didácticos de materiales</v>
          </cell>
        </row>
        <row r="15191">
          <cell r="A15191">
            <v>60106208</v>
          </cell>
          <cell r="B15191" t="str">
            <v>Materiales didácticos de medicina</v>
          </cell>
        </row>
        <row r="15192">
          <cell r="A15192">
            <v>60106209</v>
          </cell>
          <cell r="B15192" t="str">
            <v>Materiales didácticos de transporte</v>
          </cell>
        </row>
        <row r="15193">
          <cell r="A15193">
            <v>60106210</v>
          </cell>
          <cell r="B15193" t="str">
            <v>Materiales didácticos de sistemas de armas</v>
          </cell>
        </row>
        <row r="15194">
          <cell r="A15194">
            <v>60106211</v>
          </cell>
          <cell r="B15194" t="str">
            <v>Materiales didácticos del motor o sus partes</v>
          </cell>
        </row>
        <row r="15195">
          <cell r="A15195">
            <v>60106212</v>
          </cell>
          <cell r="B15195" t="str">
            <v>Materiales didácticos de instrumentos de navegación</v>
          </cell>
        </row>
        <row r="15196">
          <cell r="A15196">
            <v>60106213</v>
          </cell>
          <cell r="B15196" t="str">
            <v>Materiales didácticos de mecánica de fluidos o máquinas</v>
          </cell>
        </row>
        <row r="15197">
          <cell r="A15197">
            <v>60106214</v>
          </cell>
          <cell r="B15197" t="str">
            <v>Materiales didácticos de robótica</v>
          </cell>
        </row>
        <row r="15198">
          <cell r="A15198">
            <v>60106215</v>
          </cell>
          <cell r="B15198" t="str">
            <v>Materiales didácticos de sistemas de refrigeración</v>
          </cell>
        </row>
        <row r="15199">
          <cell r="A15199">
            <v>60106301</v>
          </cell>
          <cell r="B15199" t="str">
            <v>Kits de ciencias forenses</v>
          </cell>
        </row>
        <row r="15200">
          <cell r="A15200">
            <v>60106302</v>
          </cell>
          <cell r="B15200" t="str">
            <v>Materiales de enseñanza de ciencias forenses</v>
          </cell>
        </row>
        <row r="15201">
          <cell r="A15201">
            <v>60106401</v>
          </cell>
          <cell r="B15201" t="str">
            <v>Kits de electrónica</v>
          </cell>
        </row>
        <row r="15202">
          <cell r="A15202">
            <v>60106402</v>
          </cell>
          <cell r="B15202" t="str">
            <v>Suministros para la enseñanza de electrónica</v>
          </cell>
        </row>
        <row r="15203">
          <cell r="A15203">
            <v>60111001</v>
          </cell>
          <cell r="B15203" t="str">
            <v>Paquetes de gráficos</v>
          </cell>
        </row>
        <row r="15204">
          <cell r="A15204">
            <v>60111002</v>
          </cell>
          <cell r="B15204" t="str">
            <v>Gráficos para el salón de clase</v>
          </cell>
        </row>
        <row r="15205">
          <cell r="A15205">
            <v>60111003</v>
          </cell>
          <cell r="B15205" t="str">
            <v>Afiches o sets para el salón de clases</v>
          </cell>
        </row>
        <row r="15206">
          <cell r="A15206">
            <v>60111004</v>
          </cell>
          <cell r="B15206" t="str">
            <v>Afiches de creación  personal</v>
          </cell>
        </row>
        <row r="15207">
          <cell r="A15207">
            <v>60111005</v>
          </cell>
          <cell r="B15207" t="str">
            <v>Soportes de gráficos o accesorios</v>
          </cell>
        </row>
        <row r="15208">
          <cell r="A15208">
            <v>60111101</v>
          </cell>
          <cell r="B15208" t="str">
            <v>Sets de carteleras grandes</v>
          </cell>
        </row>
        <row r="15209">
          <cell r="A15209">
            <v>60111102</v>
          </cell>
          <cell r="B15209" t="str">
            <v>Sets de carteleras del calendario</v>
          </cell>
        </row>
        <row r="15210">
          <cell r="A15210">
            <v>60111103</v>
          </cell>
          <cell r="B15210" t="str">
            <v>Sets de carteleras para la primera infancia</v>
          </cell>
        </row>
        <row r="15211">
          <cell r="A15211">
            <v>60111104</v>
          </cell>
          <cell r="B15211" t="str">
            <v>Sets de carteleras de idiomas</v>
          </cell>
        </row>
        <row r="15212">
          <cell r="A15212">
            <v>60111105</v>
          </cell>
          <cell r="B15212" t="str">
            <v>Sets carteleras de matemáticas</v>
          </cell>
        </row>
        <row r="15213">
          <cell r="A15213">
            <v>60111106</v>
          </cell>
          <cell r="B15213" t="str">
            <v>Sets de carteleras multipropósito</v>
          </cell>
        </row>
        <row r="15214">
          <cell r="A15214">
            <v>60111107</v>
          </cell>
          <cell r="B15214" t="str">
            <v>Sets de carteleras de ciencias</v>
          </cell>
        </row>
        <row r="15215">
          <cell r="A15215">
            <v>60111108</v>
          </cell>
          <cell r="B15215" t="str">
            <v>Sets de carteleras de temporada</v>
          </cell>
        </row>
        <row r="15216">
          <cell r="A15216">
            <v>60111109</v>
          </cell>
          <cell r="B15216" t="str">
            <v>Sets de carteleras de ciencias sociales</v>
          </cell>
        </row>
        <row r="15217">
          <cell r="A15217">
            <v>60111201</v>
          </cell>
          <cell r="B15217" t="str">
            <v>Pendones para el salón de clase</v>
          </cell>
        </row>
        <row r="15218">
          <cell r="A15218">
            <v>60111202</v>
          </cell>
          <cell r="B15218" t="str">
            <v>Paquetes de bordes</v>
          </cell>
        </row>
        <row r="15219">
          <cell r="A15219">
            <v>60111203</v>
          </cell>
          <cell r="B15219" t="str">
            <v>Carteles para el salón de clase</v>
          </cell>
        </row>
        <row r="15220">
          <cell r="A15220">
            <v>60111204</v>
          </cell>
          <cell r="B15220" t="str">
            <v>Bordes o ribetes corrugados</v>
          </cell>
        </row>
        <row r="15221">
          <cell r="A15221">
            <v>60111205</v>
          </cell>
          <cell r="B15221" t="str">
            <v>Bordes o ribetes festoneados y troquelados con formas</v>
          </cell>
        </row>
        <row r="15222">
          <cell r="A15222">
            <v>60111206</v>
          </cell>
          <cell r="B15222" t="str">
            <v>Bordes o ribetes brillantes</v>
          </cell>
        </row>
        <row r="15223">
          <cell r="A15223">
            <v>60111207</v>
          </cell>
          <cell r="B15223" t="str">
            <v>Bordes o ribetes rectos</v>
          </cell>
        </row>
        <row r="15224">
          <cell r="A15224">
            <v>60111208</v>
          </cell>
          <cell r="B15224" t="str">
            <v>Almacenaje de bordes o ribetes</v>
          </cell>
        </row>
        <row r="15225">
          <cell r="A15225">
            <v>60111301</v>
          </cell>
          <cell r="B15225" t="str">
            <v>Bloques con letras o números</v>
          </cell>
        </row>
        <row r="15226">
          <cell r="A15226">
            <v>60111302</v>
          </cell>
          <cell r="B15226" t="str">
            <v>Letras o números sueltos</v>
          </cell>
        </row>
        <row r="15227">
          <cell r="A15227">
            <v>60111303</v>
          </cell>
          <cell r="B15227" t="str">
            <v>Letras o números en cursiva</v>
          </cell>
        </row>
        <row r="15228">
          <cell r="A15228">
            <v>60111304</v>
          </cell>
          <cell r="B15228" t="str">
            <v>Letras o números autoadhesivos</v>
          </cell>
        </row>
        <row r="15229">
          <cell r="A15229">
            <v>60111305</v>
          </cell>
          <cell r="B15229" t="str">
            <v>Letras o números brillantes</v>
          </cell>
        </row>
        <row r="15230">
          <cell r="A15230">
            <v>60111306</v>
          </cell>
          <cell r="B15230" t="str">
            <v>Letras o números para calcar</v>
          </cell>
        </row>
        <row r="15231">
          <cell r="A15231">
            <v>60111401</v>
          </cell>
          <cell r="B15231" t="str">
            <v>Kits de decoración para el salón de clase</v>
          </cell>
        </row>
        <row r="15232">
          <cell r="A15232">
            <v>60111402</v>
          </cell>
          <cell r="B15232" t="str">
            <v>Decoraciones para puertas</v>
          </cell>
        </row>
        <row r="15233">
          <cell r="A15233">
            <v>60111403</v>
          </cell>
          <cell r="B15233" t="str">
            <v>Móviles</v>
          </cell>
        </row>
        <row r="15234">
          <cell r="A15234">
            <v>60111404</v>
          </cell>
          <cell r="B15234" t="str">
            <v>Decoraciones de dos caras</v>
          </cell>
        </row>
        <row r="15235">
          <cell r="A15235">
            <v>60111405</v>
          </cell>
          <cell r="B15235" t="str">
            <v>Decoraciones para adherir a las ventanas</v>
          </cell>
        </row>
        <row r="15236">
          <cell r="A15236">
            <v>60111407</v>
          </cell>
          <cell r="B15236" t="str">
            <v>Sistemas decorativos de almacenaje</v>
          </cell>
        </row>
        <row r="15237">
          <cell r="A15237">
            <v>60111408</v>
          </cell>
          <cell r="B15237" t="str">
            <v>Cintas o cintas onduladas decorativas</v>
          </cell>
        </row>
        <row r="15238">
          <cell r="A15238">
            <v>60111409</v>
          </cell>
          <cell r="B15238" t="str">
            <v>Botones decorativos</v>
          </cell>
        </row>
        <row r="15239">
          <cell r="A15239">
            <v>60111410</v>
          </cell>
          <cell r="B15239" t="str">
            <v>Figuras o cuerdas decorativas</v>
          </cell>
        </row>
        <row r="15240">
          <cell r="A15240">
            <v>60111411</v>
          </cell>
          <cell r="B15240" t="str">
            <v>Aerosoles decorativos</v>
          </cell>
        </row>
        <row r="15241">
          <cell r="A15241">
            <v>60121001</v>
          </cell>
          <cell r="B15241" t="str">
            <v>Pinturas</v>
          </cell>
        </row>
        <row r="15242">
          <cell r="A15242">
            <v>60121002</v>
          </cell>
          <cell r="B15242" t="str">
            <v>Esculturas</v>
          </cell>
        </row>
        <row r="15243">
          <cell r="A15243">
            <v>60121003</v>
          </cell>
          <cell r="B15243" t="str">
            <v>Estatuas</v>
          </cell>
        </row>
        <row r="15244">
          <cell r="A15244">
            <v>60121004</v>
          </cell>
          <cell r="B15244" t="str">
            <v>Retratos</v>
          </cell>
        </row>
        <row r="15245">
          <cell r="A15245">
            <v>60121005</v>
          </cell>
          <cell r="B15245" t="str">
            <v>Dibujos</v>
          </cell>
        </row>
        <row r="15246">
          <cell r="A15246">
            <v>60121006</v>
          </cell>
          <cell r="B15246" t="str">
            <v>Cuadros</v>
          </cell>
        </row>
        <row r="15247">
          <cell r="A15247">
            <v>60121007</v>
          </cell>
          <cell r="B15247" t="str">
            <v>Litografías</v>
          </cell>
        </row>
        <row r="15248">
          <cell r="A15248">
            <v>60121008</v>
          </cell>
          <cell r="B15248" t="str">
            <v>Afiches</v>
          </cell>
        </row>
        <row r="15249">
          <cell r="A15249">
            <v>60121009</v>
          </cell>
          <cell r="B15249" t="str">
            <v>Vasija decorativa</v>
          </cell>
        </row>
        <row r="15250">
          <cell r="A15250">
            <v>60121010</v>
          </cell>
          <cell r="B15250" t="str">
            <v>Pergaminos</v>
          </cell>
        </row>
        <row r="15251">
          <cell r="A15251">
            <v>60121011</v>
          </cell>
          <cell r="B15251" t="str">
            <v>Fotografías</v>
          </cell>
        </row>
        <row r="15252">
          <cell r="A15252">
            <v>60121012</v>
          </cell>
          <cell r="B15252" t="str">
            <v>Adhesivos decorativos</v>
          </cell>
        </row>
        <row r="15253">
          <cell r="A15253">
            <v>60121101</v>
          </cell>
          <cell r="B15253" t="str">
            <v>Papel para dibujo de sulfito</v>
          </cell>
        </row>
        <row r="15254">
          <cell r="A15254">
            <v>60121102</v>
          </cell>
          <cell r="B15254" t="str">
            <v>Papel para dibujo de pasta de madera triturada</v>
          </cell>
        </row>
        <row r="15255">
          <cell r="A15255">
            <v>60121103</v>
          </cell>
          <cell r="B15255" t="str">
            <v>Papel para dibujo de calcar o pergamino</v>
          </cell>
        </row>
        <row r="15256">
          <cell r="A15256">
            <v>60121104</v>
          </cell>
          <cell r="B15256" t="str">
            <v>Papel bond para para dibujo</v>
          </cell>
        </row>
        <row r="15257">
          <cell r="A15257">
            <v>60121105</v>
          </cell>
          <cell r="B15257" t="str">
            <v>Papel de dibujo para carboncillo o pastel</v>
          </cell>
        </row>
        <row r="15258">
          <cell r="A15258">
            <v>60121106</v>
          </cell>
          <cell r="B15258" t="str">
            <v>Papel brístol para dibujo</v>
          </cell>
        </row>
        <row r="15259">
          <cell r="A15259">
            <v>60121107</v>
          </cell>
          <cell r="B15259" t="str">
            <v>Hojas de papel para acuarela</v>
          </cell>
        </row>
        <row r="15260">
          <cell r="A15260">
            <v>60121108</v>
          </cell>
          <cell r="B15260" t="str">
            <v>Cuadernos de papel para acuarela</v>
          </cell>
        </row>
        <row r="15261">
          <cell r="A15261">
            <v>60121109</v>
          </cell>
          <cell r="B15261" t="str">
            <v>Blocs de papel para acuarela</v>
          </cell>
        </row>
        <row r="15262">
          <cell r="A15262">
            <v>60121110</v>
          </cell>
          <cell r="B15262" t="str">
            <v>Papel para pintura dactilar</v>
          </cell>
        </row>
        <row r="15263">
          <cell r="A15263">
            <v>60121111</v>
          </cell>
          <cell r="B15263" t="str">
            <v>Cartulina de sulfito</v>
          </cell>
        </row>
        <row r="15264">
          <cell r="A15264">
            <v>60121112</v>
          </cell>
          <cell r="B15264" t="str">
            <v>Cartulina de pasta de madera triturada</v>
          </cell>
        </row>
        <row r="15265">
          <cell r="A15265">
            <v>60121113</v>
          </cell>
          <cell r="B15265" t="str">
            <v>Cartulina metalizada</v>
          </cell>
        </row>
        <row r="15266">
          <cell r="A15266">
            <v>60121114</v>
          </cell>
          <cell r="B15266" t="str">
            <v>Papeles para manualidades de origami</v>
          </cell>
        </row>
        <row r="15267">
          <cell r="A15267">
            <v>60121115</v>
          </cell>
          <cell r="B15267" t="str">
            <v>Confeti de plástico o de papel</v>
          </cell>
        </row>
        <row r="15268">
          <cell r="A15268">
            <v>60121116</v>
          </cell>
          <cell r="B15268" t="str">
            <v>Papel crepé para manualidades</v>
          </cell>
        </row>
        <row r="15269">
          <cell r="A15269">
            <v>60121117</v>
          </cell>
          <cell r="B15269" t="str">
            <v>Papel de seda para manualidades</v>
          </cell>
        </row>
        <row r="15270">
          <cell r="A15270">
            <v>60121118</v>
          </cell>
          <cell r="B15270" t="str">
            <v>Papel corrugado para manualidades</v>
          </cell>
        </row>
        <row r="15271">
          <cell r="A15271">
            <v>60121119</v>
          </cell>
          <cell r="B15271" t="str">
            <v>Papel con impresión de patrones para manualidades</v>
          </cell>
        </row>
        <row r="15272">
          <cell r="A15272">
            <v>60121120</v>
          </cell>
          <cell r="B15272" t="str">
            <v>Papel para manualidades autoadhesivo</v>
          </cell>
        </row>
        <row r="15273">
          <cell r="A15273">
            <v>60121121</v>
          </cell>
          <cell r="B15273" t="str">
            <v>Papel fluorescente</v>
          </cell>
        </row>
        <row r="15274">
          <cell r="A15274">
            <v>60121123</v>
          </cell>
          <cell r="B15274" t="str">
            <v>Papel hecho a mano</v>
          </cell>
        </row>
        <row r="15275">
          <cell r="A15275">
            <v>60121124</v>
          </cell>
          <cell r="B15275" t="str">
            <v>Papel kraft</v>
          </cell>
        </row>
        <row r="15276">
          <cell r="A15276">
            <v>60121125</v>
          </cell>
          <cell r="B15276" t="str">
            <v>Paneles de lienzo</v>
          </cell>
        </row>
        <row r="15277">
          <cell r="A15277">
            <v>60121126</v>
          </cell>
          <cell r="B15277" t="str">
            <v>Lienzo preestirado</v>
          </cell>
        </row>
        <row r="15278">
          <cell r="A15278">
            <v>60121127</v>
          </cell>
          <cell r="B15278" t="str">
            <v>Lienzo imprimado</v>
          </cell>
        </row>
        <row r="15279">
          <cell r="A15279">
            <v>60121128</v>
          </cell>
          <cell r="B15279" t="str">
            <v>Lienzo sin imprimar</v>
          </cell>
        </row>
        <row r="15280">
          <cell r="A15280">
            <v>60121129</v>
          </cell>
          <cell r="B15280" t="str">
            <v>Paneles de madera comprimida</v>
          </cell>
        </row>
        <row r="15281">
          <cell r="A15281">
            <v>60121130</v>
          </cell>
          <cell r="B15281" t="str">
            <v>Cuadernos de papel imitación lienzo</v>
          </cell>
        </row>
        <row r="15282">
          <cell r="A15282">
            <v>60121131</v>
          </cell>
          <cell r="B15282" t="str">
            <v>Papel japonés para grabado</v>
          </cell>
        </row>
        <row r="15283">
          <cell r="A15283">
            <v>60121132</v>
          </cell>
          <cell r="B15283" t="str">
            <v>Papel para grabado para huecograbado o litografía</v>
          </cell>
        </row>
        <row r="15284">
          <cell r="A15284">
            <v>60121133</v>
          </cell>
          <cell r="B15284" t="str">
            <v>Papel para grabado para impresión xilográfica</v>
          </cell>
        </row>
        <row r="15285">
          <cell r="A15285">
            <v>60121134</v>
          </cell>
          <cell r="B15285" t="str">
            <v>Papel metálico</v>
          </cell>
        </row>
        <row r="15286">
          <cell r="A15286">
            <v>60121135</v>
          </cell>
          <cell r="B15286" t="str">
            <v>Películas de acetato, vinilo o poliéster</v>
          </cell>
        </row>
        <row r="15287">
          <cell r="A15287">
            <v>60121136</v>
          </cell>
          <cell r="B15287" t="str">
            <v>Películas de celofán</v>
          </cell>
        </row>
        <row r="15288">
          <cell r="A15288">
            <v>60121137</v>
          </cell>
          <cell r="B15288" t="str">
            <v>Hojas de acrílico</v>
          </cell>
        </row>
        <row r="15289">
          <cell r="A15289">
            <v>60121138</v>
          </cell>
          <cell r="B15289" t="str">
            <v>Tableros de ilustración</v>
          </cell>
        </row>
        <row r="15290">
          <cell r="A15290">
            <v>60121139</v>
          </cell>
          <cell r="B15290" t="str">
            <v>Láminas de paspartú</v>
          </cell>
        </row>
        <row r="15291">
          <cell r="A15291">
            <v>60121140</v>
          </cell>
          <cell r="B15291" t="str">
            <v>Tablero de montaje</v>
          </cell>
        </row>
        <row r="15292">
          <cell r="A15292">
            <v>60121141</v>
          </cell>
          <cell r="B15292" t="str">
            <v>Tablero de montaje de núcleo de espuma</v>
          </cell>
        </row>
        <row r="15293">
          <cell r="A15293">
            <v>60121142</v>
          </cell>
          <cell r="B15293" t="str">
            <v>Cartón duro o cartón de colores de dos caras</v>
          </cell>
        </row>
        <row r="15294">
          <cell r="A15294">
            <v>60121143</v>
          </cell>
          <cell r="B15294" t="str">
            <v>Tablero para presentaciones</v>
          </cell>
        </row>
        <row r="15295">
          <cell r="A15295">
            <v>60121144</v>
          </cell>
          <cell r="B15295" t="str">
            <v>Papeles borrador para arte</v>
          </cell>
        </row>
        <row r="15296">
          <cell r="A15296">
            <v>60121145</v>
          </cell>
          <cell r="B15296" t="str">
            <v>Carteles borrador para arte</v>
          </cell>
        </row>
        <row r="15297">
          <cell r="A15297">
            <v>60121146</v>
          </cell>
          <cell r="B15297" t="str">
            <v>Accesorios borrador para arte</v>
          </cell>
        </row>
        <row r="15298">
          <cell r="A15298">
            <v>60121147</v>
          </cell>
          <cell r="B15298" t="str">
            <v>Papel brillante</v>
          </cell>
        </row>
        <row r="15299">
          <cell r="A15299">
            <v>60121148</v>
          </cell>
          <cell r="B15299" t="str">
            <v>Cartones de colores</v>
          </cell>
        </row>
        <row r="15300">
          <cell r="A15300">
            <v>60121149</v>
          </cell>
          <cell r="B15300" t="str">
            <v>Papel vegetal prensado</v>
          </cell>
        </row>
        <row r="15301">
          <cell r="A15301">
            <v>60121150</v>
          </cell>
          <cell r="B15301" t="str">
            <v>Papel de construcción</v>
          </cell>
        </row>
        <row r="15302">
          <cell r="A15302">
            <v>60121151</v>
          </cell>
          <cell r="B15302" t="str">
            <v>Accesorios o tableros para dibujo o bosquejo</v>
          </cell>
        </row>
        <row r="15303">
          <cell r="A15303">
            <v>60121152</v>
          </cell>
          <cell r="B15303" t="str">
            <v>Tablillas de escritura</v>
          </cell>
        </row>
        <row r="15304">
          <cell r="A15304">
            <v>60121153</v>
          </cell>
          <cell r="B15304" t="str">
            <v>Hojas de transferencia</v>
          </cell>
        </row>
        <row r="15305">
          <cell r="A15305">
            <v>60121201</v>
          </cell>
          <cell r="B15305" t="str">
            <v>Pintura témpera líquida tradicional</v>
          </cell>
        </row>
        <row r="15306">
          <cell r="A15306">
            <v>60121202</v>
          </cell>
          <cell r="B15306" t="str">
            <v>Pintura témpera líquida contemporánea</v>
          </cell>
        </row>
        <row r="15307">
          <cell r="A15307">
            <v>60121203</v>
          </cell>
          <cell r="B15307" t="str">
            <v>Pintura témpera en polvo</v>
          </cell>
        </row>
        <row r="15308">
          <cell r="A15308">
            <v>60121204</v>
          </cell>
          <cell r="B15308" t="str">
            <v>Pintura témpera lavable</v>
          </cell>
        </row>
        <row r="15309">
          <cell r="A15309">
            <v>60121205</v>
          </cell>
          <cell r="B15309" t="str">
            <v>Pastillas de témpera</v>
          </cell>
        </row>
        <row r="15310">
          <cell r="A15310">
            <v>60121206</v>
          </cell>
          <cell r="B15310" t="str">
            <v>Pintura líquida para cuerpo o cara</v>
          </cell>
        </row>
        <row r="15311">
          <cell r="A15311">
            <v>60121207</v>
          </cell>
          <cell r="B15311" t="str">
            <v>Pintura en pasta para cuerpo o cara</v>
          </cell>
        </row>
        <row r="15312">
          <cell r="A15312">
            <v>60121208</v>
          </cell>
          <cell r="B15312" t="str">
            <v>Pintura de marcador para cuerpo o cara</v>
          </cell>
        </row>
        <row r="15313">
          <cell r="A15313">
            <v>60121209</v>
          </cell>
          <cell r="B15313" t="str">
            <v>Pintura de tatuaje provisional</v>
          </cell>
        </row>
        <row r="15314">
          <cell r="A15314">
            <v>60121210</v>
          </cell>
          <cell r="B15314" t="str">
            <v>Pintura dactilar  lavable</v>
          </cell>
        </row>
        <row r="15315">
          <cell r="A15315">
            <v>60121211</v>
          </cell>
          <cell r="B15315" t="str">
            <v>Pintura acrílica estilo escolar</v>
          </cell>
        </row>
        <row r="15316">
          <cell r="A15316">
            <v>60121212</v>
          </cell>
          <cell r="B15316" t="str">
            <v>Pintura acrílica para aerógrafo</v>
          </cell>
        </row>
        <row r="15317">
          <cell r="A15317">
            <v>60121213</v>
          </cell>
          <cell r="B15317" t="str">
            <v>Pinturas o medios al oleo sintéticos tratados con calor</v>
          </cell>
        </row>
        <row r="15318">
          <cell r="A15318">
            <v>60121214</v>
          </cell>
          <cell r="B15318" t="str">
            <v>Pinturas o medios al óleo solubles en agua</v>
          </cell>
        </row>
        <row r="15319">
          <cell r="A15319">
            <v>60121215</v>
          </cell>
          <cell r="B15319" t="str">
            <v>Pintura removible de baja viscosidad para vidrio o cerámica</v>
          </cell>
        </row>
        <row r="15320">
          <cell r="A15320">
            <v>60121216</v>
          </cell>
          <cell r="B15320" t="str">
            <v>Pintura permanente de baja viscosidad para vidrio o cerámica</v>
          </cell>
        </row>
        <row r="15321">
          <cell r="A15321">
            <v>60121217</v>
          </cell>
          <cell r="B15321" t="str">
            <v>Pintura gel removible de alta viscosidad para vidrio o cerámica</v>
          </cell>
        </row>
        <row r="15322">
          <cell r="A15322">
            <v>60121218</v>
          </cell>
          <cell r="B15322" t="str">
            <v>Pintura gel permanente de alta viscosidad para vidrio o cerámica</v>
          </cell>
        </row>
        <row r="15323">
          <cell r="A15323">
            <v>60121219</v>
          </cell>
          <cell r="B15323" t="str">
            <v>Pintura para cerámica o vidrio horneado</v>
          </cell>
        </row>
        <row r="15324">
          <cell r="A15324">
            <v>60121220</v>
          </cell>
          <cell r="B15324" t="str">
            <v>Pintura para vidrio o cerámica de sistema de marcador</v>
          </cell>
        </row>
        <row r="15325">
          <cell r="A15325">
            <v>60121221</v>
          </cell>
          <cell r="B15325" t="str">
            <v>Pintura de acuarela de platillo</v>
          </cell>
        </row>
        <row r="15326">
          <cell r="A15326">
            <v>60121222</v>
          </cell>
          <cell r="B15326" t="str">
            <v>Pintura de acuarela en tubo</v>
          </cell>
        </row>
        <row r="15327">
          <cell r="A15327">
            <v>60121223</v>
          </cell>
          <cell r="B15327" t="str">
            <v>Pintura de acuarela líquida</v>
          </cell>
        </row>
        <row r="15328">
          <cell r="A15328">
            <v>60121224</v>
          </cell>
          <cell r="B15328" t="str">
            <v>Pintura de enmascarar para acuarela líquida</v>
          </cell>
        </row>
        <row r="15329">
          <cell r="A15329">
            <v>60121225</v>
          </cell>
          <cell r="B15329" t="str">
            <v>Medios para pintura de acuarela</v>
          </cell>
        </row>
        <row r="15330">
          <cell r="A15330">
            <v>60121226</v>
          </cell>
          <cell r="B15330" t="str">
            <v>Pinceles para acuarela</v>
          </cell>
        </row>
        <row r="15331">
          <cell r="A15331">
            <v>60121227</v>
          </cell>
          <cell r="B15331" t="str">
            <v>Pinceles orientales</v>
          </cell>
        </row>
        <row r="15332">
          <cell r="A15332">
            <v>60121228</v>
          </cell>
          <cell r="B15332" t="str">
            <v>Pinceles de utilidad</v>
          </cell>
        </row>
        <row r="15333">
          <cell r="A15333">
            <v>60121229</v>
          </cell>
          <cell r="B15333" t="str">
            <v>Pinceles especializados</v>
          </cell>
        </row>
        <row r="15334">
          <cell r="A15334">
            <v>60121230</v>
          </cell>
          <cell r="B15334" t="str">
            <v>Pinceles de caballete</v>
          </cell>
        </row>
        <row r="15335">
          <cell r="A15335">
            <v>60121231</v>
          </cell>
          <cell r="B15335" t="str">
            <v>Espátulas de paleta</v>
          </cell>
        </row>
        <row r="15336">
          <cell r="A15336">
            <v>60121232</v>
          </cell>
          <cell r="B15336" t="str">
            <v>Rodillos para impresión a mano</v>
          </cell>
        </row>
        <row r="15337">
          <cell r="A15337">
            <v>60121233</v>
          </cell>
          <cell r="B15337" t="str">
            <v>Sellos de esponja</v>
          </cell>
        </row>
        <row r="15338">
          <cell r="A15338">
            <v>60121234</v>
          </cell>
          <cell r="B15338" t="str">
            <v>Espátulas para aplicación de pintura</v>
          </cell>
        </row>
        <row r="15339">
          <cell r="A15339">
            <v>60121235</v>
          </cell>
          <cell r="B15339" t="str">
            <v>Pipetas para mezclar pinturas o tintes</v>
          </cell>
        </row>
        <row r="15340">
          <cell r="A15340">
            <v>60121236</v>
          </cell>
          <cell r="B15340" t="str">
            <v>Peinillas o utensilios para aplicación de pintura o tinta</v>
          </cell>
        </row>
        <row r="15341">
          <cell r="A15341">
            <v>60121237</v>
          </cell>
          <cell r="B15341" t="str">
            <v>Paletas para mezclar pintura o tinta</v>
          </cell>
        </row>
        <row r="15342">
          <cell r="A15342">
            <v>60121238</v>
          </cell>
          <cell r="B15342" t="str">
            <v>Vasijas para pintura o para mezclar o almacenar pintura</v>
          </cell>
        </row>
        <row r="15343">
          <cell r="A15343">
            <v>60121239</v>
          </cell>
          <cell r="B15343" t="str">
            <v>Botellas o tazas para pintura</v>
          </cell>
        </row>
        <row r="15344">
          <cell r="A15344">
            <v>60121241</v>
          </cell>
          <cell r="B15344" t="str">
            <v>Productos de limpieza de utensilios o pinceles</v>
          </cell>
        </row>
        <row r="15345">
          <cell r="A15345">
            <v>60121242</v>
          </cell>
          <cell r="B15345" t="str">
            <v>Delantales para pintar</v>
          </cell>
        </row>
        <row r="15346">
          <cell r="A15346">
            <v>60121243</v>
          </cell>
          <cell r="B15346" t="str">
            <v>Blusones para artistas</v>
          </cell>
        </row>
        <row r="15347">
          <cell r="A15347">
            <v>60121244</v>
          </cell>
          <cell r="B15347" t="str">
            <v>Tiras extensoras</v>
          </cell>
        </row>
        <row r="15348">
          <cell r="A15348">
            <v>60121245</v>
          </cell>
          <cell r="B15348" t="str">
            <v>Extensores de lienzo</v>
          </cell>
        </row>
        <row r="15349">
          <cell r="A15349">
            <v>60121246</v>
          </cell>
          <cell r="B15349" t="str">
            <v>Caballetes metálicos</v>
          </cell>
        </row>
        <row r="15350">
          <cell r="A15350">
            <v>60121247</v>
          </cell>
          <cell r="B15350" t="str">
            <v>Caballetes de madera</v>
          </cell>
        </row>
        <row r="15351">
          <cell r="A15351">
            <v>60121248</v>
          </cell>
          <cell r="B15351" t="str">
            <v>Caballetes de sobremesa</v>
          </cell>
        </row>
        <row r="15352">
          <cell r="A15352">
            <v>60121249</v>
          </cell>
          <cell r="B15352" t="str">
            <v>Caballetes de presentación</v>
          </cell>
        </row>
        <row r="15353">
          <cell r="A15353">
            <v>60121250</v>
          </cell>
          <cell r="B15353" t="str">
            <v>Portafolio para dibujos</v>
          </cell>
        </row>
        <row r="15354">
          <cell r="A15354">
            <v>60121251</v>
          </cell>
          <cell r="B15354" t="str">
            <v>Pintura al gouache</v>
          </cell>
        </row>
        <row r="15355">
          <cell r="A15355">
            <v>60121252</v>
          </cell>
          <cell r="B15355" t="str">
            <v>Bandejas para pinturas</v>
          </cell>
        </row>
        <row r="15356">
          <cell r="A15356">
            <v>60121253</v>
          </cell>
          <cell r="B15356" t="str">
            <v>Aerógrafos para arte</v>
          </cell>
        </row>
        <row r="15357">
          <cell r="A15357">
            <v>60121301</v>
          </cell>
          <cell r="B15357" t="str">
            <v>Guillotinas para cortar papel</v>
          </cell>
        </row>
        <row r="15358">
          <cell r="A15358">
            <v>60121302</v>
          </cell>
          <cell r="B15358" t="str">
            <v>Cortadora de paspartú</v>
          </cell>
        </row>
        <row r="15359">
          <cell r="A15359">
            <v>60121303</v>
          </cell>
          <cell r="B15359" t="str">
            <v>Cuchillas para paspartú</v>
          </cell>
        </row>
        <row r="15360">
          <cell r="A15360">
            <v>60121304</v>
          </cell>
          <cell r="B15360" t="str">
            <v>Espátulas de artista</v>
          </cell>
        </row>
        <row r="15361">
          <cell r="A15361">
            <v>60121305</v>
          </cell>
          <cell r="B15361" t="str">
            <v>Cortador rotativo de tela o papel</v>
          </cell>
        </row>
        <row r="15362">
          <cell r="A15362">
            <v>60121306</v>
          </cell>
          <cell r="B15362" t="str">
            <v>Cortadoras de papel en círculos u óvalos</v>
          </cell>
        </row>
        <row r="15363">
          <cell r="A15363">
            <v>60121401</v>
          </cell>
          <cell r="B15363" t="str">
            <v>Marcos de madera preensamblados</v>
          </cell>
        </row>
        <row r="15364">
          <cell r="A15364">
            <v>60121402</v>
          </cell>
          <cell r="B15364" t="str">
            <v>Marcos de secciones de madera</v>
          </cell>
        </row>
        <row r="15365">
          <cell r="A15365">
            <v>60121403</v>
          </cell>
          <cell r="B15365" t="str">
            <v>Marcos metálicos preensamblados</v>
          </cell>
        </row>
        <row r="15366">
          <cell r="A15366">
            <v>60121404</v>
          </cell>
          <cell r="B15366" t="str">
            <v>Marcos de secciones de metal</v>
          </cell>
        </row>
        <row r="15367">
          <cell r="A15367">
            <v>60121405</v>
          </cell>
          <cell r="B15367" t="str">
            <v>Marcos  ajustables</v>
          </cell>
        </row>
        <row r="15368">
          <cell r="A15368">
            <v>60121406</v>
          </cell>
          <cell r="B15368" t="str">
            <v>Marcos de plástico</v>
          </cell>
        </row>
        <row r="15369">
          <cell r="A15369">
            <v>60121407</v>
          </cell>
          <cell r="B15369" t="str">
            <v>Marcos en forma de cubo transparente</v>
          </cell>
        </row>
        <row r="15370">
          <cell r="A15370">
            <v>60121408</v>
          </cell>
          <cell r="B15370" t="str">
            <v>Clavadoras de puntillas o accesorios para marcos</v>
          </cell>
        </row>
        <row r="15371">
          <cell r="A15371">
            <v>60121409</v>
          </cell>
          <cell r="B15371" t="str">
            <v>Caja de ingletes</v>
          </cell>
        </row>
        <row r="15372">
          <cell r="A15372">
            <v>60121410</v>
          </cell>
          <cell r="B15372" t="str">
            <v>Dispositivos para colgar cuadros</v>
          </cell>
        </row>
        <row r="15373">
          <cell r="A15373">
            <v>60121411</v>
          </cell>
          <cell r="B15373" t="str">
            <v>Paneles acrílicos para marcos</v>
          </cell>
        </row>
        <row r="15374">
          <cell r="A15374">
            <v>60121412</v>
          </cell>
          <cell r="B15374" t="str">
            <v>Paneles de vidrio para marcos</v>
          </cell>
        </row>
        <row r="15375">
          <cell r="A15375">
            <v>60121413</v>
          </cell>
          <cell r="B15375" t="str">
            <v>Organizadores o álbumes para fotos</v>
          </cell>
        </row>
        <row r="15376">
          <cell r="A15376">
            <v>60121414</v>
          </cell>
          <cell r="B15376" t="str">
            <v>Monturas magnéticas para marcos</v>
          </cell>
        </row>
        <row r="15377">
          <cell r="A15377">
            <v>60121415</v>
          </cell>
          <cell r="B15377" t="str">
            <v>Kits de marcos</v>
          </cell>
        </row>
        <row r="15378">
          <cell r="A15378">
            <v>60121501</v>
          </cell>
          <cell r="B15378" t="str">
            <v>Marcadores a base de agua</v>
          </cell>
        </row>
        <row r="15379">
          <cell r="A15379">
            <v>60121502</v>
          </cell>
          <cell r="B15379" t="str">
            <v>Marcadores de base disolvente</v>
          </cell>
        </row>
        <row r="15380">
          <cell r="A15380">
            <v>60121503</v>
          </cell>
          <cell r="B15380" t="str">
            <v>Marcadores lavables</v>
          </cell>
        </row>
        <row r="15381">
          <cell r="A15381">
            <v>60121504</v>
          </cell>
          <cell r="B15381" t="str">
            <v>Marcadores para caligrafía</v>
          </cell>
        </row>
        <row r="15382">
          <cell r="A15382">
            <v>60121505</v>
          </cell>
          <cell r="B15382" t="str">
            <v>Marcadores de tela</v>
          </cell>
        </row>
        <row r="15383">
          <cell r="A15383">
            <v>60121506</v>
          </cell>
          <cell r="B15383" t="str">
            <v>Marcadores metálicos</v>
          </cell>
        </row>
        <row r="15384">
          <cell r="A15384">
            <v>60121507</v>
          </cell>
          <cell r="B15384" t="str">
            <v>Marcadores de témpera o tiza para ventanas</v>
          </cell>
        </row>
        <row r="15385">
          <cell r="A15385">
            <v>60121508</v>
          </cell>
          <cell r="B15385" t="str">
            <v>Marcadores de pintura</v>
          </cell>
        </row>
        <row r="15386">
          <cell r="A15386">
            <v>60121509</v>
          </cell>
          <cell r="B15386" t="str">
            <v>Crayones de cera</v>
          </cell>
        </row>
        <row r="15387">
          <cell r="A15387">
            <v>60121510</v>
          </cell>
          <cell r="B15387" t="str">
            <v>Crayones de base de soya</v>
          </cell>
        </row>
        <row r="15388">
          <cell r="A15388">
            <v>60121511</v>
          </cell>
          <cell r="B15388" t="str">
            <v>Crayones especializados</v>
          </cell>
        </row>
        <row r="15389">
          <cell r="A15389">
            <v>60121512</v>
          </cell>
          <cell r="B15389" t="str">
            <v>Crayones de acuarela</v>
          </cell>
        </row>
        <row r="15390">
          <cell r="A15390">
            <v>60121513</v>
          </cell>
          <cell r="B15390" t="str">
            <v>Pastel seco</v>
          </cell>
        </row>
        <row r="15391">
          <cell r="A15391">
            <v>60121514</v>
          </cell>
          <cell r="B15391" t="str">
            <v>Pastel de tiza</v>
          </cell>
        </row>
        <row r="15392">
          <cell r="A15392">
            <v>60121515</v>
          </cell>
          <cell r="B15392" t="str">
            <v>Pastel a base de aceite</v>
          </cell>
        </row>
        <row r="15393">
          <cell r="A15393">
            <v>60121516</v>
          </cell>
          <cell r="B15393" t="str">
            <v>Carboncillo</v>
          </cell>
        </row>
        <row r="15394">
          <cell r="A15394">
            <v>60121517</v>
          </cell>
          <cell r="B15394" t="str">
            <v>Carboncillo vine</v>
          </cell>
        </row>
        <row r="15395">
          <cell r="A15395">
            <v>60121518</v>
          </cell>
          <cell r="B15395" t="str">
            <v>Lápices de grafito</v>
          </cell>
        </row>
        <row r="15396">
          <cell r="A15396">
            <v>60121519</v>
          </cell>
          <cell r="B15396" t="str">
            <v>Lápices de colores para dibujar de base de cera</v>
          </cell>
        </row>
        <row r="15397">
          <cell r="A15397">
            <v>60121520</v>
          </cell>
          <cell r="B15397" t="str">
            <v>Carboncillos</v>
          </cell>
        </row>
        <row r="15398">
          <cell r="A15398">
            <v>60121521</v>
          </cell>
          <cell r="B15398" t="str">
            <v>Lápices de acuarela</v>
          </cell>
        </row>
        <row r="15399">
          <cell r="A15399">
            <v>60121522</v>
          </cell>
          <cell r="B15399" t="str">
            <v>Bolígrafos de base acuosa</v>
          </cell>
        </row>
        <row r="15400">
          <cell r="A15400">
            <v>60121523</v>
          </cell>
          <cell r="B15400" t="str">
            <v>Bolígrafos permanentes</v>
          </cell>
        </row>
        <row r="15401">
          <cell r="A15401">
            <v>60121524</v>
          </cell>
          <cell r="B15401" t="str">
            <v>Bolígrafos de gel</v>
          </cell>
        </row>
        <row r="15402">
          <cell r="A15402">
            <v>60121525</v>
          </cell>
          <cell r="B15402" t="str">
            <v>Rapidógrafos</v>
          </cell>
        </row>
        <row r="15403">
          <cell r="A15403">
            <v>60121526</v>
          </cell>
          <cell r="B15403" t="str">
            <v>Bolígrafos para caligrafía</v>
          </cell>
        </row>
        <row r="15404">
          <cell r="A15404">
            <v>60121531</v>
          </cell>
          <cell r="B15404" t="str">
            <v>Borradores de lápices color rosados</v>
          </cell>
        </row>
        <row r="15405">
          <cell r="A15405">
            <v>60121532</v>
          </cell>
          <cell r="B15405" t="str">
            <v>Borradores de goma moldeable</v>
          </cell>
        </row>
        <row r="15406">
          <cell r="A15406">
            <v>60121533</v>
          </cell>
          <cell r="B15406" t="str">
            <v>Borradores de vinilo</v>
          </cell>
        </row>
        <row r="15407">
          <cell r="A15407">
            <v>60121534</v>
          </cell>
          <cell r="B15407" t="str">
            <v>Borradores de plástico</v>
          </cell>
        </row>
        <row r="15408">
          <cell r="A15408">
            <v>60121535</v>
          </cell>
          <cell r="B15408" t="str">
            <v>Borradores de goma</v>
          </cell>
        </row>
        <row r="15409">
          <cell r="A15409">
            <v>60121536</v>
          </cell>
          <cell r="B15409" t="str">
            <v>Borrador de crayón</v>
          </cell>
        </row>
        <row r="15410">
          <cell r="A15410">
            <v>60121537</v>
          </cell>
          <cell r="B15410" t="str">
            <v>Plumillas o sus accesorios</v>
          </cell>
        </row>
        <row r="15411">
          <cell r="A15411">
            <v>60121538</v>
          </cell>
          <cell r="B15411" t="str">
            <v>Kits de caligrafía</v>
          </cell>
        </row>
        <row r="15412">
          <cell r="A15412">
            <v>60121539</v>
          </cell>
          <cell r="B15412" t="str">
            <v>Fijadores de dibujo</v>
          </cell>
        </row>
        <row r="15413">
          <cell r="A15413">
            <v>60121540</v>
          </cell>
          <cell r="B15413" t="str">
            <v>Telas de dibujo</v>
          </cell>
        </row>
        <row r="15414">
          <cell r="A15414">
            <v>60121601</v>
          </cell>
          <cell r="B15414" t="str">
            <v>Maniquíes de madera</v>
          </cell>
        </row>
        <row r="15415">
          <cell r="A15415">
            <v>60121602</v>
          </cell>
          <cell r="B15415" t="str">
            <v>Paneles o espejos de acrílico transparente</v>
          </cell>
        </row>
        <row r="15416">
          <cell r="A15416">
            <v>60121603</v>
          </cell>
          <cell r="B15416" t="str">
            <v>Placas de fricción de plástico</v>
          </cell>
        </row>
        <row r="15417">
          <cell r="A15417">
            <v>60121604</v>
          </cell>
          <cell r="B15417" t="str">
            <v>Accesorios para ayudas de estudio</v>
          </cell>
        </row>
        <row r="15418">
          <cell r="A15418">
            <v>60121605</v>
          </cell>
          <cell r="B15418" t="str">
            <v>Modelos anatómicos</v>
          </cell>
        </row>
        <row r="15419">
          <cell r="A15419">
            <v>60121606</v>
          </cell>
          <cell r="B15419" t="str">
            <v>Pantallas de fondo</v>
          </cell>
        </row>
        <row r="15420">
          <cell r="A15420">
            <v>60121701</v>
          </cell>
          <cell r="B15420" t="str">
            <v>Sellos de estampación de caucho</v>
          </cell>
        </row>
        <row r="15421">
          <cell r="A15421">
            <v>60121702</v>
          </cell>
          <cell r="B15421" t="str">
            <v>Almohadilla para sellos de estampación de caucho</v>
          </cell>
        </row>
        <row r="15422">
          <cell r="A15422">
            <v>60121703</v>
          </cell>
          <cell r="B15422" t="str">
            <v>Accesorios para estampación de caucho</v>
          </cell>
        </row>
        <row r="15423">
          <cell r="A15423">
            <v>60121704</v>
          </cell>
          <cell r="B15423" t="str">
            <v>Linóleo para impresión xilográfica</v>
          </cell>
        </row>
        <row r="15424">
          <cell r="A15424">
            <v>60121705</v>
          </cell>
          <cell r="B15424" t="str">
            <v>Bloques de madera para impresión</v>
          </cell>
        </row>
        <row r="15425">
          <cell r="A15425">
            <v>60121706</v>
          </cell>
          <cell r="B15425" t="str">
            <v>Bloques sintéticos para impresión</v>
          </cell>
        </row>
        <row r="15426">
          <cell r="A15426">
            <v>60121707</v>
          </cell>
          <cell r="B15426" t="str">
            <v>Accesorios para impresión xilográfica</v>
          </cell>
        </row>
        <row r="15427">
          <cell r="A15427">
            <v>60121708</v>
          </cell>
          <cell r="B15427" t="str">
            <v>Planchas de huecograbado o litografía</v>
          </cell>
        </row>
        <row r="15428">
          <cell r="A15428">
            <v>60121709</v>
          </cell>
          <cell r="B15428" t="str">
            <v>Mantillas para huecograbado o litografía</v>
          </cell>
        </row>
        <row r="15429">
          <cell r="A15429">
            <v>60121710</v>
          </cell>
          <cell r="B15429" t="str">
            <v>Limpiones para huecograbado o litografía</v>
          </cell>
        </row>
        <row r="15430">
          <cell r="A15430">
            <v>60121711</v>
          </cell>
          <cell r="B15430" t="str">
            <v>Planchas calientes para huecograbado o litografía</v>
          </cell>
        </row>
        <row r="15431">
          <cell r="A15431">
            <v>60121712</v>
          </cell>
          <cell r="B15431" t="str">
            <v>Prensas de impresión para huecograbado o litografía</v>
          </cell>
        </row>
        <row r="15432">
          <cell r="A15432">
            <v>60121713</v>
          </cell>
          <cell r="B15432" t="str">
            <v>Rodillos y aplanadoras de impresión</v>
          </cell>
        </row>
        <row r="15433">
          <cell r="A15433">
            <v>60121714</v>
          </cell>
          <cell r="B15433" t="str">
            <v>Utensilios de grabado para huecograbado</v>
          </cell>
        </row>
        <row r="15434">
          <cell r="A15434">
            <v>60121715</v>
          </cell>
          <cell r="B15434" t="str">
            <v>Estaciones de impresión o pantallas para serigrafía</v>
          </cell>
        </row>
        <row r="15435">
          <cell r="A15435">
            <v>60121716</v>
          </cell>
          <cell r="B15435" t="str">
            <v>Accesorios para serigrafía</v>
          </cell>
        </row>
        <row r="15436">
          <cell r="A15436">
            <v>60121717</v>
          </cell>
          <cell r="B15436" t="str">
            <v>Punzones para grabado</v>
          </cell>
        </row>
        <row r="15437">
          <cell r="A15437">
            <v>60121718</v>
          </cell>
          <cell r="B15437" t="str">
            <v>Extendedores de tinta de impresión</v>
          </cell>
        </row>
        <row r="15438">
          <cell r="A15438">
            <v>60121801</v>
          </cell>
          <cell r="B15438" t="str">
            <v>Tintas para afiches a base de agua</v>
          </cell>
        </row>
        <row r="15439">
          <cell r="A15439">
            <v>60121802</v>
          </cell>
          <cell r="B15439" t="str">
            <v>Tintas acrílicas a base de agua</v>
          </cell>
        </row>
        <row r="15440">
          <cell r="A15440">
            <v>60121803</v>
          </cell>
          <cell r="B15440" t="str">
            <v>Tintas para serigrafía a base de aceite</v>
          </cell>
        </row>
        <row r="15441">
          <cell r="A15441">
            <v>60121804</v>
          </cell>
          <cell r="B15441" t="str">
            <v>Tintas para textiles a base de agua</v>
          </cell>
        </row>
        <row r="15442">
          <cell r="A15442">
            <v>60121805</v>
          </cell>
          <cell r="B15442" t="str">
            <v>Tintas para textiles a base de aceite</v>
          </cell>
        </row>
        <row r="15443">
          <cell r="A15443">
            <v>60121806</v>
          </cell>
          <cell r="B15443" t="str">
            <v>Tintas de sublimación para grabado</v>
          </cell>
        </row>
        <row r="15444">
          <cell r="A15444">
            <v>60121807</v>
          </cell>
          <cell r="B15444" t="str">
            <v>Tintas para huecograbado o litografía a base de aceite</v>
          </cell>
        </row>
        <row r="15445">
          <cell r="A15445">
            <v>60121808</v>
          </cell>
          <cell r="B15445" t="str">
            <v>Tintas para monoimpresión a base de aceite</v>
          </cell>
        </row>
        <row r="15446">
          <cell r="A15446">
            <v>60121809</v>
          </cell>
          <cell r="B15446" t="str">
            <v>Tintas para monoimpresión a base de agua</v>
          </cell>
        </row>
        <row r="15447">
          <cell r="A15447">
            <v>60121810</v>
          </cell>
          <cell r="B15447" t="str">
            <v>Tintas para dibujar a base de agua</v>
          </cell>
        </row>
        <row r="15448">
          <cell r="A15448">
            <v>60121811</v>
          </cell>
          <cell r="B15448" t="str">
            <v>Tintas para dibujar de base solvente</v>
          </cell>
        </row>
        <row r="15449">
          <cell r="A15449">
            <v>60121812</v>
          </cell>
          <cell r="B15449" t="str">
            <v>Tintas para caligrafía</v>
          </cell>
        </row>
        <row r="15450">
          <cell r="A15450">
            <v>60121813</v>
          </cell>
          <cell r="B15450" t="str">
            <v>Tintas para serigrafía</v>
          </cell>
        </row>
        <row r="15451">
          <cell r="A15451">
            <v>60121814</v>
          </cell>
          <cell r="B15451" t="str">
            <v>Barnices litográficos</v>
          </cell>
        </row>
        <row r="15452">
          <cell r="A15452">
            <v>60121901</v>
          </cell>
          <cell r="B15452" t="str">
            <v>Muselina</v>
          </cell>
        </row>
        <row r="15453">
          <cell r="A15453">
            <v>60121902</v>
          </cell>
          <cell r="B15453" t="str">
            <v>Fieltro</v>
          </cell>
        </row>
        <row r="15454">
          <cell r="A15454">
            <v>60121903</v>
          </cell>
          <cell r="B15454" t="str">
            <v>Pieles para manualidades</v>
          </cell>
        </row>
        <row r="15455">
          <cell r="A15455">
            <v>60121904</v>
          </cell>
          <cell r="B15455" t="str">
            <v>Mezclas de algodón</v>
          </cell>
        </row>
        <row r="15456">
          <cell r="A15456">
            <v>60121905</v>
          </cell>
          <cell r="B15456" t="str">
            <v>Lienzos estampables</v>
          </cell>
        </row>
        <row r="15457">
          <cell r="A15457">
            <v>60121906</v>
          </cell>
          <cell r="B15457" t="str">
            <v>Estampables presensibilizados</v>
          </cell>
        </row>
        <row r="15458">
          <cell r="A15458">
            <v>60121907</v>
          </cell>
          <cell r="B15458" t="str">
            <v>Estampables de algodón</v>
          </cell>
        </row>
        <row r="15459">
          <cell r="A15459">
            <v>60121908</v>
          </cell>
          <cell r="B15459" t="str">
            <v>Estampables mezclados</v>
          </cell>
        </row>
        <row r="15460">
          <cell r="A15460">
            <v>60121909</v>
          </cell>
          <cell r="B15460" t="str">
            <v>Ceras para batik</v>
          </cell>
        </row>
        <row r="15461">
          <cell r="A15461">
            <v>60121910</v>
          </cell>
          <cell r="B15461" t="str">
            <v>Accesorios para batik</v>
          </cell>
        </row>
        <row r="15462">
          <cell r="A15462">
            <v>60121911</v>
          </cell>
          <cell r="B15462" t="str">
            <v>Tela para batik</v>
          </cell>
        </row>
        <row r="15463">
          <cell r="A15463">
            <v>60121912</v>
          </cell>
          <cell r="B15463" t="str">
            <v>Difuminadores</v>
          </cell>
        </row>
        <row r="15464">
          <cell r="A15464">
            <v>60122002</v>
          </cell>
          <cell r="B15464" t="str">
            <v>Accesorios para tejer</v>
          </cell>
        </row>
        <row r="15465">
          <cell r="A15465">
            <v>60122003</v>
          </cell>
          <cell r="B15465" t="str">
            <v>Agujas para coser a mano</v>
          </cell>
        </row>
        <row r="15466">
          <cell r="A15466">
            <v>60122004</v>
          </cell>
          <cell r="B15466" t="str">
            <v>Kits de manualidades con cuerda</v>
          </cell>
        </row>
        <row r="15467">
          <cell r="A15467">
            <v>60122005</v>
          </cell>
          <cell r="B15467" t="str">
            <v>Telares manuales</v>
          </cell>
        </row>
        <row r="15468">
          <cell r="A15468">
            <v>60122006</v>
          </cell>
          <cell r="B15468" t="str">
            <v>Telares de mesa</v>
          </cell>
        </row>
        <row r="15469">
          <cell r="A15469">
            <v>60122007</v>
          </cell>
          <cell r="B15469" t="str">
            <v>Telares de piso</v>
          </cell>
        </row>
        <row r="15470">
          <cell r="A15470">
            <v>60122008</v>
          </cell>
          <cell r="B15470" t="str">
            <v>Cordón plástico (rexlace)</v>
          </cell>
        </row>
        <row r="15471">
          <cell r="A15471">
            <v>60122009</v>
          </cell>
          <cell r="B15471" t="str">
            <v>Accesorios de encordado o acordonado</v>
          </cell>
        </row>
        <row r="15472">
          <cell r="A15472">
            <v>60122101</v>
          </cell>
          <cell r="B15472" t="str">
            <v>Mechas para la fabricación de velas</v>
          </cell>
        </row>
        <row r="15473">
          <cell r="A15473">
            <v>60122102</v>
          </cell>
          <cell r="B15473" t="str">
            <v>Moldes para la fabricación de velas</v>
          </cell>
        </row>
        <row r="15474">
          <cell r="A15474">
            <v>60122103</v>
          </cell>
          <cell r="B15474" t="str">
            <v>Accesorios para la fabricación de velas</v>
          </cell>
        </row>
        <row r="15475">
          <cell r="A15475">
            <v>60122201</v>
          </cell>
          <cell r="B15475" t="str">
            <v>Materiales para artesanías en madera</v>
          </cell>
        </row>
        <row r="15476">
          <cell r="A15476">
            <v>60122202</v>
          </cell>
          <cell r="B15476" t="str">
            <v>Materiales para acabados</v>
          </cell>
        </row>
        <row r="15477">
          <cell r="A15477">
            <v>60122203</v>
          </cell>
          <cell r="B15477" t="str">
            <v>Herramientas para quemado de madera</v>
          </cell>
        </row>
        <row r="15478">
          <cell r="A15478">
            <v>60122204</v>
          </cell>
          <cell r="B15478" t="str">
            <v>Herramientas para tallar</v>
          </cell>
        </row>
        <row r="15479">
          <cell r="A15479">
            <v>60122301</v>
          </cell>
          <cell r="B15479" t="str">
            <v>Juncos para cestería</v>
          </cell>
        </row>
        <row r="15480">
          <cell r="A15480">
            <v>60122302</v>
          </cell>
          <cell r="B15480" t="str">
            <v>Kits para proyectos de cestería</v>
          </cell>
        </row>
        <row r="15481">
          <cell r="A15481">
            <v>60122401</v>
          </cell>
          <cell r="B15481" t="str">
            <v>Fragmentos de vidrios de colores</v>
          </cell>
        </row>
        <row r="15482">
          <cell r="A15482">
            <v>60122402</v>
          </cell>
          <cell r="B15482" t="str">
            <v>Herramientas o accesorios para vidrios de colores</v>
          </cell>
        </row>
        <row r="15483">
          <cell r="A15483">
            <v>60122501</v>
          </cell>
          <cell r="B15483" t="str">
            <v>Utensilios para dar formas al papel</v>
          </cell>
        </row>
        <row r="15484">
          <cell r="A15484">
            <v>60122502</v>
          </cell>
          <cell r="B15484" t="str">
            <v>Marcos de papel</v>
          </cell>
        </row>
        <row r="15485">
          <cell r="A15485">
            <v>60122503</v>
          </cell>
          <cell r="B15485" t="str">
            <v>Platos o bandejas de papel</v>
          </cell>
        </row>
        <row r="15486">
          <cell r="A15486">
            <v>60122504</v>
          </cell>
          <cell r="B15486" t="str">
            <v>Filtros de papel</v>
          </cell>
        </row>
        <row r="15487">
          <cell r="A15487">
            <v>60122505</v>
          </cell>
          <cell r="B15487" t="str">
            <v>Formas de cartón ondulado</v>
          </cell>
        </row>
        <row r="15488">
          <cell r="A15488">
            <v>60122506</v>
          </cell>
          <cell r="B15488" t="str">
            <v>Blondas de papel</v>
          </cell>
        </row>
        <row r="15489">
          <cell r="A15489">
            <v>60122507</v>
          </cell>
          <cell r="B15489" t="str">
            <v>Bastidores o moldes para papel hecho a mano</v>
          </cell>
        </row>
        <row r="15490">
          <cell r="A15490">
            <v>60122508</v>
          </cell>
          <cell r="B15490" t="str">
            <v>Láminas absorbentes o fieltros para papel hecho a mano</v>
          </cell>
        </row>
        <row r="15491">
          <cell r="A15491">
            <v>60122509</v>
          </cell>
          <cell r="B15491" t="str">
            <v>Pulpa o materias primas para papel hecho a mano</v>
          </cell>
        </row>
        <row r="15492">
          <cell r="A15492">
            <v>60122601</v>
          </cell>
          <cell r="B15492" t="str">
            <v>Azulejos para mosaico</v>
          </cell>
        </row>
        <row r="15493">
          <cell r="A15493">
            <v>60122602</v>
          </cell>
          <cell r="B15493" t="str">
            <v>Moldes para mosaicos</v>
          </cell>
        </row>
        <row r="15494">
          <cell r="A15494">
            <v>60122603</v>
          </cell>
          <cell r="B15494" t="str">
            <v>Herramientas para mosaicos</v>
          </cell>
        </row>
        <row r="15495">
          <cell r="A15495">
            <v>60122604</v>
          </cell>
          <cell r="B15495" t="str">
            <v>Accesorios para mosaicos</v>
          </cell>
        </row>
        <row r="15496">
          <cell r="A15496">
            <v>60122701</v>
          </cell>
          <cell r="B15496" t="str">
            <v>Pinturas o medios para esmaltar</v>
          </cell>
        </row>
        <row r="15497">
          <cell r="A15497">
            <v>60122702</v>
          </cell>
          <cell r="B15497" t="str">
            <v>Formas de cobre</v>
          </cell>
        </row>
        <row r="15498">
          <cell r="A15498">
            <v>60122703</v>
          </cell>
          <cell r="B15498" t="str">
            <v>Accesorios para esmaltar</v>
          </cell>
        </row>
        <row r="15499">
          <cell r="A15499">
            <v>60122704</v>
          </cell>
          <cell r="B15499" t="str">
            <v>Hornos para esmaltar</v>
          </cell>
        </row>
        <row r="15500">
          <cell r="A15500">
            <v>60122801</v>
          </cell>
          <cell r="B15500" t="str">
            <v>Formas para hechura de máscaras</v>
          </cell>
        </row>
        <row r="15501">
          <cell r="A15501">
            <v>60122901</v>
          </cell>
          <cell r="B15501" t="str">
            <v>Cuentas pequeñas</v>
          </cell>
        </row>
        <row r="15502">
          <cell r="A15502">
            <v>60122902</v>
          </cell>
          <cell r="B15502" t="str">
            <v>Cuentas tipo “pony”</v>
          </cell>
        </row>
        <row r="15503">
          <cell r="A15503">
            <v>60122903</v>
          </cell>
          <cell r="B15503" t="str">
            <v>Cuentas de madera</v>
          </cell>
        </row>
        <row r="15504">
          <cell r="A15504">
            <v>60122904</v>
          </cell>
          <cell r="B15504" t="str">
            <v>Cuentas de paja</v>
          </cell>
        </row>
        <row r="15505">
          <cell r="A15505">
            <v>60122905</v>
          </cell>
          <cell r="B15505" t="str">
            <v>Cuentas de cerámica</v>
          </cell>
        </row>
        <row r="15506">
          <cell r="A15506">
            <v>60122906</v>
          </cell>
          <cell r="B15506" t="str">
            <v>Cuentas de vidrio</v>
          </cell>
        </row>
        <row r="15507">
          <cell r="A15507">
            <v>60122907</v>
          </cell>
          <cell r="B15507" t="str">
            <v>Cuentas surtidas o de decoración</v>
          </cell>
        </row>
        <row r="15508">
          <cell r="A15508">
            <v>60122908</v>
          </cell>
          <cell r="B15508" t="str">
            <v>Accesorios de cuentas</v>
          </cell>
        </row>
        <row r="15509">
          <cell r="A15509">
            <v>60122909</v>
          </cell>
          <cell r="B15509" t="str">
            <v>Cuentas de plástico</v>
          </cell>
        </row>
        <row r="15510">
          <cell r="A15510">
            <v>60123001</v>
          </cell>
          <cell r="B15510" t="str">
            <v>Formas de icopor</v>
          </cell>
        </row>
        <row r="15511">
          <cell r="A15511">
            <v>60123002</v>
          </cell>
          <cell r="B15511" t="str">
            <v>Utensilios para artesanía de espuma</v>
          </cell>
        </row>
        <row r="15512">
          <cell r="A15512">
            <v>60123101</v>
          </cell>
          <cell r="B15512" t="str">
            <v>Cañas de felpilla grandes</v>
          </cell>
        </row>
        <row r="15513">
          <cell r="A15513">
            <v>60123102</v>
          </cell>
          <cell r="B15513" t="str">
            <v>Cañas de felpilla de algodón</v>
          </cell>
        </row>
        <row r="15514">
          <cell r="A15514">
            <v>60123103</v>
          </cell>
          <cell r="B15514" t="str">
            <v>Cañas de felpilla abultadas</v>
          </cell>
        </row>
        <row r="15515">
          <cell r="A15515">
            <v>60123201</v>
          </cell>
          <cell r="B15515" t="str">
            <v>Lazos de papel</v>
          </cell>
        </row>
        <row r="15516">
          <cell r="A15516">
            <v>60123202</v>
          </cell>
          <cell r="B15516" t="str">
            <v>Cintas de seda</v>
          </cell>
        </row>
        <row r="15517">
          <cell r="A15517">
            <v>60123203</v>
          </cell>
          <cell r="B15517" t="str">
            <v>Cintas sintéticas</v>
          </cell>
        </row>
        <row r="15518">
          <cell r="A15518">
            <v>60123204</v>
          </cell>
          <cell r="B15518" t="str">
            <v>Cintas decorativas</v>
          </cell>
        </row>
        <row r="15519">
          <cell r="A15519">
            <v>60123301</v>
          </cell>
          <cell r="B15519" t="str">
            <v>Pompones acrílicos para manualidades</v>
          </cell>
        </row>
        <row r="15520">
          <cell r="A15520">
            <v>60123302</v>
          </cell>
          <cell r="B15520" t="str">
            <v>Pompones brillantes para manualidades</v>
          </cell>
        </row>
        <row r="15521">
          <cell r="A15521">
            <v>60123303</v>
          </cell>
          <cell r="B15521" t="str">
            <v>Cuentas de pompones para manualidades</v>
          </cell>
        </row>
        <row r="15522">
          <cell r="A15522">
            <v>60123401</v>
          </cell>
          <cell r="B15522" t="str">
            <v>Ojos móviles no autoadhesivos</v>
          </cell>
        </row>
        <row r="15523">
          <cell r="A15523">
            <v>60123402</v>
          </cell>
          <cell r="B15523" t="str">
            <v>Ojos móviles autoadhesivos</v>
          </cell>
        </row>
        <row r="15524">
          <cell r="A15524">
            <v>60123403</v>
          </cell>
          <cell r="B15524" t="str">
            <v>Ojos móviles decorativos</v>
          </cell>
        </row>
        <row r="15525">
          <cell r="A15525">
            <v>60123501</v>
          </cell>
          <cell r="B15525" t="str">
            <v>Materiales de cuero o de acordonados de cuero</v>
          </cell>
        </row>
        <row r="15526">
          <cell r="A15526">
            <v>60123502</v>
          </cell>
          <cell r="B15526" t="str">
            <v>Accesorios de cuero</v>
          </cell>
        </row>
        <row r="15527">
          <cell r="A15527">
            <v>60123601</v>
          </cell>
          <cell r="B15527" t="str">
            <v>Pegante de purpurina</v>
          </cell>
        </row>
        <row r="15528">
          <cell r="A15528">
            <v>60123602</v>
          </cell>
          <cell r="B15528" t="str">
            <v>Puntos de purpurina</v>
          </cell>
        </row>
        <row r="15529">
          <cell r="A15529">
            <v>60123603</v>
          </cell>
          <cell r="B15529" t="str">
            <v>Joyas de purpurina</v>
          </cell>
        </row>
        <row r="15530">
          <cell r="A15530">
            <v>60123604</v>
          </cell>
          <cell r="B15530" t="str">
            <v>Purpurina de plástico</v>
          </cell>
        </row>
        <row r="15531">
          <cell r="A15531">
            <v>60123605</v>
          </cell>
          <cell r="B15531" t="str">
            <v>Purpurina iridiscente</v>
          </cell>
        </row>
        <row r="15532">
          <cell r="A15532">
            <v>60123606</v>
          </cell>
          <cell r="B15532" t="str">
            <v>Purpurina metálica</v>
          </cell>
        </row>
        <row r="15533">
          <cell r="A15533">
            <v>60123701</v>
          </cell>
          <cell r="B15533" t="str">
            <v>Cordón de macramé</v>
          </cell>
        </row>
        <row r="15534">
          <cell r="A15534">
            <v>60123702</v>
          </cell>
          <cell r="B15534" t="str">
            <v>Cuentas para macramé</v>
          </cell>
        </row>
        <row r="15535">
          <cell r="A15535">
            <v>60123703</v>
          </cell>
          <cell r="B15535" t="str">
            <v>Accesorios para macramé</v>
          </cell>
        </row>
        <row r="15536">
          <cell r="A15536">
            <v>60123801</v>
          </cell>
          <cell r="B15536" t="str">
            <v>Tintas para veteado</v>
          </cell>
        </row>
        <row r="15537">
          <cell r="A15537">
            <v>60123802</v>
          </cell>
          <cell r="B15537" t="str">
            <v>Accesorios para veteado</v>
          </cell>
        </row>
        <row r="15538">
          <cell r="A15538">
            <v>60123901</v>
          </cell>
          <cell r="B15538" t="str">
            <v>Lentejuelas o ribetes decorativos</v>
          </cell>
        </row>
        <row r="15539">
          <cell r="A15539">
            <v>60124001</v>
          </cell>
          <cell r="B15539" t="str">
            <v>Planchas de corcho</v>
          </cell>
        </row>
        <row r="15540">
          <cell r="A15540">
            <v>60124002</v>
          </cell>
          <cell r="B15540" t="str">
            <v>Tapones de corcho o accesorios</v>
          </cell>
        </row>
        <row r="15541">
          <cell r="A15541">
            <v>60124101</v>
          </cell>
          <cell r="B15541" t="str">
            <v>Productos de pintura multicultural</v>
          </cell>
        </row>
        <row r="15542">
          <cell r="A15542">
            <v>60124102</v>
          </cell>
          <cell r="B15542" t="str">
            <v>Productos de artesanía multicultural</v>
          </cell>
        </row>
        <row r="15543">
          <cell r="A15543">
            <v>60124201</v>
          </cell>
          <cell r="B15543" t="str">
            <v>Esculturas de mylar</v>
          </cell>
        </row>
        <row r="15544">
          <cell r="A15544">
            <v>60124301</v>
          </cell>
          <cell r="B15544" t="str">
            <v>Arcilla húmeda cocida en horno</v>
          </cell>
        </row>
        <row r="15545">
          <cell r="A15545">
            <v>60124302</v>
          </cell>
          <cell r="B15545" t="str">
            <v>Arcilla seca cocida en horno</v>
          </cell>
        </row>
        <row r="15546">
          <cell r="A15546">
            <v>60124303</v>
          </cell>
          <cell r="B15546" t="str">
            <v>Mobiliario para hornos</v>
          </cell>
        </row>
        <row r="15547">
          <cell r="A15547">
            <v>60124304</v>
          </cell>
          <cell r="B15547" t="str">
            <v>Hornos para a cocción de cerámica</v>
          </cell>
        </row>
        <row r="15548">
          <cell r="A15548">
            <v>60124305</v>
          </cell>
          <cell r="B15548" t="str">
            <v>Accesorios de hornos para la cocción de cerámica</v>
          </cell>
        </row>
        <row r="15549">
          <cell r="A15549">
            <v>60124306</v>
          </cell>
          <cell r="B15549" t="str">
            <v>Tornos de alfarero para cerámicas hechas a mano</v>
          </cell>
        </row>
        <row r="15550">
          <cell r="A15550">
            <v>60124307</v>
          </cell>
          <cell r="B15550" t="str">
            <v>Extrusoras para materiales de modelado</v>
          </cell>
        </row>
        <row r="15551">
          <cell r="A15551">
            <v>60124308</v>
          </cell>
          <cell r="B15551" t="str">
            <v>Conos para hornos de cocción</v>
          </cell>
        </row>
        <row r="15552">
          <cell r="A15552">
            <v>60124309</v>
          </cell>
          <cell r="B15552" t="str">
            <v>Paletas de alfarería</v>
          </cell>
        </row>
        <row r="15553">
          <cell r="A15553">
            <v>60124310</v>
          </cell>
          <cell r="B15553" t="str">
            <v>Tornos de decoración para alfarería</v>
          </cell>
        </row>
        <row r="15554">
          <cell r="A15554">
            <v>60124311</v>
          </cell>
          <cell r="B15554" t="str">
            <v>Utensilios para arcilla o modelado</v>
          </cell>
        </row>
        <row r="15555">
          <cell r="A15555">
            <v>60124312</v>
          </cell>
          <cell r="B15555" t="str">
            <v>Azulejos de cerámica cocidos</v>
          </cell>
        </row>
        <row r="15556">
          <cell r="A15556">
            <v>60124313</v>
          </cell>
          <cell r="B15556" t="str">
            <v>Recipientes para almacenamiento de arcilla</v>
          </cell>
        </row>
        <row r="15557">
          <cell r="A15557">
            <v>60124314</v>
          </cell>
          <cell r="B15557" t="str">
            <v>Compuestos para modelado plastificados no endurecibles</v>
          </cell>
        </row>
        <row r="15558">
          <cell r="A15558">
            <v>60124315</v>
          </cell>
          <cell r="B15558" t="str">
            <v>Compuestos para modelado  no endurecibles a base de aceite</v>
          </cell>
        </row>
        <row r="15559">
          <cell r="A15559">
            <v>60124316</v>
          </cell>
          <cell r="B15559" t="str">
            <v>Compuestos para modelado o arcilla secados al aire</v>
          </cell>
        </row>
        <row r="15560">
          <cell r="A15560">
            <v>60124317</v>
          </cell>
          <cell r="B15560" t="str">
            <v>Masa para modelado</v>
          </cell>
        </row>
        <row r="15561">
          <cell r="A15561">
            <v>60124318</v>
          </cell>
          <cell r="B15561" t="str">
            <v>Papel maché</v>
          </cell>
        </row>
        <row r="15562">
          <cell r="A15562">
            <v>60124319</v>
          </cell>
          <cell r="B15562" t="str">
            <v>Compuestos para modelado especializados</v>
          </cell>
        </row>
        <row r="15563">
          <cell r="A15563">
            <v>60124320</v>
          </cell>
          <cell r="B15563" t="str">
            <v>Compuestos de yeso</v>
          </cell>
        </row>
        <row r="15564">
          <cell r="A15564">
            <v>60124321</v>
          </cell>
          <cell r="B15564" t="str">
            <v>Compuestos para modelado o arcilla de endurecimiento en horno</v>
          </cell>
        </row>
        <row r="15565">
          <cell r="A15565">
            <v>60124322</v>
          </cell>
          <cell r="B15565" t="str">
            <v>Compuestos para modelado de plástico</v>
          </cell>
        </row>
        <row r="15566">
          <cell r="A15566">
            <v>60124323</v>
          </cell>
          <cell r="B15566" t="str">
            <v>Moldes para dar forma a los compuestos para modelado</v>
          </cell>
        </row>
        <row r="15567">
          <cell r="A15567">
            <v>60124324</v>
          </cell>
          <cell r="B15567" t="str">
            <v>Kits para modelado de arcilla</v>
          </cell>
        </row>
        <row r="15568">
          <cell r="A15568">
            <v>60124401</v>
          </cell>
          <cell r="B15568" t="str">
            <v>Hoja fina de metal de cobre</v>
          </cell>
        </row>
        <row r="15569">
          <cell r="A15569">
            <v>60124402</v>
          </cell>
          <cell r="B15569" t="str">
            <v>Hoja fina de metal de  aluminio</v>
          </cell>
        </row>
        <row r="15570">
          <cell r="A15570">
            <v>60124403</v>
          </cell>
          <cell r="B15570" t="str">
            <v>Alambre de aluminio</v>
          </cell>
        </row>
        <row r="15571">
          <cell r="A15571">
            <v>60124404</v>
          </cell>
          <cell r="B15571" t="str">
            <v>Hoja fina de metal de latón</v>
          </cell>
        </row>
        <row r="15572">
          <cell r="A15572">
            <v>60124405</v>
          </cell>
          <cell r="B15572" t="str">
            <v>Alambre de latón</v>
          </cell>
        </row>
        <row r="15573">
          <cell r="A15573">
            <v>60124406</v>
          </cell>
          <cell r="B15573" t="str">
            <v>Placas o láminas de plata</v>
          </cell>
        </row>
        <row r="15574">
          <cell r="A15574">
            <v>60124407</v>
          </cell>
          <cell r="B15574" t="str">
            <v>Alambre de plata</v>
          </cell>
        </row>
        <row r="15575">
          <cell r="A15575">
            <v>60124408</v>
          </cell>
          <cell r="B15575" t="str">
            <v>Bolitas de peltre</v>
          </cell>
        </row>
        <row r="15576">
          <cell r="A15576">
            <v>60124409</v>
          </cell>
          <cell r="B15576" t="str">
            <v>Lingotes de peltre</v>
          </cell>
        </row>
        <row r="15577">
          <cell r="A15577">
            <v>60124410</v>
          </cell>
          <cell r="B15577" t="str">
            <v>Placas de láminas de bronce</v>
          </cell>
        </row>
        <row r="15578">
          <cell r="A15578">
            <v>60124411</v>
          </cell>
          <cell r="B15578" t="str">
            <v>Alambre de cobre "nu gold"</v>
          </cell>
        </row>
        <row r="15579">
          <cell r="A15579">
            <v>60124412</v>
          </cell>
          <cell r="B15579" t="str">
            <v>Alambre suave galvanizado</v>
          </cell>
        </row>
        <row r="15580">
          <cell r="A15580">
            <v>60124501</v>
          </cell>
          <cell r="B15580" t="str">
            <v>Envoltura de yeso</v>
          </cell>
        </row>
        <row r="15581">
          <cell r="A15581">
            <v>60124502</v>
          </cell>
          <cell r="B15581" t="str">
            <v>Resinas para vaciado</v>
          </cell>
        </row>
        <row r="15582">
          <cell r="A15582">
            <v>60124503</v>
          </cell>
          <cell r="B15582" t="str">
            <v>Accesorios para esculturas</v>
          </cell>
        </row>
        <row r="15583">
          <cell r="A15583">
            <v>60124504</v>
          </cell>
          <cell r="B15583" t="str">
            <v>Repisas para rompecabezas</v>
          </cell>
        </row>
        <row r="15584">
          <cell r="A15584">
            <v>60124505</v>
          </cell>
          <cell r="B15584" t="str">
            <v>Ampollas o accesorios</v>
          </cell>
        </row>
        <row r="15585">
          <cell r="A15585">
            <v>60124506</v>
          </cell>
          <cell r="B15585" t="str">
            <v>Utensilios o moldes o juguetes de plástico para arena o agua</v>
          </cell>
        </row>
        <row r="15586">
          <cell r="A15586">
            <v>60124507</v>
          </cell>
          <cell r="B15586" t="str">
            <v>Arena para jugar</v>
          </cell>
        </row>
        <row r="15587">
          <cell r="A15587">
            <v>60124508</v>
          </cell>
          <cell r="B15587" t="str">
            <v>Centros de actividades o mesas de arena o agua</v>
          </cell>
        </row>
        <row r="15588">
          <cell r="A15588">
            <v>60124509</v>
          </cell>
          <cell r="B15588" t="str">
            <v>Sets de vehículos</v>
          </cell>
        </row>
        <row r="15589">
          <cell r="A15589">
            <v>60124510</v>
          </cell>
          <cell r="B15589" t="str">
            <v>Sets de vías de agua</v>
          </cell>
        </row>
        <row r="15590">
          <cell r="A15590">
            <v>60124511</v>
          </cell>
          <cell r="B15590" t="str">
            <v>Herramientas de juguete o kits de herramientas de juguete</v>
          </cell>
        </row>
        <row r="15591">
          <cell r="A15591">
            <v>60124512</v>
          </cell>
          <cell r="B15591" t="str">
            <v>Escúter</v>
          </cell>
        </row>
        <row r="15592">
          <cell r="A15592">
            <v>60124513</v>
          </cell>
          <cell r="B15592" t="str">
            <v>Bolsitas de fríjoles (beanbags)</v>
          </cell>
        </row>
        <row r="15593">
          <cell r="A15593">
            <v>60124514</v>
          </cell>
          <cell r="B15593" t="str">
            <v>Juguetes táctiles</v>
          </cell>
        </row>
        <row r="15594">
          <cell r="A15594">
            <v>60124515</v>
          </cell>
          <cell r="B15594" t="str">
            <v>Juguetes cognitivos</v>
          </cell>
        </row>
        <row r="15595">
          <cell r="A15595">
            <v>60131001</v>
          </cell>
          <cell r="B15595" t="str">
            <v>Pianos</v>
          </cell>
        </row>
        <row r="15596">
          <cell r="A15596">
            <v>60131002</v>
          </cell>
          <cell r="B15596" t="str">
            <v>Acordeones</v>
          </cell>
        </row>
        <row r="15597">
          <cell r="A15597">
            <v>60131003</v>
          </cell>
          <cell r="B15597" t="str">
            <v>Órganos musicales</v>
          </cell>
        </row>
        <row r="15598">
          <cell r="A15598">
            <v>60131004</v>
          </cell>
          <cell r="B15598" t="str">
            <v>Celestas</v>
          </cell>
        </row>
        <row r="15599">
          <cell r="A15599">
            <v>60131101</v>
          </cell>
          <cell r="B15599" t="str">
            <v>Trompetas</v>
          </cell>
        </row>
        <row r="15600">
          <cell r="A15600">
            <v>60131102</v>
          </cell>
          <cell r="B15600" t="str">
            <v>Trombones</v>
          </cell>
        </row>
        <row r="15601">
          <cell r="A15601">
            <v>60131103</v>
          </cell>
          <cell r="B15601" t="str">
            <v>Sousafones</v>
          </cell>
        </row>
        <row r="15602">
          <cell r="A15602">
            <v>60131104</v>
          </cell>
          <cell r="B15602" t="str">
            <v>Saxofones</v>
          </cell>
        </row>
        <row r="15603">
          <cell r="A15603">
            <v>60131105</v>
          </cell>
          <cell r="B15603" t="str">
            <v>Silbatos</v>
          </cell>
        </row>
        <row r="15604">
          <cell r="A15604">
            <v>60131106</v>
          </cell>
          <cell r="B15604" t="str">
            <v>Clarines</v>
          </cell>
        </row>
        <row r="15605">
          <cell r="A15605">
            <v>60131107</v>
          </cell>
          <cell r="B15605" t="str">
            <v>Saxhorno</v>
          </cell>
        </row>
        <row r="15606">
          <cell r="A15606">
            <v>60131108</v>
          </cell>
          <cell r="B15606" t="str">
            <v>Cornos franceses</v>
          </cell>
        </row>
        <row r="15607">
          <cell r="A15607">
            <v>60131109</v>
          </cell>
          <cell r="B15607" t="str">
            <v>Melófonos</v>
          </cell>
        </row>
        <row r="15608">
          <cell r="A15608">
            <v>60131110</v>
          </cell>
          <cell r="B15608" t="str">
            <v>Trompas alto</v>
          </cell>
        </row>
        <row r="15609">
          <cell r="A15609">
            <v>60131111</v>
          </cell>
          <cell r="B15609" t="str">
            <v>Bombardinos barítono</v>
          </cell>
        </row>
        <row r="15610">
          <cell r="A15610">
            <v>60131112</v>
          </cell>
          <cell r="B15610" t="str">
            <v>Fiscornos</v>
          </cell>
        </row>
        <row r="15611">
          <cell r="A15611">
            <v>60131201</v>
          </cell>
          <cell r="B15611" t="str">
            <v>Clarinetes</v>
          </cell>
        </row>
        <row r="15612">
          <cell r="A15612">
            <v>60131202</v>
          </cell>
          <cell r="B15612" t="str">
            <v>Oboes</v>
          </cell>
        </row>
        <row r="15613">
          <cell r="A15613">
            <v>60131203</v>
          </cell>
          <cell r="B15613" t="str">
            <v>Flautas musicales</v>
          </cell>
        </row>
        <row r="15614">
          <cell r="A15614">
            <v>60131204</v>
          </cell>
          <cell r="B15614" t="str">
            <v>Flautines</v>
          </cell>
        </row>
        <row r="15615">
          <cell r="A15615">
            <v>60131205</v>
          </cell>
          <cell r="B15615" t="str">
            <v>Cornetas musicales</v>
          </cell>
        </row>
        <row r="15616">
          <cell r="A15616">
            <v>60131206</v>
          </cell>
          <cell r="B15616" t="str">
            <v>Gaitas</v>
          </cell>
        </row>
        <row r="15617">
          <cell r="A15617">
            <v>60131207</v>
          </cell>
          <cell r="B15617" t="str">
            <v>Armónicas</v>
          </cell>
        </row>
        <row r="15618">
          <cell r="A15618">
            <v>60131208</v>
          </cell>
          <cell r="B15618" t="str">
            <v>Mirlitones</v>
          </cell>
        </row>
        <row r="15619">
          <cell r="A15619">
            <v>60131209</v>
          </cell>
          <cell r="B15619" t="str">
            <v>Cornos ingleses</v>
          </cell>
        </row>
        <row r="15620">
          <cell r="A15620">
            <v>60131210</v>
          </cell>
          <cell r="B15620" t="str">
            <v>Ocarinas</v>
          </cell>
        </row>
        <row r="15621">
          <cell r="A15621">
            <v>60131301</v>
          </cell>
          <cell r="B15621" t="str">
            <v>Clavecines</v>
          </cell>
        </row>
        <row r="15622">
          <cell r="A15622">
            <v>60131302</v>
          </cell>
          <cell r="B15622" t="str">
            <v>Clavicordios</v>
          </cell>
        </row>
        <row r="15623">
          <cell r="A15623">
            <v>60131303</v>
          </cell>
          <cell r="B15623" t="str">
            <v>Guitarras</v>
          </cell>
        </row>
        <row r="15624">
          <cell r="A15624">
            <v>60131304</v>
          </cell>
          <cell r="B15624" t="str">
            <v>Violines</v>
          </cell>
        </row>
        <row r="15625">
          <cell r="A15625">
            <v>60131305</v>
          </cell>
          <cell r="B15625" t="str">
            <v>Arpas</v>
          </cell>
        </row>
        <row r="15626">
          <cell r="A15626">
            <v>60131306</v>
          </cell>
          <cell r="B15626" t="str">
            <v>Banyos</v>
          </cell>
        </row>
        <row r="15627">
          <cell r="A15627">
            <v>60131307</v>
          </cell>
          <cell r="B15627" t="str">
            <v>Mandolinas</v>
          </cell>
        </row>
        <row r="15628">
          <cell r="A15628">
            <v>60131308</v>
          </cell>
          <cell r="B15628" t="str">
            <v>Violonchelos</v>
          </cell>
        </row>
        <row r="15629">
          <cell r="A15629">
            <v>60131309</v>
          </cell>
          <cell r="B15629" t="str">
            <v>Bajos</v>
          </cell>
        </row>
        <row r="15630">
          <cell r="A15630">
            <v>60131401</v>
          </cell>
          <cell r="B15630" t="str">
            <v>Platillos</v>
          </cell>
        </row>
        <row r="15631">
          <cell r="A15631">
            <v>60131402</v>
          </cell>
          <cell r="B15631" t="str">
            <v>Campanas</v>
          </cell>
        </row>
        <row r="15632">
          <cell r="A15632">
            <v>60131403</v>
          </cell>
          <cell r="B15632" t="str">
            <v>Panderetas</v>
          </cell>
        </row>
        <row r="15633">
          <cell r="A15633">
            <v>60131404</v>
          </cell>
          <cell r="B15633" t="str">
            <v>Castañuelas</v>
          </cell>
        </row>
        <row r="15634">
          <cell r="A15634">
            <v>60131405</v>
          </cell>
          <cell r="B15634" t="str">
            <v>Tambores</v>
          </cell>
        </row>
        <row r="15635">
          <cell r="A15635">
            <v>60131406</v>
          </cell>
          <cell r="B15635" t="str">
            <v>Xilófonos</v>
          </cell>
        </row>
        <row r="15636">
          <cell r="A15636">
            <v>60131407</v>
          </cell>
          <cell r="B15636" t="str">
            <v>Vibráfonos</v>
          </cell>
        </row>
        <row r="15637">
          <cell r="A15637">
            <v>60131501</v>
          </cell>
          <cell r="B15637" t="str">
            <v>Metrónomos</v>
          </cell>
        </row>
        <row r="15638">
          <cell r="A15638">
            <v>60131502</v>
          </cell>
          <cell r="B15638" t="str">
            <v>Lengüetas</v>
          </cell>
        </row>
        <row r="15639">
          <cell r="A15639">
            <v>60131503</v>
          </cell>
          <cell r="B15639" t="str">
            <v>Cuerdas o plectros para instrumentos</v>
          </cell>
        </row>
        <row r="15640">
          <cell r="A15640">
            <v>60131504</v>
          </cell>
          <cell r="B15640" t="str">
            <v>Clavijas de afinación</v>
          </cell>
        </row>
        <row r="15641">
          <cell r="A15641">
            <v>60131505</v>
          </cell>
          <cell r="B15641" t="str">
            <v>Bases o soportes de partituras para instrumentos musicales</v>
          </cell>
        </row>
        <row r="15642">
          <cell r="A15642">
            <v>60131506</v>
          </cell>
          <cell r="B15642" t="str">
            <v>Accesorios para instrumentos de cuerda</v>
          </cell>
        </row>
        <row r="15643">
          <cell r="A15643">
            <v>60131507</v>
          </cell>
          <cell r="B15643" t="str">
            <v>Accesorio para instrumentos de percusión</v>
          </cell>
        </row>
        <row r="15644">
          <cell r="A15644">
            <v>60131508</v>
          </cell>
          <cell r="B15644" t="str">
            <v>Cajas musicales o mecanismos</v>
          </cell>
        </row>
        <row r="15645">
          <cell r="A15645">
            <v>60131509</v>
          </cell>
          <cell r="B15645" t="str">
            <v>Boquillas</v>
          </cell>
        </row>
        <row r="15646">
          <cell r="A15646">
            <v>60131510</v>
          </cell>
          <cell r="B15646" t="str">
            <v>Fundas o estuches o accesorios para instrumentos musicales</v>
          </cell>
        </row>
        <row r="15647">
          <cell r="A15647">
            <v>60131511</v>
          </cell>
          <cell r="B15647" t="str">
            <v>Sordinas</v>
          </cell>
        </row>
        <row r="15648">
          <cell r="A15648">
            <v>60131512</v>
          </cell>
          <cell r="B15648" t="str">
            <v>Barras de afinación</v>
          </cell>
        </row>
        <row r="15649">
          <cell r="A15649">
            <v>60131513</v>
          </cell>
          <cell r="B15649" t="str">
            <v>Batutas</v>
          </cell>
        </row>
        <row r="15650">
          <cell r="A15650">
            <v>60131514</v>
          </cell>
          <cell r="B15650" t="str">
            <v>Almohadillas de flautín</v>
          </cell>
        </row>
        <row r="15651">
          <cell r="A15651">
            <v>60131601</v>
          </cell>
          <cell r="B15651" t="str">
            <v>Sets de grupos de acompañamiento</v>
          </cell>
        </row>
        <row r="15652">
          <cell r="A15652">
            <v>60131701</v>
          </cell>
          <cell r="B15652" t="str">
            <v>Tubos de percusión</v>
          </cell>
        </row>
        <row r="15653">
          <cell r="A15653">
            <v>60131702</v>
          </cell>
          <cell r="B15653" t="str">
            <v>Golpecitos de disco</v>
          </cell>
        </row>
        <row r="15654">
          <cell r="A15654">
            <v>60131801</v>
          </cell>
          <cell r="B15654" t="str">
            <v>Velos para danza</v>
          </cell>
        </row>
        <row r="15655">
          <cell r="A15655">
            <v>60131802</v>
          </cell>
          <cell r="B15655" t="str">
            <v>Palitos de ritmo</v>
          </cell>
        </row>
        <row r="15656">
          <cell r="A15656">
            <v>60131803</v>
          </cell>
          <cell r="B15656" t="str">
            <v>Aros o bastones de ritmo</v>
          </cell>
        </row>
        <row r="15657">
          <cell r="A15657">
            <v>60141001</v>
          </cell>
          <cell r="B15657" t="str">
            <v>Globos o pelotas de juguete</v>
          </cell>
        </row>
        <row r="15658">
          <cell r="A15658">
            <v>60141002</v>
          </cell>
          <cell r="B15658" t="str">
            <v>Muñecas</v>
          </cell>
        </row>
        <row r="15659">
          <cell r="A15659">
            <v>60141003</v>
          </cell>
          <cell r="B15659" t="str">
            <v>Casas de muñecas</v>
          </cell>
        </row>
        <row r="15660">
          <cell r="A15660">
            <v>60141004</v>
          </cell>
          <cell r="B15660" t="str">
            <v>Animales o títeres de peluche</v>
          </cell>
        </row>
        <row r="15661">
          <cell r="A15661">
            <v>60141005</v>
          </cell>
          <cell r="B15661" t="str">
            <v>Casas de juego</v>
          </cell>
        </row>
        <row r="15662">
          <cell r="A15662">
            <v>60141006</v>
          </cell>
          <cell r="B15662" t="str">
            <v>Bloques de construcción</v>
          </cell>
        </row>
        <row r="15663">
          <cell r="A15663">
            <v>60141007</v>
          </cell>
          <cell r="B15663" t="str">
            <v>Juguetes para montar</v>
          </cell>
        </row>
        <row r="15664">
          <cell r="A15664">
            <v>60141008</v>
          </cell>
          <cell r="B15664" t="str">
            <v>Juguetes para jalar</v>
          </cell>
        </row>
        <row r="15665">
          <cell r="A15665">
            <v>60141009</v>
          </cell>
          <cell r="B15665" t="str">
            <v>Kits de ciencias para niños</v>
          </cell>
        </row>
        <row r="15666">
          <cell r="A15666">
            <v>60141010</v>
          </cell>
          <cell r="B15666" t="str">
            <v>Vehículos de juguete</v>
          </cell>
        </row>
        <row r="15667">
          <cell r="A15667">
            <v>60141011</v>
          </cell>
          <cell r="B15667" t="str">
            <v>Trenes de juguete</v>
          </cell>
        </row>
        <row r="15668">
          <cell r="A15668">
            <v>60141012</v>
          </cell>
          <cell r="B15668" t="str">
            <v>Juguetes inflables</v>
          </cell>
        </row>
        <row r="15669">
          <cell r="A15669">
            <v>60141013</v>
          </cell>
          <cell r="B15669" t="str">
            <v>Partes o accesorios de muñecas</v>
          </cell>
        </row>
        <row r="15670">
          <cell r="A15670">
            <v>60141014</v>
          </cell>
          <cell r="B15670" t="str">
            <v>Yoyós</v>
          </cell>
        </row>
        <row r="15671">
          <cell r="A15671">
            <v>60141015</v>
          </cell>
          <cell r="B15671" t="str">
            <v>Cometas</v>
          </cell>
        </row>
        <row r="15672">
          <cell r="A15672">
            <v>60141016</v>
          </cell>
          <cell r="B15672" t="str">
            <v>Tazos</v>
          </cell>
        </row>
        <row r="15673">
          <cell r="A15673">
            <v>60141017</v>
          </cell>
          <cell r="B15673" t="str">
            <v>Caleidoscopios</v>
          </cell>
        </row>
        <row r="15674">
          <cell r="A15674">
            <v>60141018</v>
          </cell>
          <cell r="B15674" t="str">
            <v>Pompones</v>
          </cell>
        </row>
        <row r="15675">
          <cell r="A15675">
            <v>60141019</v>
          </cell>
          <cell r="B15675" t="str">
            <v>Piñatas</v>
          </cell>
        </row>
        <row r="15676">
          <cell r="A15676">
            <v>60141020</v>
          </cell>
          <cell r="B15676" t="str">
            <v>Bumeranes</v>
          </cell>
        </row>
        <row r="15677">
          <cell r="A15677">
            <v>60141021</v>
          </cell>
          <cell r="B15677" t="str">
            <v>Discos voladores</v>
          </cell>
        </row>
        <row r="15678">
          <cell r="A15678">
            <v>60141022</v>
          </cell>
          <cell r="B15678" t="str">
            <v>Baldes de juguete</v>
          </cell>
        </row>
        <row r="15679">
          <cell r="A15679">
            <v>60141023</v>
          </cell>
          <cell r="B15679" t="str">
            <v>Juguetes para el baño</v>
          </cell>
        </row>
        <row r="15680">
          <cell r="A15680">
            <v>60141024</v>
          </cell>
          <cell r="B15680" t="str">
            <v>Sonajeros</v>
          </cell>
        </row>
        <row r="15681">
          <cell r="A15681">
            <v>60141025</v>
          </cell>
          <cell r="B15681" t="str">
            <v>Armas de juguete</v>
          </cell>
        </row>
        <row r="15682">
          <cell r="A15682">
            <v>60141026</v>
          </cell>
          <cell r="B15682" t="str">
            <v>Trompos</v>
          </cell>
        </row>
        <row r="15683">
          <cell r="A15683">
            <v>60141101</v>
          </cell>
          <cell r="B15683" t="str">
            <v>Juegos educativos</v>
          </cell>
        </row>
        <row r="15684">
          <cell r="A15684">
            <v>60141102</v>
          </cell>
          <cell r="B15684" t="str">
            <v>Juegos de mesa</v>
          </cell>
        </row>
        <row r="15685">
          <cell r="A15685">
            <v>60141103</v>
          </cell>
          <cell r="B15685" t="str">
            <v>Naipes</v>
          </cell>
        </row>
        <row r="15686">
          <cell r="A15686">
            <v>60141104</v>
          </cell>
          <cell r="B15686" t="str">
            <v>Juegos de video</v>
          </cell>
        </row>
        <row r="15687">
          <cell r="A15687">
            <v>60141105</v>
          </cell>
          <cell r="B15687" t="str">
            <v>Rompecabezas</v>
          </cell>
        </row>
        <row r="15688">
          <cell r="A15688">
            <v>60141106</v>
          </cell>
          <cell r="B15688" t="str">
            <v>Dados</v>
          </cell>
        </row>
        <row r="15689">
          <cell r="A15689">
            <v>60141107</v>
          </cell>
          <cell r="B15689" t="str">
            <v>Bingo</v>
          </cell>
        </row>
        <row r="15690">
          <cell r="A15690">
            <v>60141108</v>
          </cell>
          <cell r="B15690" t="str">
            <v>Juegos clásicos</v>
          </cell>
        </row>
        <row r="15691">
          <cell r="A15691">
            <v>60141109</v>
          </cell>
          <cell r="B15691" t="str">
            <v>Juegos colaborativos</v>
          </cell>
        </row>
        <row r="15692">
          <cell r="A15692">
            <v>60141110</v>
          </cell>
          <cell r="B15692" t="str">
            <v>Juegos de estrategia</v>
          </cell>
        </row>
        <row r="15693">
          <cell r="A15693">
            <v>60141111</v>
          </cell>
          <cell r="B15693" t="str">
            <v>Accesorios para juegos</v>
          </cell>
        </row>
        <row r="15694">
          <cell r="A15694">
            <v>60141112</v>
          </cell>
          <cell r="B15694" t="str">
            <v>Libros de juegos</v>
          </cell>
        </row>
        <row r="15695">
          <cell r="A15695">
            <v>60141113</v>
          </cell>
          <cell r="B15695" t="str">
            <v>Juegos de lotería</v>
          </cell>
        </row>
        <row r="15696">
          <cell r="A15696">
            <v>60141114</v>
          </cell>
          <cell r="B15696" t="str">
            <v>Juegos de memoria</v>
          </cell>
        </row>
        <row r="15697">
          <cell r="A15697">
            <v>60141115</v>
          </cell>
          <cell r="B15697" t="str">
            <v>Kits de juegos</v>
          </cell>
        </row>
        <row r="15698">
          <cell r="A15698">
            <v>60141201</v>
          </cell>
          <cell r="B15698" t="str">
            <v>equipo para motricidad gruesa o equilibrio</v>
          </cell>
        </row>
        <row r="15699">
          <cell r="A15699">
            <v>60141202</v>
          </cell>
          <cell r="B15699" t="str">
            <v>Piscinas de pelotas y accesorios</v>
          </cell>
        </row>
        <row r="15700">
          <cell r="A15700">
            <v>60141203</v>
          </cell>
          <cell r="B15700" t="str">
            <v>Casitas de juego</v>
          </cell>
        </row>
        <row r="15701">
          <cell r="A15701">
            <v>60141204</v>
          </cell>
          <cell r="B15701" t="str">
            <v>Triciclos o carretillas</v>
          </cell>
        </row>
        <row r="15702">
          <cell r="A15702">
            <v>60141205</v>
          </cell>
          <cell r="B15702" t="str">
            <v>zonas acolchadas de juego</v>
          </cell>
        </row>
        <row r="15703">
          <cell r="A15703">
            <v>60141302</v>
          </cell>
          <cell r="B15703" t="str">
            <v>Sets de construcción</v>
          </cell>
        </row>
        <row r="15704">
          <cell r="A15704">
            <v>60141303</v>
          </cell>
          <cell r="B15704" t="str">
            <v>Esteras para juegos</v>
          </cell>
        </row>
        <row r="15705">
          <cell r="A15705">
            <v>60141304</v>
          </cell>
          <cell r="B15705" t="str">
            <v>Sistemas de trenes o accesorios</v>
          </cell>
        </row>
        <row r="15706">
          <cell r="A15706">
            <v>60141305</v>
          </cell>
          <cell r="B15706" t="str">
            <v>Bloques de unidades</v>
          </cell>
        </row>
        <row r="15707">
          <cell r="A15707">
            <v>60141306</v>
          </cell>
          <cell r="B15707" t="str">
            <v>Vehículos de juego</v>
          </cell>
        </row>
        <row r="15708">
          <cell r="A15708">
            <v>60141307</v>
          </cell>
          <cell r="B15708" t="str">
            <v>Animales de juguete</v>
          </cell>
        </row>
        <row r="15709">
          <cell r="A15709">
            <v>60141401</v>
          </cell>
          <cell r="B15709" t="str">
            <v>Disfraces o accesorios</v>
          </cell>
        </row>
        <row r="15710">
          <cell r="A15710">
            <v>60141402</v>
          </cell>
          <cell r="B15710" t="str">
            <v>Centros para vestirse</v>
          </cell>
        </row>
        <row r="15711">
          <cell r="A15711">
            <v>60141403</v>
          </cell>
          <cell r="B15711" t="str">
            <v>Unidades o accesorios para el cuidado de la casa</v>
          </cell>
        </row>
        <row r="15712">
          <cell r="A15712">
            <v>60141404</v>
          </cell>
          <cell r="B15712" t="str">
            <v>Platos de comida de  juguete o accesorios</v>
          </cell>
        </row>
        <row r="15713">
          <cell r="A15713">
            <v>60141405</v>
          </cell>
          <cell r="B15713" t="str">
            <v>Kits o materiales para juegos de simulación</v>
          </cell>
        </row>
        <row r="15714">
          <cell r="A15714">
            <v>70101501</v>
          </cell>
          <cell r="B15714" t="str">
            <v>Operaciones de pesca comercial</v>
          </cell>
        </row>
        <row r="15715">
          <cell r="A15715">
            <v>70101502</v>
          </cell>
          <cell r="B15715" t="str">
            <v>Servicios de puerto para la flota pesquera</v>
          </cell>
        </row>
        <row r="15716">
          <cell r="A15716">
            <v>70101503</v>
          </cell>
          <cell r="B15716" t="str">
            <v>Instalaciones pesqueras en tierra</v>
          </cell>
        </row>
        <row r="15717">
          <cell r="A15717">
            <v>70101504</v>
          </cell>
          <cell r="B15717" t="str">
            <v>Operaciones de pesca de altura</v>
          </cell>
        </row>
        <row r="15718">
          <cell r="A15718">
            <v>70101505</v>
          </cell>
          <cell r="B15718" t="str">
            <v>Pesca por sonar</v>
          </cell>
        </row>
        <row r="15719">
          <cell r="A15719">
            <v>70101506</v>
          </cell>
          <cell r="B15719" t="str">
            <v>Pesca de ballenas</v>
          </cell>
        </row>
        <row r="15720">
          <cell r="A15720">
            <v>70101507</v>
          </cell>
          <cell r="B15720" t="str">
            <v>Pesca de arrastre</v>
          </cell>
        </row>
        <row r="15721">
          <cell r="A15721">
            <v>70101508</v>
          </cell>
          <cell r="B15721" t="str">
            <v>Pesca con sedal y anzuelo</v>
          </cell>
        </row>
        <row r="15722">
          <cell r="A15722">
            <v>70101509</v>
          </cell>
          <cell r="B15722" t="str">
            <v>Pesca con redes barrederas</v>
          </cell>
        </row>
        <row r="15723">
          <cell r="A15723">
            <v>70101510</v>
          </cell>
          <cell r="B15723" t="str">
            <v>Redes de pesca</v>
          </cell>
        </row>
        <row r="15724">
          <cell r="A15724">
            <v>70101601</v>
          </cell>
          <cell r="B15724" t="str">
            <v>Servicios de información o documentación de la industria pesquera</v>
          </cell>
        </row>
        <row r="15725">
          <cell r="A15725">
            <v>70101602</v>
          </cell>
          <cell r="B15725" t="str">
            <v>Servicios de investigación o experimentación de la industria pesquera</v>
          </cell>
        </row>
        <row r="15726">
          <cell r="A15726">
            <v>70101603</v>
          </cell>
          <cell r="B15726" t="str">
            <v>Recopilación o distribución de datos de la industria pesquera</v>
          </cell>
        </row>
        <row r="15727">
          <cell r="A15727">
            <v>70101604</v>
          </cell>
          <cell r="B15727" t="str">
            <v>Explotación comercial de los recursos pesqueros</v>
          </cell>
        </row>
        <row r="15728">
          <cell r="A15728">
            <v>70101605</v>
          </cell>
          <cell r="B15728" t="str">
            <v>Administración de la flota pesquera</v>
          </cell>
        </row>
        <row r="15729">
          <cell r="A15729">
            <v>70101606</v>
          </cell>
          <cell r="B15729" t="str">
            <v>Cooperativas de pesca</v>
          </cell>
        </row>
        <row r="15730">
          <cell r="A15730">
            <v>70101607</v>
          </cell>
          <cell r="B15730" t="str">
            <v>Conservación o protección de los recursos pesqueros</v>
          </cell>
        </row>
        <row r="15731">
          <cell r="A15731">
            <v>70101701</v>
          </cell>
          <cell r="B15731" t="str">
            <v>Servicios tecnológicos de pesca</v>
          </cell>
        </row>
        <row r="15732">
          <cell r="A15732">
            <v>70101702</v>
          </cell>
          <cell r="B15732" t="str">
            <v>Servicios de producción de los subproductos de la pesca</v>
          </cell>
        </row>
        <row r="15733">
          <cell r="A15733">
            <v>70101703</v>
          </cell>
          <cell r="B15733" t="str">
            <v>Producción pesquera</v>
          </cell>
        </row>
        <row r="15734">
          <cell r="A15734">
            <v>70101704</v>
          </cell>
          <cell r="B15734" t="str">
            <v>Almacenamiento de pescados</v>
          </cell>
        </row>
        <row r="15735">
          <cell r="A15735">
            <v>70101801</v>
          </cell>
          <cell r="B15735" t="str">
            <v>Recursos de la pesca en aguas interiores</v>
          </cell>
        </row>
        <row r="15736">
          <cell r="A15736">
            <v>70101802</v>
          </cell>
          <cell r="B15736" t="str">
            <v>Recursos de estanques piscícolas</v>
          </cell>
        </row>
        <row r="15737">
          <cell r="A15737">
            <v>70101803</v>
          </cell>
          <cell r="B15737" t="str">
            <v>Criadero de peces</v>
          </cell>
        </row>
        <row r="15738">
          <cell r="A15738">
            <v>70101804</v>
          </cell>
          <cell r="B15738" t="str">
            <v>Fincas piscícolas</v>
          </cell>
        </row>
        <row r="15739">
          <cell r="A15739">
            <v>70101805</v>
          </cell>
          <cell r="B15739" t="str">
            <v>Recursos de subproductos de la pesca</v>
          </cell>
        </row>
        <row r="15740">
          <cell r="A15740">
            <v>70101806</v>
          </cell>
          <cell r="B15740" t="str">
            <v>Evaluación de los recursos de las pesquerías</v>
          </cell>
        </row>
        <row r="15741">
          <cell r="A15741">
            <v>70101901</v>
          </cell>
          <cell r="B15741" t="str">
            <v>Maricultura</v>
          </cell>
        </row>
        <row r="15742">
          <cell r="A15742">
            <v>70101902</v>
          </cell>
          <cell r="B15742" t="str">
            <v>Ostricultura</v>
          </cell>
        </row>
        <row r="15743">
          <cell r="A15743">
            <v>70101903</v>
          </cell>
          <cell r="B15743" t="str">
            <v>Cría de mariscos</v>
          </cell>
        </row>
        <row r="15744">
          <cell r="A15744">
            <v>70101904</v>
          </cell>
          <cell r="B15744" t="str">
            <v>Cultivo de camarones</v>
          </cell>
        </row>
        <row r="15745">
          <cell r="A15745">
            <v>70101905</v>
          </cell>
          <cell r="B15745" t="str">
            <v>Piscicultura</v>
          </cell>
        </row>
        <row r="15746">
          <cell r="A15746">
            <v>70111501</v>
          </cell>
          <cell r="B15746" t="str">
            <v>Servicios de siembra de árboles, arbustos o plantas ornamentales</v>
          </cell>
        </row>
        <row r="15747">
          <cell r="A15747">
            <v>70111502</v>
          </cell>
          <cell r="B15747" t="str">
            <v>Servicios de poda de arbustos o plantas ornamentales</v>
          </cell>
        </row>
        <row r="15748">
          <cell r="A15748">
            <v>70111503</v>
          </cell>
          <cell r="B15748" t="str">
            <v>Servicios de poda de árboles</v>
          </cell>
        </row>
        <row r="15749">
          <cell r="A15749">
            <v>70111504</v>
          </cell>
          <cell r="B15749" t="str">
            <v>Servicios de apuntalamiento</v>
          </cell>
        </row>
        <row r="15750">
          <cell r="A15750">
            <v>70111505</v>
          </cell>
          <cell r="B15750" t="str">
            <v>Servicios de cirugía arbórea</v>
          </cell>
        </row>
        <row r="15751">
          <cell r="A15751">
            <v>70111506</v>
          </cell>
          <cell r="B15751" t="str">
            <v>Servicios de arbolistas</v>
          </cell>
        </row>
        <row r="15752">
          <cell r="A15752">
            <v>70111507</v>
          </cell>
          <cell r="B15752" t="str">
            <v>Servicios de traslado de árboles, arbustos o plantas ornamentales</v>
          </cell>
        </row>
        <row r="15753">
          <cell r="A15753">
            <v>70111508</v>
          </cell>
          <cell r="B15753" t="str">
            <v>Servicios de fumigación  de plantas o árboles ornamentales</v>
          </cell>
        </row>
        <row r="15754">
          <cell r="A15754">
            <v>70111601</v>
          </cell>
          <cell r="B15754" t="str">
            <v>Servicios de plantación</v>
          </cell>
        </row>
        <row r="15755">
          <cell r="A15755">
            <v>70111602</v>
          </cell>
          <cell r="B15755" t="str">
            <v>Servicios de vivero</v>
          </cell>
        </row>
        <row r="15756">
          <cell r="A15756">
            <v>70111603</v>
          </cell>
          <cell r="B15756" t="str">
            <v>Servicios de floricultura</v>
          </cell>
        </row>
        <row r="15757">
          <cell r="A15757">
            <v>70111701</v>
          </cell>
          <cell r="B15757" t="str">
            <v>Servicio de administración o mantenimiento de huertos</v>
          </cell>
        </row>
        <row r="15758">
          <cell r="A15758">
            <v>70111702</v>
          </cell>
          <cell r="B15758" t="str">
            <v>Servicios de administración o mantenimiento de viñedos</v>
          </cell>
        </row>
        <row r="15759">
          <cell r="A15759">
            <v>70111703</v>
          </cell>
          <cell r="B15759" t="str">
            <v>Servicios de plantación o mantenimiento de jardines</v>
          </cell>
        </row>
        <row r="15760">
          <cell r="A15760">
            <v>70111704</v>
          </cell>
          <cell r="B15760" t="str">
            <v>Servicios de asesoría en horticultura</v>
          </cell>
        </row>
        <row r="15761">
          <cell r="A15761">
            <v>70111705</v>
          </cell>
          <cell r="B15761" t="str">
            <v>Servicios de mantenimiento de cementerios</v>
          </cell>
        </row>
        <row r="15762">
          <cell r="A15762">
            <v>70111706</v>
          </cell>
          <cell r="B15762" t="str">
            <v>Servicios de mantenimiento del césped</v>
          </cell>
        </row>
        <row r="15763">
          <cell r="A15763">
            <v>70111707</v>
          </cell>
          <cell r="B15763" t="str">
            <v>Servicio de mantenimiento del césped en las carreteras</v>
          </cell>
        </row>
        <row r="15764">
          <cell r="A15764">
            <v>70111708</v>
          </cell>
          <cell r="B15764" t="str">
            <v>Servicios de acolchado orgánico</v>
          </cell>
        </row>
        <row r="15765">
          <cell r="A15765">
            <v>70111709</v>
          </cell>
          <cell r="B15765" t="str">
            <v>Servicios de siembra</v>
          </cell>
        </row>
        <row r="15766">
          <cell r="A15766">
            <v>70111710</v>
          </cell>
          <cell r="B15766" t="str">
            <v>Servicios de corte de césped</v>
          </cell>
        </row>
        <row r="15767">
          <cell r="A15767">
            <v>70111711</v>
          </cell>
          <cell r="B15767" t="str">
            <v>Servicios de siembra de ramitas</v>
          </cell>
        </row>
        <row r="15768">
          <cell r="A15768">
            <v>70111712</v>
          </cell>
          <cell r="B15768" t="str">
            <v>Servicios de fumigación  de parques o jardines</v>
          </cell>
        </row>
        <row r="15769">
          <cell r="A15769">
            <v>70111713</v>
          </cell>
          <cell r="B15769" t="str">
            <v>Servicios de administración o mantenimiento de parques</v>
          </cell>
        </row>
        <row r="15770">
          <cell r="A15770">
            <v>70121501</v>
          </cell>
          <cell r="B15770" t="str">
            <v>Administración de hatos lecheros</v>
          </cell>
        </row>
        <row r="15771">
          <cell r="A15771">
            <v>70121502</v>
          </cell>
          <cell r="B15771" t="str">
            <v>Fomento de la industria láctea</v>
          </cell>
        </row>
        <row r="15772">
          <cell r="A15772">
            <v>70121503</v>
          </cell>
          <cell r="B15772" t="str">
            <v>Tecnología lechera</v>
          </cell>
        </row>
        <row r="15773">
          <cell r="A15773">
            <v>70121504</v>
          </cell>
          <cell r="B15773" t="str">
            <v>Servicios de laboratorio de lácteos</v>
          </cell>
        </row>
        <row r="15774">
          <cell r="A15774">
            <v>70121505</v>
          </cell>
          <cell r="B15774" t="str">
            <v>Elaboración propia de fincas  lecheras</v>
          </cell>
        </row>
        <row r="15775">
          <cell r="A15775">
            <v>70121601</v>
          </cell>
          <cell r="B15775" t="str">
            <v>Cría de ganado</v>
          </cell>
        </row>
        <row r="15776">
          <cell r="A15776">
            <v>70121602</v>
          </cell>
          <cell r="B15776" t="str">
            <v>Servicios de genética ganadera</v>
          </cell>
        </row>
        <row r="15777">
          <cell r="A15777">
            <v>70121603</v>
          </cell>
          <cell r="B15777" t="str">
            <v>Sericultura</v>
          </cell>
        </row>
        <row r="15778">
          <cell r="A15778">
            <v>70121604</v>
          </cell>
          <cell r="B15778" t="str">
            <v>Explotación ganadera</v>
          </cell>
        </row>
        <row r="15779">
          <cell r="A15779">
            <v>70121605</v>
          </cell>
          <cell r="B15779" t="str">
            <v>Sistemas de cría en fincas</v>
          </cell>
        </row>
        <row r="15780">
          <cell r="A15780">
            <v>70121606</v>
          </cell>
          <cell r="B15780" t="str">
            <v>Servicios de producción de aves de corral</v>
          </cell>
        </row>
        <row r="15781">
          <cell r="A15781">
            <v>70121607</v>
          </cell>
          <cell r="B15781" t="str">
            <v>Servicios de reproducción de ganado menor</v>
          </cell>
        </row>
        <row r="15782">
          <cell r="A15782">
            <v>70121608</v>
          </cell>
          <cell r="B15782" t="str">
            <v>Servicios de producción bovina</v>
          </cell>
        </row>
        <row r="15783">
          <cell r="A15783">
            <v>70121610</v>
          </cell>
          <cell r="B15783" t="str">
            <v>Apicultura</v>
          </cell>
        </row>
        <row r="15784">
          <cell r="A15784">
            <v>70121701</v>
          </cell>
          <cell r="B15784" t="str">
            <v>Selección ganadera</v>
          </cell>
        </row>
        <row r="15785">
          <cell r="A15785">
            <v>70121702</v>
          </cell>
          <cell r="B15785" t="str">
            <v>Servicios de exhibición de ganado</v>
          </cell>
        </row>
        <row r="15786">
          <cell r="A15786">
            <v>70121703</v>
          </cell>
          <cell r="B15786" t="str">
            <v>Servicios de sacrificio de ganado</v>
          </cell>
        </row>
        <row r="15787">
          <cell r="A15787">
            <v>70121704</v>
          </cell>
          <cell r="B15787" t="str">
            <v>Administración de hatos</v>
          </cell>
        </row>
        <row r="15788">
          <cell r="A15788">
            <v>70121705</v>
          </cell>
          <cell r="B15788" t="str">
            <v>Servicios de cría y cuidado del ganado</v>
          </cell>
        </row>
        <row r="15789">
          <cell r="A15789">
            <v>70121801</v>
          </cell>
          <cell r="B15789" t="str">
            <v>Servicios de cría de animales domésticos</v>
          </cell>
        </row>
        <row r="15790">
          <cell r="A15790">
            <v>70121802</v>
          </cell>
          <cell r="B15790" t="str">
            <v>Servicios de cuidado de animales domésticos</v>
          </cell>
        </row>
        <row r="15791">
          <cell r="A15791">
            <v>70121803</v>
          </cell>
          <cell r="B15791" t="str">
            <v>Servicios de residencia canina</v>
          </cell>
        </row>
        <row r="15792">
          <cell r="A15792">
            <v>70121901</v>
          </cell>
          <cell r="B15792" t="str">
            <v>Mejoramiento de pastizales</v>
          </cell>
        </row>
        <row r="15793">
          <cell r="A15793">
            <v>70121902</v>
          </cell>
          <cell r="B15793" t="str">
            <v>Manejo de pasturas</v>
          </cell>
        </row>
        <row r="15794">
          <cell r="A15794">
            <v>70121903</v>
          </cell>
          <cell r="B15794" t="str">
            <v>Investigación de tierras de pastoreo</v>
          </cell>
        </row>
        <row r="15795">
          <cell r="A15795">
            <v>70122001</v>
          </cell>
          <cell r="B15795" t="str">
            <v>Nutrición animal</v>
          </cell>
        </row>
        <row r="15796">
          <cell r="A15796">
            <v>70122002</v>
          </cell>
          <cell r="B15796" t="str">
            <v>Control de enfermedades animales</v>
          </cell>
        </row>
        <row r="15797">
          <cell r="A15797">
            <v>70122003</v>
          </cell>
          <cell r="B15797" t="str">
            <v>Tripanosomiasis animal</v>
          </cell>
        </row>
        <row r="15798">
          <cell r="A15798">
            <v>70122004</v>
          </cell>
          <cell r="B15798" t="str">
            <v>Servicios de control de patas y boca</v>
          </cell>
        </row>
        <row r="15799">
          <cell r="A15799">
            <v>70122005</v>
          </cell>
          <cell r="B15799" t="str">
            <v>Servicios de medicación preventiva de salud animal</v>
          </cell>
        </row>
        <row r="15800">
          <cell r="A15800">
            <v>70122006</v>
          </cell>
          <cell r="B15800" t="str">
            <v>Servicios de vacunación animal</v>
          </cell>
        </row>
        <row r="15801">
          <cell r="A15801">
            <v>70122007</v>
          </cell>
          <cell r="B15801" t="str">
            <v>Administración veterinaria</v>
          </cell>
        </row>
        <row r="15802">
          <cell r="A15802">
            <v>70122008</v>
          </cell>
          <cell r="B15802" t="str">
            <v>Tecnología para laboratorio veterinario</v>
          </cell>
        </row>
        <row r="15803">
          <cell r="A15803">
            <v>70122009</v>
          </cell>
          <cell r="B15803" t="str">
            <v>Servicios hospitalarios para animales</v>
          </cell>
        </row>
        <row r="15804">
          <cell r="A15804">
            <v>70122010</v>
          </cell>
          <cell r="B15804" t="str">
            <v>Servicios de información de salud animal</v>
          </cell>
        </row>
        <row r="15805">
          <cell r="A15805">
            <v>70131501</v>
          </cell>
          <cell r="B15805" t="str">
            <v>Servicios de control o evaluación de la desertificación</v>
          </cell>
        </row>
        <row r="15806">
          <cell r="A15806">
            <v>70131502</v>
          </cell>
          <cell r="B15806" t="str">
            <v>Servicios de conservación o protección del suelo</v>
          </cell>
        </row>
        <row r="15807">
          <cell r="A15807">
            <v>70131503</v>
          </cell>
          <cell r="B15807" t="str">
            <v>Servicios de control de la erosión</v>
          </cell>
        </row>
        <row r="15808">
          <cell r="A15808">
            <v>70131504</v>
          </cell>
          <cell r="B15808" t="str">
            <v>Fijación de dunas</v>
          </cell>
        </row>
        <row r="15809">
          <cell r="A15809">
            <v>70131505</v>
          </cell>
          <cell r="B15809" t="str">
            <v>Acondicionamiento del suelo</v>
          </cell>
        </row>
        <row r="15810">
          <cell r="A15810">
            <v>70131506</v>
          </cell>
          <cell r="B15810" t="str">
            <v>Mejoramiento del suelo</v>
          </cell>
        </row>
        <row r="15811">
          <cell r="A15811">
            <v>70131601</v>
          </cell>
          <cell r="B15811" t="str">
            <v>Servicios de aplicación de fertilizantes</v>
          </cell>
        </row>
        <row r="15812">
          <cell r="A15812">
            <v>70131602</v>
          </cell>
          <cell r="B15812" t="str">
            <v>Servicios de esparcido de cal</v>
          </cell>
        </row>
        <row r="15813">
          <cell r="A15813">
            <v>70131603</v>
          </cell>
          <cell r="B15813" t="str">
            <v>Servicios de arado</v>
          </cell>
        </row>
        <row r="15814">
          <cell r="A15814">
            <v>70131604</v>
          </cell>
          <cell r="B15814" t="str">
            <v>Servicios de preparación de semilleros</v>
          </cell>
        </row>
        <row r="15815">
          <cell r="A15815">
            <v>70131605</v>
          </cell>
          <cell r="B15815" t="str">
            <v>Servicios de tratamiento químico del suelo</v>
          </cell>
        </row>
        <row r="15816">
          <cell r="A15816">
            <v>70131701</v>
          </cell>
          <cell r="B15816" t="str">
            <v>Planificación de tierras</v>
          </cell>
        </row>
        <row r="15817">
          <cell r="A15817">
            <v>70131702</v>
          </cell>
          <cell r="B15817" t="str">
            <v>Evaluación de tierras</v>
          </cell>
        </row>
        <row r="15818">
          <cell r="A15818">
            <v>70131703</v>
          </cell>
          <cell r="B15818" t="str">
            <v>Recuperación de tierras</v>
          </cell>
        </row>
        <row r="15819">
          <cell r="A15819">
            <v>70131704</v>
          </cell>
          <cell r="B15819" t="str">
            <v>Planificación o valoración de zonas agroecológicas</v>
          </cell>
        </row>
        <row r="15820">
          <cell r="A15820">
            <v>70131705</v>
          </cell>
          <cell r="B15820" t="str">
            <v>Clasificación del suelo</v>
          </cell>
        </row>
        <row r="15821">
          <cell r="A15821">
            <v>70131706</v>
          </cell>
          <cell r="B15821" t="str">
            <v>Ordenación de las cuencas hidrográficas</v>
          </cell>
        </row>
        <row r="15822">
          <cell r="A15822">
            <v>70131707</v>
          </cell>
          <cell r="B15822" t="str">
            <v>Análisis de fertilidad del suelo</v>
          </cell>
        </row>
        <row r="15823">
          <cell r="A15823">
            <v>70131708</v>
          </cell>
          <cell r="B15823" t="str">
            <v>Pedología</v>
          </cell>
        </row>
        <row r="15824">
          <cell r="A15824">
            <v>70141501</v>
          </cell>
          <cell r="B15824" t="str">
            <v>Servicios de multiplicación de semillas</v>
          </cell>
        </row>
        <row r="15825">
          <cell r="A15825">
            <v>70141502</v>
          </cell>
          <cell r="B15825" t="str">
            <v>Hidroponía</v>
          </cell>
        </row>
        <row r="15826">
          <cell r="A15826">
            <v>70141503</v>
          </cell>
          <cell r="B15826" t="str">
            <v>Producción de hierba o forraje</v>
          </cell>
        </row>
        <row r="15827">
          <cell r="A15827">
            <v>70141504</v>
          </cell>
          <cell r="B15827" t="str">
            <v>Producción de plantas aromáticas</v>
          </cell>
        </row>
        <row r="15828">
          <cell r="A15828">
            <v>70141505</v>
          </cell>
          <cell r="B15828" t="str">
            <v>Producción de productos agrícolas para elaboración de bebidas</v>
          </cell>
        </row>
        <row r="15829">
          <cell r="A15829">
            <v>70141506</v>
          </cell>
          <cell r="B15829" t="str">
            <v>Producción de cacao</v>
          </cell>
        </row>
        <row r="15830">
          <cell r="A15830">
            <v>70141507</v>
          </cell>
          <cell r="B15830" t="str">
            <v>Producción de remolacha azucarera o caña de azúcar</v>
          </cell>
        </row>
        <row r="15831">
          <cell r="A15831">
            <v>70141508</v>
          </cell>
          <cell r="B15831" t="str">
            <v>Producción de nueces</v>
          </cell>
        </row>
        <row r="15832">
          <cell r="A15832">
            <v>70141509</v>
          </cell>
          <cell r="B15832" t="str">
            <v>Producción de cultivos productores de aceites esenciales</v>
          </cell>
        </row>
        <row r="15833">
          <cell r="A15833">
            <v>70141510</v>
          </cell>
          <cell r="B15833" t="str">
            <v>Producción de plantas textiles</v>
          </cell>
        </row>
        <row r="15834">
          <cell r="A15834">
            <v>70141511</v>
          </cell>
          <cell r="B15834" t="str">
            <v>Producción de fruta</v>
          </cell>
        </row>
        <row r="15835">
          <cell r="A15835">
            <v>70141512</v>
          </cell>
          <cell r="B15835" t="str">
            <v>Producción de granos o legumbres</v>
          </cell>
        </row>
        <row r="15836">
          <cell r="A15836">
            <v>70141513</v>
          </cell>
          <cell r="B15836" t="str">
            <v>Producción de plantas insecticidas</v>
          </cell>
        </row>
        <row r="15837">
          <cell r="A15837">
            <v>70141514</v>
          </cell>
          <cell r="B15837" t="str">
            <v>Producción de plantas medicinales</v>
          </cell>
        </row>
        <row r="15838">
          <cell r="A15838">
            <v>70141515</v>
          </cell>
          <cell r="B15838" t="str">
            <v>Producción de raíces o tubérculos</v>
          </cell>
        </row>
        <row r="15839">
          <cell r="A15839">
            <v>70141516</v>
          </cell>
          <cell r="B15839" t="str">
            <v>Producción de cereales</v>
          </cell>
        </row>
        <row r="15840">
          <cell r="A15840">
            <v>70141517</v>
          </cell>
          <cell r="B15840" t="str">
            <v>Producción de plantas de caucho</v>
          </cell>
        </row>
        <row r="15841">
          <cell r="A15841">
            <v>70141518</v>
          </cell>
          <cell r="B15841" t="str">
            <v>Producción de cultivos de especias</v>
          </cell>
        </row>
        <row r="15842">
          <cell r="A15842">
            <v>70141519</v>
          </cell>
          <cell r="B15842" t="str">
            <v>Producción de cultivos de tabaco</v>
          </cell>
        </row>
        <row r="15843">
          <cell r="A15843">
            <v>70141520</v>
          </cell>
          <cell r="B15843" t="str">
            <v>Producción de hortalizas</v>
          </cell>
        </row>
        <row r="15844">
          <cell r="A15844">
            <v>70141601</v>
          </cell>
          <cell r="B15844" t="str">
            <v>Servicios de fumigación de cultivos</v>
          </cell>
        </row>
        <row r="15845">
          <cell r="A15845">
            <v>70141602</v>
          </cell>
          <cell r="B15845" t="str">
            <v>Servicios de control biológico</v>
          </cell>
        </row>
        <row r="15846">
          <cell r="A15846">
            <v>70141603</v>
          </cell>
          <cell r="B15846" t="str">
            <v>Servicios de control de las malas hierbas</v>
          </cell>
        </row>
        <row r="15847">
          <cell r="A15847">
            <v>70141604</v>
          </cell>
          <cell r="B15847" t="str">
            <v>Servicios de herbicidas</v>
          </cell>
        </row>
        <row r="15848">
          <cell r="A15848">
            <v>70141605</v>
          </cell>
          <cell r="B15848" t="str">
            <v>Servicios de manejo integrado de plagas</v>
          </cell>
        </row>
        <row r="15849">
          <cell r="A15849">
            <v>70141606</v>
          </cell>
          <cell r="B15849" t="str">
            <v>Fitopatología</v>
          </cell>
        </row>
        <row r="15850">
          <cell r="A15850">
            <v>70141607</v>
          </cell>
          <cell r="B15850" t="str">
            <v>Control de langostas</v>
          </cell>
        </row>
        <row r="15851">
          <cell r="A15851">
            <v>70141701</v>
          </cell>
          <cell r="B15851" t="str">
            <v>Servicios de invernaderos</v>
          </cell>
        </row>
        <row r="15852">
          <cell r="A15852">
            <v>70141702</v>
          </cell>
          <cell r="B15852" t="str">
            <v>Servicios de fertilizantes</v>
          </cell>
        </row>
        <row r="15853">
          <cell r="A15853">
            <v>70141703</v>
          </cell>
          <cell r="B15853" t="str">
            <v>Administración de cultivos</v>
          </cell>
        </row>
        <row r="15854">
          <cell r="A15854">
            <v>70141704</v>
          </cell>
          <cell r="B15854" t="str">
            <v>Sustitución de cultivos</v>
          </cell>
        </row>
        <row r="15855">
          <cell r="A15855">
            <v>70141705</v>
          </cell>
          <cell r="B15855" t="str">
            <v>Servicios de extensión</v>
          </cell>
        </row>
        <row r="15856">
          <cell r="A15856">
            <v>70141706</v>
          </cell>
          <cell r="B15856" t="str">
            <v>Especialización de cultivos</v>
          </cell>
        </row>
        <row r="15857">
          <cell r="A15857">
            <v>70141707</v>
          </cell>
          <cell r="B15857" t="str">
            <v>Gestión de sistemas de explotación agrícola de cultivo</v>
          </cell>
        </row>
        <row r="15858">
          <cell r="A15858">
            <v>70141708</v>
          </cell>
          <cell r="B15858" t="str">
            <v>Servicios de asesoría en la rotación o diversificación de cultivos</v>
          </cell>
        </row>
        <row r="15859">
          <cell r="A15859">
            <v>70141709</v>
          </cell>
          <cell r="B15859" t="str">
            <v>Servicios de taxonomía de plantas</v>
          </cell>
        </row>
        <row r="15860">
          <cell r="A15860">
            <v>70141710</v>
          </cell>
          <cell r="B15860" t="str">
            <v>Entomología de cultivos extensivos</v>
          </cell>
        </row>
        <row r="15861">
          <cell r="A15861">
            <v>70141801</v>
          </cell>
          <cell r="B15861" t="str">
            <v>Servicios de siembra de árboles de huerta o viñedos</v>
          </cell>
        </row>
        <row r="15862">
          <cell r="A15862">
            <v>70141802</v>
          </cell>
          <cell r="B15862" t="str">
            <v>Servicios de brotes o ramitas</v>
          </cell>
        </row>
        <row r="15863">
          <cell r="A15863">
            <v>70141803</v>
          </cell>
          <cell r="B15863" t="str">
            <v>Servicios de cultivos agrícolas</v>
          </cell>
        </row>
        <row r="15864">
          <cell r="A15864">
            <v>70141804</v>
          </cell>
          <cell r="B15864" t="str">
            <v>Servicios de siembra de cultivos</v>
          </cell>
        </row>
        <row r="15865">
          <cell r="A15865">
            <v>70141901</v>
          </cell>
          <cell r="B15865" t="str">
            <v>Servicios de cosecha de granos comerciales</v>
          </cell>
        </row>
        <row r="15866">
          <cell r="A15866">
            <v>70141902</v>
          </cell>
          <cell r="B15866" t="str">
            <v>Servicios de cosecha de frutales o nueces</v>
          </cell>
        </row>
        <row r="15867">
          <cell r="A15867">
            <v>70141903</v>
          </cell>
          <cell r="B15867" t="str">
            <v>Servicios de cosecha de cultivos extensivos</v>
          </cell>
        </row>
        <row r="15868">
          <cell r="A15868">
            <v>70141904</v>
          </cell>
          <cell r="B15868" t="str">
            <v>Servicios de cosecha de semillas</v>
          </cell>
        </row>
        <row r="15869">
          <cell r="A15869">
            <v>70142001</v>
          </cell>
          <cell r="B15869" t="str">
            <v>Servicios relativos a silos</v>
          </cell>
        </row>
        <row r="15870">
          <cell r="A15870">
            <v>70142002</v>
          </cell>
          <cell r="B15870" t="str">
            <v>Servicios de secado de granos</v>
          </cell>
        </row>
        <row r="15871">
          <cell r="A15871">
            <v>70142003</v>
          </cell>
          <cell r="B15871" t="str">
            <v>Servicios de procesamiento de la cosecha</v>
          </cell>
        </row>
        <row r="15872">
          <cell r="A15872">
            <v>70142004</v>
          </cell>
          <cell r="B15872" t="str">
            <v>Servicios de preparación del mercado para cultivos extensivos</v>
          </cell>
        </row>
        <row r="15873">
          <cell r="A15873">
            <v>70142005</v>
          </cell>
          <cell r="B15873" t="str">
            <v>Servicios de preparación del mercado para cultivos comerciales de granos</v>
          </cell>
        </row>
        <row r="15874">
          <cell r="A15874">
            <v>70142006</v>
          </cell>
          <cell r="B15874" t="str">
            <v>Servicios de preparación del mercado para productos hortenses</v>
          </cell>
        </row>
        <row r="15875">
          <cell r="A15875">
            <v>70142007</v>
          </cell>
          <cell r="B15875" t="str">
            <v>Servicios de preparación del mercado para productos frutales</v>
          </cell>
        </row>
        <row r="15876">
          <cell r="A15876">
            <v>70142008</v>
          </cell>
          <cell r="B15876" t="str">
            <v>Servicios de preparación del mercado para nueces</v>
          </cell>
        </row>
        <row r="15877">
          <cell r="A15877">
            <v>70142009</v>
          </cell>
          <cell r="B15877" t="str">
            <v>Servicios de desmotado</v>
          </cell>
        </row>
        <row r="15878">
          <cell r="A15878">
            <v>70142010</v>
          </cell>
          <cell r="B15878" t="str">
            <v>Servicios de limpieza de cultivos</v>
          </cell>
        </row>
        <row r="15879">
          <cell r="A15879">
            <v>70142011</v>
          </cell>
          <cell r="B15879" t="str">
            <v>Servicios de enfriamiento o refrigeración</v>
          </cell>
        </row>
        <row r="15880">
          <cell r="A15880">
            <v>70151501</v>
          </cell>
          <cell r="B15880" t="str">
            <v>Servicios de gestión de recursos forestales</v>
          </cell>
        </row>
        <row r="15881">
          <cell r="A15881">
            <v>70151502</v>
          </cell>
          <cell r="B15881" t="str">
            <v>Control de plagas forestales</v>
          </cell>
        </row>
        <row r="15882">
          <cell r="A15882">
            <v>70151503</v>
          </cell>
          <cell r="B15882" t="str">
            <v>Organizaciones, asociaciones o cooperativas forestales</v>
          </cell>
        </row>
        <row r="15883">
          <cell r="A15883">
            <v>70151504</v>
          </cell>
          <cell r="B15883" t="str">
            <v>Servicios de administración forestal</v>
          </cell>
        </row>
        <row r="15884">
          <cell r="A15884">
            <v>70151505</v>
          </cell>
          <cell r="B15884" t="str">
            <v>Inventario forestal</v>
          </cell>
        </row>
        <row r="15885">
          <cell r="A15885">
            <v>70151506</v>
          </cell>
          <cell r="B15885" t="str">
            <v>Seguimiento o evaluación forestal</v>
          </cell>
        </row>
        <row r="15886">
          <cell r="A15886">
            <v>70151507</v>
          </cell>
          <cell r="B15886" t="str">
            <v>Servicios de forestación</v>
          </cell>
        </row>
        <row r="15887">
          <cell r="A15887">
            <v>70151508</v>
          </cell>
          <cell r="B15887" t="str">
            <v>Servicios de asistencia forestal</v>
          </cell>
        </row>
        <row r="15888">
          <cell r="A15888">
            <v>70151509</v>
          </cell>
          <cell r="B15888" t="str">
            <v>Gestión de viveros forestales</v>
          </cell>
        </row>
        <row r="15889">
          <cell r="A15889">
            <v>70151510</v>
          </cell>
          <cell r="B15889" t="str">
            <v>Planificación sectorial forestal</v>
          </cell>
        </row>
        <row r="15890">
          <cell r="A15890">
            <v>70151601</v>
          </cell>
          <cell r="B15890" t="str">
            <v>Servicios de producción no maderera</v>
          </cell>
        </row>
        <row r="15891">
          <cell r="A15891">
            <v>70151602</v>
          </cell>
          <cell r="B15891" t="str">
            <v>Producción de aceites esenciales</v>
          </cell>
        </row>
        <row r="15892">
          <cell r="A15892">
            <v>70151603</v>
          </cell>
          <cell r="B15892" t="str">
            <v>Servicios de producción maderera</v>
          </cell>
        </row>
        <row r="15893">
          <cell r="A15893">
            <v>70151604</v>
          </cell>
          <cell r="B15893" t="str">
            <v>Producción de colorantes</v>
          </cell>
        </row>
        <row r="15894">
          <cell r="A15894">
            <v>70151605</v>
          </cell>
          <cell r="B15894" t="str">
            <v>Producción forestal comestible</v>
          </cell>
        </row>
        <row r="15895">
          <cell r="A15895">
            <v>70151606</v>
          </cell>
          <cell r="B15895" t="str">
            <v>Servicios de prueba de madera</v>
          </cell>
        </row>
        <row r="15896">
          <cell r="A15896">
            <v>70151701</v>
          </cell>
          <cell r="B15896" t="str">
            <v>Corte o tala de troncos</v>
          </cell>
        </row>
        <row r="15897">
          <cell r="A15897">
            <v>70151702</v>
          </cell>
          <cell r="B15897" t="str">
            <v>Cosecha forestal de zonas montañosas</v>
          </cell>
        </row>
        <row r="15898">
          <cell r="A15898">
            <v>70151703</v>
          </cell>
          <cell r="B15898" t="str">
            <v>Operaciones especializadas para la cosecha forestal</v>
          </cell>
        </row>
        <row r="15899">
          <cell r="A15899">
            <v>70151704</v>
          </cell>
          <cell r="B15899" t="str">
            <v>Cosecha de plantaciones</v>
          </cell>
        </row>
        <row r="15900">
          <cell r="A15900">
            <v>70151705</v>
          </cell>
          <cell r="B15900" t="str">
            <v>Cosecha forestal de pantanos o manglares</v>
          </cell>
        </row>
        <row r="15901">
          <cell r="A15901">
            <v>70151706</v>
          </cell>
          <cell r="B15901" t="str">
            <v>Cosecha de bosques de zonas templadas</v>
          </cell>
        </row>
        <row r="15902">
          <cell r="A15902">
            <v>70151707</v>
          </cell>
          <cell r="B15902" t="str">
            <v>Cosecha de bosques altos tropicales</v>
          </cell>
        </row>
        <row r="15903">
          <cell r="A15903">
            <v>70151801</v>
          </cell>
          <cell r="B15903" t="str">
            <v>Conservación de recursos genéticos forestales</v>
          </cell>
        </row>
        <row r="15904">
          <cell r="A15904">
            <v>70151802</v>
          </cell>
          <cell r="B15904" t="str">
            <v>Servicios de protección forestal</v>
          </cell>
        </row>
        <row r="15905">
          <cell r="A15905">
            <v>70151803</v>
          </cell>
          <cell r="B15905" t="str">
            <v>Rehabilitación de tierras forestales áridas</v>
          </cell>
        </row>
        <row r="15906">
          <cell r="A15906">
            <v>70151804</v>
          </cell>
          <cell r="B15906" t="str">
            <v>Rompevientos o barreras naturales de protección forestal</v>
          </cell>
        </row>
        <row r="15907">
          <cell r="A15907">
            <v>70151805</v>
          </cell>
          <cell r="B15907" t="str">
            <v>Servicios de conservación de parques o reservas forestales</v>
          </cell>
        </row>
        <row r="15908">
          <cell r="A15908">
            <v>70151806</v>
          </cell>
          <cell r="B15908" t="str">
            <v>Ordenación de las cuencas hidrográficas forestales</v>
          </cell>
        </row>
        <row r="15909">
          <cell r="A15909">
            <v>70151807</v>
          </cell>
          <cell r="B15909" t="str">
            <v>Control de las torrentes forestales</v>
          </cell>
        </row>
        <row r="15910">
          <cell r="A15910">
            <v>70151901</v>
          </cell>
          <cell r="B15910" t="str">
            <v>Desarrollo de los recursos forestales</v>
          </cell>
        </row>
        <row r="15911">
          <cell r="A15911">
            <v>70151902</v>
          </cell>
          <cell r="B15911" t="str">
            <v>Recursos agrosilvícolas</v>
          </cell>
        </row>
        <row r="15912">
          <cell r="A15912">
            <v>70151903</v>
          </cell>
          <cell r="B15912" t="str">
            <v>Recursos de madera combustible</v>
          </cell>
        </row>
        <row r="15913">
          <cell r="A15913">
            <v>70151904</v>
          </cell>
          <cell r="B15913" t="str">
            <v>Silvicultura</v>
          </cell>
        </row>
        <row r="15914">
          <cell r="A15914">
            <v>70151905</v>
          </cell>
          <cell r="B15914" t="str">
            <v>Recursos de plantaciones áridas con agua de lluvia</v>
          </cell>
        </row>
        <row r="15915">
          <cell r="A15915">
            <v>70151906</v>
          </cell>
          <cell r="B15915" t="str">
            <v>Recursos de plantaciones de hoja ancha</v>
          </cell>
        </row>
        <row r="15916">
          <cell r="A15916">
            <v>70151907</v>
          </cell>
          <cell r="B15916" t="str">
            <v>Plantaciones de coníferas</v>
          </cell>
        </row>
        <row r="15917">
          <cell r="A15917">
            <v>70151909</v>
          </cell>
          <cell r="B15917" t="str">
            <v>Plantaciones de bosques tropicales húmedos</v>
          </cell>
        </row>
        <row r="15918">
          <cell r="A15918">
            <v>70151910</v>
          </cell>
          <cell r="B15918" t="str">
            <v>Recursos de manglares</v>
          </cell>
        </row>
        <row r="15919">
          <cell r="A15919">
            <v>70161501</v>
          </cell>
          <cell r="B15919" t="str">
            <v>Protección de la fauna</v>
          </cell>
        </row>
        <row r="15920">
          <cell r="A15920">
            <v>70161601</v>
          </cell>
          <cell r="B15920" t="str">
            <v>Protección de la flora</v>
          </cell>
        </row>
        <row r="15921">
          <cell r="A15921">
            <v>70161701</v>
          </cell>
          <cell r="B15921" t="str">
            <v>Servicios de ecodesarrollo</v>
          </cell>
        </row>
        <row r="15922">
          <cell r="A15922">
            <v>70161702</v>
          </cell>
          <cell r="B15922" t="str">
            <v>Servicios de administración del ecosistema marino</v>
          </cell>
        </row>
        <row r="15923">
          <cell r="A15923">
            <v>70161703</v>
          </cell>
          <cell r="B15923" t="str">
            <v>Servicios de administración del ecosistema terrestre</v>
          </cell>
        </row>
        <row r="15924">
          <cell r="A15924">
            <v>70161704</v>
          </cell>
          <cell r="B15924" t="str">
            <v>Servicios de protección de los ecosistemas</v>
          </cell>
        </row>
        <row r="15925">
          <cell r="A15925">
            <v>70171501</v>
          </cell>
          <cell r="B15925" t="str">
            <v>Servicios de evaluación de la calidad del agua</v>
          </cell>
        </row>
        <row r="15926">
          <cell r="A15926">
            <v>70171502</v>
          </cell>
          <cell r="B15926" t="str">
            <v>Servicios de planificación de los recursos hidráulicos</v>
          </cell>
        </row>
        <row r="15927">
          <cell r="A15927">
            <v>70171503</v>
          </cell>
          <cell r="B15927" t="str">
            <v>Inspección de aguas subterráneas o superficiales</v>
          </cell>
        </row>
        <row r="15928">
          <cell r="A15928">
            <v>70171504</v>
          </cell>
          <cell r="B15928" t="str">
            <v>Servicios de cartografía de los recursos hidráulicos</v>
          </cell>
        </row>
        <row r="15929">
          <cell r="A15929">
            <v>70171505</v>
          </cell>
          <cell r="B15929" t="str">
            <v>Aprovechamiento de los ríos</v>
          </cell>
        </row>
        <row r="15930">
          <cell r="A15930">
            <v>70171506</v>
          </cell>
          <cell r="B15930" t="str">
            <v>Servicios para modelado de aguas subterráneas o superficiales</v>
          </cell>
        </row>
        <row r="15931">
          <cell r="A15931">
            <v>70171601</v>
          </cell>
          <cell r="B15931" t="str">
            <v>Gestión de la calidad del agua</v>
          </cell>
        </row>
        <row r="15932">
          <cell r="A15932">
            <v>70171602</v>
          </cell>
          <cell r="B15932" t="str">
            <v>Servicios de pruebas de agua</v>
          </cell>
        </row>
        <row r="15933">
          <cell r="A15933">
            <v>70171603</v>
          </cell>
          <cell r="B15933" t="str">
            <v>Manejo de suelos inundables</v>
          </cell>
        </row>
        <row r="15934">
          <cell r="A15934">
            <v>70171604</v>
          </cell>
          <cell r="B15934" t="str">
            <v>Servicios de asesoría en conservación del agua</v>
          </cell>
        </row>
        <row r="15935">
          <cell r="A15935">
            <v>70171605</v>
          </cell>
          <cell r="B15935" t="str">
            <v>Servicios de asesoría en derechos de agua</v>
          </cell>
        </row>
        <row r="15936">
          <cell r="A15936">
            <v>70171606</v>
          </cell>
          <cell r="B15936" t="str">
            <v>Servicios de recuperación de recursos hidráulicos</v>
          </cell>
        </row>
        <row r="15937">
          <cell r="A15937">
            <v>70171607</v>
          </cell>
          <cell r="B15937" t="str">
            <v>Servicios de tasación del agua</v>
          </cell>
        </row>
        <row r="15938">
          <cell r="A15938">
            <v>70171701</v>
          </cell>
          <cell r="B15938" t="str">
            <v>Servicios de  mantenimiento o administración de canales</v>
          </cell>
        </row>
        <row r="15939">
          <cell r="A15939">
            <v>70171702</v>
          </cell>
          <cell r="B15939" t="str">
            <v>Servicios de mantenimiento o administración de represas</v>
          </cell>
        </row>
        <row r="15940">
          <cell r="A15940">
            <v>70171703</v>
          </cell>
          <cell r="B15940" t="str">
            <v>Servicios de  mantenimiento o administración de embalses</v>
          </cell>
        </row>
        <row r="15941">
          <cell r="A15941">
            <v>70171704</v>
          </cell>
          <cell r="B15941" t="str">
            <v>Servicios de  mantenimiento o administración de estaciones de bombeo</v>
          </cell>
        </row>
        <row r="15942">
          <cell r="A15942">
            <v>70171705</v>
          </cell>
          <cell r="B15942" t="str">
            <v>Servicios de  mantenimiento o administración de canalizaciones</v>
          </cell>
        </row>
        <row r="15943">
          <cell r="A15943">
            <v>70171706</v>
          </cell>
          <cell r="B15943" t="str">
            <v>Servicios de  mantenimiento o administración de malecones o diques</v>
          </cell>
        </row>
        <row r="15944">
          <cell r="A15944">
            <v>70171707</v>
          </cell>
          <cell r="B15944" t="str">
            <v>Servicios de  mantenimiento o administración de pozos de agua</v>
          </cell>
        </row>
        <row r="15945">
          <cell r="A15945">
            <v>70171708</v>
          </cell>
          <cell r="B15945" t="str">
            <v>Servicios de asesoría en riego</v>
          </cell>
        </row>
        <row r="15946">
          <cell r="A15946">
            <v>70171709</v>
          </cell>
          <cell r="B15946" t="str">
            <v>Servicios de administración de sistemas de riego</v>
          </cell>
        </row>
        <row r="15947">
          <cell r="A15947">
            <v>70171801</v>
          </cell>
          <cell r="B15947" t="str">
            <v>Servicios de drenaje de tierras</v>
          </cell>
        </row>
        <row r="15948">
          <cell r="A15948">
            <v>70171802</v>
          </cell>
          <cell r="B15948" t="str">
            <v>Drenaje de agua pluviales</v>
          </cell>
        </row>
        <row r="15949">
          <cell r="A15949">
            <v>70171803</v>
          </cell>
          <cell r="B15949" t="str">
            <v>Servicios de protección contra inundaciones o de control de inundaciones</v>
          </cell>
        </row>
        <row r="15950">
          <cell r="A15950">
            <v>71101501</v>
          </cell>
          <cell r="B15950" t="str">
            <v>Desarrollos mineros</v>
          </cell>
        </row>
        <row r="15951">
          <cell r="A15951">
            <v>71101502</v>
          </cell>
          <cell r="B15951" t="str">
            <v>Sondeos de exploración o extracción de testigos</v>
          </cell>
        </row>
        <row r="15952">
          <cell r="A15952">
            <v>71101601</v>
          </cell>
          <cell r="B15952" t="str">
            <v>Profundización de pozos de mina</v>
          </cell>
        </row>
        <row r="15953">
          <cell r="A15953">
            <v>71101602</v>
          </cell>
          <cell r="B15953" t="str">
            <v>Servicios de voladura de minas</v>
          </cell>
        </row>
        <row r="15954">
          <cell r="A15954">
            <v>71101701</v>
          </cell>
          <cell r="B15954" t="str">
            <v>Servicios de minería de pozos</v>
          </cell>
        </row>
        <row r="15955">
          <cell r="A15955">
            <v>71101702</v>
          </cell>
          <cell r="B15955" t="str">
            <v>Servicios de minería  a cielo abierto</v>
          </cell>
        </row>
        <row r="15956">
          <cell r="A15956">
            <v>71101703</v>
          </cell>
          <cell r="B15956" t="str">
            <v>Servicios de explotación a cielo abierto</v>
          </cell>
        </row>
        <row r="15957">
          <cell r="A15957">
            <v>71101704</v>
          </cell>
          <cell r="B15957" t="str">
            <v>Servicios de lixiviación sobre el terreno</v>
          </cell>
        </row>
        <row r="15958">
          <cell r="A15958">
            <v>71101705</v>
          </cell>
          <cell r="B15958" t="str">
            <v>Bombeo o drenaje</v>
          </cell>
        </row>
        <row r="15959">
          <cell r="A15959">
            <v>71101706</v>
          </cell>
          <cell r="B15959" t="str">
            <v>Eliminación de cobertura de rocas</v>
          </cell>
        </row>
        <row r="15960">
          <cell r="A15960">
            <v>71101707</v>
          </cell>
          <cell r="B15960" t="str">
            <v>Servicios de embalsamiento o almacenamiento de aguas</v>
          </cell>
        </row>
        <row r="15961">
          <cell r="A15961">
            <v>71101708</v>
          </cell>
          <cell r="B15961" t="str">
            <v>Servicios de baldeo de la tierra</v>
          </cell>
        </row>
        <row r="15962">
          <cell r="A15962">
            <v>71101709</v>
          </cell>
          <cell r="B15962" t="str">
            <v>Servicios de relleno de minas</v>
          </cell>
        </row>
        <row r="15963">
          <cell r="A15963">
            <v>71112001</v>
          </cell>
          <cell r="B15963" t="str">
            <v>Servicios de pruebas de muestras de formación de pozos entubados</v>
          </cell>
        </row>
        <row r="15964">
          <cell r="A15964">
            <v>71112002</v>
          </cell>
          <cell r="B15964" t="str">
            <v>Servicios de medición del espesor del revestimiento</v>
          </cell>
        </row>
        <row r="15965">
          <cell r="A15965">
            <v>71112003</v>
          </cell>
          <cell r="B15965" t="str">
            <v>Servicios de cortadoras químicas</v>
          </cell>
        </row>
        <row r="15966">
          <cell r="A15966">
            <v>71112004</v>
          </cell>
          <cell r="B15966" t="str">
            <v>Servicios de recuperación de tubería electromagnética</v>
          </cell>
        </row>
        <row r="15967">
          <cell r="A15967">
            <v>71112005</v>
          </cell>
          <cell r="B15967" t="str">
            <v>Servicios de medición del flujo del pozo</v>
          </cell>
        </row>
        <row r="15968">
          <cell r="A15968">
            <v>71112006</v>
          </cell>
          <cell r="B15968" t="str">
            <v>Servicios de medición  de la densidad del fluido del pozo</v>
          </cell>
        </row>
        <row r="15969">
          <cell r="A15969">
            <v>71112007</v>
          </cell>
          <cell r="B15969" t="str">
            <v>Servicios de medición de la temperatura del fluido del pozo</v>
          </cell>
        </row>
        <row r="15970">
          <cell r="A15970">
            <v>71112008</v>
          </cell>
          <cell r="B15970" t="str">
            <v>Servicios de herramientas de punto libre</v>
          </cell>
        </row>
        <row r="15971">
          <cell r="A15971">
            <v>71112009</v>
          </cell>
          <cell r="B15971" t="str">
            <v>Servicios de rayos gamma</v>
          </cell>
        </row>
        <row r="15972">
          <cell r="A15972">
            <v>71112010</v>
          </cell>
          <cell r="B15972" t="str">
            <v>Servicios de cortadora a  chorro</v>
          </cell>
        </row>
        <row r="15973">
          <cell r="A15973">
            <v>71112011</v>
          </cell>
          <cell r="B15973" t="str">
            <v>Servicios de medición durante la perforación</v>
          </cell>
        </row>
        <row r="15974">
          <cell r="A15974">
            <v>71112012</v>
          </cell>
          <cell r="B15974" t="str">
            <v>Servicios de porosidad por neutrón</v>
          </cell>
        </row>
        <row r="15975">
          <cell r="A15975">
            <v>71112013</v>
          </cell>
          <cell r="B15975" t="str">
            <v>Servicios de espectroscopia nuclear</v>
          </cell>
        </row>
        <row r="15976">
          <cell r="A15976">
            <v>71112014</v>
          </cell>
          <cell r="B15976" t="str">
            <v>Servicios de obturación de pozos</v>
          </cell>
        </row>
        <row r="15977">
          <cell r="A15977">
            <v>71112015</v>
          </cell>
          <cell r="B15977" t="str">
            <v>Servicios de recuperación permanente de tuberías magnéticas</v>
          </cell>
        </row>
        <row r="15978">
          <cell r="A15978">
            <v>71112017</v>
          </cell>
          <cell r="B15978" t="str">
            <v>Servicios de control de medición de la presión del pozo</v>
          </cell>
        </row>
        <row r="15979">
          <cell r="A15979">
            <v>71112018</v>
          </cell>
          <cell r="B15979" t="str">
            <v>Servicios de medición del fluido de perforación para registros de producción</v>
          </cell>
        </row>
        <row r="15980">
          <cell r="A15980">
            <v>71112019</v>
          </cell>
          <cell r="B15980" t="str">
            <v>Servicios de medición de la densidad para registros de producción</v>
          </cell>
        </row>
        <row r="15981">
          <cell r="A15981">
            <v>71112020</v>
          </cell>
          <cell r="B15981" t="str">
            <v>Servicios de video en fondo de pozo para registros de producción</v>
          </cell>
        </row>
        <row r="15982">
          <cell r="A15982">
            <v>71112021</v>
          </cell>
          <cell r="B15982" t="str">
            <v>Servicios de medición de flujo para registros de producción</v>
          </cell>
        </row>
        <row r="15983">
          <cell r="A15983">
            <v>71112022</v>
          </cell>
          <cell r="B15983" t="str">
            <v>Servicios de medición de presión para registros de producción</v>
          </cell>
        </row>
        <row r="15984">
          <cell r="A15984">
            <v>71112023</v>
          </cell>
          <cell r="B15984" t="str">
            <v>Otros servicios para registros de producción</v>
          </cell>
        </row>
        <row r="15985">
          <cell r="A15985">
            <v>71112024</v>
          </cell>
          <cell r="B15985" t="str">
            <v>Servicios de medición de temperatura para registros de producción</v>
          </cell>
        </row>
        <row r="15986">
          <cell r="A15986">
            <v>71112025</v>
          </cell>
          <cell r="B15986" t="str">
            <v>Servicios de colisión y separación</v>
          </cell>
        </row>
        <row r="15987">
          <cell r="A15987">
            <v>71112026</v>
          </cell>
          <cell r="B15987" t="str">
            <v>Servicios acústicos para registros  del pozo</v>
          </cell>
        </row>
        <row r="15988">
          <cell r="A15988">
            <v>71112027</v>
          </cell>
          <cell r="B15988" t="str">
            <v>Servicios de herramienta para puntos de atascamiento</v>
          </cell>
        </row>
        <row r="15989">
          <cell r="A15989">
            <v>71112028</v>
          </cell>
          <cell r="B15989" t="str">
            <v>Servicios de registro de pozos de descomposición térmica</v>
          </cell>
        </row>
        <row r="15990">
          <cell r="A15990">
            <v>71112029</v>
          </cell>
          <cell r="B15990" t="str">
            <v>Servicios de evaluación de la corrosión de tubos del pozo</v>
          </cell>
        </row>
        <row r="15991">
          <cell r="A15991">
            <v>71112030</v>
          </cell>
          <cell r="B15991" t="str">
            <v>Servicios de rendimiento del pozo</v>
          </cell>
        </row>
        <row r="15992">
          <cell r="A15992">
            <v>71112031</v>
          </cell>
          <cell r="B15992" t="str">
            <v>Servicios de tubos para pozos</v>
          </cell>
        </row>
        <row r="15993">
          <cell r="A15993">
            <v>71112101</v>
          </cell>
          <cell r="B15993" t="str">
            <v>Servicios de registro acústicos digital</v>
          </cell>
        </row>
        <row r="15994">
          <cell r="A15994">
            <v>71112102</v>
          </cell>
          <cell r="B15994" t="str">
            <v>Servicios de registro de la geometría de la perforación</v>
          </cell>
        </row>
        <row r="15995">
          <cell r="A15995">
            <v>71112103</v>
          </cell>
          <cell r="B15995" t="str">
            <v>Servicios de registro nuclear de litología y densidad</v>
          </cell>
        </row>
        <row r="15996">
          <cell r="A15996">
            <v>71112104</v>
          </cell>
          <cell r="B15996" t="str">
            <v>Servicios de registración del contador de inmersión</v>
          </cell>
        </row>
        <row r="15997">
          <cell r="A15997">
            <v>71112105</v>
          </cell>
          <cell r="B15997" t="str">
            <v>Servicios de registro acústico dipolar</v>
          </cell>
        </row>
        <row r="15998">
          <cell r="A15998">
            <v>71112106</v>
          </cell>
          <cell r="B15998" t="str">
            <v>Servicios de registro de desviaciones</v>
          </cell>
        </row>
        <row r="15999">
          <cell r="A15999">
            <v>71112107</v>
          </cell>
          <cell r="B15999" t="str">
            <v>Servicios de planimetría direccional</v>
          </cell>
        </row>
        <row r="16000">
          <cell r="A16000">
            <v>71112108</v>
          </cell>
          <cell r="B16000" t="str">
            <v>Servicios de registro de propagación electromagnética</v>
          </cell>
        </row>
        <row r="16001">
          <cell r="A16001">
            <v>71112109</v>
          </cell>
          <cell r="B16001" t="str">
            <v>Servicios de muestreo de pruebas de formación</v>
          </cell>
        </row>
        <row r="16002">
          <cell r="A16002">
            <v>71112110</v>
          </cell>
          <cell r="B16002" t="str">
            <v>Servicios de registro de identificación de fracturas</v>
          </cell>
        </row>
        <row r="16003">
          <cell r="A16003">
            <v>71112111</v>
          </cell>
          <cell r="B16003" t="str">
            <v>Servicios de registro por rayos gamma</v>
          </cell>
        </row>
        <row r="16004">
          <cell r="A16004">
            <v>71112112</v>
          </cell>
          <cell r="B16004" t="str">
            <v>Servicios de registro espectroscópico por rayos gamma</v>
          </cell>
        </row>
        <row r="16005">
          <cell r="A16005">
            <v>71112113</v>
          </cell>
          <cell r="B16005" t="str">
            <v>Servicios de registro nuclear geoquímico</v>
          </cell>
        </row>
        <row r="16006">
          <cell r="A16006">
            <v>71112114</v>
          </cell>
          <cell r="B16006" t="str">
            <v>Servicios de generación de imágenes del pozo</v>
          </cell>
        </row>
        <row r="16007">
          <cell r="A16007">
            <v>71112115</v>
          </cell>
          <cell r="B16007" t="str">
            <v>Servicios de registro por resonancia magnética</v>
          </cell>
        </row>
        <row r="16008">
          <cell r="A16008">
            <v>71112116</v>
          </cell>
          <cell r="B16008" t="str">
            <v>Servicios de registro de micro resistencia</v>
          </cell>
        </row>
        <row r="16009">
          <cell r="A16009">
            <v>71112117</v>
          </cell>
          <cell r="B16009" t="str">
            <v>Servicios de registro de porosidad por neutrón</v>
          </cell>
        </row>
        <row r="16010">
          <cell r="A16010">
            <v>71112119</v>
          </cell>
          <cell r="B16010" t="str">
            <v>Servicios de registro de resistencia</v>
          </cell>
        </row>
        <row r="16011">
          <cell r="A16011">
            <v>71112120</v>
          </cell>
          <cell r="B16011" t="str">
            <v>Servicios de registro acústico de acceso angosto</v>
          </cell>
        </row>
        <row r="16012">
          <cell r="A16012">
            <v>71112121</v>
          </cell>
          <cell r="B16012" t="str">
            <v>Servicios de registro acústico de la relación de adherencia del cemento</v>
          </cell>
        </row>
        <row r="16013">
          <cell r="A16013">
            <v>71112122</v>
          </cell>
          <cell r="B16013" t="str">
            <v>Servicios de generación de imágenes acústicas del pozo</v>
          </cell>
        </row>
        <row r="16014">
          <cell r="A16014">
            <v>71112202</v>
          </cell>
          <cell r="B16014" t="str">
            <v>Registro durante servicios de perforación</v>
          </cell>
        </row>
        <row r="16015">
          <cell r="A16015">
            <v>71112203</v>
          </cell>
          <cell r="B16015" t="str">
            <v>Servicios de registro durante la pesca</v>
          </cell>
        </row>
        <row r="16016">
          <cell r="A16016">
            <v>71112204</v>
          </cell>
          <cell r="B16016" t="str">
            <v>Servicios de registro  durante la perforación</v>
          </cell>
        </row>
        <row r="16017">
          <cell r="A16017">
            <v>71112205</v>
          </cell>
          <cell r="B16017" t="str">
            <v>Servicios de tubería de perforación transportadas para pozos</v>
          </cell>
        </row>
        <row r="16018">
          <cell r="A16018">
            <v>71112206</v>
          </cell>
          <cell r="B16018" t="str">
            <v>Servicios generales de registro de pozos</v>
          </cell>
        </row>
        <row r="16019">
          <cell r="A16019">
            <v>71112301</v>
          </cell>
          <cell r="B16019" t="str">
            <v>Servicios de adquisición de datos sísmicos de tierras de 2d/ 3d/ 4d</v>
          </cell>
        </row>
        <row r="16020">
          <cell r="A16020">
            <v>71112302</v>
          </cell>
          <cell r="B16020" t="str">
            <v>Servicios de adquisición de datos sísmicos marinos de 2d/ 3d/ 4d</v>
          </cell>
        </row>
        <row r="16021">
          <cell r="A16021">
            <v>71112303</v>
          </cell>
          <cell r="B16021" t="str">
            <v>Servicios de procesamiento de datos sísmicos de 2d/ 3d/ 4d</v>
          </cell>
        </row>
        <row r="16022">
          <cell r="A16022">
            <v>71112304</v>
          </cell>
          <cell r="B16022" t="str">
            <v>Servicios de adquisición sísmica de tierra tridimensional</v>
          </cell>
        </row>
        <row r="16023">
          <cell r="A16023">
            <v>71112305</v>
          </cell>
          <cell r="B16023" t="str">
            <v>Servicios de adquisición sísmica marina tridimensional</v>
          </cell>
        </row>
        <row r="16024">
          <cell r="A16024">
            <v>71112306</v>
          </cell>
          <cell r="B16024" t="str">
            <v>Servicios de procesar datos tridimensionales</v>
          </cell>
        </row>
        <row r="16025">
          <cell r="A16025">
            <v>71112307</v>
          </cell>
          <cell r="B16025" t="str">
            <v>Servicios de adquisición sísmica de tierra cuatro dimensional</v>
          </cell>
        </row>
        <row r="16026">
          <cell r="A16026">
            <v>71112308</v>
          </cell>
          <cell r="B16026" t="str">
            <v>Servicios de adquisición sísmica marina cuatro dimensional</v>
          </cell>
        </row>
        <row r="16027">
          <cell r="A16027">
            <v>71112309</v>
          </cell>
          <cell r="B16027" t="str">
            <v>Servicios de procesar datos cuatro dimensiónales</v>
          </cell>
        </row>
        <row r="16028">
          <cell r="A16028">
            <v>71112310</v>
          </cell>
          <cell r="B16028" t="str">
            <v>Servicios sísmicos de tiro de control</v>
          </cell>
        </row>
        <row r="16029">
          <cell r="A16029">
            <v>71112311</v>
          </cell>
          <cell r="B16029" t="str">
            <v>Servicios sísmicos de pozo cruzado</v>
          </cell>
        </row>
        <row r="16030">
          <cell r="A16030">
            <v>71112312</v>
          </cell>
          <cell r="B16030" t="str">
            <v>Servicios sísmicos de pozo desviado</v>
          </cell>
        </row>
        <row r="16031">
          <cell r="A16031">
            <v>71112313</v>
          </cell>
          <cell r="B16031" t="str">
            <v>Servicios sísmicos de geofísica</v>
          </cell>
        </row>
        <row r="16032">
          <cell r="A16032">
            <v>71112314</v>
          </cell>
          <cell r="B16032" t="str">
            <v>Servicios sísmicos de desplazamiento horizontal</v>
          </cell>
        </row>
        <row r="16033">
          <cell r="A16033">
            <v>71112315</v>
          </cell>
          <cell r="B16033" t="str">
            <v>Servicios sísmicos de tiro rápido</v>
          </cell>
        </row>
        <row r="16034">
          <cell r="A16034">
            <v>71112316</v>
          </cell>
          <cell r="B16034" t="str">
            <v>Servicios de adquisición de datos sísmicos mientras taladra</v>
          </cell>
        </row>
        <row r="16035">
          <cell r="A16035">
            <v>71112317</v>
          </cell>
          <cell r="B16035" t="str">
            <v>Servicios sísmicos de hoyo pequeño</v>
          </cell>
        </row>
        <row r="16036">
          <cell r="A16036">
            <v>71112318</v>
          </cell>
          <cell r="B16036" t="str">
            <v>Servicios de diseño o evaluación de topografía sísmica</v>
          </cell>
        </row>
        <row r="16037">
          <cell r="A16037">
            <v>71112319</v>
          </cell>
          <cell r="B16037" t="str">
            <v>Servicios sísmicos verticales</v>
          </cell>
        </row>
        <row r="16038">
          <cell r="A16038">
            <v>71112320</v>
          </cell>
          <cell r="B16038" t="str">
            <v>Servicios sísmicos de pasarela</v>
          </cell>
        </row>
        <row r="16039">
          <cell r="A16039">
            <v>71112321</v>
          </cell>
          <cell r="B16039" t="str">
            <v>Servicios geológicos</v>
          </cell>
        </row>
        <row r="16040">
          <cell r="A16040">
            <v>71121001</v>
          </cell>
          <cell r="B16040" t="str">
            <v>Servicios de hardware de tuberías de revestimiento para campos petroleros</v>
          </cell>
        </row>
        <row r="16041">
          <cell r="A16041">
            <v>71121002</v>
          </cell>
          <cell r="B16041" t="str">
            <v>Servicios de pruebas de laboratorios de cemento para campos petroleros</v>
          </cell>
        </row>
        <row r="16042">
          <cell r="A16042">
            <v>71121003</v>
          </cell>
          <cell r="B16042" t="str">
            <v>Servicios de herramientas del hoyo de bajada de campo petrolero</v>
          </cell>
        </row>
        <row r="16043">
          <cell r="A16043">
            <v>71121004</v>
          </cell>
          <cell r="B16043" t="str">
            <v>Servicios de filtrar de campo petrolero</v>
          </cell>
        </row>
        <row r="16044">
          <cell r="A16044">
            <v>71121005</v>
          </cell>
          <cell r="B16044" t="str">
            <v>Servicios de cementar con espuma</v>
          </cell>
        </row>
        <row r="16045">
          <cell r="A16045">
            <v>71121006</v>
          </cell>
          <cell r="B16045" t="str">
            <v>Servicios de cementar geo térmico de pozo</v>
          </cell>
        </row>
        <row r="16046">
          <cell r="A16046">
            <v>71121007</v>
          </cell>
          <cell r="B16046" t="str">
            <v>Servicios de cementar el revestidor</v>
          </cell>
        </row>
        <row r="16047">
          <cell r="A16047">
            <v>71121008</v>
          </cell>
          <cell r="B16047" t="str">
            <v>Servicios de circulación perdida del pozo petrolero</v>
          </cell>
        </row>
        <row r="16048">
          <cell r="A16048">
            <v>71121009</v>
          </cell>
          <cell r="B16048" t="str">
            <v>Servicios de eliminación de lodo  del  campo petrolero</v>
          </cell>
        </row>
        <row r="16049">
          <cell r="A16049">
            <v>71121010</v>
          </cell>
          <cell r="B16049" t="str">
            <v>Servicios de cementación de tapones</v>
          </cell>
        </row>
        <row r="16050">
          <cell r="A16050">
            <v>71121011</v>
          </cell>
          <cell r="B16050" t="str">
            <v>Servicios de bombeo a presión del pozo en el emplazamiento</v>
          </cell>
        </row>
        <row r="16051">
          <cell r="A16051">
            <v>71121012</v>
          </cell>
          <cell r="B16051" t="str">
            <v>Servicios de prueba de presión del campo petrolero</v>
          </cell>
        </row>
        <row r="16052">
          <cell r="A16052">
            <v>71121013</v>
          </cell>
          <cell r="B16052" t="str">
            <v>Servicios de cementar envoltura de superficie</v>
          </cell>
        </row>
        <row r="16053">
          <cell r="A16053">
            <v>71121014</v>
          </cell>
          <cell r="B16053" t="str">
            <v>Servicios de cementar envoltura intermediaria</v>
          </cell>
        </row>
        <row r="16054">
          <cell r="A16054">
            <v>71121015</v>
          </cell>
          <cell r="B16054" t="str">
            <v>Servicios de cementar cadena de producción</v>
          </cell>
        </row>
        <row r="16055">
          <cell r="A16055">
            <v>71121016</v>
          </cell>
          <cell r="B16055" t="str">
            <v>Servicios de cementación del pozo con forzamiento de inyección</v>
          </cell>
        </row>
        <row r="16056">
          <cell r="A16056">
            <v>71121017</v>
          </cell>
          <cell r="B16056" t="str">
            <v>Servicios de control de agua del pozo</v>
          </cell>
        </row>
        <row r="16057">
          <cell r="A16057">
            <v>71121018</v>
          </cell>
          <cell r="B16057" t="str">
            <v>Servicios de evaluación de la cementación del pozo</v>
          </cell>
        </row>
        <row r="16058">
          <cell r="A16058">
            <v>71121019</v>
          </cell>
          <cell r="B16058" t="str">
            <v>Servicios de enlechar cemento de pozo</v>
          </cell>
        </row>
        <row r="16059">
          <cell r="A16059">
            <v>71121020</v>
          </cell>
          <cell r="B16059" t="str">
            <v>Servicios de aditivos de cementar el pozo</v>
          </cell>
        </row>
        <row r="16060">
          <cell r="A16060">
            <v>71121021</v>
          </cell>
          <cell r="B16060" t="str">
            <v>Servicios de diseño de cementar el pozo</v>
          </cell>
        </row>
        <row r="16061">
          <cell r="A16061">
            <v>71121022</v>
          </cell>
          <cell r="B16061" t="str">
            <v>Servicios de limpieza del pozo</v>
          </cell>
        </row>
        <row r="16062">
          <cell r="A16062">
            <v>71121023</v>
          </cell>
          <cell r="B16062" t="str">
            <v>Servicios de reparación del pozo</v>
          </cell>
        </row>
        <row r="16063">
          <cell r="A16063">
            <v>71121101</v>
          </cell>
          <cell r="B16063" t="str">
            <v>Servicios de acidización mediante tubería flexible contínua</v>
          </cell>
        </row>
        <row r="16064">
          <cell r="A16064">
            <v>71121102</v>
          </cell>
          <cell r="B16064" t="str">
            <v>Servicios de instalación de cables  mediante tubería  flexible contínua</v>
          </cell>
        </row>
        <row r="16065">
          <cell r="A16065">
            <v>71121103</v>
          </cell>
          <cell r="B16065" t="str">
            <v>Servicios de cementación mediante tubería flexible contínua</v>
          </cell>
        </row>
        <row r="16066">
          <cell r="A16066">
            <v>71121104</v>
          </cell>
          <cell r="B16066" t="str">
            <v>Servicios de corte químico mediante tubería flexible contínua</v>
          </cell>
        </row>
        <row r="16067">
          <cell r="A16067">
            <v>71121105</v>
          </cell>
          <cell r="B16067" t="str">
            <v>Servicios de limpieza mediante tubería flexible contínua</v>
          </cell>
        </row>
        <row r="16068">
          <cell r="A16068">
            <v>71121106</v>
          </cell>
          <cell r="B16068" t="str">
            <v>Servicios de terminación mediante tubería flexible contínua</v>
          </cell>
        </row>
        <row r="16069">
          <cell r="A16069">
            <v>71121107</v>
          </cell>
          <cell r="B16069" t="str">
            <v>Servicios de transporte de inflables  mediante tubería flexible contínua</v>
          </cell>
        </row>
        <row r="16070">
          <cell r="A16070">
            <v>71121108</v>
          </cell>
          <cell r="B16070" t="str">
            <v>Servicios de extracción de testigos mediante tubería flexible contínua</v>
          </cell>
        </row>
        <row r="16071">
          <cell r="A16071">
            <v>71121109</v>
          </cell>
          <cell r="B16071" t="str">
            <v>Servicios de alcance extendido del pozo</v>
          </cell>
        </row>
        <row r="16072">
          <cell r="A16072">
            <v>71121110</v>
          </cell>
          <cell r="B16072" t="str">
            <v>Servicios de pesca mediante tubería flexible contínua</v>
          </cell>
        </row>
        <row r="16073">
          <cell r="A16073">
            <v>71121111</v>
          </cell>
          <cell r="B16073" t="str">
            <v>Servicios de fracturación mediante tubería flexible contínua</v>
          </cell>
        </row>
        <row r="16074">
          <cell r="A16074">
            <v>71121112</v>
          </cell>
          <cell r="B16074" t="str">
            <v>Servicios de presión alta mediante tubería flexible contínua</v>
          </cell>
        </row>
        <row r="16075">
          <cell r="A16075">
            <v>71121113</v>
          </cell>
          <cell r="B16075" t="str">
            <v>Servicios de aislamiento horizontal del campo petrolífero</v>
          </cell>
        </row>
        <row r="16076">
          <cell r="A16076">
            <v>71121114</v>
          </cell>
          <cell r="B16076" t="str">
            <v>Servicios de registro mediante tubería flexible contínua</v>
          </cell>
        </row>
        <row r="16077">
          <cell r="A16077">
            <v>71121115</v>
          </cell>
          <cell r="B16077" t="str">
            <v>Servicios de fresado mediante tubería flexible contínua</v>
          </cell>
        </row>
        <row r="16078">
          <cell r="A16078">
            <v>71121116</v>
          </cell>
          <cell r="B16078" t="str">
            <v>Aplicaciones relacionadas con nitrógeno mediante tubería flexible continua</v>
          </cell>
        </row>
        <row r="16079">
          <cell r="A16079">
            <v>71121117</v>
          </cell>
          <cell r="B16079" t="str">
            <v>Servicios de perforación mediante tubería flexible contínua</v>
          </cell>
        </row>
        <row r="16080">
          <cell r="A16080">
            <v>71121118</v>
          </cell>
          <cell r="B16080" t="str">
            <v>Servicios de tendido de conductos o tuberías de producción</v>
          </cell>
        </row>
        <row r="16081">
          <cell r="A16081">
            <v>71121119</v>
          </cell>
          <cell r="B16081" t="str">
            <v>Servicios de intervención en los conductos</v>
          </cell>
        </row>
        <row r="16082">
          <cell r="A16082">
            <v>71121120</v>
          </cell>
          <cell r="B16082" t="str">
            <v>Servicios de control de arena mediante tubería flexible contínua</v>
          </cell>
        </row>
        <row r="16083">
          <cell r="A16083">
            <v>71121121</v>
          </cell>
          <cell r="B16083" t="str">
            <v>Servicios abrasivos de limpieza tubular</v>
          </cell>
        </row>
        <row r="16084">
          <cell r="A16084">
            <v>71121122</v>
          </cell>
          <cell r="B16084" t="str">
            <v>Servicios de matar el pozo (well kil)l mediante tubería flexible contínua</v>
          </cell>
        </row>
        <row r="16085">
          <cell r="A16085">
            <v>71121123</v>
          </cell>
          <cell r="B16085" t="str">
            <v>Servicios de salida de tubería mediante tubería flexible contínua</v>
          </cell>
        </row>
        <row r="16086">
          <cell r="A16086">
            <v>71121201</v>
          </cell>
          <cell r="B16086" t="str">
            <v>Servicios convencionales de extracción de testigos</v>
          </cell>
        </row>
        <row r="16087">
          <cell r="A16087">
            <v>71121202</v>
          </cell>
          <cell r="B16087" t="str">
            <v>Servicios de aislamiento de testigos</v>
          </cell>
        </row>
        <row r="16088">
          <cell r="A16088">
            <v>71121203</v>
          </cell>
          <cell r="B16088" t="str">
            <v>Servicios de conservación de testigos</v>
          </cell>
        </row>
        <row r="16089">
          <cell r="A16089">
            <v>71121204</v>
          </cell>
          <cell r="B16089" t="str">
            <v>Servicios de extracción horizontal de testigos</v>
          </cell>
        </row>
        <row r="16090">
          <cell r="A16090">
            <v>71121205</v>
          </cell>
          <cell r="B16090" t="str">
            <v>Servicios de extracción de testigos orientada</v>
          </cell>
        </row>
        <row r="16091">
          <cell r="A16091">
            <v>71121206</v>
          </cell>
          <cell r="B16091" t="str">
            <v>Servicios de análisis de testigos ("Core analysis service ")</v>
          </cell>
        </row>
        <row r="16092">
          <cell r="A16092">
            <v>71121207</v>
          </cell>
          <cell r="B16092" t="str">
            <v>Servicios de extracción de testigos con esponja</v>
          </cell>
        </row>
        <row r="16093">
          <cell r="A16093">
            <v>71121208</v>
          </cell>
          <cell r="B16093" t="str">
            <v>Servicios de extracción de testigos mediante cable conductor recuperable</v>
          </cell>
        </row>
        <row r="16094">
          <cell r="A16094">
            <v>71121301</v>
          </cell>
          <cell r="B16094" t="str">
            <v>Servicios de control de la vibración de perforación en el fondo del pozo</v>
          </cell>
        </row>
        <row r="16095">
          <cell r="A16095">
            <v>71121302</v>
          </cell>
          <cell r="B16095" t="str">
            <v>Servicios de ensanchamiento de la perforación en el fondo del pozo</v>
          </cell>
        </row>
        <row r="16096">
          <cell r="A16096">
            <v>71121303</v>
          </cell>
          <cell r="B16096" t="str">
            <v>Servicios de protección del ensanche y calibración de la perforación en el fondo del pozo</v>
          </cell>
        </row>
        <row r="16097">
          <cell r="A16097">
            <v>71121304</v>
          </cell>
          <cell r="B16097" t="str">
            <v>Servicios de reducción del arrastre o torque en la perforación en el fondo del pozo</v>
          </cell>
        </row>
        <row r="16098">
          <cell r="A16098">
            <v>71121305</v>
          </cell>
          <cell r="B16098" t="str">
            <v>Servicios de alivio de atascamiento de los tubos en la perforación en el fondo del pozo</v>
          </cell>
        </row>
        <row r="16099">
          <cell r="A16099">
            <v>71121401</v>
          </cell>
          <cell r="B16099" t="str">
            <v>Servicios de diseño de brocas de perforación del campo petrolero</v>
          </cell>
        </row>
        <row r="16100">
          <cell r="A16100">
            <v>71121402</v>
          </cell>
          <cell r="B16100" t="str">
            <v>Servicios de optimización hidráulica de las brocas de perforación del campo petrolero</v>
          </cell>
        </row>
        <row r="16101">
          <cell r="A16101">
            <v>71121403</v>
          </cell>
          <cell r="B16101" t="str">
            <v>Servicios de planificación de las brocas de perforación del campo petrolero</v>
          </cell>
        </row>
        <row r="16102">
          <cell r="A16102">
            <v>71121404</v>
          </cell>
          <cell r="B16102" t="str">
            <v>Servicios de registro de las brocas de perforación del campo petrolero</v>
          </cell>
        </row>
        <row r="16103">
          <cell r="A16103">
            <v>71121405</v>
          </cell>
          <cell r="B16103" t="str">
            <v>Servicios de reparación de brocas de perforación del campo petrolero</v>
          </cell>
        </row>
        <row r="16104">
          <cell r="A16104">
            <v>71121406</v>
          </cell>
          <cell r="B16104" t="str">
            <v>Contratos de longitud excavada de las brocas de perforación del campo petrolero</v>
          </cell>
        </row>
        <row r="16105">
          <cell r="A16105">
            <v>71121407</v>
          </cell>
          <cell r="B16105" t="str">
            <v>Servicio de asistencia para la optimización de la perforación en el emplazamiento del pozo</v>
          </cell>
        </row>
        <row r="16106">
          <cell r="A16106">
            <v>71121501</v>
          </cell>
          <cell r="B16106" t="str">
            <v>Servicios de medición acústica durante la perforación</v>
          </cell>
        </row>
        <row r="16107">
          <cell r="A16107">
            <v>71121502</v>
          </cell>
          <cell r="B16107" t="str">
            <v>Servicios de telemetría acústica durante la perforación</v>
          </cell>
        </row>
        <row r="16108">
          <cell r="A16108">
            <v>71121503</v>
          </cell>
          <cell r="B16108" t="str">
            <v>Servicios de medición de calibre durante la perforación</v>
          </cell>
        </row>
        <row r="16109">
          <cell r="A16109">
            <v>71121504</v>
          </cell>
          <cell r="B16109" t="str">
            <v>Servicios de medición de la densidad durante la perforación</v>
          </cell>
        </row>
        <row r="16110">
          <cell r="A16110">
            <v>71121505</v>
          </cell>
          <cell r="B16110" t="str">
            <v>Servicios del rendimiento de la perforación del campo  petrolero</v>
          </cell>
        </row>
        <row r="16111">
          <cell r="A16111">
            <v>71121506</v>
          </cell>
          <cell r="B16111" t="str">
            <v>Servicios de telemetría electromagnética durante la perforación</v>
          </cell>
        </row>
        <row r="16112">
          <cell r="A16112">
            <v>71121507</v>
          </cell>
          <cell r="B16112" t="str">
            <v>Servicios de medición de la inclinación de formación durante la perforación</v>
          </cell>
        </row>
        <row r="16113">
          <cell r="A16113">
            <v>71121508</v>
          </cell>
          <cell r="B16113" t="str">
            <v>Servicios de medición de la presión de formación durante la perforación</v>
          </cell>
        </row>
        <row r="16114">
          <cell r="A16114">
            <v>71121509</v>
          </cell>
          <cell r="B16114" t="str">
            <v>Pozos dirigidos geológicamente</v>
          </cell>
        </row>
        <row r="16115">
          <cell r="A16115">
            <v>71121510</v>
          </cell>
          <cell r="B16115" t="str">
            <v>Servicios de geoparada</v>
          </cell>
        </row>
        <row r="16116">
          <cell r="A16116">
            <v>71121511</v>
          </cell>
          <cell r="B16116" t="str">
            <v>Servicios de registro de lodo</v>
          </cell>
        </row>
        <row r="16117">
          <cell r="A16117">
            <v>71121512</v>
          </cell>
          <cell r="B16117" t="str">
            <v>Servicios de resonancia magnética nuclear</v>
          </cell>
        </row>
        <row r="16118">
          <cell r="A16118">
            <v>71121513</v>
          </cell>
          <cell r="B16118" t="str">
            <v>Servicios de medición de la porosidad durante la perforación</v>
          </cell>
        </row>
        <row r="16119">
          <cell r="A16119">
            <v>71121514</v>
          </cell>
          <cell r="B16119" t="str">
            <v>Servicios de medición de la resistividad durante la perforación</v>
          </cell>
        </row>
        <row r="16120">
          <cell r="A16120">
            <v>71121515</v>
          </cell>
          <cell r="B16120" t="str">
            <v>Servicios de gestión de levantamiento de planos  del pozo</v>
          </cell>
        </row>
        <row r="16121">
          <cell r="A16121">
            <v>71121516</v>
          </cell>
          <cell r="B16121" t="str">
            <v>Servicios de inspección de los cables conductores</v>
          </cell>
        </row>
        <row r="16122">
          <cell r="A16122">
            <v>71121601</v>
          </cell>
          <cell r="B16122" t="str">
            <v>Servicios de personal para revestimiento de tuberías del pozo</v>
          </cell>
        </row>
        <row r="16123">
          <cell r="A16123">
            <v>71121602</v>
          </cell>
          <cell r="B16123" t="str">
            <v>Servicios de planificación para el revestimiento de tuberías del pozo</v>
          </cell>
        </row>
        <row r="16124">
          <cell r="A16124">
            <v>71121603</v>
          </cell>
          <cell r="B16124" t="str">
            <v>Servicios de fresado para el revestimiento de tuberías del pozo</v>
          </cell>
        </row>
        <row r="16125">
          <cell r="A16125">
            <v>71121604</v>
          </cell>
          <cell r="B16125" t="str">
            <v>Servicios de perforación con tubería flexible continua</v>
          </cell>
        </row>
        <row r="16126">
          <cell r="A16126">
            <v>71121605</v>
          </cell>
          <cell r="B16126" t="str">
            <v>Servicios de planificación de la terminación del pozo</v>
          </cell>
        </row>
        <row r="16127">
          <cell r="A16127">
            <v>71121606</v>
          </cell>
          <cell r="B16127" t="str">
            <v>Servicios de perforación direccional de pozo convencional</v>
          </cell>
        </row>
        <row r="16128">
          <cell r="A16128">
            <v>71121607</v>
          </cell>
          <cell r="B16128" t="str">
            <v>Servicios de perforación direccional de pozos</v>
          </cell>
        </row>
        <row r="16129">
          <cell r="A16129">
            <v>71121608</v>
          </cell>
          <cell r="B16129" t="str">
            <v>Servicios de desarrollo de contratos  para perforación de pozos</v>
          </cell>
        </row>
        <row r="16130">
          <cell r="A16130">
            <v>71121609</v>
          </cell>
          <cell r="B16130" t="str">
            <v>Servicios de perforación de pozo</v>
          </cell>
        </row>
        <row r="16131">
          <cell r="A16131">
            <v>71121610</v>
          </cell>
          <cell r="B16131" t="str">
            <v>Servicios de ingeniería para perforación de pozos</v>
          </cell>
        </row>
        <row r="16132">
          <cell r="A16132">
            <v>71121611</v>
          </cell>
          <cell r="B16132" t="str">
            <v>Servicios de fluido o lodo para perforación de pozos</v>
          </cell>
        </row>
        <row r="16133">
          <cell r="A16133">
            <v>71121612</v>
          </cell>
          <cell r="B16133" t="str">
            <v>Servicios de perforación de pozos  para entrada de agua</v>
          </cell>
        </row>
        <row r="16134">
          <cell r="A16134">
            <v>71121613</v>
          </cell>
          <cell r="B16134" t="str">
            <v>Servicios de monitoreo de la torre de perforación del pozo</v>
          </cell>
        </row>
        <row r="16135">
          <cell r="A16135">
            <v>71121614</v>
          </cell>
          <cell r="B16135" t="str">
            <v>Control de sólidos durante perforación de pozos</v>
          </cell>
        </row>
        <row r="16136">
          <cell r="A16136">
            <v>71121615</v>
          </cell>
          <cell r="B16136" t="str">
            <v>Servicios de apertura de hoyos o estabilización de la perforación de pozos</v>
          </cell>
        </row>
        <row r="16137">
          <cell r="A16137">
            <v>71121616</v>
          </cell>
          <cell r="B16137" t="str">
            <v>Supervisión de perforación de pozos</v>
          </cell>
        </row>
        <row r="16138">
          <cell r="A16138">
            <v>71121617</v>
          </cell>
          <cell r="B16138" t="str">
            <v>Servicios de control de perforación de pozos</v>
          </cell>
        </row>
        <row r="16139">
          <cell r="A16139">
            <v>71121618</v>
          </cell>
          <cell r="B16139" t="str">
            <v>Otros servicios generales para perforación de pozos</v>
          </cell>
        </row>
        <row r="16140">
          <cell r="A16140">
            <v>71121619</v>
          </cell>
          <cell r="B16140" t="str">
            <v>Servicios de perforación direccional de alcance extendido de pozos</v>
          </cell>
        </row>
        <row r="16141">
          <cell r="A16141">
            <v>71121620</v>
          </cell>
          <cell r="B16141" t="str">
            <v>Servicios de perforación direccional multilateral de pozos</v>
          </cell>
        </row>
        <row r="16142">
          <cell r="A16142">
            <v>71121621</v>
          </cell>
          <cell r="B16142" t="str">
            <v>Servicios de pruebas  o modificaciones de tubos para pozos de petróleo</v>
          </cell>
        </row>
        <row r="16143">
          <cell r="A16143">
            <v>71121622</v>
          </cell>
          <cell r="B16143" t="str">
            <v>Servicio de almacenamiento transitorio o recogida de tubos para perforación de pozos</v>
          </cell>
        </row>
        <row r="16144">
          <cell r="A16144">
            <v>71121623</v>
          </cell>
          <cell r="B16144" t="str">
            <v>Almacenamiento de tubería de perforación de pozo</v>
          </cell>
        </row>
        <row r="16145">
          <cell r="A16145">
            <v>71121624</v>
          </cell>
          <cell r="B16145" t="str">
            <v>Enroscado de tubería de perforación de pozos</v>
          </cell>
        </row>
        <row r="16146">
          <cell r="A16146">
            <v>71121625</v>
          </cell>
          <cell r="B16146" t="str">
            <v>Servicio de perforación de los orificio de conexión o ratonera</v>
          </cell>
        </row>
        <row r="16147">
          <cell r="A16147">
            <v>71121626</v>
          </cell>
          <cell r="B16147" t="str">
            <v>Servicios de perforación direccional de pozos de radio corto</v>
          </cell>
        </row>
        <row r="16148">
          <cell r="A16148">
            <v>71121627</v>
          </cell>
          <cell r="B16148" t="str">
            <v>Servicios de ampliación dirigible de paredes por debajo de la tubería de revestimiento durante la perforación del pozo</v>
          </cell>
        </row>
        <row r="16149">
          <cell r="A16149">
            <v>71121628</v>
          </cell>
          <cell r="B16149" t="str">
            <v>Servicios de perforación direccional de pozos de radio ultracorto</v>
          </cell>
        </row>
        <row r="16150">
          <cell r="A16150">
            <v>71121629</v>
          </cell>
          <cell r="B16150" t="str">
            <v>Servicios de perforación desbalanceada de pozos</v>
          </cell>
        </row>
        <row r="16151">
          <cell r="A16151">
            <v>71121630</v>
          </cell>
          <cell r="B16151" t="str">
            <v>Servicios de planificación del pozos</v>
          </cell>
        </row>
        <row r="16152">
          <cell r="A16152">
            <v>71121631</v>
          </cell>
          <cell r="B16152" t="str">
            <v>Servicios de reperforación o retrabajo</v>
          </cell>
        </row>
        <row r="16153">
          <cell r="A16153">
            <v>71121632</v>
          </cell>
          <cell r="B16153" t="str">
            <v>Control de desviaciones  en la perforación del pozo</v>
          </cell>
        </row>
        <row r="16154">
          <cell r="A16154">
            <v>71121633</v>
          </cell>
          <cell r="B16154" t="str">
            <v>Servicios de empacado de grava del campo petrolero</v>
          </cell>
        </row>
        <row r="16155">
          <cell r="A16155">
            <v>71121634</v>
          </cell>
          <cell r="B16155" t="str">
            <v>Servicios de sistemas de cascos  del campo petrolero</v>
          </cell>
        </row>
        <row r="16156">
          <cell r="A16156">
            <v>71121635</v>
          </cell>
          <cell r="B16156" t="str">
            <v>Servicios de personal para arrastre de aparejos del pozo</v>
          </cell>
        </row>
        <row r="16157">
          <cell r="A16157">
            <v>71121636</v>
          </cell>
          <cell r="B16157" t="str">
            <v>Servicios de equipo de la cabeza del pozo</v>
          </cell>
        </row>
        <row r="16158">
          <cell r="A16158">
            <v>71121637</v>
          </cell>
          <cell r="B16158" t="str">
            <v>Servicios de desviación con aparato para cambiar el trazo de perforación</v>
          </cell>
        </row>
        <row r="16159">
          <cell r="A16159">
            <v>71121701</v>
          </cell>
          <cell r="B16159" t="str">
            <v>Servicios de diseño del servicio de pesca en el campo petrolífero</v>
          </cell>
        </row>
        <row r="16160">
          <cell r="A16160">
            <v>71121702</v>
          </cell>
          <cell r="B16160" t="str">
            <v>Servicios de evaluación económica del servicio de pesca en el campo petrolífero</v>
          </cell>
        </row>
        <row r="16161">
          <cell r="A16161">
            <v>71121703</v>
          </cell>
          <cell r="B16161" t="str">
            <v>Servicios de operación del servicio de pesca en el campo petrolífero</v>
          </cell>
        </row>
        <row r="16162">
          <cell r="A16162">
            <v>71121704</v>
          </cell>
          <cell r="B16162" t="str">
            <v>Servicios de recuperación de desechos en el campo petrolífero</v>
          </cell>
        </row>
        <row r="16163">
          <cell r="A16163">
            <v>71121705</v>
          </cell>
          <cell r="B16163" t="str">
            <v>Servicios de recuperación de tubería en el campo petrolífero</v>
          </cell>
        </row>
        <row r="16164">
          <cell r="A16164">
            <v>71121706</v>
          </cell>
          <cell r="B16164" t="str">
            <v>Servicios de perforación o pesca en el campo petrolífero</v>
          </cell>
        </row>
        <row r="16165">
          <cell r="A16165">
            <v>71121801</v>
          </cell>
          <cell r="B16165" t="str">
            <v>Servicios de elevación por presión de gas de tubería adujada</v>
          </cell>
        </row>
        <row r="16166">
          <cell r="A16166">
            <v>71121802</v>
          </cell>
          <cell r="B16166" t="str">
            <v>Servicios de prueba o de fijar la elevación por presión de gas</v>
          </cell>
        </row>
        <row r="16167">
          <cell r="A16167">
            <v>71121803</v>
          </cell>
          <cell r="B16167" t="str">
            <v>Servicios de kickover de elevación por presión de gas</v>
          </cell>
        </row>
        <row r="16168">
          <cell r="A16168">
            <v>71121804</v>
          </cell>
          <cell r="B16168" t="str">
            <v>Servicios de contener la arena con elevación por presión de gas</v>
          </cell>
        </row>
        <row r="16169">
          <cell r="A16169">
            <v>71121901</v>
          </cell>
          <cell r="B16169" t="str">
            <v>Servicios de evaluación de fluidos en el fondo del pozo</v>
          </cell>
        </row>
        <row r="16170">
          <cell r="A16170">
            <v>71121902</v>
          </cell>
          <cell r="B16170" t="str">
            <v>Servicios de laboratorio de fluidos de fondo del pozo</v>
          </cell>
        </row>
        <row r="16171">
          <cell r="A16171">
            <v>71121903</v>
          </cell>
          <cell r="B16171" t="str">
            <v>Servicios de muestreo de fluidos de fondo de pozo</v>
          </cell>
        </row>
        <row r="16172">
          <cell r="A16172">
            <v>71122001</v>
          </cell>
          <cell r="B16172" t="str">
            <v>Servicios de perforación de pozos con tubería flexible continua</v>
          </cell>
        </row>
        <row r="16173">
          <cell r="A16173">
            <v>71122002</v>
          </cell>
          <cell r="B16173" t="str">
            <v>Servicios de perforación de pozos con alambre (slickline)</v>
          </cell>
        </row>
        <row r="16174">
          <cell r="A16174">
            <v>71122003</v>
          </cell>
          <cell r="B16174" t="str">
            <v>Servicios de perforación de pozos con  tubo directo</v>
          </cell>
        </row>
        <row r="16175">
          <cell r="A16175">
            <v>71122004</v>
          </cell>
          <cell r="B16175" t="str">
            <v>Servicios de perforación de pozos con  tubo transportado</v>
          </cell>
        </row>
        <row r="16176">
          <cell r="A16176">
            <v>71122005</v>
          </cell>
          <cell r="B16176" t="str">
            <v>Servicios de perforación de pozos con cables conductores</v>
          </cell>
        </row>
        <row r="16177">
          <cell r="A16177">
            <v>71122006</v>
          </cell>
          <cell r="B16177" t="str">
            <v>Servicios de perforación de tuberías de pozos</v>
          </cell>
        </row>
        <row r="16178">
          <cell r="A16178">
            <v>71122101</v>
          </cell>
          <cell r="B16178" t="str">
            <v>Servicios de bombeo de control de arena ácida</v>
          </cell>
        </row>
        <row r="16179">
          <cell r="A16179">
            <v>71122102</v>
          </cell>
          <cell r="B16179" t="str">
            <v>Servicios de mezclado de control de arena</v>
          </cell>
        </row>
        <row r="16180">
          <cell r="A16180">
            <v>71122103</v>
          </cell>
          <cell r="B16180" t="str">
            <v>Servicios de control de arena en el fluido de limpieza</v>
          </cell>
        </row>
        <row r="16181">
          <cell r="A16181">
            <v>71122104</v>
          </cell>
          <cell r="B16181" t="str">
            <v>Servicios de control de arena en el fluido de terminación</v>
          </cell>
        </row>
        <row r="16182">
          <cell r="A16182">
            <v>71122105</v>
          </cell>
          <cell r="B16182" t="str">
            <v>Servicios de consolidación de pozos</v>
          </cell>
        </row>
        <row r="16183">
          <cell r="A16183">
            <v>71122107</v>
          </cell>
          <cell r="B16183" t="str">
            <v>Servicios de control de arena en el fluido de fracturación</v>
          </cell>
        </row>
        <row r="16184">
          <cell r="A16184">
            <v>71122108</v>
          </cell>
          <cell r="B16184" t="str">
            <v>Servicios de pruebas de diseño de fracturación o pre fracturación</v>
          </cell>
        </row>
        <row r="16185">
          <cell r="A16185">
            <v>71122109</v>
          </cell>
          <cell r="B16185" t="str">
            <v>Servicios generales/misceláneos  de control de arena</v>
          </cell>
        </row>
        <row r="16186">
          <cell r="A16186">
            <v>71122110</v>
          </cell>
          <cell r="B16186" t="str">
            <v>Servicios de control de arena en el fluido transportador de grava</v>
          </cell>
        </row>
        <row r="16187">
          <cell r="A16187">
            <v>71122111</v>
          </cell>
          <cell r="B16187" t="str">
            <v>Servicios de pruebas de laboratorio para el control de arena</v>
          </cell>
        </row>
        <row r="16188">
          <cell r="A16188">
            <v>71122112</v>
          </cell>
          <cell r="B16188" t="str">
            <v>Servicios de control de arena multizonal</v>
          </cell>
        </row>
        <row r="16189">
          <cell r="A16189">
            <v>71122113</v>
          </cell>
          <cell r="B16189" t="str">
            <v>Servicios de monitoreo del control de arena</v>
          </cell>
        </row>
        <row r="16190">
          <cell r="A16190">
            <v>71122114</v>
          </cell>
          <cell r="B16190" t="str">
            <v>Servicios de aislamiento temporal del control de arena</v>
          </cell>
        </row>
        <row r="16191">
          <cell r="A16191">
            <v>71122115</v>
          </cell>
          <cell r="B16191" t="str">
            <v>Servicios de reacondicionamiento de herramientas del pozo</v>
          </cell>
        </row>
        <row r="16192">
          <cell r="A16192">
            <v>71122116</v>
          </cell>
          <cell r="B16192" t="str">
            <v>Servicios de bombeo para control de arena de no fracturación</v>
          </cell>
        </row>
        <row r="16193">
          <cell r="A16193">
            <v>71122201</v>
          </cell>
          <cell r="B16193" t="str">
            <v>Servicios de pesca con alambre (slickline)</v>
          </cell>
        </row>
        <row r="16194">
          <cell r="A16194">
            <v>71122202</v>
          </cell>
          <cell r="B16194" t="str">
            <v>Servicios de elevación con alambre (slickline)</v>
          </cell>
        </row>
        <row r="16195">
          <cell r="A16195">
            <v>71122203</v>
          </cell>
          <cell r="B16195" t="str">
            <v>Servicios de manipulación con alambre (slickline)</v>
          </cell>
        </row>
        <row r="16196">
          <cell r="A16196">
            <v>71122301</v>
          </cell>
          <cell r="B16196" t="str">
            <v>Servicios de buceo en pozos submarinos</v>
          </cell>
        </row>
        <row r="16197">
          <cell r="A16197">
            <v>71122302</v>
          </cell>
          <cell r="B16197" t="str">
            <v>Servicios de vehículos operados a control remoto (rov) para pozos submarinos</v>
          </cell>
        </row>
        <row r="16198">
          <cell r="A16198">
            <v>71122303</v>
          </cell>
          <cell r="B16198" t="str">
            <v>Servicios de equipo de pruebas o accesorios de pozos submarinos</v>
          </cell>
        </row>
        <row r="16199">
          <cell r="A16199">
            <v>71122304</v>
          </cell>
          <cell r="B16199" t="str">
            <v>Servicios de terminación o intervención de pozos submarinos submarino</v>
          </cell>
        </row>
        <row r="16200">
          <cell r="A16200">
            <v>71122305</v>
          </cell>
          <cell r="B16200" t="str">
            <v>Servicios de estructura jerárquica (tree) de las pruebas de seguridad de pozos submarinos</v>
          </cell>
        </row>
        <row r="16201">
          <cell r="A16201">
            <v>71122306</v>
          </cell>
          <cell r="B16201" t="str">
            <v>Servicios de mantenimiento de equipo del pozo submarino</v>
          </cell>
        </row>
        <row r="16202">
          <cell r="A16202">
            <v>71122401</v>
          </cell>
          <cell r="B16202" t="str">
            <v>Servicio de contador para el flujo de la varilla de barrena</v>
          </cell>
        </row>
        <row r="16203">
          <cell r="A16203">
            <v>71122402</v>
          </cell>
          <cell r="B16203" t="str">
            <v>Servicio de pruebas del superficie de la varilla de barrena</v>
          </cell>
        </row>
        <row r="16204">
          <cell r="A16204">
            <v>71122403</v>
          </cell>
          <cell r="B16204" t="str">
            <v>Servicio de tapador de pruebas de la varilla de barrena</v>
          </cell>
        </row>
        <row r="16205">
          <cell r="A16205">
            <v>71122404</v>
          </cell>
          <cell r="B16205" t="str">
            <v>Servicio de pruebas de control de la presión de ensayo de la varilla de barrena</v>
          </cell>
        </row>
        <row r="16206">
          <cell r="A16206">
            <v>71122405</v>
          </cell>
          <cell r="B16206" t="str">
            <v>Servicio de pruebas operadas en la varilla de barrena</v>
          </cell>
        </row>
        <row r="16207">
          <cell r="A16207">
            <v>71122406</v>
          </cell>
          <cell r="B16207" t="str">
            <v>Servicio de pruebas de la varilla de barrena para ambientes de temperatura alta presión ultra alta</v>
          </cell>
        </row>
        <row r="16208">
          <cell r="A16208">
            <v>71122407</v>
          </cell>
          <cell r="B16208" t="str">
            <v>Servicios de pruebas de rellenos de perforación</v>
          </cell>
        </row>
        <row r="16209">
          <cell r="A16209">
            <v>71122408</v>
          </cell>
          <cell r="B16209" t="str">
            <v>Servicio de pruebas periódicas del pozo</v>
          </cell>
        </row>
        <row r="16210">
          <cell r="A16210">
            <v>71122409</v>
          </cell>
          <cell r="B16210" t="str">
            <v>Servicios de pruebas de superficie del pozo</v>
          </cell>
        </row>
        <row r="16211">
          <cell r="A16211">
            <v>71122410</v>
          </cell>
          <cell r="B16211" t="str">
            <v>Servicio de pruebas desbalanceadas durante la perforación</v>
          </cell>
        </row>
        <row r="16212">
          <cell r="A16212">
            <v>71122501</v>
          </cell>
          <cell r="B16212" t="str">
            <v>Servicios de diseño del control de gas o agua</v>
          </cell>
        </row>
        <row r="16213">
          <cell r="A16213">
            <v>71122502</v>
          </cell>
          <cell r="B16213" t="str">
            <v>Servicios de evaluación del control de gas o agua</v>
          </cell>
        </row>
        <row r="16214">
          <cell r="A16214">
            <v>71122503</v>
          </cell>
          <cell r="B16214" t="str">
            <v>Servicios de aislamiento del control de gas o agua</v>
          </cell>
        </row>
        <row r="16215">
          <cell r="A16215">
            <v>71122504</v>
          </cell>
          <cell r="B16215" t="str">
            <v>Servicios de pruebas del control de gas o agua</v>
          </cell>
        </row>
        <row r="16216">
          <cell r="A16216">
            <v>71122505</v>
          </cell>
          <cell r="B16216" t="str">
            <v>Servicios de pruebas de gas o agua</v>
          </cell>
        </row>
        <row r="16217">
          <cell r="A16217">
            <v>71122601</v>
          </cell>
          <cell r="B16217" t="str">
            <v>Servicios de terminación de pozos de agujero revestido</v>
          </cell>
        </row>
        <row r="16218">
          <cell r="A16218">
            <v>71122602</v>
          </cell>
          <cell r="B16218" t="str">
            <v>Servicios de fluidos de terminación del pozo</v>
          </cell>
        </row>
        <row r="16219">
          <cell r="A16219">
            <v>71122603</v>
          </cell>
          <cell r="B16219" t="str">
            <v>Servicios de terminación del pozo de elevación de gas</v>
          </cell>
        </row>
        <row r="16220">
          <cell r="A16220">
            <v>71122604</v>
          </cell>
          <cell r="B16220" t="str">
            <v>Servicios del hoyo encerrado horizontal</v>
          </cell>
        </row>
        <row r="16221">
          <cell r="A16221">
            <v>71122605</v>
          </cell>
          <cell r="B16221" t="str">
            <v>Servicio de terminación de la elevación de gas del pozo</v>
          </cell>
        </row>
        <row r="16222">
          <cell r="A16222">
            <v>71122606</v>
          </cell>
          <cell r="B16222" t="str">
            <v>Servicios de terminación de pozos inteligentes</v>
          </cell>
        </row>
        <row r="16223">
          <cell r="A16223">
            <v>71122607</v>
          </cell>
          <cell r="B16223" t="str">
            <v>Servicios de terminación del revestidor del pozo</v>
          </cell>
        </row>
        <row r="16224">
          <cell r="A16224">
            <v>71122608</v>
          </cell>
          <cell r="B16224" t="str">
            <v>Servicios de terminación multilateral de pozos</v>
          </cell>
        </row>
        <row r="16225">
          <cell r="A16225">
            <v>71122609</v>
          </cell>
          <cell r="B16225" t="str">
            <v>Servicios de terminación del pozo permanente</v>
          </cell>
        </row>
        <row r="16226">
          <cell r="A16226">
            <v>71122610</v>
          </cell>
          <cell r="B16226" t="str">
            <v>Servicios de terminación del control de arena del pozo</v>
          </cell>
        </row>
        <row r="16227">
          <cell r="A16227">
            <v>71122611</v>
          </cell>
          <cell r="B16227" t="str">
            <v>Servicios de terminación del control de las pruebas del vástago de taladro temporáneo</v>
          </cell>
        </row>
        <row r="16228">
          <cell r="A16228">
            <v>71122612</v>
          </cell>
          <cell r="B16228" t="str">
            <v>Servicios de terminación tubería pozo</v>
          </cell>
        </row>
        <row r="16229">
          <cell r="A16229">
            <v>71122613</v>
          </cell>
          <cell r="B16229" t="str">
            <v>Servicios de terminación pozo con equilibrio inferior</v>
          </cell>
        </row>
        <row r="16230">
          <cell r="A16230">
            <v>71122701</v>
          </cell>
          <cell r="B16230" t="str">
            <v>Servicios de mantenimiento de la plataforma de pozos petroleros</v>
          </cell>
        </row>
        <row r="16231">
          <cell r="A16231">
            <v>71122702</v>
          </cell>
          <cell r="B16231" t="str">
            <v>Servicios de mantenimiento de la unidad de bombeo del campo petrolero</v>
          </cell>
        </row>
        <row r="16232">
          <cell r="A16232">
            <v>71122703</v>
          </cell>
          <cell r="B16232" t="str">
            <v>Servicios de reparación de bomba de vástago del campo petrolero</v>
          </cell>
        </row>
        <row r="16233">
          <cell r="A16233">
            <v>71122704</v>
          </cell>
          <cell r="B16233" t="str">
            <v>Servicios de socavación del campo petrolero</v>
          </cell>
        </row>
        <row r="16234">
          <cell r="A16234">
            <v>71122705</v>
          </cell>
          <cell r="B16234" t="str">
            <v>Servicios de mantenimiento vástago de succión del campo petrolero</v>
          </cell>
        </row>
        <row r="16235">
          <cell r="A16235">
            <v>71122706</v>
          </cell>
          <cell r="B16235" t="str">
            <v>Servicios de achique de pozos</v>
          </cell>
        </row>
        <row r="16236">
          <cell r="A16236">
            <v>71122707</v>
          </cell>
          <cell r="B16236" t="str">
            <v>Servicios de anclaje de tubería del campo petrolero</v>
          </cell>
        </row>
        <row r="16237">
          <cell r="A16237">
            <v>71122708</v>
          </cell>
          <cell r="B16237" t="str">
            <v>Servicios mecánicos para bombas del campo petrolero</v>
          </cell>
        </row>
        <row r="16238">
          <cell r="A16238">
            <v>71122801</v>
          </cell>
          <cell r="B16238" t="str">
            <v>Servicios de grabación en el fondo del pozo</v>
          </cell>
        </row>
        <row r="16239">
          <cell r="A16239">
            <v>71122802</v>
          </cell>
          <cell r="B16239" t="str">
            <v>Servicios de monitoreo del flujo del pozo</v>
          </cell>
        </row>
        <row r="16240">
          <cell r="A16240">
            <v>71122803</v>
          </cell>
          <cell r="B16240" t="str">
            <v>Servicios de monitoreo del flujo del pozo petrolero o de gas</v>
          </cell>
        </row>
        <row r="16241">
          <cell r="A16241">
            <v>71122804</v>
          </cell>
          <cell r="B16241" t="str">
            <v>Servicios de monitoreo de las fases en el emplazamiento  del pozo</v>
          </cell>
        </row>
        <row r="16242">
          <cell r="A16242">
            <v>71122805</v>
          </cell>
          <cell r="B16242" t="str">
            <v>Servicios de monitoreo de las bombas en el emplazamiento del pozo</v>
          </cell>
        </row>
        <row r="16243">
          <cell r="A16243">
            <v>71122806</v>
          </cell>
          <cell r="B16243" t="str">
            <v>Servicios de adquisición de datos de la superficie en el emplazamiento del pozo</v>
          </cell>
        </row>
        <row r="16244">
          <cell r="A16244">
            <v>71122807</v>
          </cell>
          <cell r="B16244" t="str">
            <v>Servicios de lectura de la superficie en el emplazamiento del pozo</v>
          </cell>
        </row>
        <row r="16245">
          <cell r="A16245">
            <v>71122808</v>
          </cell>
          <cell r="B16245" t="str">
            <v>Servicios de grabación de la superficie en el emplazamiento del pozo</v>
          </cell>
        </row>
        <row r="16246">
          <cell r="A16246">
            <v>71122810</v>
          </cell>
          <cell r="B16246" t="str">
            <v>Servicios de pruebas de la superficie inferior del pozo</v>
          </cell>
        </row>
        <row r="16247">
          <cell r="A16247">
            <v>71122901</v>
          </cell>
          <cell r="B16247" t="str">
            <v>Servicios de aparejos del campo petrolero en aguas profundas</v>
          </cell>
        </row>
        <row r="16248">
          <cell r="A16248">
            <v>71122902</v>
          </cell>
          <cell r="B16248" t="str">
            <v>Servicios de plataformas  petroleras autoelevables (jackup)</v>
          </cell>
        </row>
        <row r="16249">
          <cell r="A16249">
            <v>71122903</v>
          </cell>
          <cell r="B16249" t="str">
            <v>Servicios de plataformas petroleras en barcazas</v>
          </cell>
        </row>
        <row r="16250">
          <cell r="A16250">
            <v>71122904</v>
          </cell>
          <cell r="B16250" t="str">
            <v>Servicios de plataforma petroleras en tierra</v>
          </cell>
        </row>
        <row r="16251">
          <cell r="A16251">
            <v>71122905</v>
          </cell>
          <cell r="B16251" t="str">
            <v>Servicios de plataformas petroleras</v>
          </cell>
        </row>
        <row r="16252">
          <cell r="A16252">
            <v>71131001</v>
          </cell>
          <cell r="B16252" t="str">
            <v>Servicios de fracturación del pozo con fluido a base de ácido</v>
          </cell>
        </row>
        <row r="16253">
          <cell r="A16253">
            <v>71131002</v>
          </cell>
          <cell r="B16253" t="str">
            <v>Servicios de fracturación del pozo con fluido a base de emulsión</v>
          </cell>
        </row>
        <row r="16254">
          <cell r="A16254">
            <v>71131003</v>
          </cell>
          <cell r="B16254" t="str">
            <v>Servicios de fracturación del pozo con fluido a base de espuma</v>
          </cell>
        </row>
        <row r="16255">
          <cell r="A16255">
            <v>71131004</v>
          </cell>
          <cell r="B16255" t="str">
            <v>Servicios de fracturación  del pozo de petróleo</v>
          </cell>
        </row>
        <row r="16256">
          <cell r="A16256">
            <v>71131005</v>
          </cell>
          <cell r="B16256" t="str">
            <v>Servicios de control de la báscula del pozo de petróleo</v>
          </cell>
        </row>
        <row r="16257">
          <cell r="A16257">
            <v>71131006</v>
          </cell>
          <cell r="B16257" t="str">
            <v>Servicios de pruebas de fracturación del pozo</v>
          </cell>
        </row>
        <row r="16258">
          <cell r="A16258">
            <v>71131007</v>
          </cell>
          <cell r="B16258" t="str">
            <v>Servicios de evaluación de la fracturación del pozo en el fondo del pozo</v>
          </cell>
        </row>
        <row r="16259">
          <cell r="A16259">
            <v>71131008</v>
          </cell>
          <cell r="B16259" t="str">
            <v>Servicios de control de la altura de la fracturación del pozo</v>
          </cell>
        </row>
        <row r="16260">
          <cell r="A16260">
            <v>71131009</v>
          </cell>
          <cell r="B16260" t="str">
            <v>Servicios de monitoreo de la fracturación del pozo</v>
          </cell>
        </row>
        <row r="16261">
          <cell r="A16261">
            <v>71131010</v>
          </cell>
          <cell r="B16261" t="str">
            <v>Servicios de diseño del servicio de fracturación del pozo</v>
          </cell>
        </row>
        <row r="16262">
          <cell r="A16262">
            <v>71131011</v>
          </cell>
          <cell r="B16262" t="str">
            <v>Servicios de evaluación del servicio de fracturación del pozo</v>
          </cell>
        </row>
        <row r="16263">
          <cell r="A16263">
            <v>71131012</v>
          </cell>
          <cell r="B16263" t="str">
            <v>Servicios de evaluación de superficie de la fracturación del pozo</v>
          </cell>
        </row>
        <row r="16264">
          <cell r="A16264">
            <v>71131013</v>
          </cell>
          <cell r="B16264" t="str">
            <v>Servicios de control de calidad del tratamiento de la fracturación del pozo</v>
          </cell>
        </row>
        <row r="16265">
          <cell r="A16265">
            <v>71131014</v>
          </cell>
          <cell r="B16265" t="str">
            <v>Servicios de fracturación  del pozo con fluidos a base de aceite</v>
          </cell>
        </row>
        <row r="16266">
          <cell r="A16266">
            <v>71131015</v>
          </cell>
          <cell r="B16266" t="str">
            <v>Otros servicios de fracturación de pozos</v>
          </cell>
        </row>
        <row r="16267">
          <cell r="A16267">
            <v>71131016</v>
          </cell>
          <cell r="B16267" t="str">
            <v>Servicios de manejo del esfuerzo de fracturación del pozo</v>
          </cell>
        </row>
        <row r="16268">
          <cell r="A16268">
            <v>71131017</v>
          </cell>
          <cell r="B16268" t="str">
            <v>Servicios de fracturar del pozo con fluido con base de agua</v>
          </cell>
        </row>
        <row r="16269">
          <cell r="A16269">
            <v>71131101</v>
          </cell>
          <cell r="B16269" t="str">
            <v>Servicios de estimulación de la matriz  a base de ácido</v>
          </cell>
        </row>
        <row r="16270">
          <cell r="A16270">
            <v>71131102</v>
          </cell>
          <cell r="B16270" t="str">
            <v>Servicios de estimulación de la matriz de sellamiento de la formación</v>
          </cell>
        </row>
        <row r="16271">
          <cell r="A16271">
            <v>71131103</v>
          </cell>
          <cell r="B16271" t="str">
            <v>Servicios de limpieza total orgánica de la matriz</v>
          </cell>
        </row>
        <row r="16272">
          <cell r="A16272">
            <v>71131104</v>
          </cell>
          <cell r="B16272" t="str">
            <v>Servicios de inhibición orgánica de la matriz</v>
          </cell>
        </row>
        <row r="16273">
          <cell r="A16273">
            <v>71131105</v>
          </cell>
          <cell r="B16273" t="str">
            <v>Servicios de limpieza general de la balanza de la matriz</v>
          </cell>
        </row>
        <row r="16274">
          <cell r="A16274">
            <v>71131106</v>
          </cell>
          <cell r="B16274" t="str">
            <v>Servicios de inhibición de la balanza de la matriz</v>
          </cell>
        </row>
        <row r="16275">
          <cell r="A16275">
            <v>71131107</v>
          </cell>
          <cell r="B16275" t="str">
            <v>Servicios de diseño del tratamiento de la matriz</v>
          </cell>
        </row>
        <row r="16276">
          <cell r="A16276">
            <v>71131108</v>
          </cell>
          <cell r="B16276" t="str">
            <v>Servicios de desviación del tratamiento de la matriz</v>
          </cell>
        </row>
        <row r="16277">
          <cell r="A16277">
            <v>71131109</v>
          </cell>
          <cell r="B16277" t="str">
            <v>Servicios de evaluación del tratamiento de la matriz</v>
          </cell>
        </row>
        <row r="16278">
          <cell r="A16278">
            <v>71131110</v>
          </cell>
          <cell r="B16278" t="str">
            <v>Servicios del control de calidad del tratamiento de la matriz</v>
          </cell>
        </row>
        <row r="16279">
          <cell r="A16279">
            <v>71131111</v>
          </cell>
          <cell r="B16279" t="str">
            <v>Servicios de estimulación de la matriz de base no ácida</v>
          </cell>
        </row>
        <row r="16280">
          <cell r="A16280">
            <v>71131201</v>
          </cell>
          <cell r="B16280" t="str">
            <v>Servicios de nitrógeno para el pozo</v>
          </cell>
        </row>
        <row r="16281">
          <cell r="A16281">
            <v>71131301</v>
          </cell>
          <cell r="B16281" t="str">
            <v>Servicios de bombeo del campo petrolero con bocatoma de fondo</v>
          </cell>
        </row>
        <row r="16282">
          <cell r="A16282">
            <v>71131302</v>
          </cell>
          <cell r="B16282" t="str">
            <v>Servicios de bombeo del campo petrolero utilizando cables</v>
          </cell>
        </row>
        <row r="16283">
          <cell r="A16283">
            <v>71131303</v>
          </cell>
          <cell r="B16283" t="str">
            <v>Servicios de bombeo del campo petrolero con co2</v>
          </cell>
        </row>
        <row r="16284">
          <cell r="A16284">
            <v>71131304</v>
          </cell>
          <cell r="B16284" t="str">
            <v>Servicios de bombeo del campo petrolero utilizando tubería flexible continua</v>
          </cell>
        </row>
        <row r="16285">
          <cell r="A16285">
            <v>71131305</v>
          </cell>
          <cell r="B16285" t="str">
            <v>Servicios de bombeo en el fondo del pozo</v>
          </cell>
        </row>
        <row r="16286">
          <cell r="A16286">
            <v>71131306</v>
          </cell>
          <cell r="B16286" t="str">
            <v>Servicios de terminación dual del pozo</v>
          </cell>
        </row>
        <row r="16287">
          <cell r="A16287">
            <v>71131307</v>
          </cell>
          <cell r="B16287" t="str">
            <v>Servicios de bombeo horizontal del pozo</v>
          </cell>
        </row>
        <row r="16288">
          <cell r="A16288">
            <v>71131308</v>
          </cell>
          <cell r="B16288" t="str">
            <v>Servicios de operación o arrastre de la instalación de bombeo del campo petrolífero</v>
          </cell>
        </row>
        <row r="16289">
          <cell r="A16289">
            <v>71131309</v>
          </cell>
          <cell r="B16289" t="str">
            <v>Servicios de modificación del perfil del pozo</v>
          </cell>
        </row>
        <row r="16290">
          <cell r="A16290">
            <v>71131310</v>
          </cell>
          <cell r="B16290" t="str">
            <v>Servicios de bobinado del campo petrolífero</v>
          </cell>
        </row>
        <row r="16291">
          <cell r="A16291">
            <v>71131401</v>
          </cell>
          <cell r="B16291" t="str">
            <v>Servicios del sistema de llamarada del campo petrolífero</v>
          </cell>
        </row>
        <row r="16292">
          <cell r="A16292">
            <v>71131402</v>
          </cell>
          <cell r="B16292" t="str">
            <v>Servicio de aceite o agua caliente para el campo petrolero</v>
          </cell>
        </row>
        <row r="16293">
          <cell r="A16293">
            <v>71131403</v>
          </cell>
          <cell r="B16293" t="str">
            <v>Servicio de vapor del campo petrolero</v>
          </cell>
        </row>
        <row r="16294">
          <cell r="A16294">
            <v>71141001</v>
          </cell>
          <cell r="B16294" t="str">
            <v>Servicios de control de la presión del pozo</v>
          </cell>
        </row>
        <row r="16295">
          <cell r="A16295">
            <v>71141002</v>
          </cell>
          <cell r="B16295" t="str">
            <v>Servicios de tapado del pozo</v>
          </cell>
        </row>
        <row r="16296">
          <cell r="A16296">
            <v>71141003</v>
          </cell>
          <cell r="B16296" t="str">
            <v>Servicios de lucha contra incendios en el pozo</v>
          </cell>
        </row>
        <row r="16297">
          <cell r="A16297">
            <v>71141004</v>
          </cell>
          <cell r="B16297" t="str">
            <v>Servicios de control de pozos descontrolados</v>
          </cell>
        </row>
        <row r="16298">
          <cell r="A16298">
            <v>71141101</v>
          </cell>
          <cell r="B16298" t="str">
            <v>Servicios de abandono de pozos</v>
          </cell>
        </row>
        <row r="16299">
          <cell r="A16299">
            <v>71141102</v>
          </cell>
          <cell r="B16299" t="str">
            <v>Servicios de taponamiento de pozos</v>
          </cell>
        </row>
        <row r="16300">
          <cell r="A16300">
            <v>71141201</v>
          </cell>
          <cell r="B16300" t="str">
            <v>Servicios de limpieza o achique del pozo</v>
          </cell>
        </row>
        <row r="16301">
          <cell r="A16301">
            <v>71141202</v>
          </cell>
          <cell r="B16301" t="str">
            <v>Servicios de restauración del emplazamiento del pozo</v>
          </cell>
        </row>
        <row r="16302">
          <cell r="A16302">
            <v>71151001</v>
          </cell>
          <cell r="B16302" t="str">
            <v>Servicios de transmisión de mensajes y datos del campo petrolero</v>
          </cell>
        </row>
        <row r="16303">
          <cell r="A16303">
            <v>71151002</v>
          </cell>
          <cell r="B16303" t="str">
            <v>Servicios de transmisión de gráficas del campo petrolero</v>
          </cell>
        </row>
        <row r="16304">
          <cell r="A16304">
            <v>71151003</v>
          </cell>
          <cell r="B16304" t="str">
            <v>Servicios de monitoreo en tiempo real de datos del pozo en el campo petrolero</v>
          </cell>
        </row>
        <row r="16305">
          <cell r="A16305">
            <v>71151004</v>
          </cell>
          <cell r="B16305" t="str">
            <v>Servicios de transmisión satelital de datos del pozo en el campo petrolero</v>
          </cell>
        </row>
        <row r="16306">
          <cell r="A16306">
            <v>71151005</v>
          </cell>
          <cell r="B16306" t="str">
            <v>Servicios de transmisión de datos del pozo en el campo petrolero</v>
          </cell>
        </row>
        <row r="16307">
          <cell r="A16307">
            <v>71151101</v>
          </cell>
          <cell r="B16307" t="str">
            <v>Servicios de administración de datos de los activos del campo petrolero</v>
          </cell>
        </row>
        <row r="16308">
          <cell r="A16308">
            <v>71151102</v>
          </cell>
          <cell r="B16308" t="str">
            <v>Servicios de minería de datos del campo petrolero</v>
          </cell>
        </row>
        <row r="16309">
          <cell r="A16309">
            <v>71151103</v>
          </cell>
          <cell r="B16309" t="str">
            <v>Servicios de gestión  de datos de registro del campo petrolero</v>
          </cell>
        </row>
        <row r="16310">
          <cell r="A16310">
            <v>71151104</v>
          </cell>
          <cell r="B16310" t="str">
            <v>Servicios de gestión de datos cartográficos del campo petrolero</v>
          </cell>
        </row>
        <row r="16311">
          <cell r="A16311">
            <v>71151105</v>
          </cell>
          <cell r="B16311" t="str">
            <v>Servicios de gestión de datos sísmicos</v>
          </cell>
        </row>
        <row r="16312">
          <cell r="A16312">
            <v>71151201</v>
          </cell>
          <cell r="B16312" t="str">
            <v>Servicios de preparación del presupuesto del campo petrolero</v>
          </cell>
        </row>
        <row r="16313">
          <cell r="A16313">
            <v>71151202</v>
          </cell>
          <cell r="B16313" t="str">
            <v>Servicios de planificación del capital del campo petrolero</v>
          </cell>
        </row>
        <row r="16314">
          <cell r="A16314">
            <v>71151203</v>
          </cell>
          <cell r="B16314" t="str">
            <v>Servicios de estructura jerárquica (tree) de las decisiones del campo petrolero</v>
          </cell>
        </row>
        <row r="16315">
          <cell r="A16315">
            <v>71151301</v>
          </cell>
          <cell r="B16315" t="str">
            <v>Servicios de mapas de burbujas del campo petrolero</v>
          </cell>
        </row>
        <row r="16316">
          <cell r="A16316">
            <v>71151302</v>
          </cell>
          <cell r="B16316" t="str">
            <v>Estudios de casos del campo petrolero</v>
          </cell>
        </row>
        <row r="16317">
          <cell r="A16317">
            <v>71151303</v>
          </cell>
          <cell r="B16317" t="str">
            <v>Análisis del decaimiento del campo petrolero</v>
          </cell>
        </row>
        <row r="16318">
          <cell r="A16318">
            <v>71151304</v>
          </cell>
          <cell r="B16318" t="str">
            <v>Estudios de campo del campo petrolero</v>
          </cell>
        </row>
        <row r="16319">
          <cell r="A16319">
            <v>71151305</v>
          </cell>
          <cell r="B16319" t="str">
            <v>Servicios de interpretación de la fracturación del campo petrolero</v>
          </cell>
        </row>
        <row r="16320">
          <cell r="A16320">
            <v>71151306</v>
          </cell>
          <cell r="B16320" t="str">
            <v>Servicios de geología</v>
          </cell>
        </row>
        <row r="16321">
          <cell r="A16321">
            <v>71151307</v>
          </cell>
          <cell r="B16321" t="str">
            <v>Servicios de geofísica</v>
          </cell>
        </row>
        <row r="16322">
          <cell r="A16322">
            <v>71151308</v>
          </cell>
          <cell r="B16322" t="str">
            <v>Servicios de interpretación del empaque con grava</v>
          </cell>
        </row>
        <row r="16323">
          <cell r="A16323">
            <v>71151309</v>
          </cell>
          <cell r="B16323" t="str">
            <v>Servicios de cartografía de cuadrícula del campo petrolero</v>
          </cell>
        </row>
        <row r="16324">
          <cell r="A16324">
            <v>71151310</v>
          </cell>
          <cell r="B16324" t="str">
            <v>Servicios de visualización o cartografía del campo petrolero</v>
          </cell>
        </row>
        <row r="16325">
          <cell r="A16325">
            <v>71151311</v>
          </cell>
          <cell r="B16325" t="str">
            <v>Servicios de petrofísica</v>
          </cell>
        </row>
        <row r="16326">
          <cell r="A16326">
            <v>71151312</v>
          </cell>
          <cell r="B16326" t="str">
            <v>Servicios de ingeniería del depósito</v>
          </cell>
        </row>
        <row r="16327">
          <cell r="A16327">
            <v>71151313</v>
          </cell>
          <cell r="B16327" t="str">
            <v>Servicios de modelar del depósito</v>
          </cell>
        </row>
        <row r="16328">
          <cell r="A16328">
            <v>71151314</v>
          </cell>
          <cell r="B16328" t="str">
            <v>Servicios de simulación del depósito</v>
          </cell>
        </row>
        <row r="16329">
          <cell r="A16329">
            <v>71151315</v>
          </cell>
          <cell r="B16329" t="str">
            <v>Servicios de mecánica de rocas</v>
          </cell>
        </row>
        <row r="16330">
          <cell r="A16330">
            <v>71151401</v>
          </cell>
          <cell r="B16330" t="str">
            <v>Servicios de diseño de las tareas de cementación del pozo</v>
          </cell>
        </row>
        <row r="16331">
          <cell r="A16331">
            <v>71151402</v>
          </cell>
          <cell r="B16331" t="str">
            <v>Servicios de diseño de las tareas con tubería flexible continua</v>
          </cell>
        </row>
        <row r="16332">
          <cell r="A16332">
            <v>71151403</v>
          </cell>
          <cell r="B16332" t="str">
            <v>Servicios de diseño de la tarea de perforar el pozo</v>
          </cell>
        </row>
        <row r="16333">
          <cell r="A16333">
            <v>71151404</v>
          </cell>
          <cell r="B16333" t="str">
            <v>Servicios de diseño de las tareas de fracturación del pozo</v>
          </cell>
        </row>
        <row r="16334">
          <cell r="A16334">
            <v>71151405</v>
          </cell>
          <cell r="B16334" t="str">
            <v>Servicios de diseño de la tareas de estimulación de la matriz</v>
          </cell>
        </row>
        <row r="16335">
          <cell r="A16335">
            <v>71151406</v>
          </cell>
          <cell r="B16335" t="str">
            <v>Servicios de diseño de las tareas para el control de arena del pozo</v>
          </cell>
        </row>
        <row r="16336">
          <cell r="A16336">
            <v>71161001</v>
          </cell>
          <cell r="B16336" t="str">
            <v>Modelos de terminación  del campo petrolero</v>
          </cell>
        </row>
        <row r="16337">
          <cell r="A16337">
            <v>71161002</v>
          </cell>
          <cell r="B16337" t="str">
            <v>Modelos de perforación del campo petrolero</v>
          </cell>
        </row>
        <row r="16338">
          <cell r="A16338">
            <v>71161003</v>
          </cell>
          <cell r="B16338" t="str">
            <v>Modelos económicos del campo petrolero</v>
          </cell>
        </row>
        <row r="16339">
          <cell r="A16339">
            <v>71161004</v>
          </cell>
          <cell r="B16339" t="str">
            <v>Modelos del desarrollo del campo del campo petrolero</v>
          </cell>
        </row>
        <row r="16340">
          <cell r="A16340">
            <v>71161005</v>
          </cell>
          <cell r="B16340" t="str">
            <v>Modelos de producción del campo petrolero</v>
          </cell>
        </row>
        <row r="16341">
          <cell r="A16341">
            <v>71161006</v>
          </cell>
          <cell r="B16341" t="str">
            <v>Servicios de gestión de riesgo del campo petrolero</v>
          </cell>
        </row>
        <row r="16342">
          <cell r="A16342">
            <v>71161101</v>
          </cell>
          <cell r="B16342" t="str">
            <v>Servicios de elevadores artificiales del campo petrolero</v>
          </cell>
        </row>
        <row r="16343">
          <cell r="A16343">
            <v>71161102</v>
          </cell>
          <cell r="B16343" t="str">
            <v>Servicios de recuperación aumentada del petróleo</v>
          </cell>
        </row>
        <row r="16344">
          <cell r="A16344">
            <v>71161103</v>
          </cell>
          <cell r="B16344" t="str">
            <v>Servicios de inyección del pozo</v>
          </cell>
        </row>
        <row r="16345">
          <cell r="A16345">
            <v>71161104</v>
          </cell>
          <cell r="B16345" t="str">
            <v>Servicios de análisis del sistema de producción del campo petrolero</v>
          </cell>
        </row>
        <row r="16346">
          <cell r="A16346">
            <v>71161105</v>
          </cell>
          <cell r="B16346" t="str">
            <v>Servicios de perforación de pozos</v>
          </cell>
        </row>
        <row r="16347">
          <cell r="A16347">
            <v>71161106</v>
          </cell>
          <cell r="B16347" t="str">
            <v>Servicios de química de la producción del campo petrolero</v>
          </cell>
        </row>
        <row r="16348">
          <cell r="A16348">
            <v>71161107</v>
          </cell>
          <cell r="B16348" t="str">
            <v>Servicios de monitoreo de la producción del campo  petrolero</v>
          </cell>
        </row>
        <row r="16349">
          <cell r="A16349">
            <v>71161109</v>
          </cell>
          <cell r="B16349" t="str">
            <v>Servicios de estimulación  del pozo</v>
          </cell>
        </row>
        <row r="16350">
          <cell r="A16350">
            <v>71161110</v>
          </cell>
          <cell r="B16350" t="str">
            <v>Servicios de almacenamiento subterráneo de gas</v>
          </cell>
        </row>
        <row r="16351">
          <cell r="A16351">
            <v>71161111</v>
          </cell>
          <cell r="B16351" t="str">
            <v>Servicios de administración del agua del campo petrolífero</v>
          </cell>
        </row>
        <row r="16352">
          <cell r="A16352">
            <v>71161201</v>
          </cell>
          <cell r="B16352" t="str">
            <v>Servicios de lubricación en caliente del campo petrolero</v>
          </cell>
        </row>
        <row r="16353">
          <cell r="A16353">
            <v>71161202</v>
          </cell>
          <cell r="B16353" t="str">
            <v>Servicios de operaciones de arriendo</v>
          </cell>
        </row>
        <row r="16354">
          <cell r="A16354">
            <v>71161203</v>
          </cell>
          <cell r="B16354" t="str">
            <v>Servicios de registro del campo petrolero</v>
          </cell>
        </row>
        <row r="16355">
          <cell r="A16355">
            <v>71161204</v>
          </cell>
          <cell r="B16355" t="str">
            <v>Servicios de corte de parafina en el campo petrolero</v>
          </cell>
        </row>
        <row r="16356">
          <cell r="A16356">
            <v>71161205</v>
          </cell>
          <cell r="B16356" t="str">
            <v>Servicios de planificación de campos petroleros</v>
          </cell>
        </row>
        <row r="16357">
          <cell r="A16357">
            <v>71161206</v>
          </cell>
          <cell r="B16357" t="str">
            <v>Servicios de procesamiento de campos petroleros</v>
          </cell>
        </row>
        <row r="16358">
          <cell r="A16358">
            <v>71161301</v>
          </cell>
          <cell r="B16358" t="str">
            <v>Servicios de inspección o auditoría de campos petroleros</v>
          </cell>
        </row>
        <row r="16359">
          <cell r="A16359">
            <v>71161302</v>
          </cell>
          <cell r="B16359" t="str">
            <v>Servicios de planificación de respuesta de emergencia del campo petrolero</v>
          </cell>
        </row>
        <row r="16360">
          <cell r="A16360">
            <v>71161303</v>
          </cell>
          <cell r="B16360" t="str">
            <v>Servicios de desarrollo de campos petroleros</v>
          </cell>
        </row>
        <row r="16361">
          <cell r="A16361">
            <v>71161304</v>
          </cell>
          <cell r="B16361" t="str">
            <v>Servicios de monitoreo del rendimiento del campo petrolero</v>
          </cell>
        </row>
        <row r="16362">
          <cell r="A16362">
            <v>71161305</v>
          </cell>
          <cell r="B16362" t="str">
            <v>Servicios de presentación informes del campo petrolero</v>
          </cell>
        </row>
        <row r="16363">
          <cell r="A16363">
            <v>71161306</v>
          </cell>
          <cell r="B16363" t="str">
            <v>Servicios de entrega (handover) o plan de sucesión del campo petrolero</v>
          </cell>
        </row>
        <row r="16364">
          <cell r="A16364">
            <v>71161307</v>
          </cell>
          <cell r="B16364" t="str">
            <v>Servicios de matriz de entrenamiento del campo petrolero</v>
          </cell>
        </row>
        <row r="16365">
          <cell r="A16365">
            <v>71161308</v>
          </cell>
          <cell r="B16365" t="str">
            <v>Servicios de aprovisionamiento o logística del emplazamiento del pozo</v>
          </cell>
        </row>
        <row r="16366">
          <cell r="A16366">
            <v>71161402</v>
          </cell>
          <cell r="B16366" t="str">
            <v>Servicios de ingeniería para la terminación del pozo</v>
          </cell>
        </row>
        <row r="16367">
          <cell r="A16367">
            <v>71161403</v>
          </cell>
          <cell r="B16367" t="str">
            <v>Servicios de anclaje (deadman)</v>
          </cell>
        </row>
        <row r="16368">
          <cell r="A16368">
            <v>71161405</v>
          </cell>
          <cell r="B16368" t="str">
            <v>Servicios de revestimiento de pozos en su emplazamiento</v>
          </cell>
        </row>
        <row r="16369">
          <cell r="A16369">
            <v>71161407</v>
          </cell>
          <cell r="B16369" t="str">
            <v>Servicios de unidad  jaladora para el pozo</v>
          </cell>
        </row>
        <row r="16370">
          <cell r="A16370">
            <v>71161408</v>
          </cell>
          <cell r="B16370" t="str">
            <v>Servicios en la costa</v>
          </cell>
        </row>
        <row r="16371">
          <cell r="A16371">
            <v>71161409</v>
          </cell>
          <cell r="B16371" t="str">
            <v>Servicios de revestimiento de pozos de exploración</v>
          </cell>
        </row>
        <row r="16372">
          <cell r="A16372">
            <v>71161410</v>
          </cell>
          <cell r="B16372" t="str">
            <v>Servicios de camiones de vacío en el emplazamiento del pozo</v>
          </cell>
        </row>
        <row r="16373">
          <cell r="A16373">
            <v>71161411</v>
          </cell>
          <cell r="B16373" t="str">
            <v>Servicios de ingeniería de aplicaciones desbalanceadas</v>
          </cell>
        </row>
        <row r="16374">
          <cell r="A16374">
            <v>71161412</v>
          </cell>
          <cell r="B16374" t="str">
            <v>Servicios de trabajar sobre el pozo (workover)</v>
          </cell>
        </row>
        <row r="16375">
          <cell r="A16375">
            <v>71161413</v>
          </cell>
          <cell r="B16375" t="str">
            <v>Servicios de construcción o fabricación de pozos</v>
          </cell>
        </row>
        <row r="16376">
          <cell r="A16376">
            <v>71161501</v>
          </cell>
          <cell r="B16376" t="str">
            <v>Servicios de instrumentación o eléctricos del lugar del pozo</v>
          </cell>
        </row>
        <row r="16377">
          <cell r="A16377">
            <v>71161502</v>
          </cell>
          <cell r="B16377" t="str">
            <v>Servicios de grúas o equipo pesado del lugar del pozo</v>
          </cell>
        </row>
        <row r="16378">
          <cell r="A16378">
            <v>71161503</v>
          </cell>
          <cell r="B16378" t="str">
            <v>Servicios de pruebas de equipo o inspección del emplazamiento del pozo</v>
          </cell>
        </row>
        <row r="16379">
          <cell r="A16379">
            <v>71161504</v>
          </cell>
          <cell r="B16379" t="str">
            <v>Servicios de medición o instrumentos de pozo</v>
          </cell>
        </row>
        <row r="16380">
          <cell r="A16380">
            <v>71161505</v>
          </cell>
          <cell r="B16380" t="str">
            <v>Servicios de componente de válvula o válvula del lugar del pozo</v>
          </cell>
        </row>
        <row r="16381">
          <cell r="A16381">
            <v>72101501</v>
          </cell>
          <cell r="B16381" t="str">
            <v>Servicios de todero</v>
          </cell>
        </row>
        <row r="16382">
          <cell r="A16382">
            <v>72101502</v>
          </cell>
          <cell r="B16382" t="str">
            <v>Servicios de andamiaje</v>
          </cell>
        </row>
        <row r="16383">
          <cell r="A16383">
            <v>72101503</v>
          </cell>
          <cell r="B16383" t="str">
            <v>Servicios de cordelería</v>
          </cell>
        </row>
        <row r="16384">
          <cell r="A16384">
            <v>72101504</v>
          </cell>
          <cell r="B16384" t="str">
            <v>Servicios de verificación de desastres o contingencias</v>
          </cell>
        </row>
        <row r="16385">
          <cell r="A16385">
            <v>72101505</v>
          </cell>
          <cell r="B16385" t="str">
            <v>Servicios de cerrajería</v>
          </cell>
        </row>
        <row r="16386">
          <cell r="A16386">
            <v>72101506</v>
          </cell>
          <cell r="B16386" t="str">
            <v>Servicios de mantenimiento de ascensores</v>
          </cell>
        </row>
        <row r="16387">
          <cell r="A16387">
            <v>72101601</v>
          </cell>
          <cell r="B16387" t="str">
            <v>Instalación o reparación de techos</v>
          </cell>
        </row>
        <row r="16388">
          <cell r="A16388">
            <v>72101602</v>
          </cell>
          <cell r="B16388" t="str">
            <v>Instalación de claraboyas</v>
          </cell>
        </row>
        <row r="16389">
          <cell r="A16389">
            <v>72101603</v>
          </cell>
          <cell r="B16389" t="str">
            <v>Servicios de canalones y tubos de bajada</v>
          </cell>
        </row>
        <row r="16390">
          <cell r="A16390">
            <v>72101604</v>
          </cell>
          <cell r="B16390" t="str">
            <v>Metalistería de arquitectura</v>
          </cell>
        </row>
        <row r="16391">
          <cell r="A16391">
            <v>72101605</v>
          </cell>
          <cell r="B16391" t="str">
            <v>Levantamiento o reparación de techos</v>
          </cell>
        </row>
        <row r="16392">
          <cell r="A16392">
            <v>72101606</v>
          </cell>
          <cell r="B16392" t="str">
            <v>Instalación de conductos</v>
          </cell>
        </row>
        <row r="16393">
          <cell r="A16393">
            <v>72101607</v>
          </cell>
          <cell r="B16393" t="str">
            <v>Instalación o reparación de paredes</v>
          </cell>
        </row>
        <row r="16394">
          <cell r="A16394">
            <v>72101701</v>
          </cell>
          <cell r="B16394" t="str">
            <v>Servicios de hormigón o estuco para exteriores</v>
          </cell>
        </row>
        <row r="16395">
          <cell r="A16395">
            <v>72101702</v>
          </cell>
          <cell r="B16395" t="str">
            <v>Servicios de lechada de cemento</v>
          </cell>
        </row>
        <row r="16396">
          <cell r="A16396">
            <v>72101703</v>
          </cell>
          <cell r="B16396" t="str">
            <v>Construcción de aceras o bordillos</v>
          </cell>
        </row>
        <row r="16397">
          <cell r="A16397">
            <v>72101704</v>
          </cell>
          <cell r="B16397" t="str">
            <v>Cimentación, enlosado</v>
          </cell>
        </row>
        <row r="16398">
          <cell r="A16398">
            <v>72101801</v>
          </cell>
          <cell r="B16398" t="str">
            <v>Limpieza con chorro de arena</v>
          </cell>
        </row>
        <row r="16399">
          <cell r="A16399">
            <v>72101802</v>
          </cell>
          <cell r="B16399" t="str">
            <v>Hidroaspiración a alta presión</v>
          </cell>
        </row>
        <row r="16400">
          <cell r="A16400">
            <v>72101803</v>
          </cell>
          <cell r="B16400" t="str">
            <v>Limpieza a vapor</v>
          </cell>
        </row>
        <row r="16401">
          <cell r="A16401">
            <v>72101901</v>
          </cell>
          <cell r="B16401" t="str">
            <v>Diseño o decoración de interiores</v>
          </cell>
        </row>
        <row r="16402">
          <cell r="A16402">
            <v>72101902</v>
          </cell>
          <cell r="B16402" t="str">
            <v>Enyesado o pirca</v>
          </cell>
        </row>
        <row r="16403">
          <cell r="A16403">
            <v>72101903</v>
          </cell>
          <cell r="B16403" t="str">
            <v>Carpintería o chapistería de acabados</v>
          </cell>
        </row>
        <row r="16404">
          <cell r="A16404">
            <v>72102001</v>
          </cell>
          <cell r="B16404" t="str">
            <v>Calafateo</v>
          </cell>
        </row>
        <row r="16405">
          <cell r="A16405">
            <v>72102002</v>
          </cell>
          <cell r="B16405" t="str">
            <v>Revestimientos o recubrimientos plásticos de materias estructurales</v>
          </cell>
        </row>
        <row r="16406">
          <cell r="A16406">
            <v>72102003</v>
          </cell>
          <cell r="B16406" t="str">
            <v>Recubrimiento o satinado de materias estructurales de metal, madera u hormigón</v>
          </cell>
        </row>
        <row r="16407">
          <cell r="A16407">
            <v>72102004</v>
          </cell>
          <cell r="B16407" t="str">
            <v>Impermeabilización</v>
          </cell>
        </row>
        <row r="16408">
          <cell r="A16408">
            <v>72102005</v>
          </cell>
          <cell r="B16408" t="str">
            <v>Ignifugación de edificios</v>
          </cell>
        </row>
        <row r="16409">
          <cell r="A16409">
            <v>72102006</v>
          </cell>
          <cell r="B16409" t="str">
            <v>Envoltura de tuberías</v>
          </cell>
        </row>
        <row r="16410">
          <cell r="A16410">
            <v>72102101</v>
          </cell>
          <cell r="B16410" t="str">
            <v>Servicios de verificación de presencia de aves</v>
          </cell>
        </row>
        <row r="16411">
          <cell r="A16411">
            <v>72102102</v>
          </cell>
          <cell r="B16411" t="str">
            <v>Servicios de control de termitas</v>
          </cell>
        </row>
        <row r="16412">
          <cell r="A16412">
            <v>72102103</v>
          </cell>
          <cell r="B16412" t="str">
            <v>Servicios de exterminación o fumigación</v>
          </cell>
        </row>
        <row r="16413">
          <cell r="A16413">
            <v>72102104</v>
          </cell>
          <cell r="B16413" t="str">
            <v>Control estructural de plagas</v>
          </cell>
        </row>
        <row r="16414">
          <cell r="A16414">
            <v>72102105</v>
          </cell>
          <cell r="B16414" t="str">
            <v>Captura de animales</v>
          </cell>
        </row>
        <row r="16415">
          <cell r="A16415">
            <v>72102106</v>
          </cell>
          <cell r="B16415" t="str">
            <v>Control de roedores</v>
          </cell>
        </row>
        <row r="16416">
          <cell r="A16416">
            <v>72102201</v>
          </cell>
          <cell r="B16416" t="str">
            <v>Instalación o servicio de sistemas de energía eléctrica</v>
          </cell>
        </row>
        <row r="16417">
          <cell r="A16417">
            <v>72102202</v>
          </cell>
          <cell r="B16417" t="str">
            <v>Instalación de controles electrónicos</v>
          </cell>
        </row>
        <row r="16418">
          <cell r="A16418">
            <v>72102203</v>
          </cell>
          <cell r="B16418" t="str">
            <v>Instalación de equipos de comunicaciones</v>
          </cell>
        </row>
        <row r="16419">
          <cell r="A16419">
            <v>72102204</v>
          </cell>
          <cell r="B16419" t="str">
            <v>Instalación de sistemas de seguridad</v>
          </cell>
        </row>
        <row r="16420">
          <cell r="A16420">
            <v>72102205</v>
          </cell>
          <cell r="B16420" t="str">
            <v>Asistencia o mantenimiento de servicio de telecomunicaciones</v>
          </cell>
        </row>
        <row r="16421">
          <cell r="A16421">
            <v>72102206</v>
          </cell>
          <cell r="B16421" t="str">
            <v>Ingeniería subterránea para equipo de comunicaciones</v>
          </cell>
        </row>
        <row r="16422">
          <cell r="A16422">
            <v>72102207</v>
          </cell>
          <cell r="B16422" t="str">
            <v>Ingeniería aérea para equipo de comunicaciones</v>
          </cell>
        </row>
        <row r="16423">
          <cell r="A16423">
            <v>72102208</v>
          </cell>
          <cell r="B16423" t="str">
            <v>Tendido de cables</v>
          </cell>
        </row>
        <row r="16424">
          <cell r="A16424">
            <v>72102209</v>
          </cell>
          <cell r="B16424" t="str">
            <v>Arrastre de cables</v>
          </cell>
        </row>
        <row r="16425">
          <cell r="A16425">
            <v>72102301</v>
          </cell>
          <cell r="B16425" t="str">
            <v>Supervisión de instalación, ajuste o mantenimiento de calderas</v>
          </cell>
        </row>
        <row r="16426">
          <cell r="A16426">
            <v>72102302</v>
          </cell>
          <cell r="B16426" t="str">
            <v>Instalación, reparación o mantenimiento de sistemas de calefacción</v>
          </cell>
        </row>
        <row r="16427">
          <cell r="A16427">
            <v>72102303</v>
          </cell>
          <cell r="B16427" t="str">
            <v>Construcción de sistemas de fontanería</v>
          </cell>
        </row>
        <row r="16428">
          <cell r="A16428">
            <v>72102304</v>
          </cell>
          <cell r="B16428" t="str">
            <v>Mantenimiento o reparación de sistemas de fontanería</v>
          </cell>
        </row>
        <row r="16429">
          <cell r="A16429">
            <v>72102305</v>
          </cell>
          <cell r="B16429" t="str">
            <v>Servicios de reparación, mantenimiento o reparación de aire acondicionado</v>
          </cell>
        </row>
        <row r="16430">
          <cell r="A16430">
            <v>72102401</v>
          </cell>
          <cell r="B16430" t="str">
            <v>Servicios de pintura de exteriores</v>
          </cell>
        </row>
        <row r="16431">
          <cell r="A16431">
            <v>72102402</v>
          </cell>
          <cell r="B16431" t="str">
            <v>Servicios de pintura de interiores</v>
          </cell>
        </row>
        <row r="16432">
          <cell r="A16432">
            <v>72102403</v>
          </cell>
          <cell r="B16432" t="str">
            <v>Servicios de revestimientos de muros</v>
          </cell>
        </row>
        <row r="16433">
          <cell r="A16433">
            <v>72102404</v>
          </cell>
          <cell r="B16433" t="str">
            <v>Aplicación de pintura industrial o especializada (aviones, barcos, puentes)</v>
          </cell>
        </row>
        <row r="16434">
          <cell r="A16434">
            <v>72102405</v>
          </cell>
          <cell r="B16434" t="str">
            <v>Servicios de marcado de pavimentos</v>
          </cell>
        </row>
        <row r="16435">
          <cell r="A16435">
            <v>72102501</v>
          </cell>
          <cell r="B16435" t="str">
            <v>Mampostería de ladrillo</v>
          </cell>
        </row>
        <row r="16436">
          <cell r="A16436">
            <v>72102502</v>
          </cell>
          <cell r="B16436" t="str">
            <v>Construcción o mantenimiento de chimeneas</v>
          </cell>
        </row>
        <row r="16437">
          <cell r="A16437">
            <v>72102503</v>
          </cell>
          <cell r="B16437" t="str">
            <v>Instalación de mármol, piedra o azulejos</v>
          </cell>
        </row>
        <row r="16438">
          <cell r="A16438">
            <v>72102504</v>
          </cell>
          <cell r="B16438" t="str">
            <v>Construcción de muros de contención</v>
          </cell>
        </row>
        <row r="16439">
          <cell r="A16439">
            <v>72102505</v>
          </cell>
          <cell r="B16439" t="str">
            <v>Frescos</v>
          </cell>
        </row>
        <row r="16440">
          <cell r="A16440">
            <v>72102506</v>
          </cell>
          <cell r="B16440" t="str">
            <v>Acústica</v>
          </cell>
        </row>
        <row r="16441">
          <cell r="A16441">
            <v>72102507</v>
          </cell>
          <cell r="B16441" t="str">
            <v>Instalación de material aislante</v>
          </cell>
        </row>
        <row r="16442">
          <cell r="A16442">
            <v>72102508</v>
          </cell>
          <cell r="B16442" t="str">
            <v>Restauración de albañilería, mampostería o azulejos</v>
          </cell>
        </row>
        <row r="16443">
          <cell r="A16443">
            <v>72102601</v>
          </cell>
          <cell r="B16443" t="str">
            <v>Carpintería rústica</v>
          </cell>
        </row>
        <row r="16444">
          <cell r="A16444">
            <v>72102602</v>
          </cell>
          <cell r="B16444" t="str">
            <v>Instalación de ventanas, puertas o dispositivos</v>
          </cell>
        </row>
        <row r="16445">
          <cell r="A16445">
            <v>72102701</v>
          </cell>
          <cell r="B16445" t="str">
            <v>Entarimado, instalación o acabado de suelos</v>
          </cell>
        </row>
        <row r="16446">
          <cell r="A16446">
            <v>72102702</v>
          </cell>
          <cell r="B16446" t="str">
            <v>Revestimiento, instalación o mantenimiento de suelos</v>
          </cell>
        </row>
        <row r="16447">
          <cell r="A16447">
            <v>72102703</v>
          </cell>
          <cell r="B16447" t="str">
            <v>Servicios de limpieza de suelos</v>
          </cell>
        </row>
        <row r="16448">
          <cell r="A16448">
            <v>72102801</v>
          </cell>
          <cell r="B16448" t="str">
            <v>Renovación de edificios, mojones y monumentos</v>
          </cell>
        </row>
        <row r="16449">
          <cell r="A16449">
            <v>72102802</v>
          </cell>
          <cell r="B16449" t="str">
            <v>Restauración de edificios, mojones o monumentos</v>
          </cell>
        </row>
        <row r="16450">
          <cell r="A16450">
            <v>72102901</v>
          </cell>
          <cell r="B16450" t="str">
            <v>Servicios de retirar la Nieve</v>
          </cell>
        </row>
        <row r="16451">
          <cell r="A16451">
            <v>72102902</v>
          </cell>
          <cell r="B16451" t="str">
            <v>Servicios de paisajismo</v>
          </cell>
        </row>
        <row r="16452">
          <cell r="A16452">
            <v>72102903</v>
          </cell>
          <cell r="B16452" t="str">
            <v>Servicios de eliminación de nieve</v>
          </cell>
        </row>
        <row r="16453">
          <cell r="A16453">
            <v>72102904</v>
          </cell>
          <cell r="B16453" t="str">
            <v>Servicios de barrido de carreteras o aparcamientos</v>
          </cell>
        </row>
        <row r="16454">
          <cell r="A16454">
            <v>72102905</v>
          </cell>
          <cell r="B16454" t="str">
            <v>Mantenimiento de terrenos exteriores</v>
          </cell>
        </row>
        <row r="16455">
          <cell r="A16455">
            <v>72103001</v>
          </cell>
          <cell r="B16455" t="str">
            <v>Servicios de desmonte de terrenos</v>
          </cell>
        </row>
        <row r="16456">
          <cell r="A16456">
            <v>72103002</v>
          </cell>
          <cell r="B16456" t="str">
            <v>Servicios de nivelado de terrenos</v>
          </cell>
        </row>
        <row r="16457">
          <cell r="A16457">
            <v>72103003</v>
          </cell>
          <cell r="B16457" t="str">
            <v>Servicios de demolición</v>
          </cell>
        </row>
        <row r="16458">
          <cell r="A16458">
            <v>72103004</v>
          </cell>
          <cell r="B16458" t="str">
            <v>Servicios de excavación</v>
          </cell>
        </row>
        <row r="16459">
          <cell r="A16459">
            <v>72131501</v>
          </cell>
          <cell r="B16459" t="str">
            <v>Construcción de apartamentos</v>
          </cell>
        </row>
        <row r="16460">
          <cell r="A16460">
            <v>72131502</v>
          </cell>
          <cell r="B16460" t="str">
            <v>Construcción casera uni-familiar</v>
          </cell>
        </row>
        <row r="16461">
          <cell r="A16461">
            <v>72131601</v>
          </cell>
          <cell r="B16461" t="str">
            <v>Construcción de centrales eléctricas</v>
          </cell>
        </row>
        <row r="16462">
          <cell r="A16462">
            <v>72131701</v>
          </cell>
          <cell r="B16462" t="str">
            <v>Pavimentar o hacer la superficie de carreteras o caminos</v>
          </cell>
        </row>
        <row r="16463">
          <cell r="A16463">
            <v>72131702</v>
          </cell>
          <cell r="B16463" t="str">
            <v>Construcción de puentes</v>
          </cell>
        </row>
        <row r="16464">
          <cell r="A16464">
            <v>73101501</v>
          </cell>
          <cell r="B16464" t="str">
            <v>Servicios de refinación de petróleo</v>
          </cell>
        </row>
        <row r="16465">
          <cell r="A16465">
            <v>73101502</v>
          </cell>
          <cell r="B16465" t="str">
            <v>Servicios de producción de gas natural</v>
          </cell>
        </row>
        <row r="16466">
          <cell r="A16466">
            <v>73101503</v>
          </cell>
          <cell r="B16466" t="str">
            <v>Servicios de producción de aceites o grasas</v>
          </cell>
        </row>
        <row r="16467">
          <cell r="A16467">
            <v>73101504</v>
          </cell>
          <cell r="B16467" t="str">
            <v>Servicios de producción de carbón</v>
          </cell>
        </row>
        <row r="16468">
          <cell r="A16468">
            <v>73101505</v>
          </cell>
          <cell r="B16468" t="str">
            <v>Servicios de fabricación de plásticos, resinas o fibras</v>
          </cell>
        </row>
        <row r="16469">
          <cell r="A16469">
            <v>73101601</v>
          </cell>
          <cell r="B16469" t="str">
            <v>Servicios de producción de químicos inorgánicos</v>
          </cell>
        </row>
        <row r="16470">
          <cell r="A16470">
            <v>73101602</v>
          </cell>
          <cell r="B16470" t="str">
            <v>Servicios de producción de sosa, cloro o soda cáustica</v>
          </cell>
        </row>
        <row r="16471">
          <cell r="A16471">
            <v>73101603</v>
          </cell>
          <cell r="B16471" t="str">
            <v>Servicios de producción de ácidos inorgánicos</v>
          </cell>
        </row>
        <row r="16472">
          <cell r="A16472">
            <v>73101604</v>
          </cell>
          <cell r="B16472" t="str">
            <v>Servicios de producción de químicos orgánicos</v>
          </cell>
        </row>
        <row r="16473">
          <cell r="A16473">
            <v>73101605</v>
          </cell>
          <cell r="B16473" t="str">
            <v>Servicios de producción de acetileno o derivados</v>
          </cell>
        </row>
        <row r="16474">
          <cell r="A16474">
            <v>73101606</v>
          </cell>
          <cell r="B16474" t="str">
            <v>Servicios de producción de etileno o derivados</v>
          </cell>
        </row>
        <row r="16475">
          <cell r="A16475">
            <v>73101607</v>
          </cell>
          <cell r="B16475" t="str">
            <v>Servicios de producción de etileno o metanol o derivados</v>
          </cell>
        </row>
        <row r="16476">
          <cell r="A16476">
            <v>73101608</v>
          </cell>
          <cell r="B16476" t="str">
            <v>Servicios de producción de fertilizantes</v>
          </cell>
        </row>
        <row r="16477">
          <cell r="A16477">
            <v>73101609</v>
          </cell>
          <cell r="B16477" t="str">
            <v>Servicios de minería o transformación de potasa</v>
          </cell>
        </row>
        <row r="16478">
          <cell r="A16478">
            <v>73101610</v>
          </cell>
          <cell r="B16478" t="str">
            <v>Servicios de producción de pesticidas</v>
          </cell>
        </row>
        <row r="16479">
          <cell r="A16479">
            <v>73101611</v>
          </cell>
          <cell r="B16479" t="str">
            <v>Servicios de producción de pinturas, barnices o lacas</v>
          </cell>
        </row>
        <row r="16480">
          <cell r="A16480">
            <v>73101612</v>
          </cell>
          <cell r="B16480" t="str">
            <v>Servicios de producción de jabones o preparaciones para limpieza o perfumes o cosméticos</v>
          </cell>
        </row>
        <row r="16481">
          <cell r="A16481">
            <v>73101613</v>
          </cell>
          <cell r="B16481" t="str">
            <v>Servicios de producción de disolventes, glicoles o detergentes</v>
          </cell>
        </row>
        <row r="16482">
          <cell r="A16482">
            <v>73101614</v>
          </cell>
          <cell r="B16482" t="str">
            <v>Servicios de fermentos o enzimas</v>
          </cell>
        </row>
        <row r="16483">
          <cell r="A16483">
            <v>73101701</v>
          </cell>
          <cell r="B16483" t="str">
            <v>Servicios de producción de medicamentos o medicinas</v>
          </cell>
        </row>
        <row r="16484">
          <cell r="A16484">
            <v>73101702</v>
          </cell>
          <cell r="B16484" t="str">
            <v>Servicios de producción de vacunas, sueros o antibióticos</v>
          </cell>
        </row>
        <row r="16485">
          <cell r="A16485">
            <v>73101703</v>
          </cell>
          <cell r="B16485" t="str">
            <v>Servicios de producción de productos farmacéuticos</v>
          </cell>
        </row>
        <row r="16486">
          <cell r="A16486">
            <v>73101801</v>
          </cell>
          <cell r="B16486" t="str">
            <v>Servicios de producción de biomasa</v>
          </cell>
        </row>
        <row r="16487">
          <cell r="A16487">
            <v>73101802</v>
          </cell>
          <cell r="B16487" t="str">
            <v>Servicios de producción de bioproteínas</v>
          </cell>
        </row>
        <row r="16488">
          <cell r="A16488">
            <v>73101901</v>
          </cell>
          <cell r="B16488" t="str">
            <v>Servicios de moledura de caucho</v>
          </cell>
        </row>
        <row r="16489">
          <cell r="A16489">
            <v>73101902</v>
          </cell>
          <cell r="B16489" t="str">
            <v>Servicios de producción de neumáticos o tubos de caucho</v>
          </cell>
        </row>
        <row r="16490">
          <cell r="A16490">
            <v>73101903</v>
          </cell>
          <cell r="B16490" t="str">
            <v>Servicios de producción de calzado de caucho o plástico</v>
          </cell>
        </row>
        <row r="16491">
          <cell r="A16491">
            <v>73111501</v>
          </cell>
          <cell r="B16491" t="str">
            <v>Servicios de aserradero</v>
          </cell>
        </row>
        <row r="16492">
          <cell r="A16492">
            <v>73111502</v>
          </cell>
          <cell r="B16492" t="str">
            <v>Servicios de producción de chapas</v>
          </cell>
        </row>
        <row r="16493">
          <cell r="A16493">
            <v>73111503</v>
          </cell>
          <cell r="B16493" t="str">
            <v>Servicios de fabricación de paneles de base de madera</v>
          </cell>
        </row>
        <row r="16494">
          <cell r="A16494">
            <v>73111504</v>
          </cell>
          <cell r="B16494" t="str">
            <v>Servicios de fabricación de envases de madera</v>
          </cell>
        </row>
        <row r="16495">
          <cell r="A16495">
            <v>73111505</v>
          </cell>
          <cell r="B16495" t="str">
            <v>Servicios de fabricación de muebles</v>
          </cell>
        </row>
        <row r="16496">
          <cell r="A16496">
            <v>73111506</v>
          </cell>
          <cell r="B16496" t="str">
            <v>Servicios de fabricación de productos de corcho</v>
          </cell>
        </row>
        <row r="16497">
          <cell r="A16497">
            <v>73111507</v>
          </cell>
          <cell r="B16497" t="str">
            <v>Servicios de elaboración de bejuco o mimbre</v>
          </cell>
        </row>
        <row r="16498">
          <cell r="A16498">
            <v>73111601</v>
          </cell>
          <cell r="B16498" t="str">
            <v>Servicios de producción de pulpa</v>
          </cell>
        </row>
        <row r="16499">
          <cell r="A16499">
            <v>73111602</v>
          </cell>
          <cell r="B16499" t="str">
            <v>Servicios de producción de papel o cartón</v>
          </cell>
        </row>
        <row r="16500">
          <cell r="A16500">
            <v>73111603</v>
          </cell>
          <cell r="B16500" t="str">
            <v>Servicios de producción de tabla de madera dura o de fibra</v>
          </cell>
        </row>
        <row r="16501">
          <cell r="A16501">
            <v>73111604</v>
          </cell>
          <cell r="B16501" t="str">
            <v>Servicios de producción o reciclaje de papel</v>
          </cell>
        </row>
        <row r="16502">
          <cell r="A16502">
            <v>73121501</v>
          </cell>
          <cell r="B16502" t="str">
            <v>Servicios de producción de aleaciones ferrosas</v>
          </cell>
        </row>
        <row r="16503">
          <cell r="A16503">
            <v>73121502</v>
          </cell>
          <cell r="B16503" t="str">
            <v>Servicios de procesos de combinación de metales básicos</v>
          </cell>
        </row>
        <row r="16504">
          <cell r="A16504">
            <v>73121503</v>
          </cell>
          <cell r="B16504" t="str">
            <v>Servicios de refracción para la producción de hierro o acero</v>
          </cell>
        </row>
        <row r="16505">
          <cell r="A16505">
            <v>73121504</v>
          </cell>
          <cell r="B16505" t="str">
            <v>Servicios de fabricación de hierro o acero</v>
          </cell>
        </row>
        <row r="16506">
          <cell r="A16506">
            <v>73121505</v>
          </cell>
          <cell r="B16506" t="str">
            <v>Servicios de forja de  hierro o acero</v>
          </cell>
        </row>
        <row r="16507">
          <cell r="A16507">
            <v>73121506</v>
          </cell>
          <cell r="B16507" t="str">
            <v>Servicios de procesos de preacabado de hierro o acero</v>
          </cell>
        </row>
        <row r="16508">
          <cell r="A16508">
            <v>73121507</v>
          </cell>
          <cell r="B16508" t="str">
            <v>Servicios de  acabado en la transformación de metales</v>
          </cell>
        </row>
        <row r="16509">
          <cell r="A16509">
            <v>73121508</v>
          </cell>
          <cell r="B16509" t="str">
            <v>Servicios de fundición de metales</v>
          </cell>
        </row>
        <row r="16510">
          <cell r="A16510">
            <v>73121509</v>
          </cell>
          <cell r="B16510" t="str">
            <v>Servicios de purificación de metales</v>
          </cell>
        </row>
        <row r="16511">
          <cell r="A16511">
            <v>73121601</v>
          </cell>
          <cell r="B16511" t="str">
            <v>Servicios de corte de metales</v>
          </cell>
        </row>
        <row r="16512">
          <cell r="A16512">
            <v>73121602</v>
          </cell>
          <cell r="B16512" t="str">
            <v>Servicios de herrería</v>
          </cell>
        </row>
        <row r="16513">
          <cell r="A16513">
            <v>73121603</v>
          </cell>
          <cell r="B16513" t="str">
            <v>Servicios de calentamiento de metales</v>
          </cell>
        </row>
        <row r="16514">
          <cell r="A16514">
            <v>73121606</v>
          </cell>
          <cell r="B16514" t="str">
            <v>Servicios de forja de metales</v>
          </cell>
        </row>
        <row r="16515">
          <cell r="A16515">
            <v>73121607</v>
          </cell>
          <cell r="B16515" t="str">
            <v>Servicios de extracción de metales</v>
          </cell>
        </row>
        <row r="16516">
          <cell r="A16516">
            <v>73121608</v>
          </cell>
          <cell r="B16516" t="str">
            <v>Servicios de extrusión de metales</v>
          </cell>
        </row>
        <row r="16517">
          <cell r="A16517">
            <v>73121610</v>
          </cell>
          <cell r="B16517" t="str">
            <v>Servicios de herrería</v>
          </cell>
        </row>
        <row r="16518">
          <cell r="A16518">
            <v>73121611</v>
          </cell>
          <cell r="B16518" t="str">
            <v>Servicios de hojalatería</v>
          </cell>
        </row>
        <row r="16519">
          <cell r="A16519">
            <v>73121612</v>
          </cell>
          <cell r="B16519" t="str">
            <v>Servicios de revestimiento con metal antifricción</v>
          </cell>
        </row>
        <row r="16520">
          <cell r="A16520">
            <v>73121613</v>
          </cell>
          <cell r="B16520" t="str">
            <v>Servicios de fundición de metales</v>
          </cell>
        </row>
        <row r="16521">
          <cell r="A16521">
            <v>73121801</v>
          </cell>
          <cell r="B16521" t="str">
            <v>Servicios de fabricación de cerámica o porcelana o loza de barro</v>
          </cell>
        </row>
        <row r="16522">
          <cell r="A16522">
            <v>73121802</v>
          </cell>
          <cell r="B16522" t="str">
            <v>Servicios de fabricación vidrio o productos de vidrio</v>
          </cell>
        </row>
        <row r="16523">
          <cell r="A16523">
            <v>73121803</v>
          </cell>
          <cell r="B16523" t="str">
            <v>Servicios de fabricación de productos de arcilla estructural</v>
          </cell>
        </row>
        <row r="16524">
          <cell r="A16524">
            <v>73121804</v>
          </cell>
          <cell r="B16524" t="str">
            <v>Servicios de fabricación de cemento o cal o yeso</v>
          </cell>
        </row>
        <row r="16525">
          <cell r="A16525">
            <v>73121805</v>
          </cell>
          <cell r="B16525" t="str">
            <v>Servicios de fabricación de productos de concreto o agregados o piedra</v>
          </cell>
        </row>
        <row r="16526">
          <cell r="A16526">
            <v>73121806</v>
          </cell>
          <cell r="B16526" t="str">
            <v>Servicios de fabricación de abrasivos</v>
          </cell>
        </row>
        <row r="16527">
          <cell r="A16527">
            <v>73121807</v>
          </cell>
          <cell r="B16527" t="str">
            <v>Servicios de fabricación de productos de asbesto</v>
          </cell>
        </row>
        <row r="16528">
          <cell r="A16528">
            <v>73131501</v>
          </cell>
          <cell r="B16528" t="str">
            <v>Servicios de destilación o mezcla de licores</v>
          </cell>
        </row>
        <row r="16529">
          <cell r="A16529">
            <v>73131502</v>
          </cell>
          <cell r="B16529" t="str">
            <v>Servicios de elaboración del vino</v>
          </cell>
        </row>
        <row r="16530">
          <cell r="A16530">
            <v>73131503</v>
          </cell>
          <cell r="B16530" t="str">
            <v>Servicios de elaboración de la cerveza</v>
          </cell>
        </row>
        <row r="16531">
          <cell r="A16531">
            <v>73131504</v>
          </cell>
          <cell r="B16531" t="str">
            <v>Servicios de elaboración de bebidas de frutas no alcohólicas</v>
          </cell>
        </row>
        <row r="16532">
          <cell r="A16532">
            <v>73131505</v>
          </cell>
          <cell r="B16532" t="str">
            <v>Servicios de elaboración de bebidas de agua</v>
          </cell>
        </row>
        <row r="16533">
          <cell r="A16533">
            <v>73131506</v>
          </cell>
          <cell r="B16533" t="str">
            <v>Servicios de elaboración de bebidas de infusión</v>
          </cell>
        </row>
        <row r="16534">
          <cell r="A16534">
            <v>73131507</v>
          </cell>
          <cell r="B16534" t="str">
            <v>Servicios de elaboración del café</v>
          </cell>
        </row>
        <row r="16535">
          <cell r="A16535">
            <v>73131508</v>
          </cell>
          <cell r="B16535" t="str">
            <v>Servicios de elaboración del té</v>
          </cell>
        </row>
        <row r="16536">
          <cell r="A16536">
            <v>73131601</v>
          </cell>
          <cell r="B16536" t="str">
            <v>Servicios de elaboración de productos cárnicos o derivados</v>
          </cell>
        </row>
        <row r="16537">
          <cell r="A16537">
            <v>73131602</v>
          </cell>
          <cell r="B16537" t="str">
            <v>Servicios de procesamiento de pescado o productos de pescado</v>
          </cell>
        </row>
        <row r="16538">
          <cell r="A16538">
            <v>73131603</v>
          </cell>
          <cell r="B16538" t="str">
            <v>Servicios de procesamiento de aves de corral</v>
          </cell>
        </row>
        <row r="16539">
          <cell r="A16539">
            <v>73131604</v>
          </cell>
          <cell r="B16539" t="str">
            <v>Servicios de inspección o higiene de la carne</v>
          </cell>
        </row>
        <row r="16540">
          <cell r="A16540">
            <v>73131605</v>
          </cell>
          <cell r="B16540" t="str">
            <v>Servicios de operación o administración de plantas cárnicas</v>
          </cell>
        </row>
        <row r="16541">
          <cell r="A16541">
            <v>73131606</v>
          </cell>
          <cell r="B16541" t="str">
            <v>Servicios de matadero</v>
          </cell>
        </row>
        <row r="16542">
          <cell r="A16542">
            <v>73131607</v>
          </cell>
          <cell r="B16542" t="str">
            <v>Servicios de carnicería</v>
          </cell>
        </row>
        <row r="16543">
          <cell r="A16543">
            <v>73131608</v>
          </cell>
          <cell r="B16543" t="str">
            <v>Servicios de conservación en cámara frigorífica</v>
          </cell>
        </row>
        <row r="16544">
          <cell r="A16544">
            <v>73131701</v>
          </cell>
          <cell r="B16544" t="str">
            <v>Servicios de limpieza de frutas o verduras</v>
          </cell>
        </row>
        <row r="16545">
          <cell r="A16545">
            <v>73131702</v>
          </cell>
          <cell r="B16545" t="str">
            <v>Servicios de rociado de frutas o verduras</v>
          </cell>
        </row>
        <row r="16546">
          <cell r="A16546">
            <v>73131703</v>
          </cell>
          <cell r="B16546" t="str">
            <v>Servicios de empaque de frutas o verduras</v>
          </cell>
        </row>
        <row r="16547">
          <cell r="A16547">
            <v>73131801</v>
          </cell>
          <cell r="B16547" t="str">
            <v>Servicios de elaboración de la leche</v>
          </cell>
        </row>
        <row r="16548">
          <cell r="A16548">
            <v>73131802</v>
          </cell>
          <cell r="B16548" t="str">
            <v>Servicios de la elaboración  de huevos</v>
          </cell>
        </row>
        <row r="16549">
          <cell r="A16549">
            <v>73131803</v>
          </cell>
          <cell r="B16549" t="str">
            <v>Servicios de elaboración de quesos</v>
          </cell>
        </row>
        <row r="16550">
          <cell r="A16550">
            <v>73131804</v>
          </cell>
          <cell r="B16550" t="str">
            <v>Servicios de elaboración de mantequilla o crema de leche</v>
          </cell>
        </row>
        <row r="16551">
          <cell r="A16551">
            <v>73131902</v>
          </cell>
          <cell r="B16551" t="str">
            <v>Servicios de elaboración de productos a base de cereal</v>
          </cell>
        </row>
        <row r="16552">
          <cell r="A16552">
            <v>73131903</v>
          </cell>
          <cell r="B16552" t="str">
            <v>Servicios de elaboración de azúcar o productos de azúcar</v>
          </cell>
        </row>
        <row r="16553">
          <cell r="A16553">
            <v>73131904</v>
          </cell>
          <cell r="B16553" t="str">
            <v>Servicios de elaboración de aceites o grasas vegetales</v>
          </cell>
        </row>
        <row r="16554">
          <cell r="A16554">
            <v>73131905</v>
          </cell>
          <cell r="B16554" t="str">
            <v>Servicios de elaboración de especias</v>
          </cell>
        </row>
        <row r="16555">
          <cell r="A16555">
            <v>73131906</v>
          </cell>
          <cell r="B16555" t="str">
            <v>Servicios de elaboración de productos de panadería</v>
          </cell>
        </row>
        <row r="16556">
          <cell r="A16556">
            <v>73141501</v>
          </cell>
          <cell r="B16556" t="str">
            <v>Servicios de fabricación de fibra de rayón o acetato</v>
          </cell>
        </row>
        <row r="16557">
          <cell r="A16557">
            <v>73141502</v>
          </cell>
          <cell r="B16557" t="str">
            <v>Servicios de fabricación de fibra de vidrio</v>
          </cell>
        </row>
        <row r="16558">
          <cell r="A16558">
            <v>73141503</v>
          </cell>
          <cell r="B16558" t="str">
            <v>Servicios de fabricación de fibra de seda</v>
          </cell>
        </row>
        <row r="16559">
          <cell r="A16559">
            <v>73141504</v>
          </cell>
          <cell r="B16559" t="str">
            <v>Servicios de fabricación de fibra de algodón</v>
          </cell>
        </row>
        <row r="16560">
          <cell r="A16560">
            <v>73141505</v>
          </cell>
          <cell r="B16560" t="str">
            <v>Servicios de fabricación de fibra de lana</v>
          </cell>
        </row>
        <row r="16561">
          <cell r="A16561">
            <v>73141506</v>
          </cell>
          <cell r="B16561" t="str">
            <v>Servicios de fabricación de fibra de poliéster</v>
          </cell>
        </row>
        <row r="16562">
          <cell r="A16562">
            <v>73141507</v>
          </cell>
          <cell r="B16562" t="str">
            <v>Servicios de fabricación de fibra de poliamida</v>
          </cell>
        </row>
        <row r="16563">
          <cell r="A16563">
            <v>73141508</v>
          </cell>
          <cell r="B16563" t="str">
            <v>Servicios de fabricación de fibra acrílica</v>
          </cell>
        </row>
        <row r="16564">
          <cell r="A16564">
            <v>73141601</v>
          </cell>
          <cell r="B16564" t="str">
            <v>Servicios de elaboración de hilo</v>
          </cell>
        </row>
        <row r="16565">
          <cell r="A16565">
            <v>73141602</v>
          </cell>
          <cell r="B16565" t="str">
            <v>Servicios de elaboración de hilado</v>
          </cell>
        </row>
        <row r="16566">
          <cell r="A16566">
            <v>73141701</v>
          </cell>
          <cell r="B16566" t="str">
            <v>Servicios de fabricación de géneros de tejido ancho</v>
          </cell>
        </row>
        <row r="16567">
          <cell r="A16567">
            <v>73141702</v>
          </cell>
          <cell r="B16567" t="str">
            <v>Servicios de fabricación de géneros de tejido angosto</v>
          </cell>
        </row>
        <row r="16568">
          <cell r="A16568">
            <v>73141703</v>
          </cell>
          <cell r="B16568" t="str">
            <v>Servicios de fabricación de tejidos de punto</v>
          </cell>
        </row>
        <row r="16569">
          <cell r="A16569">
            <v>73141704</v>
          </cell>
          <cell r="B16569" t="str">
            <v>Servicios de fabricación de tapetes o alfombras</v>
          </cell>
        </row>
        <row r="16570">
          <cell r="A16570">
            <v>73141705</v>
          </cell>
          <cell r="B16570" t="str">
            <v>Servicios de fabricación de sogas, cuerdas o cordeles</v>
          </cell>
        </row>
        <row r="16571">
          <cell r="A16571">
            <v>73141706</v>
          </cell>
          <cell r="B16571" t="str">
            <v>Servicios de teñido o impresión y acabado</v>
          </cell>
        </row>
        <row r="16572">
          <cell r="A16572">
            <v>73141707</v>
          </cell>
          <cell r="B16572" t="str">
            <v>Servicios de fabricación de   trajes o chaquetas o abrigos tejidos</v>
          </cell>
        </row>
        <row r="16573">
          <cell r="A16573">
            <v>73141708</v>
          </cell>
          <cell r="B16573" t="str">
            <v>Servicios de fabricación de prendas exteriores tejidas</v>
          </cell>
        </row>
        <row r="16574">
          <cell r="A16574">
            <v>73141709</v>
          </cell>
          <cell r="B16574" t="str">
            <v>Servicios de curtido o teñido de pieles</v>
          </cell>
        </row>
        <row r="16575">
          <cell r="A16575">
            <v>73141710</v>
          </cell>
          <cell r="B16575" t="str">
            <v>Servicios de fabricación de calzado de cuero</v>
          </cell>
        </row>
        <row r="16576">
          <cell r="A16576">
            <v>73141711</v>
          </cell>
          <cell r="B16576" t="str">
            <v>Servicios de fabricación de maletas o bolsos de cuero</v>
          </cell>
        </row>
        <row r="16577">
          <cell r="A16577">
            <v>73141712</v>
          </cell>
          <cell r="B16577" t="str">
            <v>Servicios de fabricación de curtidos o acabados de cuero</v>
          </cell>
        </row>
        <row r="16578">
          <cell r="A16578">
            <v>73141713</v>
          </cell>
          <cell r="B16578" t="str">
            <v>Servicios de géneros telas no tejidas</v>
          </cell>
        </row>
        <row r="16579">
          <cell r="A16579">
            <v>73141714</v>
          </cell>
          <cell r="B16579" t="str">
            <v>Servicios de hilo o tejido trenzado</v>
          </cell>
        </row>
        <row r="16580">
          <cell r="A16580">
            <v>73141715</v>
          </cell>
          <cell r="B16580" t="str">
            <v>Servicios de costura industrial</v>
          </cell>
        </row>
        <row r="16581">
          <cell r="A16581">
            <v>73151501</v>
          </cell>
          <cell r="B16581" t="str">
            <v>Servicios de cadena de montaje</v>
          </cell>
        </row>
        <row r="16582">
          <cell r="A16582">
            <v>73151502</v>
          </cell>
          <cell r="B16582" t="str">
            <v>Servicios de sellamiento de uniones</v>
          </cell>
        </row>
        <row r="16583">
          <cell r="A16583">
            <v>73151601</v>
          </cell>
          <cell r="B16583" t="str">
            <v>Servicios de plantas de conservas</v>
          </cell>
        </row>
        <row r="16584">
          <cell r="A16584">
            <v>73151602</v>
          </cell>
          <cell r="B16584" t="str">
            <v>Servicios de empacado de subproductos agrícolas</v>
          </cell>
        </row>
        <row r="16585">
          <cell r="A16585">
            <v>73151603</v>
          </cell>
          <cell r="B16585" t="str">
            <v>Servicios de empacado de productos no alimenticios</v>
          </cell>
        </row>
        <row r="16586">
          <cell r="A16586">
            <v>73151604</v>
          </cell>
          <cell r="B16586" t="str">
            <v>Servicios de empacado de productos farmacéuticos</v>
          </cell>
        </row>
        <row r="16587">
          <cell r="A16587">
            <v>73151605</v>
          </cell>
          <cell r="B16587" t="str">
            <v>Servicios de empacado para exhibición en el punto de venta</v>
          </cell>
        </row>
        <row r="16588">
          <cell r="A16588">
            <v>73151606</v>
          </cell>
          <cell r="B16588" t="str">
            <v>Servicios de empacado a mano</v>
          </cell>
        </row>
        <row r="16589">
          <cell r="A16589">
            <v>73151607</v>
          </cell>
          <cell r="B16589" t="str">
            <v>Servicios de empacado mecanizado</v>
          </cell>
        </row>
        <row r="16590">
          <cell r="A16590">
            <v>73151701</v>
          </cell>
          <cell r="B16590" t="str">
            <v>Servicios de tratamiento de materiales  de impermeabilización</v>
          </cell>
        </row>
        <row r="16591">
          <cell r="A16591">
            <v>73151702</v>
          </cell>
          <cell r="B16591" t="str">
            <v>Servicios de tratamiento de materiales de protección contra incendios</v>
          </cell>
        </row>
        <row r="16592">
          <cell r="A16592">
            <v>73151703</v>
          </cell>
          <cell r="B16592" t="str">
            <v>Servicios de tratamiento de materiales anticorrosivos</v>
          </cell>
        </row>
        <row r="16593">
          <cell r="A16593">
            <v>73151801</v>
          </cell>
          <cell r="B16593" t="str">
            <v>Servicios de enchapes</v>
          </cell>
        </row>
        <row r="16594">
          <cell r="A16594">
            <v>73151802</v>
          </cell>
          <cell r="B16594" t="str">
            <v>Servicios de corte en tiras</v>
          </cell>
        </row>
        <row r="16595">
          <cell r="A16595">
            <v>73151803</v>
          </cell>
          <cell r="B16595" t="str">
            <v>Servicios de corte a troquel</v>
          </cell>
        </row>
        <row r="16596">
          <cell r="A16596">
            <v>73151804</v>
          </cell>
          <cell r="B16596" t="str">
            <v>Servicios de plegado</v>
          </cell>
        </row>
        <row r="16597">
          <cell r="A16597">
            <v>73151805</v>
          </cell>
          <cell r="B16597" t="str">
            <v>Servicios de laminación</v>
          </cell>
        </row>
        <row r="16598">
          <cell r="A16598">
            <v>73151901</v>
          </cell>
          <cell r="B16598" t="str">
            <v>Servicios de impresión industrial flexográfica</v>
          </cell>
        </row>
        <row r="16599">
          <cell r="A16599">
            <v>73151902</v>
          </cell>
          <cell r="B16599" t="str">
            <v>Servicios de impresión industrial a roto grabado</v>
          </cell>
        </row>
        <row r="16600">
          <cell r="A16600">
            <v>73151903</v>
          </cell>
          <cell r="B16600" t="str">
            <v>Servicios de impresión industrial  a pantalla</v>
          </cell>
        </row>
        <row r="16601">
          <cell r="A16601">
            <v>73151904</v>
          </cell>
          <cell r="B16601" t="str">
            <v>Servicios de impresión industrial offset</v>
          </cell>
        </row>
        <row r="16602">
          <cell r="A16602">
            <v>73151905</v>
          </cell>
          <cell r="B16602" t="str">
            <v>Servicios de impresión industrial digital</v>
          </cell>
        </row>
        <row r="16603">
          <cell r="A16603">
            <v>73151906</v>
          </cell>
          <cell r="B16603" t="str">
            <v>Servicios de impresión industrial de transferencia térmica</v>
          </cell>
        </row>
        <row r="16604">
          <cell r="A16604">
            <v>73151907</v>
          </cell>
          <cell r="B16604" t="str">
            <v>Servicios de impresión y duplicación de discos compactos dc</v>
          </cell>
        </row>
        <row r="16605">
          <cell r="A16605">
            <v>73152001</v>
          </cell>
          <cell r="B16605" t="str">
            <v>Servicios de llenado con líquido</v>
          </cell>
        </row>
        <row r="16606">
          <cell r="A16606">
            <v>73152002</v>
          </cell>
          <cell r="B16606" t="str">
            <v>Servicios de llenado con aerosol</v>
          </cell>
        </row>
        <row r="16607">
          <cell r="A16607">
            <v>73152003</v>
          </cell>
          <cell r="B16607" t="str">
            <v>Servicios de llenado con pasta</v>
          </cell>
        </row>
        <row r="16608">
          <cell r="A16608">
            <v>73152004</v>
          </cell>
          <cell r="B16608" t="str">
            <v>Servicios de llenado con  polvo</v>
          </cell>
        </row>
        <row r="16609">
          <cell r="A16609">
            <v>73152101</v>
          </cell>
          <cell r="B16609" t="str">
            <v>Servicio de mantenimiento de equipo industrial</v>
          </cell>
        </row>
        <row r="16610">
          <cell r="A16610">
            <v>73152102</v>
          </cell>
          <cell r="B16610" t="str">
            <v>Servicio de reparación de equipo industrial</v>
          </cell>
        </row>
        <row r="16611">
          <cell r="A16611">
            <v>73161501</v>
          </cell>
          <cell r="B16611" t="str">
            <v>Servicios de fabricación de motores o  turbinas</v>
          </cell>
        </row>
        <row r="16612">
          <cell r="A16612">
            <v>73161502</v>
          </cell>
          <cell r="B16612" t="str">
            <v>Servicios de fabricación de maquinaria o equipos agrícolas</v>
          </cell>
        </row>
        <row r="16613">
          <cell r="A16613">
            <v>73161503</v>
          </cell>
          <cell r="B16613" t="str">
            <v>Servicios de fabricación de máquinas herramienta, labrado de metales o madera</v>
          </cell>
        </row>
        <row r="16614">
          <cell r="A16614">
            <v>73161504</v>
          </cell>
          <cell r="B16614" t="str">
            <v>Servicios de fabricación de maquinaria o plantas industriales especiales</v>
          </cell>
        </row>
        <row r="16615">
          <cell r="A16615">
            <v>73161505</v>
          </cell>
          <cell r="B16615" t="str">
            <v>Servicios de fabricación de maquinaria o equipos para construcción</v>
          </cell>
        </row>
        <row r="16616">
          <cell r="A16616">
            <v>73161506</v>
          </cell>
          <cell r="B16616" t="str">
            <v>Servicios de fabricación de maquinaria o equipos para minería</v>
          </cell>
        </row>
        <row r="16617">
          <cell r="A16617">
            <v>73161507</v>
          </cell>
          <cell r="B16617" t="str">
            <v>Servicios de fabricación de maquinaria o equipo para productos alimenticios</v>
          </cell>
        </row>
        <row r="16618">
          <cell r="A16618">
            <v>73161508</v>
          </cell>
          <cell r="B16618" t="str">
            <v>Servicios de fabricación de maquinaria o equipos para impresión de papel</v>
          </cell>
        </row>
        <row r="16619">
          <cell r="A16619">
            <v>73161509</v>
          </cell>
          <cell r="B16619" t="str">
            <v>Servicios de fabricación de maquinaria o equipos metalúrgicos</v>
          </cell>
        </row>
        <row r="16620">
          <cell r="A16620">
            <v>73161510</v>
          </cell>
          <cell r="B16620" t="str">
            <v>Servicios de fabricación de maquinaria o equipos para productos químicos o farmacéuticos</v>
          </cell>
        </row>
        <row r="16621">
          <cell r="A16621">
            <v>73161511</v>
          </cell>
          <cell r="B16621" t="str">
            <v>Servicios de fabricación de maquinaria o equipo para fábricas de cemento</v>
          </cell>
        </row>
        <row r="16622">
          <cell r="A16622">
            <v>73161512</v>
          </cell>
          <cell r="B16622" t="str">
            <v>Servicios de fabricación de maquinaria o equipo textil</v>
          </cell>
        </row>
        <row r="16623">
          <cell r="A16623">
            <v>73161513</v>
          </cell>
          <cell r="B16623" t="str">
            <v>Servicios de fabricación de calderas para centrales eléctricas</v>
          </cell>
        </row>
        <row r="16624">
          <cell r="A16624">
            <v>73161514</v>
          </cell>
          <cell r="B16624" t="str">
            <v>Servicios de fabricación de hornos</v>
          </cell>
        </row>
        <row r="16625">
          <cell r="A16625">
            <v>73161515</v>
          </cell>
          <cell r="B16625" t="str">
            <v>Servicios de fabricación de maquinaria o equipo de oficina</v>
          </cell>
        </row>
        <row r="16626">
          <cell r="A16626">
            <v>73161516</v>
          </cell>
          <cell r="B16626" t="str">
            <v>Servicios de fabricación de equipo de elevación, elevación o transporte</v>
          </cell>
        </row>
        <row r="16627">
          <cell r="A16627">
            <v>73161517</v>
          </cell>
          <cell r="B16627" t="str">
            <v>Servicios de fabricación de equipos de aire acondicionado, ventilación o refrigeración</v>
          </cell>
        </row>
        <row r="16628">
          <cell r="A16628">
            <v>73161518</v>
          </cell>
          <cell r="B16628" t="str">
            <v>Servicios de fabricación de electrodomésticos o máquinas de uso doméstico excepto eléctricas</v>
          </cell>
        </row>
        <row r="16629">
          <cell r="A16629">
            <v>73161519</v>
          </cell>
          <cell r="B16629" t="str">
            <v>Servicios de fabricación de bombas o compresores</v>
          </cell>
        </row>
        <row r="16630">
          <cell r="A16630">
            <v>73161601</v>
          </cell>
          <cell r="B16630" t="str">
            <v>Servicios de construcción de barcos o botes de pesca</v>
          </cell>
        </row>
        <row r="16631">
          <cell r="A16631">
            <v>73161602</v>
          </cell>
          <cell r="B16631" t="str">
            <v>Servicios de fabricación de material rodante para ferrocarriles</v>
          </cell>
        </row>
        <row r="16632">
          <cell r="A16632">
            <v>73161603</v>
          </cell>
          <cell r="B16632" t="str">
            <v>Servicios de fabricación de locomotoras</v>
          </cell>
        </row>
        <row r="16633">
          <cell r="A16633">
            <v>73161604</v>
          </cell>
          <cell r="B16633" t="str">
            <v>Servicios de fabricación de vehículos de motor</v>
          </cell>
        </row>
        <row r="16634">
          <cell r="A16634">
            <v>73161605</v>
          </cell>
          <cell r="B16634" t="str">
            <v>Servicios de fabricación de partes y accesorios de vehículos de motor</v>
          </cell>
        </row>
        <row r="16635">
          <cell r="A16635">
            <v>73161606</v>
          </cell>
          <cell r="B16635" t="str">
            <v>Servicios de fabricación de motocicletas o bicicletas</v>
          </cell>
        </row>
        <row r="16636">
          <cell r="A16636">
            <v>73161607</v>
          </cell>
          <cell r="B16636" t="str">
            <v>Servicios de fabricación de aeronaves o naves espaciales</v>
          </cell>
        </row>
        <row r="16637">
          <cell r="A16637">
            <v>73171501</v>
          </cell>
          <cell r="B16637" t="str">
            <v>Servicios de fabricación de equipo de generación, transmisión o distribución de energía</v>
          </cell>
        </row>
        <row r="16638">
          <cell r="A16638">
            <v>73171502</v>
          </cell>
          <cell r="B16638" t="str">
            <v>Servicios de fabricación de pilas secas o acumuladores</v>
          </cell>
        </row>
        <row r="16639">
          <cell r="A16639">
            <v>73171503</v>
          </cell>
          <cell r="B16639" t="str">
            <v>Servicios de fabricación de herramientas eléctricas</v>
          </cell>
        </row>
        <row r="16640">
          <cell r="A16640">
            <v>73171504</v>
          </cell>
          <cell r="B16640" t="str">
            <v>Servicios de fabricación de instrumentos de pruebas o de mediciones</v>
          </cell>
        </row>
        <row r="16641">
          <cell r="A16641">
            <v>73171505</v>
          </cell>
          <cell r="B16641" t="str">
            <v>Servicios de fabricación de aparatos de radio o televisión</v>
          </cell>
        </row>
        <row r="16642">
          <cell r="A16642">
            <v>73171506</v>
          </cell>
          <cell r="B16642" t="str">
            <v>Servicios de fabricación de equipos de comunicaciones</v>
          </cell>
        </row>
        <row r="16643">
          <cell r="A16643">
            <v>73171507</v>
          </cell>
          <cell r="B16643" t="str">
            <v>Servicios de fabricación de aparatos electrodomésticos</v>
          </cell>
        </row>
        <row r="16644">
          <cell r="A16644">
            <v>73171508</v>
          </cell>
          <cell r="B16644" t="str">
            <v>Servicios de fabricación de alambre o cable aislado</v>
          </cell>
        </row>
        <row r="16645">
          <cell r="A16645">
            <v>73171510</v>
          </cell>
          <cell r="B16645" t="str">
            <v>Servicios de fabricación de accesorios o material eléctricos</v>
          </cell>
        </row>
        <row r="16646">
          <cell r="A16646">
            <v>73171511</v>
          </cell>
          <cell r="B16646" t="str">
            <v>Servicios de fabricación de equipos electrónicos</v>
          </cell>
        </row>
        <row r="16647">
          <cell r="A16647">
            <v>73171512</v>
          </cell>
          <cell r="B16647" t="str">
            <v>Servicios de fabricación de computadores electrónicos o equipos de procesamiento de datos</v>
          </cell>
        </row>
        <row r="16648">
          <cell r="A16648">
            <v>73171601</v>
          </cell>
          <cell r="B16648" t="str">
            <v>Servicios de fabricación de instrumentos científicos o equipos de medición</v>
          </cell>
        </row>
        <row r="16649">
          <cell r="A16649">
            <v>73171602</v>
          </cell>
          <cell r="B16649" t="str">
            <v>Servicios de fabricación de equipo médico o dental</v>
          </cell>
        </row>
        <row r="16650">
          <cell r="A16650">
            <v>73171603</v>
          </cell>
          <cell r="B16650" t="str">
            <v>Servicios de fabricación de equipo óptico o fotográfico</v>
          </cell>
        </row>
        <row r="16651">
          <cell r="A16651">
            <v>73171604</v>
          </cell>
          <cell r="B16651" t="str">
            <v>Servicios de fabricación de relojes o relojes de pulsera</v>
          </cell>
        </row>
        <row r="16652">
          <cell r="A16652">
            <v>73171605</v>
          </cell>
          <cell r="B16652" t="str">
            <v>Servicios de fabricación de equipos de laboratorio</v>
          </cell>
        </row>
        <row r="16653">
          <cell r="A16653">
            <v>73181001</v>
          </cell>
          <cell r="B16653" t="str">
            <v>Servicios de tornería</v>
          </cell>
        </row>
        <row r="16654">
          <cell r="A16654">
            <v>73181002</v>
          </cell>
          <cell r="B16654" t="str">
            <v>Servicios de maquinado por electrodescarga edm</v>
          </cell>
        </row>
        <row r="16655">
          <cell r="A16655">
            <v>73181003</v>
          </cell>
          <cell r="B16655" t="str">
            <v>Servicios de maquinado electroquímico ecm</v>
          </cell>
        </row>
        <row r="16656">
          <cell r="A16656">
            <v>73181004</v>
          </cell>
          <cell r="B16656" t="str">
            <v>Servicios de fresado químico</v>
          </cell>
        </row>
        <row r="16657">
          <cell r="A16657">
            <v>73181005</v>
          </cell>
          <cell r="B16657" t="str">
            <v>Servicios de troquelado</v>
          </cell>
        </row>
        <row r="16658">
          <cell r="A16658">
            <v>73181006</v>
          </cell>
          <cell r="B16658" t="str">
            <v>Servicios de estampación</v>
          </cell>
        </row>
        <row r="16659">
          <cell r="A16659">
            <v>73181007</v>
          </cell>
          <cell r="B16659" t="str">
            <v>Servicios de taladrado</v>
          </cell>
        </row>
        <row r="16660">
          <cell r="A16660">
            <v>73181008</v>
          </cell>
          <cell r="B16660" t="str">
            <v>Servicios de perforación</v>
          </cell>
        </row>
        <row r="16661">
          <cell r="A16661">
            <v>73181009</v>
          </cell>
          <cell r="B16661" t="str">
            <v>Servicios de tarraja con macho</v>
          </cell>
        </row>
        <row r="16662">
          <cell r="A16662">
            <v>73181010</v>
          </cell>
          <cell r="B16662" t="str">
            <v>Servicios de láser</v>
          </cell>
        </row>
        <row r="16663">
          <cell r="A16663">
            <v>73181011</v>
          </cell>
          <cell r="B16663" t="str">
            <v>Servicios de doblado</v>
          </cell>
        </row>
        <row r="16664">
          <cell r="A16664">
            <v>73181012</v>
          </cell>
          <cell r="B16664" t="str">
            <v>Servicios de fresado</v>
          </cell>
        </row>
        <row r="16665">
          <cell r="A16665">
            <v>73181013</v>
          </cell>
          <cell r="B16665" t="str">
            <v>Servicios de limpieza con chorro de perdigones</v>
          </cell>
        </row>
        <row r="16666">
          <cell r="A16666">
            <v>73181014</v>
          </cell>
          <cell r="B16666" t="str">
            <v>Servicios de pulida</v>
          </cell>
        </row>
        <row r="16667">
          <cell r="A16667">
            <v>73181015</v>
          </cell>
          <cell r="B16667" t="str">
            <v>Servicios de corte con llama de gas</v>
          </cell>
        </row>
        <row r="16668">
          <cell r="A16668">
            <v>73181016</v>
          </cell>
          <cell r="B16668" t="str">
            <v>Servicios de corte con láser</v>
          </cell>
        </row>
        <row r="16669">
          <cell r="A16669">
            <v>73181017</v>
          </cell>
          <cell r="B16669" t="str">
            <v>Servicios de corte con plasma</v>
          </cell>
        </row>
        <row r="16670">
          <cell r="A16670">
            <v>73181018</v>
          </cell>
          <cell r="B16670" t="str">
            <v>Servicios de corte con chorro de agua</v>
          </cell>
        </row>
        <row r="16671">
          <cell r="A16671">
            <v>73181019</v>
          </cell>
          <cell r="B16671" t="str">
            <v>Servicios de rodamiento</v>
          </cell>
        </row>
        <row r="16672">
          <cell r="A16672">
            <v>73181020</v>
          </cell>
          <cell r="B16672" t="str">
            <v>Servicios de tratamiento de superficies</v>
          </cell>
        </row>
        <row r="16673">
          <cell r="A16673">
            <v>73181021</v>
          </cell>
          <cell r="B16673" t="str">
            <v>Servicios de fresado</v>
          </cell>
        </row>
        <row r="16674">
          <cell r="A16674">
            <v>73181022</v>
          </cell>
          <cell r="B16674" t="str">
            <v>Servicios de  pulverización</v>
          </cell>
        </row>
        <row r="16675">
          <cell r="A16675">
            <v>73181023</v>
          </cell>
          <cell r="B16675" t="str">
            <v>Servicio de afilado</v>
          </cell>
        </row>
        <row r="16676">
          <cell r="A16676">
            <v>73181101</v>
          </cell>
          <cell r="B16676" t="str">
            <v>Servicios de electro revestimiento</v>
          </cell>
        </row>
        <row r="16677">
          <cell r="A16677">
            <v>73181102</v>
          </cell>
          <cell r="B16677" t="str">
            <v>Servicios de bañado</v>
          </cell>
        </row>
        <row r="16678">
          <cell r="A16678">
            <v>73181103</v>
          </cell>
          <cell r="B16678" t="str">
            <v>Servicios de envoltura</v>
          </cell>
        </row>
        <row r="16679">
          <cell r="A16679">
            <v>73181104</v>
          </cell>
          <cell r="B16679" t="str">
            <v>Servicios de pintura</v>
          </cell>
        </row>
        <row r="16680">
          <cell r="A16680">
            <v>73181105</v>
          </cell>
          <cell r="B16680" t="str">
            <v>Servicios de recubrimiento rollo a rollo (web)</v>
          </cell>
        </row>
        <row r="16681">
          <cell r="A16681">
            <v>73181106</v>
          </cell>
          <cell r="B16681" t="str">
            <v>Servicios de enchapado</v>
          </cell>
        </row>
        <row r="16682">
          <cell r="A16682">
            <v>73181201</v>
          </cell>
          <cell r="B16682" t="str">
            <v>Servicios de  formación por extracción</v>
          </cell>
        </row>
        <row r="16683">
          <cell r="A16683">
            <v>73181202</v>
          </cell>
          <cell r="B16683" t="str">
            <v>Servicios de hidro conformado</v>
          </cell>
        </row>
        <row r="16684">
          <cell r="A16684">
            <v>73181203</v>
          </cell>
          <cell r="B16684" t="str">
            <v>Servicios de conformación por enrollado</v>
          </cell>
        </row>
        <row r="16685">
          <cell r="A16685">
            <v>73181204</v>
          </cell>
          <cell r="B16685" t="str">
            <v>Servicios de conformación  por estirado</v>
          </cell>
        </row>
        <row r="16686">
          <cell r="A16686">
            <v>73181205</v>
          </cell>
          <cell r="B16686" t="str">
            <v>Servicios de conformación porgiro</v>
          </cell>
        </row>
        <row r="16687">
          <cell r="A16687">
            <v>73181206</v>
          </cell>
          <cell r="B16687" t="str">
            <v>Servicios de formación con explosivos</v>
          </cell>
        </row>
        <row r="16688">
          <cell r="A16688">
            <v>73181301</v>
          </cell>
          <cell r="B16688" t="str">
            <v>servicios de temple y enfriamiento</v>
          </cell>
        </row>
        <row r="16689">
          <cell r="A16689">
            <v>73181302</v>
          </cell>
          <cell r="B16689" t="str">
            <v>Servicios de recocido</v>
          </cell>
        </row>
        <row r="16690">
          <cell r="A16690">
            <v>73181303</v>
          </cell>
          <cell r="B16690" t="str">
            <v>Servicios de normalización</v>
          </cell>
        </row>
        <row r="16691">
          <cell r="A16691">
            <v>73181304</v>
          </cell>
          <cell r="B16691" t="str">
            <v>Servicios de  envejecimiento o estabilización</v>
          </cell>
        </row>
        <row r="16692">
          <cell r="A16692">
            <v>73181901</v>
          </cell>
          <cell r="B16692" t="str">
            <v>Servicios de soldadura de arco</v>
          </cell>
        </row>
        <row r="16693">
          <cell r="A16693">
            <v>73181902</v>
          </cell>
          <cell r="B16693" t="str">
            <v>Servicios de soldadura con gas metal inerte mig</v>
          </cell>
        </row>
        <row r="16694">
          <cell r="A16694">
            <v>73181903</v>
          </cell>
          <cell r="B16694" t="str">
            <v>Servicios de soldadura con tungsteno a gas inerte (tig)</v>
          </cell>
        </row>
        <row r="16695">
          <cell r="A16695">
            <v>73181904</v>
          </cell>
          <cell r="B16695" t="str">
            <v>Servicios de soldadura con láser</v>
          </cell>
        </row>
        <row r="16696">
          <cell r="A16696">
            <v>73181905</v>
          </cell>
          <cell r="B16696" t="str">
            <v>Servicios de soldadura  por puntos</v>
          </cell>
        </row>
        <row r="16697">
          <cell r="A16697">
            <v>73181906</v>
          </cell>
          <cell r="B16697" t="str">
            <v>Servicios de soldadura con proyección</v>
          </cell>
        </row>
        <row r="16698">
          <cell r="A16698">
            <v>73181907</v>
          </cell>
          <cell r="B16698" t="str">
            <v>Servicios de soldadura fuerte con latón</v>
          </cell>
        </row>
        <row r="16699">
          <cell r="A16699">
            <v>73181908</v>
          </cell>
          <cell r="B16699" t="str">
            <v>Servicios de soldadura</v>
          </cell>
        </row>
        <row r="16700">
          <cell r="A16700">
            <v>76101501</v>
          </cell>
          <cell r="B16700" t="str">
            <v>Servicios de higienización de lavabos</v>
          </cell>
        </row>
        <row r="16701">
          <cell r="A16701">
            <v>76101502</v>
          </cell>
          <cell r="B16701" t="str">
            <v>Servicios de limpieza de baños</v>
          </cell>
        </row>
        <row r="16702">
          <cell r="A16702">
            <v>76101503</v>
          </cell>
          <cell r="B16702" t="str">
            <v>Servicios de desinfección o desodorización</v>
          </cell>
        </row>
        <row r="16703">
          <cell r="A16703">
            <v>76101601</v>
          </cell>
          <cell r="B16703" t="str">
            <v>Servicios de descontaminación radiactiva</v>
          </cell>
        </row>
        <row r="16704">
          <cell r="A16704">
            <v>76101602</v>
          </cell>
          <cell r="B16704" t="str">
            <v>Encapsulación  o eliminación de asbesto</v>
          </cell>
        </row>
        <row r="16705">
          <cell r="A16705">
            <v>76111501</v>
          </cell>
          <cell r="B16705" t="str">
            <v>Servicios de limpieza de edificios</v>
          </cell>
        </row>
        <row r="16706">
          <cell r="A16706">
            <v>76111503</v>
          </cell>
          <cell r="B16706" t="str">
            <v>Servicios de mantenimiento del alumbrado</v>
          </cell>
        </row>
        <row r="16707">
          <cell r="A16707">
            <v>76111504</v>
          </cell>
          <cell r="B16707" t="str">
            <v>Servicios de limpieza de ventanas o persianas</v>
          </cell>
        </row>
        <row r="16708">
          <cell r="A16708">
            <v>76111505</v>
          </cell>
          <cell r="B16708" t="str">
            <v>Servicios de limpieza de telas y muebles</v>
          </cell>
        </row>
        <row r="16709">
          <cell r="A16709">
            <v>76111601</v>
          </cell>
          <cell r="B16709" t="str">
            <v>Servicios de limpieza de baldosas o cielorraso acústicos</v>
          </cell>
        </row>
        <row r="16710">
          <cell r="A16710">
            <v>76111602</v>
          </cell>
          <cell r="B16710" t="str">
            <v>Limpieza de conductos de aire</v>
          </cell>
        </row>
        <row r="16711">
          <cell r="A16711">
            <v>76111603</v>
          </cell>
          <cell r="B16711" t="str">
            <v>Limpieza de chimeneas</v>
          </cell>
        </row>
        <row r="16712">
          <cell r="A16712">
            <v>76111604</v>
          </cell>
          <cell r="B16712" t="str">
            <v>Encerado de pisos y limpieza de tapetes</v>
          </cell>
        </row>
        <row r="16713">
          <cell r="A16713">
            <v>76111605</v>
          </cell>
          <cell r="B16713" t="str">
            <v>Limpieza de campanas o ventiladores extractores de humo</v>
          </cell>
        </row>
        <row r="16714">
          <cell r="A16714">
            <v>76111701</v>
          </cell>
          <cell r="B16714" t="str">
            <v>Servicios de limpieza de terrenos en obras</v>
          </cell>
        </row>
        <row r="16715">
          <cell r="A16715">
            <v>76111702</v>
          </cell>
          <cell r="B16715" t="str">
            <v>Servicios de retirada de materiales de zonas en obras</v>
          </cell>
        </row>
        <row r="16716">
          <cell r="A16716">
            <v>76111801</v>
          </cell>
          <cell r="B16716" t="str">
            <v>Limpieza de carros o barcos</v>
          </cell>
        </row>
        <row r="16717">
          <cell r="A16717">
            <v>76121501</v>
          </cell>
          <cell r="B16717" t="str">
            <v>Recolección o destrucción o transformación o eliminación de basuras</v>
          </cell>
        </row>
        <row r="16718">
          <cell r="A16718">
            <v>76121502</v>
          </cell>
          <cell r="B16718" t="str">
            <v>Recolección o transformación o eliminación de residuos líquidos</v>
          </cell>
        </row>
        <row r="16719">
          <cell r="A16719">
            <v>76121503</v>
          </cell>
          <cell r="B16719" t="str">
            <v>Servicios de limpieza de calles</v>
          </cell>
        </row>
        <row r="16720">
          <cell r="A16720">
            <v>76121601</v>
          </cell>
          <cell r="B16720" t="str">
            <v>Vertedero de basuras</v>
          </cell>
        </row>
        <row r="16721">
          <cell r="A16721">
            <v>76121602</v>
          </cell>
          <cell r="B16721" t="str">
            <v>Operaciones de relleno sanitario</v>
          </cell>
        </row>
        <row r="16722">
          <cell r="A16722">
            <v>76121603</v>
          </cell>
          <cell r="B16722" t="str">
            <v>Eliminación de fangos cloacales</v>
          </cell>
        </row>
        <row r="16723">
          <cell r="A16723">
            <v>76121604</v>
          </cell>
          <cell r="B16723" t="str">
            <v>Servicios de disposición de animales muertos</v>
          </cell>
        </row>
        <row r="16724">
          <cell r="A16724">
            <v>76121701</v>
          </cell>
          <cell r="B16724" t="str">
            <v>Servicios de tratamiento de aguas negras</v>
          </cell>
        </row>
        <row r="16725">
          <cell r="A16725">
            <v>76121702</v>
          </cell>
          <cell r="B16725" t="str">
            <v>Servicios de tratamiento químico</v>
          </cell>
        </row>
        <row r="16726">
          <cell r="A16726">
            <v>76121801</v>
          </cell>
          <cell r="B16726" t="str">
            <v>Servicios de reciclaje</v>
          </cell>
        </row>
        <row r="16727">
          <cell r="A16727">
            <v>76121901</v>
          </cell>
          <cell r="B16727" t="str">
            <v>Eliminación de residuos médicos</v>
          </cell>
        </row>
        <row r="16728">
          <cell r="A16728">
            <v>76121902</v>
          </cell>
          <cell r="B16728" t="str">
            <v>Recolección o eliminación de residuos ácidos</v>
          </cell>
        </row>
        <row r="16729">
          <cell r="A16729">
            <v>76121903</v>
          </cell>
          <cell r="B16729" t="str">
            <v>Destoxificación química</v>
          </cell>
        </row>
        <row r="16730">
          <cell r="A16730">
            <v>76131501</v>
          </cell>
          <cell r="B16730" t="str">
            <v>tratamiento de desechos radioactivos</v>
          </cell>
        </row>
        <row r="16731">
          <cell r="A16731">
            <v>76131502</v>
          </cell>
          <cell r="B16731" t="str">
            <v>Servicios de confinación de material  radioactivo</v>
          </cell>
        </row>
        <row r="16732">
          <cell r="A16732">
            <v>76131601</v>
          </cell>
          <cell r="B16732" t="str">
            <v>Confinación de vertidos tóxicos</v>
          </cell>
        </row>
        <row r="16733">
          <cell r="A16733">
            <v>76131602</v>
          </cell>
          <cell r="B16733" t="str">
            <v>Limpieza total de derramamiento de sustancias tóxicas</v>
          </cell>
        </row>
        <row r="16734">
          <cell r="A16734">
            <v>76131701</v>
          </cell>
          <cell r="B16734" t="str">
            <v>Servicios de eliminación o control de residuos petroleros</v>
          </cell>
        </row>
        <row r="16735">
          <cell r="A16735">
            <v>76131702</v>
          </cell>
          <cell r="B16735" t="str">
            <v>Servicios de tratamiento de derramamiento  de petróleo</v>
          </cell>
        </row>
        <row r="16736">
          <cell r="A16736">
            <v>77101501</v>
          </cell>
          <cell r="B16736" t="str">
            <v>Evaluación riesgos o peligros</v>
          </cell>
        </row>
        <row r="16737">
          <cell r="A16737">
            <v>77101502</v>
          </cell>
          <cell r="B16737" t="str">
            <v>Estándares ambientales</v>
          </cell>
        </row>
        <row r="16738">
          <cell r="A16738">
            <v>77101503</v>
          </cell>
          <cell r="B16738" t="str">
            <v>Análisis de indicadores ambientales</v>
          </cell>
        </row>
        <row r="16739">
          <cell r="A16739">
            <v>77101504</v>
          </cell>
          <cell r="B16739" t="str">
            <v>Servicios de evaluación de impacto ambiental (eia)</v>
          </cell>
        </row>
        <row r="16740">
          <cell r="A16740">
            <v>77101505</v>
          </cell>
          <cell r="B16740" t="str">
            <v>Monitoreo ambiental</v>
          </cell>
        </row>
        <row r="16741">
          <cell r="A16741">
            <v>77101601</v>
          </cell>
          <cell r="B16741" t="str">
            <v>Planificación del desarrollo ambiental urbano</v>
          </cell>
        </row>
        <row r="16742">
          <cell r="A16742">
            <v>77101602</v>
          </cell>
          <cell r="B16742" t="str">
            <v>Planificación de la estrategia de conservación forestal</v>
          </cell>
        </row>
        <row r="16743">
          <cell r="A16743">
            <v>77101603</v>
          </cell>
          <cell r="B16743" t="str">
            <v>Planificación de la estrategia de conservación marítima</v>
          </cell>
        </row>
        <row r="16744">
          <cell r="A16744">
            <v>77101604</v>
          </cell>
          <cell r="B16744" t="str">
            <v>Servicios de planificación de la estrategia de gestión o conservación de recursos naturales</v>
          </cell>
        </row>
        <row r="16745">
          <cell r="A16745">
            <v>77101605</v>
          </cell>
          <cell r="B16745" t="str">
            <v>Creación o planificación de instituciones ambientales</v>
          </cell>
        </row>
        <row r="16746">
          <cell r="A16746">
            <v>77101701</v>
          </cell>
          <cell r="B16746" t="str">
            <v>Servicios de asesoramiento sobre ciencias ambientales</v>
          </cell>
        </row>
        <row r="16747">
          <cell r="A16747">
            <v>77101702</v>
          </cell>
          <cell r="B16747" t="str">
            <v>Servicios de asesoramiento sobre química ambiental</v>
          </cell>
        </row>
        <row r="16748">
          <cell r="A16748">
            <v>77101703</v>
          </cell>
          <cell r="B16748" t="str">
            <v>Servicios de asesoramiento sobre ética ambiental</v>
          </cell>
        </row>
        <row r="16749">
          <cell r="A16749">
            <v>77101704</v>
          </cell>
          <cell r="B16749" t="str">
            <v>Servicios de asesoramiento sobre tecnología ambiental</v>
          </cell>
        </row>
        <row r="16750">
          <cell r="A16750">
            <v>77101705</v>
          </cell>
          <cell r="B16750" t="str">
            <v>Servicios de  asesoramiento sobre economía ambiental</v>
          </cell>
        </row>
        <row r="16751">
          <cell r="A16751">
            <v>77101706</v>
          </cell>
          <cell r="B16751" t="str">
            <v>Servicios de asesoramiento sobre derecho ambiental</v>
          </cell>
        </row>
        <row r="16752">
          <cell r="A16752">
            <v>77101707</v>
          </cell>
          <cell r="B16752" t="str">
            <v>Servicios de asesoramiento sobre ecología</v>
          </cell>
        </row>
        <row r="16753">
          <cell r="A16753">
            <v>77101801</v>
          </cell>
          <cell r="B16753" t="str">
            <v>Sistemas de información ambiental</v>
          </cell>
        </row>
        <row r="16754">
          <cell r="A16754">
            <v>77101802</v>
          </cell>
          <cell r="B16754" t="str">
            <v>Servicios de auditoria ambiental de empresas</v>
          </cell>
        </row>
        <row r="16755">
          <cell r="A16755">
            <v>77101803</v>
          </cell>
          <cell r="B16755" t="str">
            <v>Servicios de auditoria ambiental sectoriales</v>
          </cell>
        </row>
        <row r="16756">
          <cell r="A16756">
            <v>77101804</v>
          </cell>
          <cell r="B16756" t="str">
            <v>Servicios de auditoria ambiental de actividades específicas</v>
          </cell>
        </row>
        <row r="16757">
          <cell r="A16757">
            <v>77101805</v>
          </cell>
          <cell r="B16757" t="str">
            <v>Servicios de control de la calidad ambiental</v>
          </cell>
        </row>
        <row r="16758">
          <cell r="A16758">
            <v>77101806</v>
          </cell>
          <cell r="B16758" t="str">
            <v>Servicios de control de seguridad ambiental</v>
          </cell>
        </row>
        <row r="16759">
          <cell r="A16759">
            <v>77101901</v>
          </cell>
          <cell r="B16759" t="str">
            <v>Estudio de emplazamientos industriales</v>
          </cell>
        </row>
        <row r="16760">
          <cell r="A16760">
            <v>77101902</v>
          </cell>
          <cell r="B16760" t="str">
            <v>Estudio de vertederos de desechos industriales</v>
          </cell>
        </row>
        <row r="16761">
          <cell r="A16761">
            <v>77101903</v>
          </cell>
          <cell r="B16761" t="str">
            <v>Estudio de emplazamientos de fábricas de gas</v>
          </cell>
        </row>
        <row r="16762">
          <cell r="A16762">
            <v>77101904</v>
          </cell>
          <cell r="B16762" t="str">
            <v>Estudios de emplazamientos  de vertederos de desechos de fábricas de productos químicos o refinerías de petróleo</v>
          </cell>
        </row>
        <row r="16763">
          <cell r="A16763">
            <v>77101905</v>
          </cell>
          <cell r="B16763" t="str">
            <v>Estudio de emplazamientos de plantas de tratamiento  de la madera</v>
          </cell>
        </row>
        <row r="16764">
          <cell r="A16764">
            <v>77101906</v>
          </cell>
          <cell r="B16764" t="str">
            <v>Estudios de emplazamientos de depósitos o terminales de petroleros</v>
          </cell>
        </row>
        <row r="16765">
          <cell r="A16765">
            <v>77101907</v>
          </cell>
          <cell r="B16765" t="str">
            <v>Estudio de emplazamientos de plantas de limpieza en seco</v>
          </cell>
        </row>
        <row r="16766">
          <cell r="A16766">
            <v>77101908</v>
          </cell>
          <cell r="B16766" t="str">
            <v>Estudio de emplazamientos de fundición</v>
          </cell>
        </row>
        <row r="16767">
          <cell r="A16767">
            <v>77101909</v>
          </cell>
          <cell r="B16767" t="str">
            <v>Estudios de emplazamientos de planta de reciclado</v>
          </cell>
        </row>
        <row r="16768">
          <cell r="A16768">
            <v>77101910</v>
          </cell>
          <cell r="B16768" t="str">
            <v>Estudio de plantas de transformación de alimentos en el sitio</v>
          </cell>
        </row>
        <row r="16769">
          <cell r="A16769">
            <v>77111501</v>
          </cell>
          <cell r="B16769" t="str">
            <v>Servicios de protección del paisaje</v>
          </cell>
        </row>
        <row r="16770">
          <cell r="A16770">
            <v>77111502</v>
          </cell>
          <cell r="B16770" t="str">
            <v>Servicios de protección de la capa de ozono</v>
          </cell>
        </row>
        <row r="16771">
          <cell r="A16771">
            <v>77111503</v>
          </cell>
          <cell r="B16771" t="str">
            <v>Servicios de protección contra la contaminación de alimentos o pienso</v>
          </cell>
        </row>
        <row r="16772">
          <cell r="A16772">
            <v>77111504</v>
          </cell>
          <cell r="B16772" t="str">
            <v>Servicios de protección recursos genéticos</v>
          </cell>
        </row>
        <row r="16773">
          <cell r="A16773">
            <v>77111505</v>
          </cell>
          <cell r="B16773" t="str">
            <v>Servicios de protección de sustancias tóxicas</v>
          </cell>
        </row>
        <row r="16774">
          <cell r="A16774">
            <v>77111506</v>
          </cell>
          <cell r="B16774" t="str">
            <v>Servicios de protección contra la radiación</v>
          </cell>
        </row>
        <row r="16775">
          <cell r="A16775">
            <v>77111507</v>
          </cell>
          <cell r="B16775" t="str">
            <v>Servicios de protección de las especies en peligro de extinción</v>
          </cell>
        </row>
        <row r="16776">
          <cell r="A16776">
            <v>77111508</v>
          </cell>
          <cell r="B16776" t="str">
            <v>Servicios de protección contra riesgos o peligros naturales</v>
          </cell>
        </row>
        <row r="16777">
          <cell r="A16777">
            <v>77111601</v>
          </cell>
          <cell r="B16777" t="str">
            <v>Rehabilitación en emplazamientos industriales</v>
          </cell>
        </row>
        <row r="16778">
          <cell r="A16778">
            <v>77111602</v>
          </cell>
          <cell r="B16778" t="str">
            <v>Servicios de descontaminación ambiental</v>
          </cell>
        </row>
        <row r="16779">
          <cell r="A16779">
            <v>77111603</v>
          </cell>
          <cell r="B16779" t="str">
            <v>Servicios de recuperación de tierras</v>
          </cell>
        </row>
        <row r="16780">
          <cell r="A16780">
            <v>77121501</v>
          </cell>
          <cell r="B16780" t="str">
            <v>Gestión de la calidad del aire</v>
          </cell>
        </row>
        <row r="16781">
          <cell r="A16781">
            <v>77121502</v>
          </cell>
          <cell r="B16781" t="str">
            <v>Servicios transfronterizos de gestión o control de la contaminación del aire</v>
          </cell>
        </row>
        <row r="16782">
          <cell r="A16782">
            <v>77121503</v>
          </cell>
          <cell r="B16782" t="str">
            <v>Servicios de protección contra la contaminación del aire</v>
          </cell>
        </row>
        <row r="16783">
          <cell r="A16783">
            <v>77121504</v>
          </cell>
          <cell r="B16783" t="str">
            <v>Servicios de monitoreo o medición de la contaminación del aire</v>
          </cell>
        </row>
        <row r="16784">
          <cell r="A16784">
            <v>77121505</v>
          </cell>
          <cell r="B16784" t="str">
            <v>Servicios de detección de gases tóxicos</v>
          </cell>
        </row>
        <row r="16785">
          <cell r="A16785">
            <v>77121506</v>
          </cell>
          <cell r="B16785" t="str">
            <v>Control del metano</v>
          </cell>
        </row>
        <row r="16786">
          <cell r="A16786">
            <v>77121507</v>
          </cell>
          <cell r="B16786" t="str">
            <v>Servicios de monitoreo del dióxido de carbono</v>
          </cell>
        </row>
        <row r="16787">
          <cell r="A16787">
            <v>77121508</v>
          </cell>
          <cell r="B16787" t="str">
            <v>Monitoreo de partículas en el aire</v>
          </cell>
        </row>
        <row r="16788">
          <cell r="A16788">
            <v>77121509</v>
          </cell>
          <cell r="B16788" t="str">
            <v>Servicios de monitoreo de la reducción de la capa de ozono</v>
          </cell>
        </row>
        <row r="16789">
          <cell r="A16789">
            <v>77121601</v>
          </cell>
          <cell r="B16789" t="str">
            <v>Servicios de protección contra la contaminación del suelo</v>
          </cell>
        </row>
        <row r="16790">
          <cell r="A16790">
            <v>77121602</v>
          </cell>
          <cell r="B16790" t="str">
            <v>Servicios de eliminación de suelos contaminados</v>
          </cell>
        </row>
        <row r="16791">
          <cell r="A16791">
            <v>77121603</v>
          </cell>
          <cell r="B16791" t="str">
            <v>Tratamiento o rehabilitación de suelos contaminados</v>
          </cell>
        </row>
        <row r="16792">
          <cell r="A16792">
            <v>77121604</v>
          </cell>
          <cell r="B16792" t="str">
            <v>Servicios de asesorías sobre la contaminación del suelo</v>
          </cell>
        </row>
        <row r="16793">
          <cell r="A16793">
            <v>77121605</v>
          </cell>
          <cell r="B16793" t="str">
            <v>Cartografía de la contaminación del suelo</v>
          </cell>
        </row>
        <row r="16794">
          <cell r="A16794">
            <v>77121606</v>
          </cell>
          <cell r="B16794" t="str">
            <v>Medición o monitoreo de la contaminación del suelo</v>
          </cell>
        </row>
        <row r="16795">
          <cell r="A16795">
            <v>77121607</v>
          </cell>
          <cell r="B16795" t="str">
            <v>Evaluación de la contaminación por fertilizantes orgánicos</v>
          </cell>
        </row>
        <row r="16796">
          <cell r="A16796">
            <v>77121608</v>
          </cell>
          <cell r="B16796" t="str">
            <v>Evaluación de la contaminación por pesticidas</v>
          </cell>
        </row>
        <row r="16797">
          <cell r="A16797">
            <v>77121609</v>
          </cell>
          <cell r="B16797" t="str">
            <v>Evaluación de la contaminación por nitratos</v>
          </cell>
        </row>
        <row r="16798">
          <cell r="A16798">
            <v>77121610</v>
          </cell>
          <cell r="B16798" t="str">
            <v>Evaluación de la contaminación por fosfatos</v>
          </cell>
        </row>
        <row r="16799">
          <cell r="A16799">
            <v>77121701</v>
          </cell>
          <cell r="B16799" t="str">
            <v>Servicio de monitoreo o control de la contaminación de las aguas de superficie</v>
          </cell>
        </row>
        <row r="16800">
          <cell r="A16800">
            <v>77121702</v>
          </cell>
          <cell r="B16800" t="str">
            <v>Servicios de rehabilitación de las aguas de superficie</v>
          </cell>
        </row>
        <row r="16801">
          <cell r="A16801">
            <v>77121703</v>
          </cell>
          <cell r="B16801" t="str">
            <v>Servicios de protección contra la polución de las aguas de superficie</v>
          </cell>
        </row>
        <row r="16802">
          <cell r="A16802">
            <v>77121704</v>
          </cell>
          <cell r="B16802" t="str">
            <v>Servicios de tratamiento de las aguas de superficie</v>
          </cell>
        </row>
        <row r="16803">
          <cell r="A16803">
            <v>77121705</v>
          </cell>
          <cell r="B16803" t="str">
            <v>Servicios de drenaje de la contaminación de las aguas de superficie</v>
          </cell>
        </row>
        <row r="16804">
          <cell r="A16804">
            <v>77121706</v>
          </cell>
          <cell r="B16804" t="str">
            <v>Servicios transfronterizos de gestión o control de la contaminación de las agua</v>
          </cell>
        </row>
        <row r="16805">
          <cell r="A16805">
            <v>77121707</v>
          </cell>
          <cell r="B16805" t="str">
            <v>Servicios de monitoreo o control de la contaminación de las aguas subterráneas</v>
          </cell>
        </row>
        <row r="16806">
          <cell r="A16806">
            <v>77121708</v>
          </cell>
          <cell r="B16806" t="str">
            <v>Servicios de drenaje de la contaminación de las aguas subterráneas</v>
          </cell>
        </row>
        <row r="16807">
          <cell r="A16807">
            <v>77121709</v>
          </cell>
          <cell r="B16807" t="str">
            <v>Tratamiento o rehabilitación de la contaminación de las aguas subterráneas</v>
          </cell>
        </row>
        <row r="16808">
          <cell r="A16808">
            <v>77131501</v>
          </cell>
          <cell r="B16808" t="str">
            <v>Servicios de monitoreo del derrame de petróleo</v>
          </cell>
        </row>
        <row r="16809">
          <cell r="A16809">
            <v>77131502</v>
          </cell>
          <cell r="B16809" t="str">
            <v>Servicios de control del derrame de petróleo</v>
          </cell>
        </row>
        <row r="16810">
          <cell r="A16810">
            <v>77131503</v>
          </cell>
          <cell r="B16810" t="str">
            <v>Servicios de rehabilitación por el derrame de petróleo</v>
          </cell>
        </row>
        <row r="16811">
          <cell r="A16811">
            <v>77131601</v>
          </cell>
          <cell r="B16811" t="str">
            <v>Servicios de control del ruido</v>
          </cell>
        </row>
        <row r="16812">
          <cell r="A16812">
            <v>77131602</v>
          </cell>
          <cell r="B16812" t="str">
            <v>Servicios de protección contra la contaminación acústica</v>
          </cell>
        </row>
        <row r="16813">
          <cell r="A16813">
            <v>77131603</v>
          </cell>
          <cell r="B16813" t="str">
            <v>Servicios de monitoreo de la contaminación acústica</v>
          </cell>
        </row>
        <row r="16814">
          <cell r="A16814">
            <v>77131604</v>
          </cell>
          <cell r="B16814" t="str">
            <v>Servicios de asesoría sobre la contaminación acústica</v>
          </cell>
        </row>
        <row r="16815">
          <cell r="A16815">
            <v>77131701</v>
          </cell>
          <cell r="B16815" t="str">
            <v>Servicios de monitoreo de sustancias tóxicas</v>
          </cell>
        </row>
        <row r="16816">
          <cell r="A16816">
            <v>77131702</v>
          </cell>
          <cell r="B16816" t="str">
            <v>Servicios de rehabilitación por sustancias tóxicas</v>
          </cell>
        </row>
        <row r="16817">
          <cell r="A16817">
            <v>78101501</v>
          </cell>
          <cell r="B16817" t="str">
            <v>Transporte nacional aéreo de carga</v>
          </cell>
        </row>
        <row r="16818">
          <cell r="A16818">
            <v>78101502</v>
          </cell>
          <cell r="B16818" t="str">
            <v>Transporte internacional aéreo de carga</v>
          </cell>
        </row>
        <row r="16819">
          <cell r="A16819">
            <v>78101503</v>
          </cell>
          <cell r="B16819" t="str">
            <v>Transporte aéreo blindado</v>
          </cell>
        </row>
        <row r="16820">
          <cell r="A16820">
            <v>78101601</v>
          </cell>
          <cell r="B16820" t="str">
            <v>Servicios de transporte en furgones</v>
          </cell>
        </row>
        <row r="16821">
          <cell r="A16821">
            <v>78101602</v>
          </cell>
          <cell r="B16821" t="str">
            <v>Servicios de transporte ferroviario de carga a granel</v>
          </cell>
        </row>
        <row r="16822">
          <cell r="A16822">
            <v>78101603</v>
          </cell>
          <cell r="B16822" t="str">
            <v>Transporte de ganado por ferrocarril</v>
          </cell>
        </row>
        <row r="16823">
          <cell r="A16823">
            <v>78101604</v>
          </cell>
          <cell r="B16823" t="str">
            <v>Vehículos de servicios de transporte</v>
          </cell>
        </row>
        <row r="16824">
          <cell r="A16824">
            <v>78101701</v>
          </cell>
          <cell r="B16824" t="str">
            <v>Servicios de transporte nacional por buque</v>
          </cell>
        </row>
        <row r="16825">
          <cell r="A16825">
            <v>78101702</v>
          </cell>
          <cell r="B16825" t="str">
            <v>Servicios de transporte internacional por buque</v>
          </cell>
        </row>
        <row r="16826">
          <cell r="A16826">
            <v>78101703</v>
          </cell>
          <cell r="B16826" t="str">
            <v>Servicios de transporte nacional por barcazas</v>
          </cell>
        </row>
        <row r="16827">
          <cell r="A16827">
            <v>78101704</v>
          </cell>
          <cell r="B16827" t="str">
            <v>Servicios de transporte internacional por barcazas</v>
          </cell>
        </row>
        <row r="16828">
          <cell r="A16828">
            <v>78101705</v>
          </cell>
          <cell r="B16828" t="str">
            <v>Transporte marítimo blindado</v>
          </cell>
        </row>
        <row r="16829">
          <cell r="A16829">
            <v>78101801</v>
          </cell>
          <cell r="B16829" t="str">
            <v>Servicios de transporte de carga por carretera (en camión) en área local</v>
          </cell>
        </row>
        <row r="16830">
          <cell r="A16830">
            <v>78101802</v>
          </cell>
          <cell r="B16830" t="str">
            <v>Servicios transporte de carga por carretera (en camión) a nivel regional y nacional</v>
          </cell>
        </row>
        <row r="16831">
          <cell r="A16831">
            <v>78101803</v>
          </cell>
          <cell r="B16831" t="str">
            <v>Servicios de transporte de vehículos</v>
          </cell>
        </row>
        <row r="16832">
          <cell r="A16832">
            <v>78101804</v>
          </cell>
          <cell r="B16832" t="str">
            <v>Servicios de reubicación</v>
          </cell>
        </row>
        <row r="16833">
          <cell r="A16833">
            <v>78101901</v>
          </cell>
          <cell r="B16833" t="str">
            <v>Transporte aéreo a marítimo</v>
          </cell>
        </row>
        <row r="16834">
          <cell r="A16834">
            <v>78101902</v>
          </cell>
          <cell r="B16834" t="str">
            <v>Transporte marítimo a ferroviario</v>
          </cell>
        </row>
        <row r="16835">
          <cell r="A16835">
            <v>78101903</v>
          </cell>
          <cell r="B16835" t="str">
            <v>Transporte marino a carretera (por camión)</v>
          </cell>
        </row>
        <row r="16836">
          <cell r="A16836">
            <v>78101904</v>
          </cell>
          <cell r="B16836" t="str">
            <v>Transporte aéreo a carretera (por camión)</v>
          </cell>
        </row>
        <row r="16837">
          <cell r="A16837">
            <v>78101905</v>
          </cell>
          <cell r="B16837" t="str">
            <v>Transporte por vagones de ferrocarril</v>
          </cell>
        </row>
        <row r="16838">
          <cell r="A16838">
            <v>78102001</v>
          </cell>
          <cell r="B16838" t="str">
            <v>Servicios de lanzamiento de satélites</v>
          </cell>
        </row>
        <row r="16839">
          <cell r="A16839">
            <v>78102002</v>
          </cell>
          <cell r="B16839" t="str">
            <v>Servicios de carga explosiva experimental</v>
          </cell>
        </row>
        <row r="16840">
          <cell r="A16840">
            <v>78102101</v>
          </cell>
          <cell r="B16840" t="str">
            <v>Transporte de productos derivados del petróleo</v>
          </cell>
        </row>
        <row r="16841">
          <cell r="A16841">
            <v>78102102</v>
          </cell>
          <cell r="B16841" t="str">
            <v>Transporte de agua</v>
          </cell>
        </row>
        <row r="16842">
          <cell r="A16842">
            <v>78102201</v>
          </cell>
          <cell r="B16842" t="str">
            <v>Servicios de entrega postal nacional</v>
          </cell>
        </row>
        <row r="16843">
          <cell r="A16843">
            <v>78102202</v>
          </cell>
          <cell r="B16843" t="str">
            <v>Servicios de apartado postal</v>
          </cell>
        </row>
        <row r="16844">
          <cell r="A16844">
            <v>78102203</v>
          </cell>
          <cell r="B16844" t="str">
            <v>Servicios de envío, recogida o entrega de correo</v>
          </cell>
        </row>
        <row r="16845">
          <cell r="A16845">
            <v>78102204</v>
          </cell>
          <cell r="B16845" t="str">
            <v>Servicios de entrega a nivel mundial de cartas o paquetes pequeños</v>
          </cell>
        </row>
        <row r="16846">
          <cell r="A16846">
            <v>78102205</v>
          </cell>
          <cell r="B16846" t="str">
            <v>Servicios de entrega local de cartas o paquetes pequeños</v>
          </cell>
        </row>
        <row r="16847">
          <cell r="A16847">
            <v>78102206</v>
          </cell>
          <cell r="B16847" t="str">
            <v>Servicios de mensajería en bicicleta o motocicleta</v>
          </cell>
        </row>
        <row r="16848">
          <cell r="A16848">
            <v>78111501</v>
          </cell>
          <cell r="B16848" t="str">
            <v>Servicios de helicópteros</v>
          </cell>
        </row>
        <row r="16849">
          <cell r="A16849">
            <v>78111502</v>
          </cell>
          <cell r="B16849" t="str">
            <v>Viajes en aviones comerciales</v>
          </cell>
        </row>
        <row r="16850">
          <cell r="A16850">
            <v>78111503</v>
          </cell>
          <cell r="B16850" t="str">
            <v>Viajes en aviones fletados</v>
          </cell>
        </row>
        <row r="16851">
          <cell r="A16851">
            <v>78111601</v>
          </cell>
          <cell r="B16851" t="str">
            <v>Servicios de transporte en vehículos de tren ligero lrv</v>
          </cell>
        </row>
        <row r="16852">
          <cell r="A16852">
            <v>78111602</v>
          </cell>
          <cell r="B16852" t="str">
            <v>Transporte en metro</v>
          </cell>
        </row>
        <row r="16853">
          <cell r="A16853">
            <v>78111603</v>
          </cell>
          <cell r="B16853" t="str">
            <v>Servicios ferroviarios continentales o intercontinentales</v>
          </cell>
        </row>
        <row r="16854">
          <cell r="A16854">
            <v>78111701</v>
          </cell>
          <cell r="B16854" t="str">
            <v>Taxis acuáticos</v>
          </cell>
        </row>
        <row r="16855">
          <cell r="A16855">
            <v>78111702</v>
          </cell>
          <cell r="B16855" t="str">
            <v>Cruceros nocturnos</v>
          </cell>
        </row>
        <row r="16856">
          <cell r="A16856">
            <v>78111703</v>
          </cell>
          <cell r="B16856" t="str">
            <v>Excursiones de recorrido turístico en barco</v>
          </cell>
        </row>
        <row r="16857">
          <cell r="A16857">
            <v>78111802</v>
          </cell>
          <cell r="B16857" t="str">
            <v>Servicios de buses con horarios programados</v>
          </cell>
        </row>
        <row r="16858">
          <cell r="A16858">
            <v>78111803</v>
          </cell>
          <cell r="B16858" t="str">
            <v>Servicios de buses contratados</v>
          </cell>
        </row>
        <row r="16859">
          <cell r="A16859">
            <v>78111804</v>
          </cell>
          <cell r="B16859" t="str">
            <v>Servicios de taxi</v>
          </cell>
        </row>
        <row r="16860">
          <cell r="A16860">
            <v>78111807</v>
          </cell>
          <cell r="B16860" t="str">
            <v>Tarifas del parqueadero</v>
          </cell>
        </row>
        <row r="16861">
          <cell r="A16861">
            <v>78111808</v>
          </cell>
          <cell r="B16861" t="str">
            <v>Alquiler de vehículos</v>
          </cell>
        </row>
        <row r="16862">
          <cell r="A16862">
            <v>78111809</v>
          </cell>
          <cell r="B16862" t="str">
            <v>Leasing de vehículos sedán, cupé o camioneta</v>
          </cell>
        </row>
        <row r="16863">
          <cell r="A16863">
            <v>78111901</v>
          </cell>
          <cell r="B16863" t="str">
            <v>Misiones experimentales o educativas</v>
          </cell>
        </row>
        <row r="16864">
          <cell r="A16864">
            <v>78121501</v>
          </cell>
          <cell r="B16864" t="str">
            <v>Contenedorización de mercancías</v>
          </cell>
        </row>
        <row r="16865">
          <cell r="A16865">
            <v>78121502</v>
          </cell>
          <cell r="B16865" t="str">
            <v>Servicios de embalaje</v>
          </cell>
        </row>
        <row r="16866">
          <cell r="A16866">
            <v>78121601</v>
          </cell>
          <cell r="B16866" t="str">
            <v>Carga y descarga de mercancías</v>
          </cell>
        </row>
        <row r="16867">
          <cell r="A16867">
            <v>78121602</v>
          </cell>
          <cell r="B16867" t="str">
            <v>Servicios de pesaje</v>
          </cell>
        </row>
        <row r="16868">
          <cell r="A16868">
            <v>78131501</v>
          </cell>
          <cell r="B16868" t="str">
            <v>Servicios de silos</v>
          </cell>
        </row>
        <row r="16869">
          <cell r="A16869">
            <v>78131502</v>
          </cell>
          <cell r="B16869" t="str">
            <v>Servicios de elevadores de granos</v>
          </cell>
        </row>
        <row r="16870">
          <cell r="A16870">
            <v>78131601</v>
          </cell>
          <cell r="B16870" t="str">
            <v>Almacenaje de mercancías embandejadas</v>
          </cell>
        </row>
        <row r="16871">
          <cell r="A16871">
            <v>78131602</v>
          </cell>
          <cell r="B16871" t="str">
            <v>Almacenaje de archivos de carpetas</v>
          </cell>
        </row>
        <row r="16872">
          <cell r="A16872">
            <v>78131603</v>
          </cell>
          <cell r="B16872" t="str">
            <v>Almacenaje de muebles</v>
          </cell>
        </row>
        <row r="16873">
          <cell r="A16873">
            <v>78131701</v>
          </cell>
          <cell r="B16873" t="str">
            <v>Servicios de almacenaje en tierra</v>
          </cell>
        </row>
        <row r="16874">
          <cell r="A16874">
            <v>78131801</v>
          </cell>
          <cell r="B16874" t="str">
            <v>Almacenaje refrigerado</v>
          </cell>
        </row>
        <row r="16875">
          <cell r="A16875">
            <v>78131802</v>
          </cell>
          <cell r="B16875" t="str">
            <v>Servicios de almacenaje bajo control aduanero</v>
          </cell>
        </row>
        <row r="16876">
          <cell r="A16876">
            <v>78131803</v>
          </cell>
          <cell r="B16876" t="str">
            <v>Almacenaje de materiales peligrosos</v>
          </cell>
        </row>
        <row r="16877">
          <cell r="A16877">
            <v>78131804</v>
          </cell>
          <cell r="B16877" t="str">
            <v>Servicios de almacenaje de documentos</v>
          </cell>
        </row>
        <row r="16878">
          <cell r="A16878">
            <v>78131805</v>
          </cell>
          <cell r="B16878" t="str">
            <v>Almacenaje de cajeros automáticos</v>
          </cell>
        </row>
        <row r="16879">
          <cell r="A16879">
            <v>78141501</v>
          </cell>
          <cell r="B16879" t="str">
            <v>Servicios de expedidores de fletes</v>
          </cell>
        </row>
        <row r="16880">
          <cell r="A16880">
            <v>78141502</v>
          </cell>
          <cell r="B16880" t="str">
            <v>Servicios de agentes aduaneros</v>
          </cell>
        </row>
        <row r="16881">
          <cell r="A16881">
            <v>78141503</v>
          </cell>
          <cell r="B16881" t="str">
            <v>Servicios de comparación de tarifas de la industria del transporte o de auditoria de fletes</v>
          </cell>
        </row>
        <row r="16882">
          <cell r="A16882">
            <v>78141601</v>
          </cell>
          <cell r="B16882" t="str">
            <v>Servicios de inspección del empaquetado</v>
          </cell>
        </row>
        <row r="16883">
          <cell r="A16883">
            <v>78141602</v>
          </cell>
          <cell r="B16883" t="str">
            <v>Servicios de vigilancia de la carga</v>
          </cell>
        </row>
        <row r="16884">
          <cell r="A16884">
            <v>78141603</v>
          </cell>
          <cell r="B16884" t="str">
            <v>Inspecciones de control de plagas</v>
          </cell>
        </row>
        <row r="16885">
          <cell r="A16885">
            <v>78141701</v>
          </cell>
          <cell r="B16885" t="str">
            <v>Servicios de remolcadores</v>
          </cell>
        </row>
        <row r="16886">
          <cell r="A16886">
            <v>78141702</v>
          </cell>
          <cell r="B16886" t="str">
            <v>Operaciones de puentes levadizos</v>
          </cell>
        </row>
        <row r="16887">
          <cell r="A16887">
            <v>78141703</v>
          </cell>
          <cell r="B16887" t="str">
            <v>Servicios de comunicaciones o de navegación marítima</v>
          </cell>
        </row>
        <row r="16888">
          <cell r="A16888">
            <v>78141801</v>
          </cell>
          <cell r="B16888" t="str">
            <v>Servicios de estiba</v>
          </cell>
        </row>
        <row r="16889">
          <cell r="A16889">
            <v>78141802</v>
          </cell>
          <cell r="B16889" t="str">
            <v>Servicios de atraque de buques</v>
          </cell>
        </row>
        <row r="16890">
          <cell r="A16890">
            <v>78141803</v>
          </cell>
          <cell r="B16890" t="str">
            <v>Servicios de tiendas en buques</v>
          </cell>
        </row>
        <row r="16891">
          <cell r="A16891">
            <v>78180101</v>
          </cell>
          <cell r="B16891" t="str">
            <v>Servicios de reparar o pintar la carrocería de vehículos</v>
          </cell>
        </row>
        <row r="16892">
          <cell r="A16892">
            <v>78180102</v>
          </cell>
          <cell r="B16892" t="str">
            <v>Reparación de Transmisión</v>
          </cell>
        </row>
        <row r="16893">
          <cell r="A16893">
            <v>78180103</v>
          </cell>
          <cell r="B16893" t="str">
            <v>Servicios de cambio de fluidos de aceite o de la transmisión</v>
          </cell>
        </row>
        <row r="16894">
          <cell r="A16894">
            <v>78180104</v>
          </cell>
          <cell r="B16894" t="str">
            <v>Reparación del tren de aterrizaje</v>
          </cell>
        </row>
        <row r="16895">
          <cell r="A16895">
            <v>78180201</v>
          </cell>
          <cell r="B16895" t="str">
            <v>Servicios de pulsación de panel</v>
          </cell>
        </row>
        <row r="16896">
          <cell r="A16896">
            <v>78180301</v>
          </cell>
          <cell r="B16896" t="str">
            <v>Aprovisionar vehículos de combustible</v>
          </cell>
        </row>
        <row r="16897">
          <cell r="A16897">
            <v>78180302</v>
          </cell>
          <cell r="B16897" t="str">
            <v>Almacenamientos de transportes</v>
          </cell>
        </row>
        <row r="16898">
          <cell r="A16898">
            <v>78180303</v>
          </cell>
          <cell r="B16898" t="str">
            <v>Servicios de aparcacoches</v>
          </cell>
        </row>
        <row r="16899">
          <cell r="A16899">
            <v>80101501</v>
          </cell>
          <cell r="B16899" t="str">
            <v>Servicios de asesoramiento sobre la puesta en marcha de empresas nuevas</v>
          </cell>
        </row>
        <row r="16900">
          <cell r="A16900">
            <v>80101502</v>
          </cell>
          <cell r="B16900" t="str">
            <v>Servicios de asesoramiento sobre fusiones de empresas</v>
          </cell>
        </row>
        <row r="16901">
          <cell r="A16901">
            <v>80101503</v>
          </cell>
          <cell r="B16901" t="str">
            <v>Servicios de asesoramiento sobre liquidaciones o ventas de empresas</v>
          </cell>
        </row>
        <row r="16902">
          <cell r="A16902">
            <v>80101504</v>
          </cell>
          <cell r="B16902" t="str">
            <v>Servicios de asesoramiento sobre planificación estratégica</v>
          </cell>
        </row>
        <row r="16903">
          <cell r="A16903">
            <v>80101505</v>
          </cell>
          <cell r="B16903" t="str">
            <v>Desarrollo de políticas u objetivos empresariales</v>
          </cell>
        </row>
        <row r="16904">
          <cell r="A16904">
            <v>80101506</v>
          </cell>
          <cell r="B16904" t="str">
            <v>Asesoramiento en estructuras organizacionales</v>
          </cell>
        </row>
        <row r="16905">
          <cell r="A16905">
            <v>80101507</v>
          </cell>
          <cell r="B16905" t="str">
            <v>Servicios de asesoramiento sobre tecnologías de la información</v>
          </cell>
        </row>
        <row r="16906">
          <cell r="A16906">
            <v>80101508</v>
          </cell>
          <cell r="B16906" t="str">
            <v>Servicios de asesoramiento sobre  inteligencia empresarial</v>
          </cell>
        </row>
        <row r="16907">
          <cell r="A16907">
            <v>80101601</v>
          </cell>
          <cell r="B16907" t="str">
            <v>Estudios de factibilidad o selección de ideas de proyectos</v>
          </cell>
        </row>
        <row r="16908">
          <cell r="A16908">
            <v>80101602</v>
          </cell>
          <cell r="B16908" t="str">
            <v>Estudios regionales o locales para proyectos</v>
          </cell>
        </row>
        <row r="16909">
          <cell r="A16909">
            <v>80101603</v>
          </cell>
          <cell r="B16909" t="str">
            <v>Evaluación económica o financiera de proyectos</v>
          </cell>
        </row>
        <row r="16910">
          <cell r="A16910">
            <v>80101604</v>
          </cell>
          <cell r="B16910" t="str">
            <v>Planificación o administración de proyectos</v>
          </cell>
        </row>
        <row r="16911">
          <cell r="A16911">
            <v>80101701</v>
          </cell>
          <cell r="B16911" t="str">
            <v>Servicios de gestión de fábricas</v>
          </cell>
        </row>
        <row r="16912">
          <cell r="A16912">
            <v>80101702</v>
          </cell>
          <cell r="B16912" t="str">
            <v>Estudios o implementación de productividad y eficacia</v>
          </cell>
        </row>
        <row r="16913">
          <cell r="A16913">
            <v>80101703</v>
          </cell>
          <cell r="B16913" t="str">
            <v>Servicios de estandarización de especificaciones</v>
          </cell>
        </row>
        <row r="16914">
          <cell r="A16914">
            <v>80101704</v>
          </cell>
          <cell r="B16914" t="str">
            <v>Análisis de cadenas de suministro o servicios de reingeniería</v>
          </cell>
        </row>
        <row r="16915">
          <cell r="A16915">
            <v>80101705</v>
          </cell>
          <cell r="B16915" t="str">
            <v>Servicios de cooperativas o consorcios</v>
          </cell>
        </row>
        <row r="16916">
          <cell r="A16916">
            <v>80101706</v>
          </cell>
          <cell r="B16916" t="str">
            <v>Servicios profesionales de adquisiciones</v>
          </cell>
        </row>
        <row r="16917">
          <cell r="A16917">
            <v>80101707</v>
          </cell>
          <cell r="B16917" t="str">
            <v>Servicios de cabildeo</v>
          </cell>
        </row>
        <row r="16918">
          <cell r="A16918">
            <v>80111501</v>
          </cell>
          <cell r="B16918" t="str">
            <v>Perfeccionamiento de la función de gestión</v>
          </cell>
        </row>
        <row r="16919">
          <cell r="A16919">
            <v>80111502</v>
          </cell>
          <cell r="B16919" t="str">
            <v>Planificación de compensaciones o beneficios</v>
          </cell>
        </row>
        <row r="16920">
          <cell r="A16920">
            <v>80111503</v>
          </cell>
          <cell r="B16920" t="str">
            <v>Relaciones laborales o con los sindicatos</v>
          </cell>
        </row>
        <row r="16921">
          <cell r="A16921">
            <v>80111504</v>
          </cell>
          <cell r="B16921" t="str">
            <v>Formación o desarrollo laboral</v>
          </cell>
        </row>
        <row r="16922">
          <cell r="A16922">
            <v>80111505</v>
          </cell>
          <cell r="B16922" t="str">
            <v>Auditorías de productividad de los recursos humanos</v>
          </cell>
        </row>
        <row r="16923">
          <cell r="A16923">
            <v>80111506</v>
          </cell>
          <cell r="B16923" t="str">
            <v>Reubicación de personal</v>
          </cell>
        </row>
        <row r="16924">
          <cell r="A16924">
            <v>80111507</v>
          </cell>
          <cell r="B16924" t="str">
            <v>Servicios de empleo en otros organismos</v>
          </cell>
        </row>
        <row r="16925">
          <cell r="A16925">
            <v>80111508</v>
          </cell>
          <cell r="B16925" t="str">
            <v>Programas de reconocimiento de servicios</v>
          </cell>
        </row>
        <row r="16926">
          <cell r="A16926">
            <v>80111601</v>
          </cell>
          <cell r="B16926" t="str">
            <v>Asistencia de oficina o administrativa temporal</v>
          </cell>
        </row>
        <row r="16927">
          <cell r="A16927">
            <v>80111602</v>
          </cell>
          <cell r="B16927" t="str">
            <v>Necesidades de personal de mercadeo temporal</v>
          </cell>
        </row>
        <row r="16928">
          <cell r="A16928">
            <v>80111603</v>
          </cell>
          <cell r="B16928" t="str">
            <v>Necesidades de dotación de personal de producción temporal</v>
          </cell>
        </row>
        <row r="16929">
          <cell r="A16929">
            <v>80111604</v>
          </cell>
          <cell r="B16929" t="str">
            <v>Necesidades de dotación de personal técnico temporal</v>
          </cell>
        </row>
        <row r="16930">
          <cell r="A16930">
            <v>80111605</v>
          </cell>
          <cell r="B16930" t="str">
            <v>Necesidades de dotación de personal financiero temporal</v>
          </cell>
        </row>
        <row r="16931">
          <cell r="A16931">
            <v>80111606</v>
          </cell>
          <cell r="B16931" t="str">
            <v>Necesidades de dotación de personal medico temporal</v>
          </cell>
        </row>
        <row r="16932">
          <cell r="A16932">
            <v>80111607</v>
          </cell>
          <cell r="B16932" t="str">
            <v>Necesidades de dotación de personal jurídico temporal</v>
          </cell>
        </row>
        <row r="16933">
          <cell r="A16933">
            <v>80111608</v>
          </cell>
          <cell r="B16933" t="str">
            <v>Desarrolladores temporales de software de tecnologías de la información</v>
          </cell>
        </row>
        <row r="16934">
          <cell r="A16934">
            <v>80111609</v>
          </cell>
          <cell r="B16934" t="str">
            <v>Administradores temporales de bases de datos o de sistemas de tecnologías de la información</v>
          </cell>
        </row>
        <row r="16935">
          <cell r="A16935">
            <v>80111610</v>
          </cell>
          <cell r="B16935" t="str">
            <v>Especialistas en interconexión de tecnologías de la información temporales</v>
          </cell>
        </row>
        <row r="16936">
          <cell r="A16936">
            <v>80111611</v>
          </cell>
          <cell r="B16936" t="str">
            <v>Personal  temporal  de almacén</v>
          </cell>
        </row>
        <row r="16937">
          <cell r="A16937">
            <v>80111612</v>
          </cell>
          <cell r="B16937" t="str">
            <v>Conductores temporales</v>
          </cell>
        </row>
        <row r="16938">
          <cell r="A16938">
            <v>80111613</v>
          </cell>
          <cell r="B16938" t="str">
            <v>Trabajadores manuales temporales</v>
          </cell>
        </row>
        <row r="16939">
          <cell r="A16939">
            <v>80111614</v>
          </cell>
          <cell r="B16939" t="str">
            <v>Servicios temporales de ingeniería</v>
          </cell>
        </row>
        <row r="16940">
          <cell r="A16940">
            <v>80111615</v>
          </cell>
          <cell r="B16940" t="str">
            <v>Personal maquinista temporal</v>
          </cell>
        </row>
        <row r="16941">
          <cell r="A16941">
            <v>80111616</v>
          </cell>
          <cell r="B16941" t="str">
            <v>Personal temporal de servicio al cliente</v>
          </cell>
        </row>
        <row r="16942">
          <cell r="A16942">
            <v>80111617</v>
          </cell>
          <cell r="B16942" t="str">
            <v>Servicios temporales de arquitectura</v>
          </cell>
        </row>
        <row r="16943">
          <cell r="A16943">
            <v>80111618</v>
          </cell>
          <cell r="B16943" t="str">
            <v>Servicios temporales de construcción</v>
          </cell>
        </row>
        <row r="16944">
          <cell r="A16944">
            <v>80111619</v>
          </cell>
          <cell r="B16944" t="str">
            <v>Servicios creativos temporales</v>
          </cell>
        </row>
        <row r="16945">
          <cell r="A16945">
            <v>80111701</v>
          </cell>
          <cell r="B16945" t="str">
            <v>Servicios de contratación de personal</v>
          </cell>
        </row>
        <row r="16946">
          <cell r="A16946">
            <v>80111702</v>
          </cell>
          <cell r="B16946" t="str">
            <v>Servicios de comprobación de referencias o antecedentes</v>
          </cell>
        </row>
        <row r="16947">
          <cell r="A16947">
            <v>80111703</v>
          </cell>
          <cell r="B16947" t="str">
            <v>Servicios de preselección  de hojas de vida o currículum vitae</v>
          </cell>
        </row>
        <row r="16948">
          <cell r="A16948">
            <v>80111704</v>
          </cell>
          <cell r="B16948" t="str">
            <v>Necesidades de personal de mercadeo permanente</v>
          </cell>
        </row>
        <row r="16949">
          <cell r="A16949">
            <v>80111705</v>
          </cell>
          <cell r="B16949" t="str">
            <v>Personal maquinista permanente</v>
          </cell>
        </row>
        <row r="16950">
          <cell r="A16950">
            <v>80111706</v>
          </cell>
          <cell r="B16950" t="str">
            <v>Asistencia administrativa o de oficina permanente</v>
          </cell>
        </row>
        <row r="16951">
          <cell r="A16951">
            <v>80111707</v>
          </cell>
          <cell r="B16951" t="str">
            <v>Necesidades de dotación de personal técnico permanente</v>
          </cell>
        </row>
        <row r="16952">
          <cell r="A16952">
            <v>80111708</v>
          </cell>
          <cell r="B16952" t="str">
            <v>Necesidades de dotación personal  financiero permanente</v>
          </cell>
        </row>
        <row r="16953">
          <cell r="A16953">
            <v>80111709</v>
          </cell>
          <cell r="B16953" t="str">
            <v>Necesidades de personal médico permanente</v>
          </cell>
        </row>
        <row r="16954">
          <cell r="A16954">
            <v>80111710</v>
          </cell>
          <cell r="B16954" t="str">
            <v>Necesidades de dotación de personal jurídico permanente</v>
          </cell>
        </row>
        <row r="16955">
          <cell r="A16955">
            <v>80111711</v>
          </cell>
          <cell r="B16955" t="str">
            <v>Desarrolladores de software de tecnologías de la información permanentes</v>
          </cell>
        </row>
        <row r="16956">
          <cell r="A16956">
            <v>80111712</v>
          </cell>
          <cell r="B16956" t="str">
            <v>Especialistas en redes de tecnologías de la información permanentes</v>
          </cell>
        </row>
        <row r="16957">
          <cell r="A16957">
            <v>80111713</v>
          </cell>
          <cell r="B16957" t="str">
            <v>Administradores permanentes de bases de datos o de sistemas de tecnologías de la información</v>
          </cell>
        </row>
        <row r="16958">
          <cell r="A16958">
            <v>80111714</v>
          </cell>
          <cell r="B16958" t="str">
            <v>Conductores permanentes</v>
          </cell>
        </row>
        <row r="16959">
          <cell r="A16959">
            <v>80111715</v>
          </cell>
          <cell r="B16959" t="str">
            <v>Personal profesional permanente</v>
          </cell>
        </row>
        <row r="16960">
          <cell r="A16960">
            <v>80111716</v>
          </cell>
          <cell r="B16960" t="str">
            <v>Necesidades de dotación de personal de tecnologías de la información permanente</v>
          </cell>
        </row>
        <row r="16961">
          <cell r="A16961">
            <v>80111801</v>
          </cell>
          <cell r="B16961" t="str">
            <v>Contratistas de tecnología informática temporero</v>
          </cell>
        </row>
        <row r="16962">
          <cell r="A16962">
            <v>80121501</v>
          </cell>
          <cell r="B16962" t="str">
            <v>Servicios legales de justicia juvenil o de adolescentes</v>
          </cell>
        </row>
        <row r="16963">
          <cell r="A16963">
            <v>80121502</v>
          </cell>
          <cell r="B16963" t="str">
            <v>Servicios para procesos de apelación</v>
          </cell>
        </row>
        <row r="16964">
          <cell r="A16964">
            <v>80121503</v>
          </cell>
          <cell r="B16964" t="str">
            <v>Servicios para defensa o de derecho penal</v>
          </cell>
        </row>
        <row r="16965">
          <cell r="A16965">
            <v>80121601</v>
          </cell>
          <cell r="B16965" t="str">
            <v>Servicios legales sobre competencia o regulaciones gubernamentales</v>
          </cell>
        </row>
        <row r="16966">
          <cell r="A16966">
            <v>80121602</v>
          </cell>
          <cell r="B16966" t="str">
            <v>Servicios legales de quiebra</v>
          </cell>
        </row>
        <row r="16967">
          <cell r="A16967">
            <v>80121603</v>
          </cell>
          <cell r="B16967" t="str">
            <v>Derecho societario</v>
          </cell>
        </row>
        <row r="16968">
          <cell r="A16968">
            <v>80121604</v>
          </cell>
          <cell r="B16968" t="str">
            <v>Derecho de patentes, marcas o derechos de autor</v>
          </cell>
        </row>
        <row r="16969">
          <cell r="A16969">
            <v>80121605</v>
          </cell>
          <cell r="B16969" t="str">
            <v>Derecho sobre liquidación (de sociedades)</v>
          </cell>
        </row>
        <row r="16970">
          <cell r="A16970">
            <v>80121606</v>
          </cell>
          <cell r="B16970" t="str">
            <v>Derecho inmobiliario</v>
          </cell>
        </row>
        <row r="16971">
          <cell r="A16971">
            <v>80121607</v>
          </cell>
          <cell r="B16971" t="str">
            <v>Derecho tributario</v>
          </cell>
        </row>
        <row r="16972">
          <cell r="A16972">
            <v>80121608</v>
          </cell>
          <cell r="B16972" t="str">
            <v>Derecho de fusiones o adquisiciones</v>
          </cell>
        </row>
        <row r="16973">
          <cell r="A16973">
            <v>80121609</v>
          </cell>
          <cell r="B16973" t="str">
            <v>Servicios de investigación legal</v>
          </cell>
        </row>
        <row r="16974">
          <cell r="A16974">
            <v>80121610</v>
          </cell>
          <cell r="B16974" t="str">
            <v>Servicios legales de cobro de deudas o cartera.</v>
          </cell>
        </row>
        <row r="16975">
          <cell r="A16975">
            <v>80121611</v>
          </cell>
          <cell r="B16975" t="str">
            <v>Derecho de reclamación por tratamiento médico.</v>
          </cell>
        </row>
        <row r="16976">
          <cell r="A16976">
            <v>80121701</v>
          </cell>
          <cell r="B16976" t="str">
            <v>Servicios legales de malpraxis o negligencia profesional</v>
          </cell>
        </row>
        <row r="16977">
          <cell r="A16977">
            <v>80121702</v>
          </cell>
          <cell r="B16977" t="str">
            <v>Servicios legales sobre daños a personas</v>
          </cell>
        </row>
        <row r="16978">
          <cell r="A16978">
            <v>80121703</v>
          </cell>
          <cell r="B16978" t="str">
            <v>Servicios legales de sobre la  propiedad</v>
          </cell>
        </row>
        <row r="16979">
          <cell r="A16979">
            <v>80121704</v>
          </cell>
          <cell r="B16979" t="str">
            <v>Servicios legales sobre contratos</v>
          </cell>
        </row>
        <row r="16980">
          <cell r="A16980">
            <v>80121705</v>
          </cell>
          <cell r="B16980" t="str">
            <v>Servicios legales sobre beneficios de los empleados</v>
          </cell>
        </row>
        <row r="16981">
          <cell r="A16981">
            <v>80121706</v>
          </cell>
          <cell r="B16981" t="str">
            <v>Servicios legales sobre derecho laboral</v>
          </cell>
        </row>
        <row r="16982">
          <cell r="A16982">
            <v>80121707</v>
          </cell>
          <cell r="B16982" t="str">
            <v>Servicios legales para disputas laborales</v>
          </cell>
        </row>
        <row r="16983">
          <cell r="A16983">
            <v>80121801</v>
          </cell>
          <cell r="B16983" t="str">
            <v>Servicios sobre derecho de divorcio</v>
          </cell>
        </row>
        <row r="16984">
          <cell r="A16984">
            <v>80121802</v>
          </cell>
          <cell r="B16984" t="str">
            <v>Servicios legales para adopción</v>
          </cell>
        </row>
        <row r="16985">
          <cell r="A16985">
            <v>80121803</v>
          </cell>
          <cell r="B16985" t="str">
            <v>Derecho migratorio o de naturalización</v>
          </cell>
        </row>
        <row r="16986">
          <cell r="A16986">
            <v>80121804</v>
          </cell>
          <cell r="B16986" t="str">
            <v>Servicios legales para tutorías o de custodia</v>
          </cell>
        </row>
        <row r="16987">
          <cell r="A16987">
            <v>80131501</v>
          </cell>
          <cell r="B16987" t="str">
            <v>Arrendamiento de residencias</v>
          </cell>
        </row>
        <row r="16988">
          <cell r="A16988">
            <v>80131502</v>
          </cell>
          <cell r="B16988" t="str">
            <v>Arrendamiento de instalaciones comerciales o industriales</v>
          </cell>
        </row>
        <row r="16989">
          <cell r="A16989">
            <v>80131503</v>
          </cell>
          <cell r="B16989" t="str">
            <v>Arrendamientos de tierras</v>
          </cell>
        </row>
        <row r="16990">
          <cell r="A16990">
            <v>80131601</v>
          </cell>
          <cell r="B16990" t="str">
            <v>Corredores o agentes inmobiliarios</v>
          </cell>
        </row>
        <row r="16991">
          <cell r="A16991">
            <v>80131602</v>
          </cell>
          <cell r="B16991" t="str">
            <v>Subasta inmobiliaria</v>
          </cell>
        </row>
        <row r="16992">
          <cell r="A16992">
            <v>80131603</v>
          </cell>
          <cell r="B16992" t="str">
            <v>Venta de tierras residenciales</v>
          </cell>
        </row>
        <row r="16993">
          <cell r="A16993">
            <v>80131604</v>
          </cell>
          <cell r="B16993" t="str">
            <v>Venta de tierras comerciales o industriales</v>
          </cell>
        </row>
        <row r="16994">
          <cell r="A16994">
            <v>80131605</v>
          </cell>
          <cell r="B16994" t="str">
            <v>Venta de edificio comercial</v>
          </cell>
        </row>
        <row r="16995">
          <cell r="A16995">
            <v>80131701</v>
          </cell>
          <cell r="B16995" t="str">
            <v>Servicios para la restitución de títulos de propiedad</v>
          </cell>
        </row>
        <row r="16996">
          <cell r="A16996">
            <v>80131702</v>
          </cell>
          <cell r="B16996" t="str">
            <v>Servicios de estudio de títulos</v>
          </cell>
        </row>
        <row r="16997">
          <cell r="A16997">
            <v>80131703</v>
          </cell>
          <cell r="B16997" t="str">
            <v>Servicios de cuenta de depósito en garantía</v>
          </cell>
        </row>
        <row r="16998">
          <cell r="A16998">
            <v>80131801</v>
          </cell>
          <cell r="B16998" t="str">
            <v>Administración de propiedades</v>
          </cell>
        </row>
        <row r="16999">
          <cell r="A16999">
            <v>80131802</v>
          </cell>
          <cell r="B16999" t="str">
            <v>Servicios de avalúo de inmuebles</v>
          </cell>
        </row>
        <row r="17000">
          <cell r="A17000">
            <v>80131803</v>
          </cell>
          <cell r="B17000" t="str">
            <v>Servicios de listado de inmuebles</v>
          </cell>
        </row>
        <row r="17001">
          <cell r="A17001">
            <v>80141501</v>
          </cell>
          <cell r="B17001" t="str">
            <v>Análisis de mercados</v>
          </cell>
        </row>
        <row r="17002">
          <cell r="A17002">
            <v>80141502</v>
          </cell>
          <cell r="B17002" t="str">
            <v>Estadísticas comerciales de distribución o de servicios</v>
          </cell>
        </row>
        <row r="17003">
          <cell r="A17003">
            <v>80141503</v>
          </cell>
          <cell r="B17003" t="str">
            <v>Previsión de precios de las mercancías</v>
          </cell>
        </row>
        <row r="17004">
          <cell r="A17004">
            <v>80141504</v>
          </cell>
          <cell r="B17004" t="str">
            <v>Preparación de estudios de mercado de mercancías</v>
          </cell>
        </row>
        <row r="17005">
          <cell r="A17005">
            <v>80141505</v>
          </cell>
          <cell r="B17005" t="str">
            <v>Planes de comercialización</v>
          </cell>
        </row>
        <row r="17006">
          <cell r="A17006">
            <v>80141506</v>
          </cell>
          <cell r="B17006" t="str">
            <v>Investigación de mercado s basada en internet</v>
          </cell>
        </row>
        <row r="17007">
          <cell r="A17007">
            <v>80141507</v>
          </cell>
          <cell r="B17007" t="str">
            <v>Investigaciones  o clínicas o grupos focales basados en el consumidor</v>
          </cell>
        </row>
        <row r="17008">
          <cell r="A17008">
            <v>80141508</v>
          </cell>
          <cell r="B17008" t="str">
            <v>Estudios de predicciones sindicados o privados</v>
          </cell>
        </row>
        <row r="17009">
          <cell r="A17009">
            <v>80141509</v>
          </cell>
          <cell r="B17009" t="str">
            <v>Análisis competitivo o de inteligencia del mercado</v>
          </cell>
        </row>
        <row r="17010">
          <cell r="A17010">
            <v>80141510</v>
          </cell>
          <cell r="B17010" t="str">
            <v>Encuestas telefónicas para investigaciones de mercado</v>
          </cell>
        </row>
        <row r="17011">
          <cell r="A17011">
            <v>80141511</v>
          </cell>
          <cell r="B17011" t="str">
            <v>Encuestas impresas para investigaciones de mercado</v>
          </cell>
        </row>
        <row r="17012">
          <cell r="A17012">
            <v>80141512</v>
          </cell>
          <cell r="B17012" t="str">
            <v>Encuestas para investigaciones de mercados en el lugar</v>
          </cell>
        </row>
        <row r="17013">
          <cell r="A17013">
            <v>80141513</v>
          </cell>
          <cell r="B17013" t="str">
            <v>Entrevistas personales para investigaciones de mercado</v>
          </cell>
        </row>
        <row r="17014">
          <cell r="A17014">
            <v>80141514</v>
          </cell>
          <cell r="B17014" t="str">
            <v>Encuestas por correo electrónico para la investigación de mercados</v>
          </cell>
        </row>
        <row r="17015">
          <cell r="A17015">
            <v>80141601</v>
          </cell>
          <cell r="B17015" t="str">
            <v>Servicios de promoción de ventas</v>
          </cell>
        </row>
        <row r="17016">
          <cell r="A17016">
            <v>80141602</v>
          </cell>
          <cell r="B17016" t="str">
            <v>Servicios de relaciones públicas</v>
          </cell>
        </row>
        <row r="17017">
          <cell r="A17017">
            <v>80141603</v>
          </cell>
          <cell r="B17017" t="str">
            <v>Telemercadeo</v>
          </cell>
        </row>
        <row r="17018">
          <cell r="A17018">
            <v>80141604</v>
          </cell>
          <cell r="B17018" t="str">
            <v>Servicios de posicionamiento del  nombre de los productos</v>
          </cell>
        </row>
        <row r="17019">
          <cell r="A17019">
            <v>80141605</v>
          </cell>
          <cell r="B17019" t="str">
            <v>Mercancía promocional</v>
          </cell>
        </row>
        <row r="17020">
          <cell r="A17020">
            <v>80141606</v>
          </cell>
          <cell r="B17020" t="str">
            <v>Cumplimiento del mercadeo directo</v>
          </cell>
        </row>
        <row r="17021">
          <cell r="A17021">
            <v>80141607</v>
          </cell>
          <cell r="B17021" t="str">
            <v>Gestión de eventos</v>
          </cell>
        </row>
        <row r="17022">
          <cell r="A17022">
            <v>80141609</v>
          </cell>
          <cell r="B17022" t="str">
            <v>Patrocinio de eventos o de celebridades</v>
          </cell>
        </row>
        <row r="17023">
          <cell r="A17023">
            <v>80141610</v>
          </cell>
          <cell r="B17023" t="str">
            <v>Liquidaciones</v>
          </cell>
        </row>
        <row r="17024">
          <cell r="A17024">
            <v>80141611</v>
          </cell>
          <cell r="B17024" t="str">
            <v>Servicios de personalización de obsequios o productos</v>
          </cell>
        </row>
        <row r="17025">
          <cell r="A17025">
            <v>80141612</v>
          </cell>
          <cell r="B17025" t="str">
            <v>Programas de venta o de mercadeo</v>
          </cell>
        </row>
        <row r="17026">
          <cell r="A17026">
            <v>80141613</v>
          </cell>
          <cell r="B17026" t="str">
            <v>Programas posventas</v>
          </cell>
        </row>
        <row r="17027">
          <cell r="A17027">
            <v>80141614</v>
          </cell>
          <cell r="B17027" t="str">
            <v>Servicios o programas de relaciones públicas</v>
          </cell>
        </row>
        <row r="17028">
          <cell r="A17028">
            <v>80141615</v>
          </cell>
          <cell r="B17028" t="str">
            <v>Vehículo usado, de alquiler o de exposición</v>
          </cell>
        </row>
        <row r="17029">
          <cell r="A17029">
            <v>80141616</v>
          </cell>
          <cell r="B17029" t="str">
            <v>Materiales en puntos de venta, excluido el material impreso</v>
          </cell>
        </row>
        <row r="17030">
          <cell r="A17030">
            <v>80141617</v>
          </cell>
          <cell r="B17030" t="str">
            <v>Capacitación en iniciativas estratégicas en los concesionarios</v>
          </cell>
        </row>
        <row r="17031">
          <cell r="A17031">
            <v>80141618</v>
          </cell>
          <cell r="B17031" t="str">
            <v>Agencias de mercadeo  de venta, incluido el material impreso</v>
          </cell>
        </row>
        <row r="17032">
          <cell r="A17032">
            <v>80141619</v>
          </cell>
          <cell r="B17032" t="str">
            <v>Servicios de administración del centro de relaciones con el consumidor (crc)</v>
          </cell>
        </row>
        <row r="17033">
          <cell r="A17033">
            <v>80141620</v>
          </cell>
          <cell r="B17033" t="str">
            <v>Soporte de iniciativas estratégicas en los concesionarios</v>
          </cell>
        </row>
        <row r="17034">
          <cell r="A17034">
            <v>80141621</v>
          </cell>
          <cell r="B17034" t="str">
            <v>Automovilismo</v>
          </cell>
        </row>
        <row r="17035">
          <cell r="A17035">
            <v>80141622</v>
          </cell>
          <cell r="B17035" t="str">
            <v>Servicios de talleres postales</v>
          </cell>
        </row>
        <row r="17036">
          <cell r="A17036">
            <v>80141701</v>
          </cell>
          <cell r="B17036" t="str">
            <v>Servicios de venta directa</v>
          </cell>
        </row>
        <row r="17037">
          <cell r="A17037">
            <v>80141702</v>
          </cell>
          <cell r="B17037" t="str">
            <v>Servicios de distribución mayorista</v>
          </cell>
        </row>
        <row r="17038">
          <cell r="A17038">
            <v>80141703</v>
          </cell>
          <cell r="B17038" t="str">
            <v>Servicios de distribución minorista</v>
          </cell>
        </row>
        <row r="17039">
          <cell r="A17039">
            <v>80141704</v>
          </cell>
          <cell r="B17039" t="str">
            <v>Operaciones de franquicias</v>
          </cell>
        </row>
        <row r="17040">
          <cell r="A17040">
            <v>80141705</v>
          </cell>
          <cell r="B17040" t="str">
            <v>Servicios de subastas</v>
          </cell>
        </row>
        <row r="17041">
          <cell r="A17041">
            <v>80141801</v>
          </cell>
          <cell r="B17041" t="str">
            <v>Servicios de recopilación de listas de direcciones</v>
          </cell>
        </row>
        <row r="17042">
          <cell r="A17042">
            <v>80141802</v>
          </cell>
          <cell r="B17042" t="str">
            <v>Servicio de administración de listas de direcciones</v>
          </cell>
        </row>
        <row r="17043">
          <cell r="A17043">
            <v>80141803</v>
          </cell>
          <cell r="B17043" t="str">
            <v>Servicio de escritura de direcciones</v>
          </cell>
        </row>
        <row r="17044">
          <cell r="A17044">
            <v>80141901</v>
          </cell>
          <cell r="B17044" t="str">
            <v>Ferias de automóviles u otras exposiciones</v>
          </cell>
        </row>
        <row r="17045">
          <cell r="A17045">
            <v>80141902</v>
          </cell>
          <cell r="B17045" t="str">
            <v>Reuniones y eventos</v>
          </cell>
        </row>
        <row r="17046">
          <cell r="A17046">
            <v>80141903</v>
          </cell>
          <cell r="B17046" t="str">
            <v>Talento o entretenimiento</v>
          </cell>
        </row>
        <row r="17047">
          <cell r="A17047">
            <v>80151501</v>
          </cell>
          <cell r="B17047" t="str">
            <v>Servicios de proyeción o políticas de productos básicos</v>
          </cell>
        </row>
        <row r="17048">
          <cell r="A17048">
            <v>80151502</v>
          </cell>
          <cell r="B17048" t="str">
            <v>Expansión comercial</v>
          </cell>
        </row>
        <row r="17049">
          <cell r="A17049">
            <v>80151503</v>
          </cell>
          <cell r="B17049" t="str">
            <v>Servicios de información comercial</v>
          </cell>
        </row>
        <row r="17050">
          <cell r="A17050">
            <v>80151504</v>
          </cell>
          <cell r="B17050" t="str">
            <v>Servicios de promoción comercial</v>
          </cell>
        </row>
        <row r="17051">
          <cell r="A17051">
            <v>80151505</v>
          </cell>
          <cell r="B17051" t="str">
            <v>Empresas multinacionales de comercialización</v>
          </cell>
        </row>
        <row r="17052">
          <cell r="A17052">
            <v>80151601</v>
          </cell>
          <cell r="B17052" t="str">
            <v>Desarrollo de las exportaciones</v>
          </cell>
        </row>
        <row r="17053">
          <cell r="A17053">
            <v>80151602</v>
          </cell>
          <cell r="B17053" t="str">
            <v>Planificación de las importaciones</v>
          </cell>
        </row>
        <row r="17054">
          <cell r="A17054">
            <v>80151603</v>
          </cell>
          <cell r="B17054" t="str">
            <v>Proyecciones de las exportaciones</v>
          </cell>
        </row>
        <row r="17055">
          <cell r="A17055">
            <v>80151604</v>
          </cell>
          <cell r="B17055" t="str">
            <v>Servicios de adquisición de importaciones</v>
          </cell>
        </row>
        <row r="17056">
          <cell r="A17056">
            <v>80161501</v>
          </cell>
          <cell r="B17056" t="str">
            <v>Servicios secretariales o de administración de oficinas</v>
          </cell>
        </row>
        <row r="17057">
          <cell r="A17057">
            <v>80161502</v>
          </cell>
          <cell r="B17057" t="str">
            <v>Servicios de planificación de reuniones</v>
          </cell>
        </row>
        <row r="17058">
          <cell r="A17058">
            <v>80161503</v>
          </cell>
          <cell r="B17058" t="str">
            <v>Servicios de entrada por teclado</v>
          </cell>
        </row>
        <row r="17059">
          <cell r="A17059">
            <v>80161504</v>
          </cell>
          <cell r="B17059" t="str">
            <v>Servicios de oficina</v>
          </cell>
        </row>
        <row r="17060">
          <cell r="A17060">
            <v>80161505</v>
          </cell>
          <cell r="B17060" t="str">
            <v>Servicios de administración de flotas</v>
          </cell>
        </row>
        <row r="17061">
          <cell r="A17061">
            <v>80161506</v>
          </cell>
          <cell r="B17061" t="str">
            <v>Servicios de archivo de datos</v>
          </cell>
        </row>
        <row r="17062">
          <cell r="A17062">
            <v>80161507</v>
          </cell>
          <cell r="B17062" t="str">
            <v>Servicios audiovisuales</v>
          </cell>
        </row>
        <row r="17063">
          <cell r="A17063">
            <v>80161508</v>
          </cell>
          <cell r="B17063" t="str">
            <v>Servicios de destrucción de documentos</v>
          </cell>
        </row>
        <row r="17064">
          <cell r="A17064">
            <v>80161601</v>
          </cell>
          <cell r="B17064" t="str">
            <v>Servicios de administración de la propiedad</v>
          </cell>
        </row>
        <row r="17065">
          <cell r="A17065">
            <v>80161602</v>
          </cell>
          <cell r="B17065" t="str">
            <v>Servicios de recepción o inventariado</v>
          </cell>
        </row>
        <row r="17066">
          <cell r="A17066">
            <v>80161603</v>
          </cell>
          <cell r="B17066" t="str">
            <v>Gestión o administración de proyectos de mobiliario</v>
          </cell>
        </row>
        <row r="17067">
          <cell r="A17067">
            <v>81101501</v>
          </cell>
          <cell r="B17067" t="str">
            <v>Ingeniería de pozos</v>
          </cell>
        </row>
        <row r="17068">
          <cell r="A17068">
            <v>81101502</v>
          </cell>
          <cell r="B17068" t="str">
            <v>Dibujo técnico</v>
          </cell>
        </row>
        <row r="17069">
          <cell r="A17069">
            <v>81101503</v>
          </cell>
          <cell r="B17069" t="str">
            <v>Ingeniería de puertos</v>
          </cell>
        </row>
        <row r="17070">
          <cell r="A17070">
            <v>81101505</v>
          </cell>
          <cell r="B17070" t="str">
            <v>Ingeniería estructural</v>
          </cell>
        </row>
        <row r="17071">
          <cell r="A17071">
            <v>81101506</v>
          </cell>
          <cell r="B17071" t="str">
            <v>Arquitectura naval</v>
          </cell>
        </row>
        <row r="17072">
          <cell r="A17072">
            <v>81101507</v>
          </cell>
          <cell r="B17072" t="str">
            <v>Ingeniería de represas</v>
          </cell>
        </row>
        <row r="17073">
          <cell r="A17073">
            <v>81101508</v>
          </cell>
          <cell r="B17073" t="str">
            <v>Ingeniería arquitectónica</v>
          </cell>
        </row>
        <row r="17074">
          <cell r="A17074">
            <v>81101509</v>
          </cell>
          <cell r="B17074" t="str">
            <v>Ingeniería aeroportuaria</v>
          </cell>
        </row>
        <row r="17075">
          <cell r="A17075">
            <v>81101510</v>
          </cell>
          <cell r="B17075" t="str">
            <v>Ingeniería de carreteras</v>
          </cell>
        </row>
        <row r="17076">
          <cell r="A17076">
            <v>81101511</v>
          </cell>
          <cell r="B17076" t="str">
            <v>Ingeniería ferroviaria</v>
          </cell>
        </row>
        <row r="17077">
          <cell r="A17077">
            <v>81101512</v>
          </cell>
          <cell r="B17077" t="str">
            <v>Servicios de sistemas de información geográfica (sig)</v>
          </cell>
        </row>
        <row r="17078">
          <cell r="A17078">
            <v>81101513</v>
          </cell>
          <cell r="B17078" t="str">
            <v>Gestión de construcción de edificios</v>
          </cell>
        </row>
        <row r="17079">
          <cell r="A17079">
            <v>81101601</v>
          </cell>
          <cell r="B17079" t="str">
            <v>Dibujo mecánico</v>
          </cell>
        </row>
        <row r="17080">
          <cell r="A17080">
            <v>81101602</v>
          </cell>
          <cell r="B17080" t="str">
            <v>Diseño de envolturas de productos mecánicos</v>
          </cell>
        </row>
        <row r="17081">
          <cell r="A17081">
            <v>81101603</v>
          </cell>
          <cell r="B17081" t="str">
            <v>Diseño de máquinas herramientas</v>
          </cell>
        </row>
        <row r="17082">
          <cell r="A17082">
            <v>81101604</v>
          </cell>
          <cell r="B17082" t="str">
            <v>Diseño de transmisión de potencia</v>
          </cell>
        </row>
        <row r="17083">
          <cell r="A17083">
            <v>81101605</v>
          </cell>
          <cell r="B17083" t="str">
            <v>Servicios electromecánicos</v>
          </cell>
        </row>
        <row r="17084">
          <cell r="A17084">
            <v>81101701</v>
          </cell>
          <cell r="B17084" t="str">
            <v>Servicios de ingeniería eléctrica</v>
          </cell>
        </row>
        <row r="17085">
          <cell r="A17085">
            <v>81101702</v>
          </cell>
          <cell r="B17085" t="str">
            <v>Diseño de circuitos electrónicos</v>
          </cell>
        </row>
        <row r="17086">
          <cell r="A17086">
            <v>81101703</v>
          </cell>
          <cell r="B17086" t="str">
            <v>Servicios de pruebas técnicas</v>
          </cell>
        </row>
        <row r="17087">
          <cell r="A17087">
            <v>81101801</v>
          </cell>
          <cell r="B17087" t="str">
            <v>Ingeniería de plásticos</v>
          </cell>
        </row>
        <row r="17088">
          <cell r="A17088">
            <v>81101902</v>
          </cell>
          <cell r="B17088" t="str">
            <v>Ingeniería de producción para petróleo o gas</v>
          </cell>
        </row>
        <row r="17089">
          <cell r="A17089">
            <v>81102001</v>
          </cell>
          <cell r="B17089" t="str">
            <v>Minería hidráulica</v>
          </cell>
        </row>
        <row r="17090">
          <cell r="A17090">
            <v>81102101</v>
          </cell>
          <cell r="B17090" t="str">
            <v>Ingeniería de costas</v>
          </cell>
        </row>
        <row r="17091">
          <cell r="A17091">
            <v>81102201</v>
          </cell>
          <cell r="B17091" t="str">
            <v>Ingeniería de tráfico</v>
          </cell>
        </row>
        <row r="17092">
          <cell r="A17092">
            <v>81102202</v>
          </cell>
          <cell r="B17092" t="str">
            <v>red de transporte urbano</v>
          </cell>
        </row>
        <row r="17093">
          <cell r="A17093">
            <v>81102203</v>
          </cell>
          <cell r="B17093" t="str">
            <v>Vías de navegación interior</v>
          </cell>
        </row>
        <row r="17094">
          <cell r="A17094">
            <v>81102301</v>
          </cell>
          <cell r="B17094" t="str">
            <v>Diseño de aviónica</v>
          </cell>
        </row>
        <row r="17095">
          <cell r="A17095">
            <v>81111501</v>
          </cell>
          <cell r="B17095" t="str">
            <v>Diseño de aplicaciones de software de la unidad central</v>
          </cell>
        </row>
        <row r="17096">
          <cell r="A17096">
            <v>81111502</v>
          </cell>
          <cell r="B17096" t="str">
            <v>Diseños de aplicaciones para computadores personales (pc)</v>
          </cell>
        </row>
        <row r="17097">
          <cell r="A17097">
            <v>81111503</v>
          </cell>
          <cell r="B17097" t="str">
            <v>Diseño de integración de sistemas</v>
          </cell>
        </row>
        <row r="17098">
          <cell r="A17098">
            <v>81111504</v>
          </cell>
          <cell r="B17098" t="str">
            <v>Servicios de programación de aplicaciones</v>
          </cell>
        </row>
        <row r="17099">
          <cell r="A17099">
            <v>81111505</v>
          </cell>
          <cell r="B17099" t="str">
            <v>Servicios de programación de sistemas operativos</v>
          </cell>
        </row>
        <row r="17100">
          <cell r="A17100">
            <v>81111506</v>
          </cell>
          <cell r="B17100" t="str">
            <v>Servicios de programación para clientes o servidores</v>
          </cell>
        </row>
        <row r="17101">
          <cell r="A17101">
            <v>81111507</v>
          </cell>
          <cell r="B17101" t="str">
            <v>Servicios de programación de aplicaciones de bases de datos (erp)</v>
          </cell>
        </row>
        <row r="17102">
          <cell r="A17102">
            <v>81111508</v>
          </cell>
          <cell r="B17102" t="str">
            <v>Servicios de implementación de aplicaciones</v>
          </cell>
        </row>
        <row r="17103">
          <cell r="A17103">
            <v>81111509</v>
          </cell>
          <cell r="B17103" t="str">
            <v>Servicios de desarrollo de aplicaciones para clientes de internet / intranet</v>
          </cell>
        </row>
        <row r="17104">
          <cell r="A17104">
            <v>81111510</v>
          </cell>
          <cell r="B17104" t="str">
            <v>Servicios de desarrollo de aplicaciones para servidores de internet / intranet</v>
          </cell>
        </row>
        <row r="17105">
          <cell r="A17105">
            <v>81111601</v>
          </cell>
          <cell r="B17105" t="str">
            <v>Programación para visual basic</v>
          </cell>
        </row>
        <row r="17106">
          <cell r="A17106">
            <v>81111602</v>
          </cell>
          <cell r="B17106" t="str">
            <v>Programación para java</v>
          </cell>
        </row>
        <row r="17107">
          <cell r="A17107">
            <v>81111603</v>
          </cell>
          <cell r="B17107" t="str">
            <v>Programación para html</v>
          </cell>
        </row>
        <row r="17108">
          <cell r="A17108">
            <v>81111604</v>
          </cell>
          <cell r="B17108" t="str">
            <v>Programación para algol</v>
          </cell>
        </row>
        <row r="17109">
          <cell r="A17109">
            <v>81111605</v>
          </cell>
          <cell r="B17109" t="str">
            <v>Programación para assembler</v>
          </cell>
        </row>
        <row r="17110">
          <cell r="A17110">
            <v>81111606</v>
          </cell>
          <cell r="B17110" t="str">
            <v>Programación para basic</v>
          </cell>
        </row>
        <row r="17111">
          <cell r="A17111">
            <v>81111607</v>
          </cell>
          <cell r="B17111" t="str">
            <v>Programación para c, c++</v>
          </cell>
        </row>
        <row r="17112">
          <cell r="A17112">
            <v>81111608</v>
          </cell>
          <cell r="B17112" t="str">
            <v>Programación para cobol</v>
          </cell>
        </row>
        <row r="17113">
          <cell r="A17113">
            <v>81111609</v>
          </cell>
          <cell r="B17113" t="str">
            <v>Programación para fortran</v>
          </cell>
        </row>
        <row r="17114">
          <cell r="A17114">
            <v>81111610</v>
          </cell>
          <cell r="B17114" t="str">
            <v>Programación para pascal</v>
          </cell>
        </row>
        <row r="17115">
          <cell r="A17115">
            <v>81111611</v>
          </cell>
          <cell r="B17115" t="str">
            <v>Programación para pl/1</v>
          </cell>
        </row>
        <row r="17116">
          <cell r="A17116">
            <v>81111612</v>
          </cell>
          <cell r="B17116" t="str">
            <v>Lenguajes de programación o de marca patentada</v>
          </cell>
        </row>
        <row r="17117">
          <cell r="A17117">
            <v>81111613</v>
          </cell>
          <cell r="B17117" t="str">
            <v>Programación para perl</v>
          </cell>
        </row>
        <row r="17118">
          <cell r="A17118">
            <v>81111701</v>
          </cell>
          <cell r="B17118" t="str">
            <v>Diseño de comunicaciones por redes de cobertura amplia</v>
          </cell>
        </row>
        <row r="17119">
          <cell r="A17119">
            <v>81111702</v>
          </cell>
          <cell r="B17119" t="str">
            <v>Diseño de comunicaciones por redes de área local</v>
          </cell>
        </row>
        <row r="17120">
          <cell r="A17120">
            <v>81111703</v>
          </cell>
          <cell r="B17120" t="str">
            <v>Diseño del intercambio electrónico de datos (ied)</v>
          </cell>
        </row>
        <row r="17121">
          <cell r="A17121">
            <v>81111704</v>
          </cell>
          <cell r="B17121" t="str">
            <v>Diseño de bases de datos</v>
          </cell>
        </row>
        <row r="17122">
          <cell r="A17122">
            <v>81111705</v>
          </cell>
          <cell r="B17122" t="str">
            <v>Arquitectura de sistemas</v>
          </cell>
        </row>
        <row r="17123">
          <cell r="A17123">
            <v>81111801</v>
          </cell>
          <cell r="B17123" t="str">
            <v>Seguridad de los computadores, redes o internet</v>
          </cell>
        </row>
        <row r="17124">
          <cell r="A17124">
            <v>81111802</v>
          </cell>
          <cell r="B17124" t="str">
            <v>Servicios de administración de la unidad central</v>
          </cell>
        </row>
        <row r="17125">
          <cell r="A17125">
            <v>81111803</v>
          </cell>
          <cell r="B17125" t="str">
            <v>Mantenimiento o soporte de redes de área local (lan)</v>
          </cell>
        </row>
        <row r="17126">
          <cell r="A17126">
            <v>81111804</v>
          </cell>
          <cell r="B17126" t="str">
            <v>Mantenimiento o soporte de redes de cobertura amplia (wan)</v>
          </cell>
        </row>
        <row r="17127">
          <cell r="A17127">
            <v>81111805</v>
          </cell>
          <cell r="B17127" t="str">
            <v>Mantenimiento o soporte de sistemas patentados o autorizados</v>
          </cell>
        </row>
        <row r="17128">
          <cell r="A17128">
            <v>81111806</v>
          </cell>
          <cell r="B17128" t="str">
            <v>Servicio de análisis de bases de datos</v>
          </cell>
        </row>
        <row r="17129">
          <cell r="A17129">
            <v>81111807</v>
          </cell>
          <cell r="B17129" t="str">
            <v>Almacenamiento de datos</v>
          </cell>
        </row>
        <row r="17130">
          <cell r="A17130">
            <v>81111808</v>
          </cell>
          <cell r="B17130" t="str">
            <v>Servicio de análisis de sistemas</v>
          </cell>
        </row>
        <row r="17131">
          <cell r="A17131">
            <v>81111809</v>
          </cell>
          <cell r="B17131" t="str">
            <v>Servicio de instalación de sistemas</v>
          </cell>
        </row>
        <row r="17132">
          <cell r="A17132">
            <v>81111810</v>
          </cell>
          <cell r="B17132" t="str">
            <v>Servicios de codificación de software</v>
          </cell>
        </row>
        <row r="17133">
          <cell r="A17133">
            <v>81111811</v>
          </cell>
          <cell r="B17133" t="str">
            <v>Servicios de soporte técnico o de mesa de ayuda</v>
          </cell>
        </row>
        <row r="17134">
          <cell r="A17134">
            <v>81111812</v>
          </cell>
          <cell r="B17134" t="str">
            <v>Servicio de mantenimiento o soporte del hardware del computador</v>
          </cell>
        </row>
        <row r="17135">
          <cell r="A17135">
            <v>81111814</v>
          </cell>
          <cell r="B17135" t="str">
            <v>Servicio de colocación</v>
          </cell>
        </row>
        <row r="17136">
          <cell r="A17136">
            <v>81111818</v>
          </cell>
          <cell r="B17136" t="str">
            <v>Garantía de terceros</v>
          </cell>
        </row>
        <row r="17137">
          <cell r="A17137">
            <v>81111901</v>
          </cell>
          <cell r="B17137" t="str">
            <v>Recuperación de información de las bases de datos</v>
          </cell>
        </row>
        <row r="17138">
          <cell r="A17138">
            <v>81111902</v>
          </cell>
          <cell r="B17138" t="str">
            <v>Servicio de recuperación de información de las bases de datos en línea</v>
          </cell>
        </row>
        <row r="17139">
          <cell r="A17139">
            <v>81112001</v>
          </cell>
          <cell r="B17139" t="str">
            <v>Servicio de procesamiento de datos en línea</v>
          </cell>
        </row>
        <row r="17140">
          <cell r="A17140">
            <v>81112002</v>
          </cell>
          <cell r="B17140" t="str">
            <v>Servicios de procesamiento o preparación de datos</v>
          </cell>
        </row>
        <row r="17141">
          <cell r="A17141">
            <v>81112003</v>
          </cell>
          <cell r="B17141" t="str">
            <v>Servicios de centros de datos</v>
          </cell>
        </row>
        <row r="17142">
          <cell r="A17142">
            <v>81112004</v>
          </cell>
          <cell r="B17142" t="str">
            <v>Servicios de recuperación de desastres</v>
          </cell>
        </row>
        <row r="17143">
          <cell r="A17143">
            <v>81112005</v>
          </cell>
          <cell r="B17143" t="str">
            <v>Servicio de escaneo de documentos</v>
          </cell>
        </row>
        <row r="17144">
          <cell r="A17144">
            <v>81112006</v>
          </cell>
          <cell r="B17144" t="str">
            <v>servicios de almacenamiento de datos</v>
          </cell>
        </row>
        <row r="17145">
          <cell r="A17145">
            <v>81112007</v>
          </cell>
          <cell r="B17145" t="str">
            <v>Servicios de estandarización de datos o contenidos</v>
          </cell>
        </row>
        <row r="17146">
          <cell r="A17146">
            <v>81112008</v>
          </cell>
          <cell r="B17146" t="str">
            <v>Servicios de generación de originales de cd-rom</v>
          </cell>
        </row>
        <row r="17147">
          <cell r="A17147">
            <v>81112009</v>
          </cell>
          <cell r="B17147" t="str">
            <v>Servicios de clasificación de datos o contenidos</v>
          </cell>
        </row>
        <row r="17148">
          <cell r="A17148">
            <v>81112010</v>
          </cell>
          <cell r="B17148" t="str">
            <v>Servicio de conversión de datos</v>
          </cell>
        </row>
        <row r="17149">
          <cell r="A17149">
            <v>81112101</v>
          </cell>
          <cell r="B17149" t="str">
            <v>Proveedores de servicio de internet (psi)</v>
          </cell>
        </row>
        <row r="17150">
          <cell r="A17150">
            <v>81112102</v>
          </cell>
          <cell r="B17150" t="str">
            <v>Proveedor de servicio de correo electrónico</v>
          </cell>
        </row>
        <row r="17151">
          <cell r="A17151">
            <v>81112103</v>
          </cell>
          <cell r="B17151" t="str">
            <v>Servicios de diseño de sitios web www</v>
          </cell>
        </row>
        <row r="17152">
          <cell r="A17152">
            <v>81112104</v>
          </cell>
          <cell r="B17152" t="str">
            <v>Proveedores de motores de búsqueda en la web</v>
          </cell>
        </row>
        <row r="17153">
          <cell r="A17153">
            <v>81112105</v>
          </cell>
          <cell r="B17153" t="str">
            <v>Servicios de hospedaje de operación de sitios web</v>
          </cell>
        </row>
        <row r="17154">
          <cell r="A17154">
            <v>81112106</v>
          </cell>
          <cell r="B17154" t="str">
            <v>Proveedores de servicios de aplicación</v>
          </cell>
        </row>
        <row r="17155">
          <cell r="A17155">
            <v>81112107</v>
          </cell>
          <cell r="B17155" t="str">
            <v>Nombres de los dominio de internet</v>
          </cell>
        </row>
        <row r="17156">
          <cell r="A17156">
            <v>81112201</v>
          </cell>
          <cell r="B17156" t="str">
            <v>Tarifas de soporte o mantenimiento</v>
          </cell>
        </row>
        <row r="17157">
          <cell r="A17157">
            <v>81112202</v>
          </cell>
          <cell r="B17157" t="str">
            <v>Actualizaciones o parches de software</v>
          </cell>
        </row>
        <row r="17158">
          <cell r="A17158">
            <v>81121501</v>
          </cell>
          <cell r="B17158" t="str">
            <v>Análisis macroeconómico</v>
          </cell>
        </row>
        <row r="17159">
          <cell r="A17159">
            <v>81121502</v>
          </cell>
          <cell r="B17159" t="str">
            <v>Análisis microeconómico</v>
          </cell>
        </row>
        <row r="17160">
          <cell r="A17160">
            <v>81121503</v>
          </cell>
          <cell r="B17160" t="str">
            <v>Econometría</v>
          </cell>
        </row>
        <row r="17161">
          <cell r="A17161">
            <v>81121504</v>
          </cell>
          <cell r="B17161" t="str">
            <v>Proyecciones económicas</v>
          </cell>
        </row>
        <row r="17162">
          <cell r="A17162">
            <v>81121601</v>
          </cell>
          <cell r="B17162" t="str">
            <v>Política monetaria</v>
          </cell>
        </row>
        <row r="17163">
          <cell r="A17163">
            <v>81121602</v>
          </cell>
          <cell r="B17163" t="str">
            <v>Sistemas monetarios</v>
          </cell>
        </row>
        <row r="17164">
          <cell r="A17164">
            <v>81121603</v>
          </cell>
          <cell r="B17164" t="str">
            <v>Análisis monetario</v>
          </cell>
        </row>
        <row r="17165">
          <cell r="A17165">
            <v>81121604</v>
          </cell>
          <cell r="B17165" t="str">
            <v>Liquidez monetaria</v>
          </cell>
        </row>
        <row r="17166">
          <cell r="A17166">
            <v>81121605</v>
          </cell>
          <cell r="B17166" t="str">
            <v>Reservas de metales preciosos</v>
          </cell>
        </row>
        <row r="17167">
          <cell r="A17167">
            <v>81121606</v>
          </cell>
          <cell r="B17167" t="str">
            <v>Control de cambio de divisas</v>
          </cell>
        </row>
        <row r="17168">
          <cell r="A17168">
            <v>81121607</v>
          </cell>
          <cell r="B17168" t="str">
            <v>Mercados cambio de divisas</v>
          </cell>
        </row>
        <row r="17169">
          <cell r="A17169">
            <v>81131501</v>
          </cell>
          <cell r="B17169" t="str">
            <v>Análisis de factores</v>
          </cell>
        </row>
        <row r="17170">
          <cell r="A17170">
            <v>81131502</v>
          </cell>
          <cell r="B17170" t="str">
            <v>Análisis multivariate</v>
          </cell>
        </row>
        <row r="17171">
          <cell r="A17171">
            <v>81131503</v>
          </cell>
          <cell r="B17171" t="str">
            <v>Análisis de regresión</v>
          </cell>
        </row>
        <row r="17172">
          <cell r="A17172">
            <v>81131504</v>
          </cell>
          <cell r="B17172" t="str">
            <v>Encuestas por muestreo</v>
          </cell>
        </row>
        <row r="17173">
          <cell r="A17173">
            <v>81131505</v>
          </cell>
          <cell r="B17173" t="str">
            <v>Análisis de series temporales</v>
          </cell>
        </row>
        <row r="17174">
          <cell r="A17174">
            <v>81141501</v>
          </cell>
          <cell r="B17174" t="str">
            <v>Ensayo de materiales</v>
          </cell>
        </row>
        <row r="17175">
          <cell r="A17175">
            <v>81141502</v>
          </cell>
          <cell r="B17175" t="str">
            <v>Síntesis de materiales</v>
          </cell>
        </row>
        <row r="17176">
          <cell r="A17176">
            <v>81141503</v>
          </cell>
          <cell r="B17176" t="str">
            <v>Inspección de materiales o productos</v>
          </cell>
        </row>
        <row r="17177">
          <cell r="A17177">
            <v>81141504</v>
          </cell>
          <cell r="B17177" t="str">
            <v>Reparación o calibración de pruebas de equipo</v>
          </cell>
        </row>
        <row r="17178">
          <cell r="A17178">
            <v>81141505</v>
          </cell>
          <cell r="B17178" t="str">
            <v>Desarrollo de estándares de producción</v>
          </cell>
        </row>
        <row r="17179">
          <cell r="A17179">
            <v>81141506</v>
          </cell>
          <cell r="B17179" t="str">
            <v>Ensayo de productos</v>
          </cell>
        </row>
        <row r="17180">
          <cell r="A17180">
            <v>81141601</v>
          </cell>
          <cell r="B17180" t="str">
            <v>Logística</v>
          </cell>
        </row>
        <row r="17181">
          <cell r="A17181">
            <v>81141602</v>
          </cell>
          <cell r="B17181" t="str">
            <v>Análisis de tránsito</v>
          </cell>
        </row>
        <row r="17182">
          <cell r="A17182">
            <v>81141603</v>
          </cell>
          <cell r="B17182" t="str">
            <v>Economía o finanzas del transporte</v>
          </cell>
        </row>
        <row r="17183">
          <cell r="A17183">
            <v>81141604</v>
          </cell>
          <cell r="B17183" t="str">
            <v>Facilitación del transporte</v>
          </cell>
        </row>
        <row r="17184">
          <cell r="A17184">
            <v>81141605</v>
          </cell>
          <cell r="B17184" t="str">
            <v>Infraestructura del transporte</v>
          </cell>
        </row>
        <row r="17185">
          <cell r="A17185">
            <v>81141606</v>
          </cell>
          <cell r="B17185" t="str">
            <v>Planificación del transporte</v>
          </cell>
        </row>
        <row r="17186">
          <cell r="A17186">
            <v>81141701</v>
          </cell>
          <cell r="B17186" t="str">
            <v>Planificación de la producción</v>
          </cell>
        </row>
        <row r="17187">
          <cell r="A17187">
            <v>81141702</v>
          </cell>
          <cell r="B17187" t="str">
            <v>Control de la producción</v>
          </cell>
        </row>
        <row r="17188">
          <cell r="A17188">
            <v>81141703</v>
          </cell>
          <cell r="B17188" t="str">
            <v>Programación de la producción</v>
          </cell>
        </row>
        <row r="17189">
          <cell r="A17189">
            <v>81141704</v>
          </cell>
          <cell r="B17189" t="str">
            <v>Servicios de análisis o recopilación de estadísticas de producción</v>
          </cell>
        </row>
        <row r="17190">
          <cell r="A17190">
            <v>81141801</v>
          </cell>
          <cell r="B17190" t="str">
            <v>Análisis de riesgo o seguridad</v>
          </cell>
        </row>
        <row r="17191">
          <cell r="A17191">
            <v>81141802</v>
          </cell>
          <cell r="B17191" t="str">
            <v>Higiene o ventilación industrial</v>
          </cell>
        </row>
        <row r="17192">
          <cell r="A17192">
            <v>81141803</v>
          </cell>
          <cell r="B17192" t="str">
            <v>Control del ruido o de la acústica</v>
          </cell>
        </row>
        <row r="17193">
          <cell r="A17193">
            <v>81141804</v>
          </cell>
          <cell r="B17193" t="str">
            <v>Servicio de inspección de equipos</v>
          </cell>
        </row>
        <row r="17194">
          <cell r="A17194">
            <v>81141805</v>
          </cell>
          <cell r="B17194" t="str">
            <v>Servicio de inspección de edificios</v>
          </cell>
        </row>
        <row r="17195">
          <cell r="A17195">
            <v>81141806</v>
          </cell>
          <cell r="B17195" t="str">
            <v>Servicios de inspección de líneas de energía eléctrica</v>
          </cell>
        </row>
        <row r="17196">
          <cell r="A17196">
            <v>81141807</v>
          </cell>
          <cell r="B17196" t="str">
            <v>Servicios de inspección de plomería o alcantarillado</v>
          </cell>
        </row>
        <row r="17197">
          <cell r="A17197">
            <v>81151501</v>
          </cell>
          <cell r="B17197" t="str">
            <v>Climatología</v>
          </cell>
        </row>
        <row r="17198">
          <cell r="A17198">
            <v>81151502</v>
          </cell>
          <cell r="B17198" t="str">
            <v>Servicios meteorológicos</v>
          </cell>
        </row>
        <row r="17199">
          <cell r="A17199">
            <v>81151503</v>
          </cell>
          <cell r="B17199" t="str">
            <v>Hidrometeorología</v>
          </cell>
        </row>
        <row r="17200">
          <cell r="A17200">
            <v>81151601</v>
          </cell>
          <cell r="B17200" t="str">
            <v>Cartografía</v>
          </cell>
        </row>
        <row r="17201">
          <cell r="A17201">
            <v>81151602</v>
          </cell>
          <cell r="B17201" t="str">
            <v>Producción de mapas</v>
          </cell>
        </row>
        <row r="17202">
          <cell r="A17202">
            <v>81151603</v>
          </cell>
          <cell r="B17202" t="str">
            <v>Fotogrametría</v>
          </cell>
        </row>
        <row r="17203">
          <cell r="A17203">
            <v>81151604</v>
          </cell>
          <cell r="B17203" t="str">
            <v>Agrimensura</v>
          </cell>
        </row>
        <row r="17204">
          <cell r="A17204">
            <v>81151701</v>
          </cell>
          <cell r="B17204" t="str">
            <v>Fotogeología</v>
          </cell>
        </row>
        <row r="17205">
          <cell r="A17205">
            <v>81151702</v>
          </cell>
          <cell r="B17205" t="str">
            <v>Geología estratigráfica</v>
          </cell>
        </row>
        <row r="17206">
          <cell r="A17206">
            <v>81151703</v>
          </cell>
          <cell r="B17206" t="str">
            <v>Estudios geológicos</v>
          </cell>
        </row>
        <row r="17207">
          <cell r="A17207">
            <v>81151704</v>
          </cell>
          <cell r="B17207" t="str">
            <v>Exploración geológica</v>
          </cell>
        </row>
        <row r="17208">
          <cell r="A17208">
            <v>81151705</v>
          </cell>
          <cell r="B17208" t="str">
            <v>Servicios arqueológicos</v>
          </cell>
        </row>
        <row r="17209">
          <cell r="A17209">
            <v>81151801</v>
          </cell>
          <cell r="B17209" t="str">
            <v>Estudio oceanográfico</v>
          </cell>
        </row>
        <row r="17210">
          <cell r="A17210">
            <v>81151802</v>
          </cell>
          <cell r="B17210" t="str">
            <v>Oceanografía estuarina</v>
          </cell>
        </row>
        <row r="17211">
          <cell r="A17211">
            <v>81151803</v>
          </cell>
          <cell r="B17211" t="str">
            <v>Oceanografía física</v>
          </cell>
        </row>
        <row r="17212">
          <cell r="A17212">
            <v>81151804</v>
          </cell>
          <cell r="B17212" t="str">
            <v>Estudios hidrológicos</v>
          </cell>
        </row>
        <row r="17213">
          <cell r="A17213">
            <v>81151805</v>
          </cell>
          <cell r="B17213" t="str">
            <v>Estudios batimétricos</v>
          </cell>
        </row>
        <row r="17214">
          <cell r="A17214">
            <v>81151806</v>
          </cell>
          <cell r="B17214" t="str">
            <v>Exploración submarina</v>
          </cell>
        </row>
        <row r="17215">
          <cell r="A17215">
            <v>81151901</v>
          </cell>
          <cell r="B17215" t="str">
            <v>Estudios geofísicos</v>
          </cell>
        </row>
        <row r="17216">
          <cell r="A17216">
            <v>81151902</v>
          </cell>
          <cell r="B17216" t="str">
            <v>Exploración geofísica</v>
          </cell>
        </row>
        <row r="17217">
          <cell r="A17217">
            <v>81151903</v>
          </cell>
          <cell r="B17217" t="str">
            <v>Interpretación de fotografía geofísica</v>
          </cell>
        </row>
        <row r="17218">
          <cell r="A17218">
            <v>81151904</v>
          </cell>
          <cell r="B17218" t="str">
            <v>Geofísica aeromagnética</v>
          </cell>
        </row>
        <row r="17219">
          <cell r="A17219">
            <v>82101501</v>
          </cell>
          <cell r="B17219" t="str">
            <v>Publicidad en vallas</v>
          </cell>
        </row>
        <row r="17220">
          <cell r="A17220">
            <v>82101502</v>
          </cell>
          <cell r="B17220" t="str">
            <v>Publicidad en afiches</v>
          </cell>
        </row>
        <row r="17221">
          <cell r="A17221">
            <v>82101503</v>
          </cell>
          <cell r="B17221" t="str">
            <v>Publicidad en revistas</v>
          </cell>
        </row>
        <row r="17222">
          <cell r="A17222">
            <v>82101504</v>
          </cell>
          <cell r="B17222" t="str">
            <v>Publicidad en periódicos</v>
          </cell>
        </row>
        <row r="17223">
          <cell r="A17223">
            <v>82101505</v>
          </cell>
          <cell r="B17223" t="str">
            <v>Publicidad en volantes o cupones</v>
          </cell>
        </row>
        <row r="17224">
          <cell r="A17224">
            <v>82101506</v>
          </cell>
          <cell r="B17224" t="str">
            <v>Servicios de publicidad en transporte público</v>
          </cell>
        </row>
        <row r="17225">
          <cell r="A17225">
            <v>82101507</v>
          </cell>
          <cell r="B17225" t="str">
            <v>Servicios de distribución o de publicidad o de boletines de sobre compras</v>
          </cell>
        </row>
        <row r="17226">
          <cell r="A17226">
            <v>82101508</v>
          </cell>
          <cell r="B17226" t="str">
            <v>Publicidad en páginas amarillas o en directorios comerciales o de servicios</v>
          </cell>
        </row>
        <row r="17227">
          <cell r="A17227">
            <v>82101601</v>
          </cell>
          <cell r="B17227" t="str">
            <v>Publicidad en radio</v>
          </cell>
        </row>
        <row r="17228">
          <cell r="A17228">
            <v>82101602</v>
          </cell>
          <cell r="B17228" t="str">
            <v>Publicidad en televisión</v>
          </cell>
        </row>
        <row r="17229">
          <cell r="A17229">
            <v>82101603</v>
          </cell>
          <cell r="B17229" t="str">
            <v>Publicidad en internet</v>
          </cell>
        </row>
        <row r="17230">
          <cell r="A17230">
            <v>82101604</v>
          </cell>
          <cell r="B17230" t="str">
            <v>Publicidad en los cines</v>
          </cell>
        </row>
        <row r="17231">
          <cell r="A17231">
            <v>82101701</v>
          </cell>
          <cell r="B17231" t="str">
            <v>Servicios de publicidad en pancartas</v>
          </cell>
        </row>
        <row r="17232">
          <cell r="A17232">
            <v>82101702</v>
          </cell>
          <cell r="B17232" t="str">
            <v>Servicios de publicidad aérea</v>
          </cell>
        </row>
        <row r="17233">
          <cell r="A17233">
            <v>82101801</v>
          </cell>
          <cell r="B17233" t="str">
            <v>Servicios de campañas publicitarias</v>
          </cell>
        </row>
        <row r="17234">
          <cell r="A17234">
            <v>82101901</v>
          </cell>
          <cell r="B17234" t="str">
            <v>Inserción en radio</v>
          </cell>
        </row>
        <row r="17235">
          <cell r="A17235">
            <v>82101902</v>
          </cell>
          <cell r="B17235" t="str">
            <v>Inserción en televisión</v>
          </cell>
        </row>
        <row r="17236">
          <cell r="A17236">
            <v>82101903</v>
          </cell>
          <cell r="B17236" t="str">
            <v>Inserción en internet</v>
          </cell>
        </row>
        <row r="17237">
          <cell r="A17237">
            <v>82101904</v>
          </cell>
          <cell r="B17237" t="str">
            <v>Inserción en cines</v>
          </cell>
        </row>
        <row r="17238">
          <cell r="A17238">
            <v>82101905</v>
          </cell>
          <cell r="B17238" t="str">
            <v>Inserción en medios impresos</v>
          </cell>
        </row>
        <row r="17239">
          <cell r="A17239">
            <v>82111501</v>
          </cell>
          <cell r="B17239" t="str">
            <v>Servicios de redacción  de instrucciones</v>
          </cell>
        </row>
        <row r="17240">
          <cell r="A17240">
            <v>82111502</v>
          </cell>
          <cell r="B17240" t="str">
            <v>Servicios de redacción de manuales</v>
          </cell>
        </row>
        <row r="17241">
          <cell r="A17241">
            <v>82111503</v>
          </cell>
          <cell r="B17241" t="str">
            <v>Redacción de artículos académicos o científicos</v>
          </cell>
        </row>
        <row r="17242">
          <cell r="A17242">
            <v>82111601</v>
          </cell>
          <cell r="B17242" t="str">
            <v>Servicios de redacción de cartas</v>
          </cell>
        </row>
        <row r="17243">
          <cell r="A17243">
            <v>82111602</v>
          </cell>
          <cell r="B17243" t="str">
            <v>Servicios de redacción del currículum vítae</v>
          </cell>
        </row>
        <row r="17244">
          <cell r="A17244">
            <v>82111603</v>
          </cell>
          <cell r="B17244" t="str">
            <v>Servicios de informes de tribunales</v>
          </cell>
        </row>
        <row r="17245">
          <cell r="A17245">
            <v>82111604</v>
          </cell>
          <cell r="B17245" t="str">
            <v>Servicios de transcripción</v>
          </cell>
        </row>
        <row r="17246">
          <cell r="A17246">
            <v>82111701</v>
          </cell>
          <cell r="B17246" t="str">
            <v>Servicios de escritores de artículos</v>
          </cell>
        </row>
        <row r="17247">
          <cell r="A17247">
            <v>82111702</v>
          </cell>
          <cell r="B17247" t="str">
            <v>Servicios de autores de libros</v>
          </cell>
        </row>
        <row r="17248">
          <cell r="A17248">
            <v>82111703</v>
          </cell>
          <cell r="B17248" t="str">
            <v>Servicios de autores de poesía</v>
          </cell>
        </row>
        <row r="17249">
          <cell r="A17249">
            <v>82111704</v>
          </cell>
          <cell r="B17249" t="str">
            <v>Escritura de textos publicitarios</v>
          </cell>
        </row>
        <row r="17250">
          <cell r="A17250">
            <v>82111705</v>
          </cell>
          <cell r="B17250" t="str">
            <v>Escritura de discursos</v>
          </cell>
        </row>
        <row r="17251">
          <cell r="A17251">
            <v>82111801</v>
          </cell>
          <cell r="B17251" t="str">
            <v>Servicios de edición</v>
          </cell>
        </row>
        <row r="17252">
          <cell r="A17252">
            <v>82111802</v>
          </cell>
          <cell r="B17252" t="str">
            <v>Servicios de comprobación de hechos</v>
          </cell>
        </row>
        <row r="17253">
          <cell r="A17253">
            <v>82111803</v>
          </cell>
          <cell r="B17253" t="str">
            <v>Servicios de corrección de pruebas</v>
          </cell>
        </row>
        <row r="17254">
          <cell r="A17254">
            <v>82111804</v>
          </cell>
          <cell r="B17254" t="str">
            <v>Servicios de traducción escrita</v>
          </cell>
        </row>
        <row r="17255">
          <cell r="A17255">
            <v>82111901</v>
          </cell>
          <cell r="B17255" t="str">
            <v>Servicios de comunicados de prensa</v>
          </cell>
        </row>
        <row r="17256">
          <cell r="A17256">
            <v>82111902</v>
          </cell>
          <cell r="B17256" t="str">
            <v>Servicios de boletines informativos de interés especial</v>
          </cell>
        </row>
        <row r="17257">
          <cell r="A17257">
            <v>82111903</v>
          </cell>
          <cell r="B17257" t="str">
            <v>Servicios telegráficos de agencias de noticias</v>
          </cell>
        </row>
        <row r="17258">
          <cell r="A17258">
            <v>82111904</v>
          </cell>
          <cell r="B17258" t="str">
            <v>Servicios de entrega de periódicos o material publicitario</v>
          </cell>
        </row>
        <row r="17259">
          <cell r="A17259">
            <v>82121501</v>
          </cell>
          <cell r="B17259" t="str">
            <v>Planificación  y trazados de producciones gráficas</v>
          </cell>
        </row>
        <row r="17260">
          <cell r="A17260">
            <v>82121502</v>
          </cell>
          <cell r="B17260" t="str">
            <v>Tipografía</v>
          </cell>
        </row>
        <row r="17261">
          <cell r="A17261">
            <v>82121503</v>
          </cell>
          <cell r="B17261" t="str">
            <v>Impresión digital</v>
          </cell>
        </row>
        <row r="17262">
          <cell r="A17262">
            <v>82121504</v>
          </cell>
          <cell r="B17262" t="str">
            <v>Impresión tipográfica o por serigrafía</v>
          </cell>
        </row>
        <row r="17263">
          <cell r="A17263">
            <v>82121505</v>
          </cell>
          <cell r="B17263" t="str">
            <v>Impresión promocional o publicitaria</v>
          </cell>
        </row>
        <row r="17264">
          <cell r="A17264">
            <v>82121506</v>
          </cell>
          <cell r="B17264" t="str">
            <v>Impresión de publicaciones</v>
          </cell>
        </row>
        <row r="17265">
          <cell r="A17265">
            <v>82121507</v>
          </cell>
          <cell r="B17265" t="str">
            <v>Impresión de papelería o formularios comerciales</v>
          </cell>
        </row>
        <row r="17266">
          <cell r="A17266">
            <v>82121508</v>
          </cell>
          <cell r="B17266" t="str">
            <v>Impresión de envolturas, etiquetas, sellos o bolsas</v>
          </cell>
        </row>
        <row r="17267">
          <cell r="A17267">
            <v>82121509</v>
          </cell>
          <cell r="B17267" t="str">
            <v>Impresión de valores o instrumentos financieros</v>
          </cell>
        </row>
        <row r="17268">
          <cell r="A17268">
            <v>82121510</v>
          </cell>
          <cell r="B17268" t="str">
            <v>Impresión textil</v>
          </cell>
        </row>
        <row r="17269">
          <cell r="A17269">
            <v>82121511</v>
          </cell>
          <cell r="B17269" t="str">
            <v>Impresión de hoja de instrucciones o manual técnico</v>
          </cell>
        </row>
        <row r="17270">
          <cell r="A17270">
            <v>82121512</v>
          </cell>
          <cell r="B17270" t="str">
            <v>Impresión en relieve</v>
          </cell>
        </row>
        <row r="17271">
          <cell r="A17271">
            <v>82121601</v>
          </cell>
          <cell r="B17271" t="str">
            <v>Grabado de monedas</v>
          </cell>
        </row>
        <row r="17272">
          <cell r="A17272">
            <v>82121602</v>
          </cell>
          <cell r="B17272" t="str">
            <v>Impresión de rollo grabado</v>
          </cell>
        </row>
        <row r="17273">
          <cell r="A17273">
            <v>82121603</v>
          </cell>
          <cell r="B17273" t="str">
            <v>Grabado de planchas metálicas</v>
          </cell>
        </row>
        <row r="17274">
          <cell r="A17274">
            <v>82121701</v>
          </cell>
          <cell r="B17274" t="str">
            <v>Servicios de copias en blanco y negro o de cotejo</v>
          </cell>
        </row>
        <row r="17275">
          <cell r="A17275">
            <v>82121702</v>
          </cell>
          <cell r="B17275" t="str">
            <v>Servicios de copias a color o de cotejo</v>
          </cell>
        </row>
        <row r="17276">
          <cell r="A17276">
            <v>82121801</v>
          </cell>
          <cell r="B17276" t="str">
            <v>Publicación de libros de texto o de investigación</v>
          </cell>
        </row>
        <row r="17277">
          <cell r="A17277">
            <v>82121802</v>
          </cell>
          <cell r="B17277" t="str">
            <v>Servicios de publicaciones financiadas por el autor</v>
          </cell>
        </row>
        <row r="17278">
          <cell r="A17278">
            <v>82121901</v>
          </cell>
          <cell r="B17278" t="str">
            <v>Encuadernación en rústica</v>
          </cell>
        </row>
        <row r="17279">
          <cell r="A17279">
            <v>82121902</v>
          </cell>
          <cell r="B17279" t="str">
            <v>Encuadernación espiral</v>
          </cell>
        </row>
        <row r="17280">
          <cell r="A17280">
            <v>82121903</v>
          </cell>
          <cell r="B17280" t="str">
            <v>Encuadernación con pegante</v>
          </cell>
        </row>
        <row r="17281">
          <cell r="A17281">
            <v>82121904</v>
          </cell>
          <cell r="B17281" t="str">
            <v>Encuadernación por carda o grapa</v>
          </cell>
        </row>
        <row r="17282">
          <cell r="A17282">
            <v>82121905</v>
          </cell>
          <cell r="B17282" t="str">
            <v>Restauración o reparación de encuadernaciones</v>
          </cell>
        </row>
        <row r="17283">
          <cell r="A17283">
            <v>82121906</v>
          </cell>
          <cell r="B17283" t="str">
            <v>Bronceado o dorado o ribeteado o bordeado</v>
          </cell>
        </row>
        <row r="17284">
          <cell r="A17284">
            <v>82121907</v>
          </cell>
          <cell r="B17284" t="str">
            <v>Servicios de encuadernación en vitela</v>
          </cell>
        </row>
        <row r="17285">
          <cell r="A17285">
            <v>82121908</v>
          </cell>
          <cell r="B17285" t="str">
            <v>Servicios de fabricación de maletas</v>
          </cell>
        </row>
        <row r="17286">
          <cell r="A17286">
            <v>82131501</v>
          </cell>
          <cell r="B17286" t="str">
            <v>Elaboración o reproducción de película fija</v>
          </cell>
        </row>
        <row r="17287">
          <cell r="A17287">
            <v>82131502</v>
          </cell>
          <cell r="B17287" t="str">
            <v>Elaboración o reproducción de películas de cine</v>
          </cell>
        </row>
        <row r="17288">
          <cell r="A17288">
            <v>82131503</v>
          </cell>
          <cell r="B17288" t="str">
            <v>Servicios de microficha</v>
          </cell>
        </row>
        <row r="17289">
          <cell r="A17289">
            <v>82131504</v>
          </cell>
          <cell r="B17289" t="str">
            <v>Separación de colores</v>
          </cell>
        </row>
        <row r="17290">
          <cell r="A17290">
            <v>82131601</v>
          </cell>
          <cell r="B17290" t="str">
            <v>Servicios de fotografía aérea</v>
          </cell>
        </row>
        <row r="17291">
          <cell r="A17291">
            <v>82131602</v>
          </cell>
          <cell r="B17291" t="str">
            <v>Cinematografía</v>
          </cell>
        </row>
        <row r="17292">
          <cell r="A17292">
            <v>82131603</v>
          </cell>
          <cell r="B17292" t="str">
            <v>Servicios de producción de vídeos</v>
          </cell>
        </row>
        <row r="17293">
          <cell r="A17293">
            <v>82131604</v>
          </cell>
          <cell r="B17293" t="str">
            <v>Servicios de estudio fotográfico  o fotos fijas</v>
          </cell>
        </row>
        <row r="17294">
          <cell r="A17294">
            <v>82141501</v>
          </cell>
          <cell r="B17294" t="str">
            <v>Servicios de redacción de gráficas y planes y trazados</v>
          </cell>
        </row>
        <row r="17295">
          <cell r="A17295">
            <v>82141502</v>
          </cell>
          <cell r="B17295" t="str">
            <v>Diseño o gráficos artísticos</v>
          </cell>
        </row>
        <row r="17296">
          <cell r="A17296">
            <v>82141503</v>
          </cell>
          <cell r="B17296" t="str">
            <v>Fotocomposición</v>
          </cell>
        </row>
        <row r="17297">
          <cell r="A17297">
            <v>82141504</v>
          </cell>
          <cell r="B17297" t="str">
            <v>Servicios de diseño de gráficos o gráficas</v>
          </cell>
        </row>
        <row r="17298">
          <cell r="A17298">
            <v>82141505</v>
          </cell>
          <cell r="B17298" t="str">
            <v>Servicios de diseño por computador</v>
          </cell>
        </row>
        <row r="17299">
          <cell r="A17299">
            <v>82141506</v>
          </cell>
          <cell r="B17299" t="str">
            <v>Servicios de diseño de empaques</v>
          </cell>
        </row>
        <row r="17300">
          <cell r="A17300">
            <v>82141507</v>
          </cell>
          <cell r="B17300" t="str">
            <v>Servicios de diseño de serigrafía</v>
          </cell>
        </row>
        <row r="17301">
          <cell r="A17301">
            <v>82141601</v>
          </cell>
          <cell r="B17301" t="str">
            <v>Servicios fotográficos, de montaje o enmarcado</v>
          </cell>
        </row>
        <row r="17302">
          <cell r="A17302">
            <v>82141602</v>
          </cell>
          <cell r="B17302" t="str">
            <v>Montaje de exposición de artículos</v>
          </cell>
        </row>
        <row r="17303">
          <cell r="A17303">
            <v>82151501</v>
          </cell>
          <cell r="B17303" t="str">
            <v>Servicios de pintores</v>
          </cell>
        </row>
        <row r="17304">
          <cell r="A17304">
            <v>82151502</v>
          </cell>
          <cell r="B17304" t="str">
            <v>Servicios de litógrafos</v>
          </cell>
        </row>
        <row r="17305">
          <cell r="A17305">
            <v>82151503</v>
          </cell>
          <cell r="B17305" t="str">
            <v>Servicios de caricaturistas</v>
          </cell>
        </row>
        <row r="17306">
          <cell r="A17306">
            <v>82151504</v>
          </cell>
          <cell r="B17306" t="str">
            <v>Servicios de escultores</v>
          </cell>
        </row>
        <row r="17307">
          <cell r="A17307">
            <v>82151505</v>
          </cell>
          <cell r="B17307" t="str">
            <v>Servicios de fabricantes de cerámica</v>
          </cell>
        </row>
        <row r="17308">
          <cell r="A17308">
            <v>82151506</v>
          </cell>
          <cell r="B17308" t="str">
            <v>Servicios de sopladores de vidrio</v>
          </cell>
        </row>
        <row r="17309">
          <cell r="A17309">
            <v>82151507</v>
          </cell>
          <cell r="B17309" t="str">
            <v>Servicios de hiladoras, telares o tejedoras</v>
          </cell>
        </row>
        <row r="17310">
          <cell r="A17310">
            <v>82151508</v>
          </cell>
          <cell r="B17310" t="str">
            <v>Servicios de taxidermia</v>
          </cell>
        </row>
        <row r="17311">
          <cell r="A17311">
            <v>82151601</v>
          </cell>
          <cell r="B17311" t="str">
            <v>Servicios de entrenadores de animales</v>
          </cell>
        </row>
        <row r="17312">
          <cell r="A17312">
            <v>82151602</v>
          </cell>
          <cell r="B17312" t="str">
            <v>Servicios de acróbatas</v>
          </cell>
        </row>
        <row r="17313">
          <cell r="A17313">
            <v>82151603</v>
          </cell>
          <cell r="B17313" t="str">
            <v>Servicios de magos</v>
          </cell>
        </row>
        <row r="17314">
          <cell r="A17314">
            <v>82151604</v>
          </cell>
          <cell r="B17314" t="str">
            <v>Servicios de payasos</v>
          </cell>
        </row>
        <row r="17315">
          <cell r="A17315">
            <v>82151701</v>
          </cell>
          <cell r="B17315" t="str">
            <v>Servicios de actuación</v>
          </cell>
        </row>
        <row r="17316">
          <cell r="A17316">
            <v>82151702</v>
          </cell>
          <cell r="B17316" t="str">
            <v>Servicios de comediantes</v>
          </cell>
        </row>
        <row r="17317">
          <cell r="A17317">
            <v>82151703</v>
          </cell>
          <cell r="B17317" t="str">
            <v>Servicios de bailarines</v>
          </cell>
        </row>
        <row r="17318">
          <cell r="A17318">
            <v>82151704</v>
          </cell>
          <cell r="B17318" t="str">
            <v>Servicios de músicos</v>
          </cell>
        </row>
        <row r="17319">
          <cell r="A17319">
            <v>82151705</v>
          </cell>
          <cell r="B17319" t="str">
            <v>Servicios de vocalistas</v>
          </cell>
        </row>
        <row r="17320">
          <cell r="A17320">
            <v>82151706</v>
          </cell>
          <cell r="B17320" t="str">
            <v>Servicios coreográficos</v>
          </cell>
        </row>
        <row r="17321">
          <cell r="A17321">
            <v>83101501</v>
          </cell>
          <cell r="B17321" t="str">
            <v>Abastecimiento de agua</v>
          </cell>
        </row>
        <row r="17322">
          <cell r="A17322">
            <v>83101502</v>
          </cell>
          <cell r="B17322" t="str">
            <v>Gestión de recursos hidráulicos</v>
          </cell>
        </row>
        <row r="17323">
          <cell r="A17323">
            <v>83101503</v>
          </cell>
          <cell r="B17323" t="str">
            <v>Gestión de control de la calidad del agua</v>
          </cell>
        </row>
        <row r="17324">
          <cell r="A17324">
            <v>83101504</v>
          </cell>
          <cell r="B17324" t="str">
            <v>Gestión de distribución del agua</v>
          </cell>
        </row>
        <row r="17325">
          <cell r="A17325">
            <v>83101505</v>
          </cell>
          <cell r="B17325" t="str">
            <v>Servicios de asesoramiento de política hidráulica</v>
          </cell>
        </row>
        <row r="17326">
          <cell r="A17326">
            <v>83101506</v>
          </cell>
          <cell r="B17326" t="str">
            <v>Servicios de tratamiento de aguas</v>
          </cell>
        </row>
        <row r="17327">
          <cell r="A17327">
            <v>83101507</v>
          </cell>
          <cell r="B17327" t="str">
            <v>Servicios de desalinización</v>
          </cell>
        </row>
        <row r="17328">
          <cell r="A17328">
            <v>83101508</v>
          </cell>
          <cell r="B17328" t="str">
            <v>Agua para la ciudad</v>
          </cell>
        </row>
        <row r="17329">
          <cell r="A17329">
            <v>83101509</v>
          </cell>
          <cell r="B17329" t="str">
            <v>Agua para servicios</v>
          </cell>
        </row>
        <row r="17330">
          <cell r="A17330">
            <v>83101510</v>
          </cell>
          <cell r="B17330" t="str">
            <v>Agua fría</v>
          </cell>
        </row>
        <row r="17331">
          <cell r="A17331">
            <v>83101601</v>
          </cell>
          <cell r="B17331" t="str">
            <v>Suministro de gas natural</v>
          </cell>
        </row>
        <row r="17332">
          <cell r="A17332">
            <v>83101602</v>
          </cell>
          <cell r="B17332" t="str">
            <v>Suministro de fuel-oil</v>
          </cell>
        </row>
        <row r="17333">
          <cell r="A17333">
            <v>83101603</v>
          </cell>
          <cell r="B17333" t="str">
            <v>Servicios de oleoductos</v>
          </cell>
        </row>
        <row r="17334">
          <cell r="A17334">
            <v>83101604</v>
          </cell>
          <cell r="B17334" t="str">
            <v>Servicios de gasoductos</v>
          </cell>
        </row>
        <row r="17335">
          <cell r="A17335">
            <v>83101605</v>
          </cell>
          <cell r="B17335" t="str">
            <v>Carga de las instalaciones de gas</v>
          </cell>
        </row>
        <row r="17336">
          <cell r="A17336">
            <v>83101801</v>
          </cell>
          <cell r="B17336" t="str">
            <v>Suministro de electricidad monofásica</v>
          </cell>
        </row>
        <row r="17337">
          <cell r="A17337">
            <v>83101802</v>
          </cell>
          <cell r="B17337" t="str">
            <v>Suministro de electricidad bifásica</v>
          </cell>
        </row>
        <row r="17338">
          <cell r="A17338">
            <v>83101803</v>
          </cell>
          <cell r="B17338" t="str">
            <v>Suministro de electricidad  trifásica</v>
          </cell>
        </row>
        <row r="17339">
          <cell r="A17339">
            <v>83101804</v>
          </cell>
          <cell r="B17339" t="str">
            <v>Servicios de transmisión de energía eléctrica</v>
          </cell>
        </row>
        <row r="17340">
          <cell r="A17340">
            <v>83101805</v>
          </cell>
          <cell r="B17340" t="str">
            <v>Distribución de energía eléctrica industrial</v>
          </cell>
        </row>
        <row r="17341">
          <cell r="A17341">
            <v>83101806</v>
          </cell>
          <cell r="B17341" t="str">
            <v>Distribución de energía eléctrica rural</v>
          </cell>
        </row>
        <row r="17342">
          <cell r="A17342">
            <v>83101807</v>
          </cell>
          <cell r="B17342" t="str">
            <v>Distribución de energía eléctrica municipal</v>
          </cell>
        </row>
        <row r="17343">
          <cell r="A17343">
            <v>83101808</v>
          </cell>
          <cell r="B17343" t="str">
            <v>Monitoreo de la calidad de la energía</v>
          </cell>
        </row>
        <row r="17344">
          <cell r="A17344">
            <v>83101901</v>
          </cell>
          <cell r="B17344" t="str">
            <v>Programas de conservación de energía</v>
          </cell>
        </row>
        <row r="17345">
          <cell r="A17345">
            <v>83101902</v>
          </cell>
          <cell r="B17345" t="str">
            <v>Medidas de reducción de utilización de la energía</v>
          </cell>
        </row>
        <row r="17346">
          <cell r="A17346">
            <v>83101903</v>
          </cell>
          <cell r="B17346" t="str">
            <v>Calefacción del distrito</v>
          </cell>
        </row>
        <row r="17347">
          <cell r="A17347">
            <v>83102001</v>
          </cell>
          <cell r="B17347" t="str">
            <v>Sepulturar</v>
          </cell>
        </row>
        <row r="17348">
          <cell r="A17348">
            <v>83111501</v>
          </cell>
          <cell r="B17348" t="str">
            <v>Servicio de telefonía local</v>
          </cell>
        </row>
        <row r="17349">
          <cell r="A17349">
            <v>83111502</v>
          </cell>
          <cell r="B17349" t="str">
            <v>Servicios telefónicos de larga distancia</v>
          </cell>
        </row>
        <row r="17350">
          <cell r="A17350">
            <v>83111503</v>
          </cell>
          <cell r="B17350" t="str">
            <v>Servicios de proveedores de teléfonos con pago</v>
          </cell>
        </row>
        <row r="17351">
          <cell r="A17351">
            <v>83111504</v>
          </cell>
          <cell r="B17351" t="str">
            <v>Servicios de tarjetas telefónicas prepagadas</v>
          </cell>
        </row>
        <row r="17352">
          <cell r="A17352">
            <v>83111505</v>
          </cell>
          <cell r="B17352" t="str">
            <v>Servicios de asistencia telefónica</v>
          </cell>
        </row>
        <row r="17353">
          <cell r="A17353">
            <v>83111506</v>
          </cell>
          <cell r="B17353" t="str">
            <v>Servicios de conferencia telefónica</v>
          </cell>
        </row>
        <row r="17354">
          <cell r="A17354">
            <v>83111507</v>
          </cell>
          <cell r="B17354" t="str">
            <v>Servicios de buró de central de llamadas ("call center")</v>
          </cell>
        </row>
        <row r="17355">
          <cell r="A17355">
            <v>83111508</v>
          </cell>
          <cell r="B17355" t="str">
            <v>Servicios de llamar sin pago (hacia el interior)</v>
          </cell>
        </row>
        <row r="17356">
          <cell r="A17356">
            <v>83111510</v>
          </cell>
          <cell r="B17356" t="str">
            <v>Servicio de respuesta de voz interactiva</v>
          </cell>
        </row>
        <row r="17357">
          <cell r="A17357">
            <v>83111511</v>
          </cell>
          <cell r="B17357" t="str">
            <v>Servicio de telecomunicaciones de retransmisión en trama</v>
          </cell>
        </row>
        <row r="17358">
          <cell r="A17358">
            <v>83111601</v>
          </cell>
          <cell r="B17358" t="str">
            <v>Servicios en la red para mejorar las señales de telecomunicaciones</v>
          </cell>
        </row>
        <row r="17359">
          <cell r="A17359">
            <v>83111602</v>
          </cell>
          <cell r="B17359" t="str">
            <v>Servicios de sistemas de comunicación por satélite o terrestre</v>
          </cell>
        </row>
        <row r="17360">
          <cell r="A17360">
            <v>83111603</v>
          </cell>
          <cell r="B17360" t="str">
            <v>Servicios de telefonía celular</v>
          </cell>
        </row>
        <row r="17361">
          <cell r="A17361">
            <v>83111604</v>
          </cell>
          <cell r="B17361" t="str">
            <v>Servicios de radiobúsqueda</v>
          </cell>
        </row>
        <row r="17362">
          <cell r="A17362">
            <v>83111605</v>
          </cell>
          <cell r="B17362" t="str">
            <v>Leasing de segmentos de espacio</v>
          </cell>
        </row>
        <row r="17363">
          <cell r="A17363">
            <v>83111701</v>
          </cell>
          <cell r="B17363" t="str">
            <v>Servicios de transmisión por fax</v>
          </cell>
        </row>
        <row r="17364">
          <cell r="A17364">
            <v>83111702</v>
          </cell>
          <cell r="B17364" t="str">
            <v>Servicios de transmisión telegráfica</v>
          </cell>
        </row>
        <row r="17365">
          <cell r="A17365">
            <v>83111703</v>
          </cell>
          <cell r="B17365" t="str">
            <v>Servicios de transmisión por telex</v>
          </cell>
        </row>
        <row r="17366">
          <cell r="A17366">
            <v>83111801</v>
          </cell>
          <cell r="B17366" t="str">
            <v>Servicios de televisión por cable</v>
          </cell>
        </row>
        <row r="17367">
          <cell r="A17367">
            <v>83111802</v>
          </cell>
          <cell r="B17367" t="str">
            <v>Servicios de televisión por circuito cerrado</v>
          </cell>
        </row>
        <row r="17368">
          <cell r="A17368">
            <v>83111803</v>
          </cell>
          <cell r="B17368" t="str">
            <v>Servicios de construcción o alquiler de antenas de televisión</v>
          </cell>
        </row>
        <row r="17369">
          <cell r="A17369">
            <v>83111804</v>
          </cell>
          <cell r="B17369" t="str">
            <v>Administración de emisoras de televisión</v>
          </cell>
        </row>
        <row r="17370">
          <cell r="A17370">
            <v>83111901</v>
          </cell>
          <cell r="B17370" t="str">
            <v>Administración de emisoras de radio</v>
          </cell>
        </row>
        <row r="17371">
          <cell r="A17371">
            <v>83111902</v>
          </cell>
          <cell r="B17371" t="str">
            <v>Servicios o redes de radioaficionados</v>
          </cell>
        </row>
        <row r="17372">
          <cell r="A17372">
            <v>83111903</v>
          </cell>
          <cell r="B17372" t="str">
            <v>Sistemas de radio de corto alcance</v>
          </cell>
        </row>
        <row r="17373">
          <cell r="A17373">
            <v>83111904</v>
          </cell>
          <cell r="B17373" t="str">
            <v>Servicios de estudios o equipos radiofónicos</v>
          </cell>
        </row>
        <row r="17374">
          <cell r="A17374">
            <v>83111905</v>
          </cell>
          <cell r="B17374" t="str">
            <v>Servicios bilaterales internacionales y líneas privadas internacionales arrendadas</v>
          </cell>
        </row>
        <row r="17375">
          <cell r="A17375">
            <v>83112201</v>
          </cell>
          <cell r="B17375" t="str">
            <v>Servicios de red en modo de transferencia asíncrona (atm)</v>
          </cell>
        </row>
        <row r="17376">
          <cell r="A17376">
            <v>83112202</v>
          </cell>
          <cell r="B17376" t="str">
            <v>Servicios de redes públicas de retransmisión de tramas</v>
          </cell>
        </row>
        <row r="17377">
          <cell r="A17377">
            <v>83112203</v>
          </cell>
          <cell r="B17377" t="str">
            <v>Servicios de redes gestionadas por redes virtuales privadas (vpn)</v>
          </cell>
        </row>
        <row r="17378">
          <cell r="A17378">
            <v>83112204</v>
          </cell>
          <cell r="B17378" t="str">
            <v>Servicios de redes manejadas  x75</v>
          </cell>
        </row>
        <row r="17379">
          <cell r="A17379">
            <v>83112205</v>
          </cell>
          <cell r="B17379" t="str">
            <v>Servicios de redes manejadas x25</v>
          </cell>
        </row>
        <row r="17380">
          <cell r="A17380">
            <v>83112301</v>
          </cell>
          <cell r="B17380" t="str">
            <v>Fibra oscura</v>
          </cell>
        </row>
        <row r="17381">
          <cell r="A17381">
            <v>83112302</v>
          </cell>
          <cell r="B17381" t="str">
            <v>Multiplexado de división de la longitud de onda densa (dwdm)</v>
          </cell>
        </row>
        <row r="17382">
          <cell r="A17382">
            <v>83112303</v>
          </cell>
          <cell r="B17382" t="str">
            <v>Multiplexado de división de onda (wdm)</v>
          </cell>
        </row>
        <row r="17383">
          <cell r="A17383">
            <v>83112304</v>
          </cell>
          <cell r="B17383" t="str">
            <v>Servicios de transmisión óptica (ocx)</v>
          </cell>
        </row>
        <row r="17384">
          <cell r="A17384">
            <v>83112401</v>
          </cell>
          <cell r="B17384" t="str">
            <v>Servicios de circuitos de conmutación automática de alta velocidad</v>
          </cell>
        </row>
        <row r="17385">
          <cell r="A17385">
            <v>83112402</v>
          </cell>
          <cell r="B17385" t="str">
            <v>Servicios de redes digitales de servicios integrados (isdn)</v>
          </cell>
        </row>
        <row r="17386">
          <cell r="A17386">
            <v>83112403</v>
          </cell>
          <cell r="B17386" t="str">
            <v>Circuitos de telecomunicaciones digitales punto a punto</v>
          </cell>
        </row>
        <row r="17387">
          <cell r="A17387">
            <v>83112404</v>
          </cell>
          <cell r="B17387" t="str">
            <v>Circuitos de telecomunicaciones analógicas multipunto</v>
          </cell>
        </row>
        <row r="17388">
          <cell r="A17388">
            <v>83112405</v>
          </cell>
          <cell r="B17388" t="str">
            <v>Circuitos de telecomunicaciones analógicas punto a punto</v>
          </cell>
        </row>
        <row r="17389">
          <cell r="A17389">
            <v>83112406</v>
          </cell>
          <cell r="B17389" t="str">
            <v>Línea digital de abonado (dsl)</v>
          </cell>
        </row>
        <row r="17390">
          <cell r="A17390">
            <v>83112501</v>
          </cell>
          <cell r="B17390" t="str">
            <v>Capacidad del cable submarino y capacidad pop a pop del cable submarino</v>
          </cell>
        </row>
        <row r="17391">
          <cell r="A17391">
            <v>83112502</v>
          </cell>
          <cell r="B17391" t="str">
            <v>Capacidades de eje troncal terrestre</v>
          </cell>
        </row>
        <row r="17392">
          <cell r="A17392">
            <v>83112503</v>
          </cell>
          <cell r="B17392" t="str">
            <v>Derechos de paso para el tránsito por sistemas de semicircuitos, procesamiento de datos distribuidos (ddp) y alquiler administrativo</v>
          </cell>
        </row>
        <row r="17393">
          <cell r="A17393">
            <v>83112504</v>
          </cell>
          <cell r="B17393" t="str">
            <v>Derechos no defendibles (iru) de utilización de sistemas de cables submarinos o terrestres</v>
          </cell>
        </row>
        <row r="17394">
          <cell r="A17394">
            <v>83112505</v>
          </cell>
          <cell r="B17394" t="str">
            <v>Funcionalidad de interconexión</v>
          </cell>
        </row>
        <row r="17395">
          <cell r="A17395">
            <v>83112601</v>
          </cell>
          <cell r="B17395" t="str">
            <v>Capacidades de bucle local</v>
          </cell>
        </row>
        <row r="17396">
          <cell r="A17396">
            <v>83112602</v>
          </cell>
          <cell r="B17396" t="str">
            <v>Líneas domésticas alquiladas</v>
          </cell>
        </row>
        <row r="17397">
          <cell r="A17397">
            <v>83112603</v>
          </cell>
          <cell r="B17397" t="str">
            <v>Líneas de acceso internacional</v>
          </cell>
        </row>
        <row r="17398">
          <cell r="A17398">
            <v>83112604</v>
          </cell>
          <cell r="B17398" t="str">
            <v>Servicios de acceso de discado</v>
          </cell>
        </row>
        <row r="17399">
          <cell r="A17399">
            <v>83112605</v>
          </cell>
          <cell r="B17399" t="str">
            <v>Líneas internacionales externas</v>
          </cell>
        </row>
        <row r="17400">
          <cell r="A17400">
            <v>83121501</v>
          </cell>
          <cell r="B17400" t="str">
            <v>Bibliotecas municipales para uso del público en general</v>
          </cell>
        </row>
        <row r="17401">
          <cell r="A17401">
            <v>83121502</v>
          </cell>
          <cell r="B17401" t="str">
            <v>Bibliotecas de universidades o colleges</v>
          </cell>
        </row>
        <row r="17402">
          <cell r="A17402">
            <v>83121503</v>
          </cell>
          <cell r="B17402" t="str">
            <v>Bibliotecas privadas</v>
          </cell>
        </row>
        <row r="17403">
          <cell r="A17403">
            <v>83121504</v>
          </cell>
          <cell r="B17403" t="str">
            <v>Bibliotecas gubernamentales o militares nacionales</v>
          </cell>
        </row>
        <row r="17404">
          <cell r="A17404">
            <v>83121601</v>
          </cell>
          <cell r="B17404" t="str">
            <v>Cámaras de comercio</v>
          </cell>
        </row>
        <row r="17405">
          <cell r="A17405">
            <v>83121602</v>
          </cell>
          <cell r="B17405" t="str">
            <v>Servicios de juntas de turismo</v>
          </cell>
        </row>
        <row r="17406">
          <cell r="A17406">
            <v>83121603</v>
          </cell>
          <cell r="B17406" t="str">
            <v>Sistemas de recuperación de la información computarizada</v>
          </cell>
        </row>
        <row r="17407">
          <cell r="A17407">
            <v>83121604</v>
          </cell>
          <cell r="B17407" t="str">
            <v>Sistemas de recuperación de la información de la base de datos en línea</v>
          </cell>
        </row>
        <row r="17408">
          <cell r="A17408">
            <v>83121605</v>
          </cell>
          <cell r="B17408" t="str">
            <v>Servicios de recuperación de información de la base de datos a distancia</v>
          </cell>
        </row>
        <row r="17409">
          <cell r="A17409">
            <v>83121606</v>
          </cell>
          <cell r="B17409" t="str">
            <v>Localización de saltos</v>
          </cell>
        </row>
        <row r="17410">
          <cell r="A17410">
            <v>83121701</v>
          </cell>
          <cell r="B17410" t="str">
            <v>Servicios relacionados con la televisión</v>
          </cell>
        </row>
        <row r="17411">
          <cell r="A17411">
            <v>83121702</v>
          </cell>
          <cell r="B17411" t="str">
            <v>Servicios relacionados con la radio</v>
          </cell>
        </row>
        <row r="17412">
          <cell r="A17412">
            <v>83121703</v>
          </cell>
          <cell r="B17412" t="str">
            <v>Servicios relacionados con el internet</v>
          </cell>
        </row>
        <row r="17413">
          <cell r="A17413">
            <v>83121704</v>
          </cell>
          <cell r="B17413" t="str">
            <v>Sistemas de alerta ciudadana</v>
          </cell>
        </row>
        <row r="17414">
          <cell r="A17414">
            <v>84101501</v>
          </cell>
          <cell r="B17414" t="str">
            <v>Asistencia financiera</v>
          </cell>
        </row>
        <row r="17415">
          <cell r="A17415">
            <v>84101502</v>
          </cell>
          <cell r="B17415" t="str">
            <v>Programas de movilización de ahorros</v>
          </cell>
        </row>
        <row r="17416">
          <cell r="A17416">
            <v>84101503</v>
          </cell>
          <cell r="B17416" t="str">
            <v>Acuerdos de garantía</v>
          </cell>
        </row>
        <row r="17417">
          <cell r="A17417">
            <v>84101601</v>
          </cell>
          <cell r="B17417" t="str">
            <v>Cofinanciación</v>
          </cell>
        </row>
        <row r="17418">
          <cell r="A17418">
            <v>84101602</v>
          </cell>
          <cell r="B17418" t="str">
            <v>Ayuda bilateral o multilateral</v>
          </cell>
        </row>
        <row r="17419">
          <cell r="A17419">
            <v>84101603</v>
          </cell>
          <cell r="B17419" t="str">
            <v>Ayuda no gubernamental</v>
          </cell>
        </row>
        <row r="17420">
          <cell r="A17420">
            <v>84101604</v>
          </cell>
          <cell r="B17420" t="str">
            <v>Ayuda gubernamental</v>
          </cell>
        </row>
        <row r="17421">
          <cell r="A17421">
            <v>84101701</v>
          </cell>
          <cell r="B17421" t="str">
            <v>Negociación de la deuda</v>
          </cell>
        </row>
        <row r="17422">
          <cell r="A17422">
            <v>84101702</v>
          </cell>
          <cell r="B17422" t="str">
            <v>Reorganización de la deuda</v>
          </cell>
        </row>
        <row r="17423">
          <cell r="A17423">
            <v>84101703</v>
          </cell>
          <cell r="B17423" t="str">
            <v>Amortización de la deuda</v>
          </cell>
        </row>
        <row r="17424">
          <cell r="A17424">
            <v>84101704</v>
          </cell>
          <cell r="B17424" t="str">
            <v>Servicios de cobro de la deuda</v>
          </cell>
        </row>
        <row r="17425">
          <cell r="A17425">
            <v>84101705</v>
          </cell>
          <cell r="B17425" t="str">
            <v>Servicios de recuperación</v>
          </cell>
        </row>
        <row r="17426">
          <cell r="A17426">
            <v>84111501</v>
          </cell>
          <cell r="B17426" t="str">
            <v>Servicio de contabilidad de costos</v>
          </cell>
        </row>
        <row r="17427">
          <cell r="A17427">
            <v>84111502</v>
          </cell>
          <cell r="B17427" t="str">
            <v>Servicio de contabilidad financiera</v>
          </cell>
        </row>
        <row r="17428">
          <cell r="A17428">
            <v>84111503</v>
          </cell>
          <cell r="B17428" t="str">
            <v>Servicio de contabilidad fiscal</v>
          </cell>
        </row>
        <row r="17429">
          <cell r="A17429">
            <v>84111504</v>
          </cell>
          <cell r="B17429" t="str">
            <v>Servicios de  teneduría de libros</v>
          </cell>
        </row>
        <row r="17430">
          <cell r="A17430">
            <v>84111505</v>
          </cell>
          <cell r="B17430" t="str">
            <v>Servicios de contabilidad de sueldos y salarios</v>
          </cell>
        </row>
        <row r="17431">
          <cell r="A17431">
            <v>84111506</v>
          </cell>
          <cell r="B17431" t="str">
            <v>Servicios de facturación</v>
          </cell>
        </row>
        <row r="17432">
          <cell r="A17432">
            <v>84111507</v>
          </cell>
          <cell r="B17432" t="str">
            <v>Servicio de contabilidad de inventario</v>
          </cell>
        </row>
        <row r="17433">
          <cell r="A17433">
            <v>84111601</v>
          </cell>
          <cell r="B17433" t="str">
            <v>Auditorias de cierre del ejercicio</v>
          </cell>
        </row>
        <row r="17434">
          <cell r="A17434">
            <v>84111602</v>
          </cell>
          <cell r="B17434" t="str">
            <v>Revisiones trimestrales</v>
          </cell>
        </row>
        <row r="17435">
          <cell r="A17435">
            <v>84111603</v>
          </cell>
          <cell r="B17435" t="str">
            <v>Auditorias internas</v>
          </cell>
        </row>
        <row r="17436">
          <cell r="A17436">
            <v>84111701</v>
          </cell>
          <cell r="B17436" t="str">
            <v>Servicios de tesorería</v>
          </cell>
        </row>
        <row r="17437">
          <cell r="A17437">
            <v>84111702</v>
          </cell>
          <cell r="B17437" t="str">
            <v>Servicios o programas de relaciones de inversionistas</v>
          </cell>
        </row>
        <row r="17438">
          <cell r="A17438">
            <v>84111703</v>
          </cell>
          <cell r="B17438" t="str">
            <v>Servicios de preparación o revisión de presupuestos</v>
          </cell>
        </row>
        <row r="17439">
          <cell r="A17439">
            <v>84111801</v>
          </cell>
          <cell r="B17439" t="str">
            <v>Gestores fiscales</v>
          </cell>
        </row>
        <row r="17440">
          <cell r="A17440">
            <v>84111802</v>
          </cell>
          <cell r="B17440" t="str">
            <v>Servicios de asesoría  fiscal</v>
          </cell>
        </row>
        <row r="17441">
          <cell r="A17441">
            <v>84121501</v>
          </cell>
          <cell r="B17441" t="str">
            <v>Bancos privados</v>
          </cell>
        </row>
        <row r="17442">
          <cell r="A17442">
            <v>84121502</v>
          </cell>
          <cell r="B17442" t="str">
            <v>Bancos públicos</v>
          </cell>
        </row>
        <row r="17443">
          <cell r="A17443">
            <v>84121503</v>
          </cell>
          <cell r="B17443" t="str">
            <v>Cooperativas de crédito</v>
          </cell>
        </row>
        <row r="17444">
          <cell r="A17444">
            <v>84121504</v>
          </cell>
          <cell r="B17444" t="str">
            <v>Instituciones financieras de fomento</v>
          </cell>
        </row>
        <row r="17445">
          <cell r="A17445">
            <v>84121601</v>
          </cell>
          <cell r="B17445" t="str">
            <v>Servicios de compensación de fondos</v>
          </cell>
        </row>
        <row r="17446">
          <cell r="A17446">
            <v>84121602</v>
          </cell>
          <cell r="B17446" t="str">
            <v>Servicios de cartas de crédito</v>
          </cell>
        </row>
        <row r="17447">
          <cell r="A17447">
            <v>84121603</v>
          </cell>
          <cell r="B17447" t="str">
            <v>Servicios de cambio de divisas</v>
          </cell>
        </row>
        <row r="17448">
          <cell r="A17448">
            <v>84121604</v>
          </cell>
          <cell r="B17448" t="str">
            <v>Servicios de transacción de divisas al contado</v>
          </cell>
        </row>
        <row r="17449">
          <cell r="A17449">
            <v>84121605</v>
          </cell>
          <cell r="B17449" t="str">
            <v>Servicios de conversión de moneda</v>
          </cell>
        </row>
        <row r="17450">
          <cell r="A17450">
            <v>84121606</v>
          </cell>
          <cell r="B17450" t="str">
            <v>Servicios de procesamiento de remesas</v>
          </cell>
        </row>
        <row r="17451">
          <cell r="A17451">
            <v>84121607</v>
          </cell>
          <cell r="B17451" t="str">
            <v>Servicio financiero de alquiler de operaciones</v>
          </cell>
        </row>
        <row r="17452">
          <cell r="A17452">
            <v>84121701</v>
          </cell>
          <cell r="B17452" t="str">
            <v>Asesores de inversiones</v>
          </cell>
        </row>
        <row r="17453">
          <cell r="A17453">
            <v>84121702</v>
          </cell>
          <cell r="B17453" t="str">
            <v>Política de inversiones</v>
          </cell>
        </row>
        <row r="17454">
          <cell r="A17454">
            <v>84121703</v>
          </cell>
          <cell r="B17454" t="str">
            <v>Análisis de inversiones</v>
          </cell>
        </row>
        <row r="17455">
          <cell r="A17455">
            <v>84121704</v>
          </cell>
          <cell r="B17455" t="str">
            <v>Acuerdos de inversiones</v>
          </cell>
        </row>
        <row r="17456">
          <cell r="A17456">
            <v>84121705</v>
          </cell>
          <cell r="B17456" t="str">
            <v>Datos del mercado</v>
          </cell>
        </row>
        <row r="17457">
          <cell r="A17457">
            <v>84121801</v>
          </cell>
          <cell r="B17457" t="str">
            <v>Servicios de contratación bursátil</v>
          </cell>
        </row>
        <row r="17458">
          <cell r="A17458">
            <v>84121802</v>
          </cell>
          <cell r="B17458" t="str">
            <v>Servicios de mercados de productos básicos o de futuros</v>
          </cell>
        </row>
        <row r="17459">
          <cell r="A17459">
            <v>84121803</v>
          </cell>
          <cell r="B17459" t="str">
            <v>Bonos del estado</v>
          </cell>
        </row>
        <row r="17460">
          <cell r="A17460">
            <v>84121804</v>
          </cell>
          <cell r="B17460" t="str">
            <v>Bonos emitidos por el sector privado</v>
          </cell>
        </row>
        <row r="17461">
          <cell r="A17461">
            <v>84121805</v>
          </cell>
          <cell r="B17461" t="str">
            <v>Servicios de mercado de metales preciosos</v>
          </cell>
        </row>
        <row r="17462">
          <cell r="A17462">
            <v>84121806</v>
          </cell>
          <cell r="B17462" t="str">
            <v>Servicios de custodia de valores</v>
          </cell>
        </row>
        <row r="17463">
          <cell r="A17463">
            <v>84121901</v>
          </cell>
          <cell r="B17463" t="str">
            <v>Financiación de vivienda</v>
          </cell>
        </row>
        <row r="17464">
          <cell r="A17464">
            <v>84121902</v>
          </cell>
          <cell r="B17464" t="str">
            <v>Servicios de refinanciación</v>
          </cell>
        </row>
        <row r="17465">
          <cell r="A17465">
            <v>84121903</v>
          </cell>
          <cell r="B17465" t="str">
            <v>Financiación de hipotecas comerciales</v>
          </cell>
        </row>
        <row r="17466">
          <cell r="A17466">
            <v>84122001</v>
          </cell>
          <cell r="B17466" t="str">
            <v>Servicios de verificación de depósitos</v>
          </cell>
        </row>
        <row r="17467">
          <cell r="A17467">
            <v>84131501</v>
          </cell>
          <cell r="B17467" t="str">
            <v>Seguros de edificios o del contenido de edificios</v>
          </cell>
        </row>
        <row r="17468">
          <cell r="A17468">
            <v>84131502</v>
          </cell>
          <cell r="B17468" t="str">
            <v>Seguros de propietarios de casa o rentistas</v>
          </cell>
        </row>
        <row r="17469">
          <cell r="A17469">
            <v>84131503</v>
          </cell>
          <cell r="B17469" t="str">
            <v>Seguro de automóviles o camiones</v>
          </cell>
        </row>
        <row r="17470">
          <cell r="A17470">
            <v>84131504</v>
          </cell>
          <cell r="B17470" t="str">
            <v>Seguros de carga</v>
          </cell>
        </row>
        <row r="17471">
          <cell r="A17471">
            <v>84131505</v>
          </cell>
          <cell r="B17471" t="str">
            <v>Seguros marítimos</v>
          </cell>
        </row>
        <row r="17472">
          <cell r="A17472">
            <v>84131506</v>
          </cell>
          <cell r="B17472" t="str">
            <v>Servicios de reaseguros</v>
          </cell>
        </row>
        <row r="17473">
          <cell r="A17473">
            <v>84131507</v>
          </cell>
          <cell r="B17473" t="str">
            <v>Seguro de interrupción de los procesos de negocios</v>
          </cell>
        </row>
        <row r="17474">
          <cell r="A17474">
            <v>84131508</v>
          </cell>
          <cell r="B17474" t="str">
            <v>Seguro de aportación de dinero durante el viaje</v>
          </cell>
        </row>
        <row r="17475">
          <cell r="A17475">
            <v>84131509</v>
          </cell>
          <cell r="B17475" t="str">
            <v>Seguro completo de proyectos</v>
          </cell>
        </row>
        <row r="17476">
          <cell r="A17476">
            <v>84131510</v>
          </cell>
          <cell r="B17476" t="str">
            <v>Seguro a todo riesgo para contratistas</v>
          </cell>
        </row>
        <row r="17477">
          <cell r="A17477">
            <v>84131511</v>
          </cell>
          <cell r="B17477" t="str">
            <v>Seguro de deterioro de valores</v>
          </cell>
        </row>
        <row r="17478">
          <cell r="A17478">
            <v>84131512</v>
          </cell>
          <cell r="B17478" t="str">
            <v>Seguro de equipos electrónicos</v>
          </cell>
        </row>
        <row r="17479">
          <cell r="A17479">
            <v>84131513</v>
          </cell>
          <cell r="B17479" t="str">
            <v>Seguro a todo riesgo de levantamientos</v>
          </cell>
        </row>
        <row r="17480">
          <cell r="A17480">
            <v>84131514</v>
          </cell>
          <cell r="B17480" t="str">
            <v>Seguro de garantía de fidelidad</v>
          </cell>
        </row>
        <row r="17481">
          <cell r="A17481">
            <v>84131515</v>
          </cell>
          <cell r="B17481" t="str">
            <v>Seguro colectivo de joyeros</v>
          </cell>
        </row>
        <row r="17482">
          <cell r="A17482">
            <v>84131516</v>
          </cell>
          <cell r="B17482" t="str">
            <v>Seguro de indemnización profesional</v>
          </cell>
        </row>
        <row r="17483">
          <cell r="A17483">
            <v>84131517</v>
          </cell>
          <cell r="B17483" t="str">
            <v>Seguro de viaje</v>
          </cell>
        </row>
        <row r="17484">
          <cell r="A17484">
            <v>84131601</v>
          </cell>
          <cell r="B17484" t="str">
            <v>Seguros de vida</v>
          </cell>
        </row>
        <row r="17485">
          <cell r="A17485">
            <v>84131602</v>
          </cell>
          <cell r="B17485" t="str">
            <v>Seguros de asistencia médica y hospitalización</v>
          </cell>
        </row>
        <row r="17486">
          <cell r="A17486">
            <v>84131603</v>
          </cell>
          <cell r="B17486" t="str">
            <v>Seguros de daños personales por accidente</v>
          </cell>
        </row>
        <row r="17487">
          <cell r="A17487">
            <v>84131604</v>
          </cell>
          <cell r="B17487" t="str">
            <v>Seguro de invalidez</v>
          </cell>
        </row>
        <row r="17488">
          <cell r="A17488">
            <v>84131605</v>
          </cell>
          <cell r="B17488" t="str">
            <v>Seguro de accidentes de trabajo</v>
          </cell>
        </row>
        <row r="17489">
          <cell r="A17489">
            <v>84131606</v>
          </cell>
          <cell r="B17489" t="str">
            <v>Seguros de desempleo</v>
          </cell>
        </row>
        <row r="17490">
          <cell r="A17490">
            <v>84131607</v>
          </cell>
          <cell r="B17490" t="str">
            <v>Seguro de responsabilidad civil</v>
          </cell>
        </row>
        <row r="17491">
          <cell r="A17491">
            <v>84131608</v>
          </cell>
          <cell r="B17491" t="str">
            <v>Administración y revisión de reclamos médicos</v>
          </cell>
        </row>
        <row r="17492">
          <cell r="A17492">
            <v>84131609</v>
          </cell>
          <cell r="B17492" t="str">
            <v>Programas de asistencia a empleados</v>
          </cell>
        </row>
        <row r="17493">
          <cell r="A17493">
            <v>84131610</v>
          </cell>
          <cell r="B17493" t="str">
            <v>Cuentas de gasto flexible (fsa)</v>
          </cell>
        </row>
        <row r="17494">
          <cell r="A17494">
            <v>84131701</v>
          </cell>
          <cell r="B17494" t="str">
            <v>Fondos de pensiones administrados por el empleador</v>
          </cell>
        </row>
        <row r="17495">
          <cell r="A17495">
            <v>84131702</v>
          </cell>
          <cell r="B17495" t="str">
            <v>Fondos de pensiones administrados por sindicatos o gremios</v>
          </cell>
        </row>
        <row r="17496">
          <cell r="A17496">
            <v>84131801</v>
          </cell>
          <cell r="B17496" t="str">
            <v>Fondos de pensiones autodirigidos o patrocinados por el empleador</v>
          </cell>
        </row>
        <row r="17497">
          <cell r="A17497">
            <v>84131802</v>
          </cell>
          <cell r="B17497" t="str">
            <v>Planes de jubilación autodirigidos o de iniciativa propia</v>
          </cell>
        </row>
        <row r="17498">
          <cell r="A17498">
            <v>84141501</v>
          </cell>
          <cell r="B17498" t="str">
            <v>Servicios de crédito agrícola</v>
          </cell>
        </row>
        <row r="17499">
          <cell r="A17499">
            <v>84141502</v>
          </cell>
          <cell r="B17499" t="str">
            <v>Entidades de préstamos para la pequeña empresa</v>
          </cell>
        </row>
        <row r="17500">
          <cell r="A17500">
            <v>84141503</v>
          </cell>
          <cell r="B17500" t="str">
            <v>Programas empresariales de propiedad minoritaria</v>
          </cell>
        </row>
        <row r="17501">
          <cell r="A17501">
            <v>84141601</v>
          </cell>
          <cell r="B17501" t="str">
            <v>Servicios de recopilación o reporte de información para créditos al consumidor</v>
          </cell>
        </row>
        <row r="17502">
          <cell r="A17502">
            <v>84141602</v>
          </cell>
          <cell r="B17502" t="str">
            <v>Proveedores de servicios de tarjetas de crédito</v>
          </cell>
        </row>
        <row r="17503">
          <cell r="A17503">
            <v>84141701</v>
          </cell>
          <cell r="B17503" t="str">
            <v>Servicios de recopilación de información  o reporte para créditos empresariales</v>
          </cell>
        </row>
        <row r="17504">
          <cell r="A17504">
            <v>84141702</v>
          </cell>
          <cell r="B17504" t="str">
            <v>Servicios de red de valor agregado (van)</v>
          </cell>
        </row>
        <row r="17505">
          <cell r="A17505">
            <v>85101501</v>
          </cell>
          <cell r="B17505" t="str">
            <v>Servicios hospitalarios de emergencia o quirúrgicos</v>
          </cell>
        </row>
        <row r="17506">
          <cell r="A17506">
            <v>85101502</v>
          </cell>
          <cell r="B17506" t="str">
            <v>Servicios clínicos especializados privados</v>
          </cell>
        </row>
        <row r="17507">
          <cell r="A17507">
            <v>85101503</v>
          </cell>
          <cell r="B17507" t="str">
            <v>Servicios de consultorios médicos</v>
          </cell>
        </row>
        <row r="17508">
          <cell r="A17508">
            <v>85101504</v>
          </cell>
          <cell r="B17508" t="str">
            <v>Servicios de hospitales siquiátricos</v>
          </cell>
        </row>
        <row r="17509">
          <cell r="A17509">
            <v>85101505</v>
          </cell>
          <cell r="B17509" t="str">
            <v>Servicios respiratorios hospitalarios</v>
          </cell>
        </row>
        <row r="17510">
          <cell r="A17510">
            <v>85101506</v>
          </cell>
          <cell r="B17510" t="str">
            <v>Servicios hospitalarios para el abuso de sustancias</v>
          </cell>
        </row>
        <row r="17511">
          <cell r="A17511">
            <v>85101507</v>
          </cell>
          <cell r="B17511" t="str">
            <v>Centros asistenciales de urgencia</v>
          </cell>
        </row>
        <row r="17512">
          <cell r="A17512">
            <v>85101508</v>
          </cell>
          <cell r="B17512" t="str">
            <v>Centros o servicios móviles de atención de salud</v>
          </cell>
        </row>
        <row r="17513">
          <cell r="A17513">
            <v>85101509</v>
          </cell>
          <cell r="B17513" t="str">
            <v>Servicios hospitalarios ginecológicos u obstétricos</v>
          </cell>
        </row>
        <row r="17514">
          <cell r="A17514">
            <v>85101601</v>
          </cell>
          <cell r="B17514" t="str">
            <v>Servicios de enfermería</v>
          </cell>
        </row>
        <row r="17515">
          <cell r="A17515">
            <v>85101602</v>
          </cell>
          <cell r="B17515" t="str">
            <v>Servicios de obstetricia o de preparación para el parto</v>
          </cell>
        </row>
        <row r="17516">
          <cell r="A17516">
            <v>85101603</v>
          </cell>
          <cell r="B17516" t="str">
            <v>Servicios de cuidados personal en instituciones especializadas</v>
          </cell>
        </row>
        <row r="17517">
          <cell r="A17517">
            <v>85101604</v>
          </cell>
          <cell r="B17517" t="str">
            <v>Servicios de asistencia de personal médico</v>
          </cell>
        </row>
        <row r="17518">
          <cell r="A17518">
            <v>85101605</v>
          </cell>
          <cell r="B17518" t="str">
            <v>Auxiliares de salud a domicilio</v>
          </cell>
        </row>
        <row r="17519">
          <cell r="A17519">
            <v>85101701</v>
          </cell>
          <cell r="B17519" t="str">
            <v>Política de salud</v>
          </cell>
        </row>
        <row r="17520">
          <cell r="A17520">
            <v>85101702</v>
          </cell>
          <cell r="B17520" t="str">
            <v>Legislación o regulaciones sobre salud</v>
          </cell>
        </row>
        <row r="17521">
          <cell r="A17521">
            <v>85101703</v>
          </cell>
          <cell r="B17521" t="str">
            <v>Planificación de servicios médicos</v>
          </cell>
        </row>
        <row r="17522">
          <cell r="A17522">
            <v>85101704</v>
          </cell>
          <cell r="B17522" t="str">
            <v>Economía de la salud</v>
          </cell>
        </row>
        <row r="17523">
          <cell r="A17523">
            <v>85101705</v>
          </cell>
          <cell r="B17523" t="str">
            <v>Administración de salud pública</v>
          </cell>
        </row>
        <row r="17524">
          <cell r="A17524">
            <v>85101706</v>
          </cell>
          <cell r="B17524" t="str">
            <v>Servicios tradicionales de la atención de salud</v>
          </cell>
        </row>
        <row r="17525">
          <cell r="A17525">
            <v>85101707</v>
          </cell>
          <cell r="B17525" t="str">
            <v>Servicios de evaluación de sistemas de salud</v>
          </cell>
        </row>
        <row r="17526">
          <cell r="A17526">
            <v>85111501</v>
          </cell>
          <cell r="B17526" t="str">
            <v>Servicios de prevención o control del sida</v>
          </cell>
        </row>
        <row r="17527">
          <cell r="A17527">
            <v>85111502</v>
          </cell>
          <cell r="B17527" t="str">
            <v>Servicios de prevención o control de enfermedades parasitarias</v>
          </cell>
        </row>
        <row r="17528">
          <cell r="A17528">
            <v>85111503</v>
          </cell>
          <cell r="B17528" t="str">
            <v>Servicios de prevención o control de enfermedades causadas por hongos</v>
          </cell>
        </row>
        <row r="17529">
          <cell r="A17529">
            <v>85111504</v>
          </cell>
          <cell r="B17529" t="str">
            <v>Servicios de prevención o control de la tuberculosis</v>
          </cell>
        </row>
        <row r="17530">
          <cell r="A17530">
            <v>85111505</v>
          </cell>
          <cell r="B17530" t="str">
            <v>Servicios de prevención o control de la lepra</v>
          </cell>
        </row>
        <row r="17531">
          <cell r="A17531">
            <v>85111506</v>
          </cell>
          <cell r="B17531" t="str">
            <v>Servicios de prevención o control de enfermedades bacterianas</v>
          </cell>
        </row>
        <row r="17532">
          <cell r="A17532">
            <v>85111507</v>
          </cell>
          <cell r="B17532" t="str">
            <v>Servicios de prevención o control de enfermedades de transmisión sexual</v>
          </cell>
        </row>
        <row r="17533">
          <cell r="A17533">
            <v>85111508</v>
          </cell>
          <cell r="B17533" t="str">
            <v>Servicios de prevención o control de enfermedades virales</v>
          </cell>
        </row>
        <row r="17534">
          <cell r="A17534">
            <v>85111509</v>
          </cell>
          <cell r="B17534" t="str">
            <v>Servicios de prevención o control de enfermedades zoonóticas</v>
          </cell>
        </row>
        <row r="17535">
          <cell r="A17535">
            <v>85111510</v>
          </cell>
          <cell r="B17535" t="str">
            <v>Servicios de vacunación</v>
          </cell>
        </row>
        <row r="17536">
          <cell r="A17536">
            <v>85111511</v>
          </cell>
          <cell r="B17536" t="str">
            <v>Servicios de cuarentena</v>
          </cell>
        </row>
        <row r="17537">
          <cell r="A17537">
            <v>85111512</v>
          </cell>
          <cell r="B17537" t="str">
            <v>Servicios de inmunización</v>
          </cell>
        </row>
        <row r="17538">
          <cell r="A17538">
            <v>85111513</v>
          </cell>
          <cell r="B17538" t="str">
            <v>Servicios de desinsectación</v>
          </cell>
        </row>
        <row r="17539">
          <cell r="A17539">
            <v>85111514</v>
          </cell>
          <cell r="B17539" t="str">
            <v>Servicios de prevención o control de epidemias</v>
          </cell>
        </row>
        <row r="17540">
          <cell r="A17540">
            <v>85111601</v>
          </cell>
          <cell r="B17540" t="str">
            <v>Servicios de prevención o control de enfermedades óseas</v>
          </cell>
        </row>
        <row r="17541">
          <cell r="A17541">
            <v>85111602</v>
          </cell>
          <cell r="B17541" t="str">
            <v>Servicios de prevención o control de cáncer o leucemia</v>
          </cell>
        </row>
        <row r="17542">
          <cell r="A17542">
            <v>85111603</v>
          </cell>
          <cell r="B17542" t="str">
            <v>Servicios de prevención o control de enfermedades endocrinas</v>
          </cell>
        </row>
        <row r="17543">
          <cell r="A17543">
            <v>85111604</v>
          </cell>
          <cell r="B17543" t="str">
            <v>Servicios de prevención o control de enfermedades cardiovasculares</v>
          </cell>
        </row>
        <row r="17544">
          <cell r="A17544">
            <v>85111605</v>
          </cell>
          <cell r="B17544" t="str">
            <v>Servicios de prevención o control inmunológico</v>
          </cell>
        </row>
        <row r="17545">
          <cell r="A17545">
            <v>85111606</v>
          </cell>
          <cell r="B17545" t="str">
            <v>Servicios de prevención o control de alergias</v>
          </cell>
        </row>
        <row r="17546">
          <cell r="A17546">
            <v>85111607</v>
          </cell>
          <cell r="B17546" t="str">
            <v>Servicios de prevención o control de trastornos neurológicos</v>
          </cell>
        </row>
        <row r="17547">
          <cell r="A17547">
            <v>85111608</v>
          </cell>
          <cell r="B17547" t="str">
            <v>Servicios de prevención o control de enfermedades nutricionales</v>
          </cell>
        </row>
        <row r="17548">
          <cell r="A17548">
            <v>85111609</v>
          </cell>
          <cell r="B17548" t="str">
            <v>Servicios de prevención o control de la enfermedad por radiación</v>
          </cell>
        </row>
        <row r="17549">
          <cell r="A17549">
            <v>85111610</v>
          </cell>
          <cell r="B17549" t="str">
            <v>Servicios de prevención o control de enfermedades del sistema digestivo</v>
          </cell>
        </row>
        <row r="17550">
          <cell r="A17550">
            <v>85111611</v>
          </cell>
          <cell r="B17550" t="str">
            <v>Servicios de prevención o control de enfermedades oculares</v>
          </cell>
        </row>
        <row r="17551">
          <cell r="A17551">
            <v>85111612</v>
          </cell>
          <cell r="B17551" t="str">
            <v>Servicios de prevención o control de enfermedades respiratorias</v>
          </cell>
        </row>
        <row r="17552">
          <cell r="A17552">
            <v>85111613</v>
          </cell>
          <cell r="B17552" t="str">
            <v>Servicios de prevención o control de enfermedades tropicales</v>
          </cell>
        </row>
        <row r="17553">
          <cell r="A17553">
            <v>85111614</v>
          </cell>
          <cell r="B17553" t="str">
            <v>Servicios de prevención o control de enfermedades de la niñez</v>
          </cell>
        </row>
        <row r="17554">
          <cell r="A17554">
            <v>85111615</v>
          </cell>
          <cell r="B17554" t="str">
            <v>Servicios de prevención o control de enfermedades diarreicas</v>
          </cell>
        </row>
        <row r="17555">
          <cell r="A17555">
            <v>85111616</v>
          </cell>
          <cell r="B17555" t="str">
            <v>Servicios de prevención o control del alcoholismo</v>
          </cell>
        </row>
        <row r="17556">
          <cell r="A17556">
            <v>85111617</v>
          </cell>
          <cell r="B17556" t="str">
            <v>Servicios de prevención o control de la drogadicción</v>
          </cell>
        </row>
        <row r="17557">
          <cell r="A17557">
            <v>85111701</v>
          </cell>
          <cell r="B17557" t="str">
            <v>Servicios de manejo o control de garrapatas</v>
          </cell>
        </row>
        <row r="17558">
          <cell r="A17558">
            <v>85111702</v>
          </cell>
          <cell r="B17558" t="str">
            <v>Servicios de manejo o control de la mosca tsé- tsé</v>
          </cell>
        </row>
        <row r="17559">
          <cell r="A17559">
            <v>85111703</v>
          </cell>
          <cell r="B17559" t="str">
            <v>Servicios de manejo o control de bacterias</v>
          </cell>
        </row>
        <row r="17560">
          <cell r="A17560">
            <v>85111704</v>
          </cell>
          <cell r="B17560" t="str">
            <v>Servicios de manejo o control de mosquitos</v>
          </cell>
        </row>
        <row r="17561">
          <cell r="A17561">
            <v>85121501</v>
          </cell>
          <cell r="B17561" t="str">
            <v>Servicios de atención domiciliaria por médicos de atención primaria</v>
          </cell>
        </row>
        <row r="17562">
          <cell r="A17562">
            <v>85121502</v>
          </cell>
          <cell r="B17562" t="str">
            <v>Servicios de consulta de médicos de atención primaria</v>
          </cell>
        </row>
        <row r="17563">
          <cell r="A17563">
            <v>85121503</v>
          </cell>
          <cell r="B17563" t="str">
            <v>Servicios de control de médicos de atención primaria</v>
          </cell>
        </row>
        <row r="17564">
          <cell r="A17564">
            <v>85121504</v>
          </cell>
          <cell r="B17564" t="str">
            <v>Servicios médicos de emergencia de médicos de atención primaria</v>
          </cell>
        </row>
        <row r="17565">
          <cell r="A17565">
            <v>85121601</v>
          </cell>
          <cell r="B17565" t="str">
            <v>Servicios de ginecología y obstetricia</v>
          </cell>
        </row>
        <row r="17566">
          <cell r="A17566">
            <v>85121602</v>
          </cell>
          <cell r="B17566" t="str">
            <v>Servicios de nefrología</v>
          </cell>
        </row>
        <row r="17567">
          <cell r="A17567">
            <v>85121603</v>
          </cell>
          <cell r="B17567" t="str">
            <v>Servicios de cardiología</v>
          </cell>
        </row>
        <row r="17568">
          <cell r="A17568">
            <v>85121604</v>
          </cell>
          <cell r="B17568" t="str">
            <v>Servicios de especialistas pulmonares</v>
          </cell>
        </row>
        <row r="17569">
          <cell r="A17569">
            <v>85121605</v>
          </cell>
          <cell r="B17569" t="str">
            <v>Servicios de gastroenterólogos</v>
          </cell>
        </row>
        <row r="17570">
          <cell r="A17570">
            <v>85121606</v>
          </cell>
          <cell r="B17570" t="str">
            <v>Servicios geriátricos</v>
          </cell>
        </row>
        <row r="17571">
          <cell r="A17571">
            <v>85121607</v>
          </cell>
          <cell r="B17571" t="str">
            <v>Servicios de siquiatras</v>
          </cell>
        </row>
        <row r="17572">
          <cell r="A17572">
            <v>85121608</v>
          </cell>
          <cell r="B17572" t="str">
            <v>Servicios de psicología</v>
          </cell>
        </row>
        <row r="17573">
          <cell r="A17573">
            <v>85121609</v>
          </cell>
          <cell r="B17573" t="str">
            <v>Servicios de  cirugía</v>
          </cell>
        </row>
        <row r="17574">
          <cell r="A17574">
            <v>85121610</v>
          </cell>
          <cell r="B17574" t="str">
            <v>Servicios de oftalmólogos</v>
          </cell>
        </row>
        <row r="17575">
          <cell r="A17575">
            <v>85121611</v>
          </cell>
          <cell r="B17575" t="str">
            <v>Servicios de dermatología</v>
          </cell>
        </row>
        <row r="17576">
          <cell r="A17576">
            <v>85121612</v>
          </cell>
          <cell r="B17576" t="str">
            <v>Servicios de ortopedia</v>
          </cell>
        </row>
        <row r="17577">
          <cell r="A17577">
            <v>85121613</v>
          </cell>
          <cell r="B17577" t="str">
            <v>Servicios pediátricos</v>
          </cell>
        </row>
        <row r="17578">
          <cell r="A17578">
            <v>85121614</v>
          </cell>
          <cell r="B17578" t="str">
            <v>Servicios de especialista del sistema nervioso</v>
          </cell>
        </row>
        <row r="17579">
          <cell r="A17579">
            <v>85121701</v>
          </cell>
          <cell r="B17579" t="str">
            <v>Servicios de psicoterapeutas</v>
          </cell>
        </row>
        <row r="17580">
          <cell r="A17580">
            <v>85121702</v>
          </cell>
          <cell r="B17580" t="str">
            <v>Servicios de optómetras</v>
          </cell>
        </row>
        <row r="17581">
          <cell r="A17581">
            <v>85121703</v>
          </cell>
          <cell r="B17581" t="str">
            <v>Servicios de podiatras</v>
          </cell>
        </row>
        <row r="17582">
          <cell r="A17582">
            <v>85121704</v>
          </cell>
          <cell r="B17582" t="str">
            <v>Servicios de logopedas</v>
          </cell>
        </row>
        <row r="17583">
          <cell r="A17583">
            <v>85121705</v>
          </cell>
          <cell r="B17583" t="str">
            <v>Servicios de acupuntura</v>
          </cell>
        </row>
        <row r="17584">
          <cell r="A17584">
            <v>85121706</v>
          </cell>
          <cell r="B17584" t="str">
            <v>Servicios quiroprácticos</v>
          </cell>
        </row>
        <row r="17585">
          <cell r="A17585">
            <v>85121801</v>
          </cell>
          <cell r="B17585" t="str">
            <v>Servicios de laboratorios de análisis de sangre</v>
          </cell>
        </row>
        <row r="17586">
          <cell r="A17586">
            <v>85121802</v>
          </cell>
          <cell r="B17586" t="str">
            <v>Servicios de laboratorios bacteriológicos</v>
          </cell>
        </row>
        <row r="17587">
          <cell r="A17587">
            <v>85121803</v>
          </cell>
          <cell r="B17587" t="str">
            <v>Servicios de laboratorios biológicos</v>
          </cell>
        </row>
        <row r="17588">
          <cell r="A17588">
            <v>85121804</v>
          </cell>
          <cell r="B17588" t="str">
            <v>Servicios de laboratorios patológicos</v>
          </cell>
        </row>
        <row r="17589">
          <cell r="A17589">
            <v>85121805</v>
          </cell>
          <cell r="B17589" t="str">
            <v>Servicios de laboratorios de análisis de orina</v>
          </cell>
        </row>
        <row r="17590">
          <cell r="A17590">
            <v>85121806</v>
          </cell>
          <cell r="B17590" t="str">
            <v>Servicios de laboratorios neurológicos</v>
          </cell>
        </row>
        <row r="17591">
          <cell r="A17591">
            <v>85121807</v>
          </cell>
          <cell r="B17591" t="str">
            <v>Servicios de laboratorios de ultrasonido</v>
          </cell>
        </row>
        <row r="17592">
          <cell r="A17592">
            <v>85121808</v>
          </cell>
          <cell r="B17592" t="str">
            <v>Servicios de laboratorios de rayos x</v>
          </cell>
        </row>
        <row r="17593">
          <cell r="A17593">
            <v>85121809</v>
          </cell>
          <cell r="B17593" t="str">
            <v>Servicios de bancos de sangre, esperma u órganos de trasplante</v>
          </cell>
        </row>
        <row r="17594">
          <cell r="A17594">
            <v>85121810</v>
          </cell>
          <cell r="B17594" t="str">
            <v>Detección de drogas o alcohol</v>
          </cell>
        </row>
        <row r="17595">
          <cell r="A17595">
            <v>85121901</v>
          </cell>
          <cell r="B17595" t="str">
            <v>Servicios de preparación farmacéutica</v>
          </cell>
        </row>
        <row r="17596">
          <cell r="A17596">
            <v>85121902</v>
          </cell>
          <cell r="B17596" t="str">
            <v>Servicios farmacéuticos comerciales</v>
          </cell>
        </row>
        <row r="17597">
          <cell r="A17597">
            <v>85122001</v>
          </cell>
          <cell r="B17597" t="str">
            <v>Servicios de odontólogos</v>
          </cell>
        </row>
        <row r="17598">
          <cell r="A17598">
            <v>85122002</v>
          </cell>
          <cell r="B17598" t="str">
            <v>Servicios de higienistas dentales</v>
          </cell>
        </row>
        <row r="17599">
          <cell r="A17599">
            <v>85122003</v>
          </cell>
          <cell r="B17599" t="str">
            <v>Servicios de personal de apoyo odontológico</v>
          </cell>
        </row>
        <row r="17600">
          <cell r="A17600">
            <v>85122004</v>
          </cell>
          <cell r="B17600" t="str">
            <v>Servicios de cirujanos orales</v>
          </cell>
        </row>
        <row r="17601">
          <cell r="A17601">
            <v>85122005</v>
          </cell>
          <cell r="B17601" t="str">
            <v>Servicios de ortodoncia</v>
          </cell>
        </row>
        <row r="17602">
          <cell r="A17602">
            <v>85122101</v>
          </cell>
          <cell r="B17602" t="str">
            <v>Servicios de fisioterapia</v>
          </cell>
        </row>
        <row r="17603">
          <cell r="A17603">
            <v>85122102</v>
          </cell>
          <cell r="B17603" t="str">
            <v>Servicios de terapia ocupacional</v>
          </cell>
        </row>
        <row r="17604">
          <cell r="A17604">
            <v>85122103</v>
          </cell>
          <cell r="B17604" t="str">
            <v>Servicios de rehabilitación para el abuso de sustancias</v>
          </cell>
        </row>
        <row r="17605">
          <cell r="A17605">
            <v>85122104</v>
          </cell>
          <cell r="B17605" t="str">
            <v>Servicios de rehabilitación deportiva</v>
          </cell>
        </row>
        <row r="17606">
          <cell r="A17606">
            <v>85122105</v>
          </cell>
          <cell r="B17606" t="str">
            <v>Servicios de trastornos alimenticios</v>
          </cell>
        </row>
        <row r="17607">
          <cell r="A17607">
            <v>85122106</v>
          </cell>
          <cell r="B17607" t="str">
            <v>Servicios de lesiones cerebrales o de la médula espinal</v>
          </cell>
        </row>
        <row r="17608">
          <cell r="A17608">
            <v>85122107</v>
          </cell>
          <cell r="B17608" t="str">
            <v>Servicios de rehabilitación para personas invidentes o con problemas de vista</v>
          </cell>
        </row>
        <row r="17609">
          <cell r="A17609">
            <v>85122108</v>
          </cell>
          <cell r="B17609" t="str">
            <v>Terapia del habla o del lenguaje</v>
          </cell>
        </row>
        <row r="17610">
          <cell r="A17610">
            <v>85122109</v>
          </cell>
          <cell r="B17610" t="str">
            <v>Servicios de rehabilitación para personas con discapacidades crónicas</v>
          </cell>
        </row>
        <row r="17611">
          <cell r="A17611">
            <v>85122201</v>
          </cell>
          <cell r="B17611" t="str">
            <v>Valoración del estado de salud individual</v>
          </cell>
        </row>
        <row r="17612">
          <cell r="A17612">
            <v>85131501</v>
          </cell>
          <cell r="B17612" t="str">
            <v>Servicios de trasplante de órganos</v>
          </cell>
        </row>
        <row r="17613">
          <cell r="A17613">
            <v>85131502</v>
          </cell>
          <cell r="B17613" t="str">
            <v>Ensayos clínicos de medicamentos de uso humano</v>
          </cell>
        </row>
        <row r="17614">
          <cell r="A17614">
            <v>85131503</v>
          </cell>
          <cell r="B17614" t="str">
            <v>Experimentación con animales</v>
          </cell>
        </row>
        <row r="17615">
          <cell r="A17615">
            <v>85131504</v>
          </cell>
          <cell r="B17615" t="str">
            <v>Experimentación con humanos</v>
          </cell>
        </row>
        <row r="17616">
          <cell r="A17616">
            <v>85131505</v>
          </cell>
          <cell r="B17616" t="str">
            <v>Experimentación espacial</v>
          </cell>
        </row>
        <row r="17617">
          <cell r="A17617">
            <v>85131601</v>
          </cell>
          <cell r="B17617" t="str">
            <v>Temas relacionados con la eutanasia</v>
          </cell>
        </row>
        <row r="17618">
          <cell r="A17618">
            <v>85131602</v>
          </cell>
          <cell r="B17618" t="str">
            <v>Código de conducta médica</v>
          </cell>
        </row>
        <row r="17619">
          <cell r="A17619">
            <v>85131603</v>
          </cell>
          <cell r="B17619" t="str">
            <v>Sociedades médicas</v>
          </cell>
        </row>
        <row r="17620">
          <cell r="A17620">
            <v>85131604</v>
          </cell>
          <cell r="B17620" t="str">
            <v>Servicios internacionales de monitoreo de medicamentos</v>
          </cell>
        </row>
        <row r="17621">
          <cell r="A17621">
            <v>85131701</v>
          </cell>
          <cell r="B17621" t="str">
            <v>Servicios de investigación farmacéutica</v>
          </cell>
        </row>
        <row r="17622">
          <cell r="A17622">
            <v>85131702</v>
          </cell>
          <cell r="B17622" t="str">
            <v>Servicios de investigación bacteriológica</v>
          </cell>
        </row>
        <row r="17623">
          <cell r="A17623">
            <v>85131703</v>
          </cell>
          <cell r="B17623" t="str">
            <v>Servicios de investigación biomédica</v>
          </cell>
        </row>
        <row r="17624">
          <cell r="A17624">
            <v>85131704</v>
          </cell>
          <cell r="B17624" t="str">
            <v>Servicios de investigación cardiológica</v>
          </cell>
        </row>
        <row r="17625">
          <cell r="A17625">
            <v>85131705</v>
          </cell>
          <cell r="B17625" t="str">
            <v>Servicios de investigación anatómica</v>
          </cell>
        </row>
        <row r="17626">
          <cell r="A17626">
            <v>85131706</v>
          </cell>
          <cell r="B17626" t="str">
            <v>Servicios de investigaciones patológicas</v>
          </cell>
        </row>
        <row r="17627">
          <cell r="A17627">
            <v>85131707</v>
          </cell>
          <cell r="B17627" t="str">
            <v>Servicios de investigación embriológica</v>
          </cell>
        </row>
        <row r="17628">
          <cell r="A17628">
            <v>85131708</v>
          </cell>
          <cell r="B17628" t="str">
            <v>Servicios de investigación epidemiológica</v>
          </cell>
        </row>
        <row r="17629">
          <cell r="A17629">
            <v>85131709</v>
          </cell>
          <cell r="B17629" t="str">
            <v>Servicios de investigación genética</v>
          </cell>
        </row>
        <row r="17630">
          <cell r="A17630">
            <v>85131710</v>
          </cell>
          <cell r="B17630" t="str">
            <v>Servicios de investigación inmunológica</v>
          </cell>
        </row>
        <row r="17631">
          <cell r="A17631">
            <v>85131711</v>
          </cell>
          <cell r="B17631" t="str">
            <v>Servicios de investigación fisiológica</v>
          </cell>
        </row>
        <row r="17632">
          <cell r="A17632">
            <v>85131712</v>
          </cell>
          <cell r="B17632" t="str">
            <v>Servicios de investigación toxicológica</v>
          </cell>
        </row>
        <row r="17633">
          <cell r="A17633">
            <v>85131713</v>
          </cell>
          <cell r="B17633" t="str">
            <v>Servicios de investigación neurológica</v>
          </cell>
        </row>
        <row r="17634">
          <cell r="A17634">
            <v>85141501</v>
          </cell>
          <cell r="B17634" t="str">
            <v>Servicios de hechiceros o vudús</v>
          </cell>
        </row>
        <row r="17635">
          <cell r="A17635">
            <v>85141502</v>
          </cell>
          <cell r="B17635" t="str">
            <v>Servicios de curanderos</v>
          </cell>
        </row>
        <row r="17636">
          <cell r="A17636">
            <v>85141503</v>
          </cell>
          <cell r="B17636" t="str">
            <v>Chamanes</v>
          </cell>
        </row>
        <row r="17637">
          <cell r="A17637">
            <v>85141504</v>
          </cell>
          <cell r="B17637" t="str">
            <v>Trabajo con la energía</v>
          </cell>
        </row>
        <row r="17638">
          <cell r="A17638">
            <v>85141601</v>
          </cell>
          <cell r="B17638" t="str">
            <v>Servicios de medicina herbolaria  o de herbolarios</v>
          </cell>
        </row>
        <row r="17639">
          <cell r="A17639">
            <v>85141602</v>
          </cell>
          <cell r="B17639" t="str">
            <v>Curas médicas con algas o algas marinas</v>
          </cell>
        </row>
        <row r="17640">
          <cell r="A17640">
            <v>85141603</v>
          </cell>
          <cell r="B17640" t="str">
            <v>Servicios de curas con fuentes termales</v>
          </cell>
        </row>
        <row r="17641">
          <cell r="A17641">
            <v>85141701</v>
          </cell>
          <cell r="B17641" t="str">
            <v>Valoración del diagnóstico inicial</v>
          </cell>
        </row>
        <row r="17642">
          <cell r="A17642">
            <v>85141702</v>
          </cell>
          <cell r="B17642" t="str">
            <v>Consultas de remedios</v>
          </cell>
        </row>
        <row r="17643">
          <cell r="A17643">
            <v>85151501</v>
          </cell>
          <cell r="B17643" t="str">
            <v>Servicios de control de la higiene de los alimentos</v>
          </cell>
        </row>
        <row r="17644">
          <cell r="A17644">
            <v>85151502</v>
          </cell>
          <cell r="B17644" t="str">
            <v>Servicios de control de la contaminación de alimentos</v>
          </cell>
        </row>
        <row r="17645">
          <cell r="A17645">
            <v>85151503</v>
          </cell>
          <cell r="B17645" t="str">
            <v>Servicios de gestión o control de la conservación de los alimentos</v>
          </cell>
        </row>
        <row r="17646">
          <cell r="A17646">
            <v>85151504</v>
          </cell>
          <cell r="B17646" t="str">
            <v>Servicios de asesoría o control en la preparación de alimentos</v>
          </cell>
        </row>
        <row r="17647">
          <cell r="A17647">
            <v>85151505</v>
          </cell>
          <cell r="B17647" t="str">
            <v>Servicios de investigación alimentaria</v>
          </cell>
        </row>
        <row r="17648">
          <cell r="A17648">
            <v>85151506</v>
          </cell>
          <cell r="B17648" t="str">
            <v>Estudios sobre alimentos o hábitos alimentarios</v>
          </cell>
        </row>
        <row r="17649">
          <cell r="A17649">
            <v>85151507</v>
          </cell>
          <cell r="B17649" t="str">
            <v>Servicios de estándares de calidad o aditivos alimentarios</v>
          </cell>
        </row>
        <row r="17650">
          <cell r="A17650">
            <v>85151508</v>
          </cell>
          <cell r="B17650" t="str">
            <v>Servicios de análisis de alimentos</v>
          </cell>
        </row>
        <row r="17651">
          <cell r="A17651">
            <v>85151509</v>
          </cell>
          <cell r="B17651" t="str">
            <v>Servicios de legislación alimentaria</v>
          </cell>
        </row>
        <row r="17652">
          <cell r="A17652">
            <v>85151601</v>
          </cell>
          <cell r="B17652" t="str">
            <v>Servicios de programación de la nutrición</v>
          </cell>
        </row>
        <row r="17653">
          <cell r="A17653">
            <v>85151602</v>
          </cell>
          <cell r="B17653" t="str">
            <v>Política de lactancia materna  o alimentación con biberón</v>
          </cell>
        </row>
        <row r="17654">
          <cell r="A17654">
            <v>85151603</v>
          </cell>
          <cell r="B17654" t="str">
            <v>Servicios de rehabilitación nutricional</v>
          </cell>
        </row>
        <row r="17655">
          <cell r="A17655">
            <v>85151604</v>
          </cell>
          <cell r="B17655" t="str">
            <v>Evaluación de proyectos de nutrición</v>
          </cell>
        </row>
        <row r="17656">
          <cell r="A17656">
            <v>85151605</v>
          </cell>
          <cell r="B17656" t="str">
            <v>Estrategias de desarrollo alimentario o nutricional</v>
          </cell>
        </row>
        <row r="17657">
          <cell r="A17657">
            <v>85151606</v>
          </cell>
          <cell r="B17657" t="str">
            <v>Programas de control de deficiencias de la nutrición</v>
          </cell>
        </row>
        <row r="17658">
          <cell r="A17658">
            <v>85151607</v>
          </cell>
          <cell r="B17658" t="str">
            <v>Control o programas de dietas</v>
          </cell>
        </row>
        <row r="17659">
          <cell r="A17659">
            <v>85151701</v>
          </cell>
          <cell r="B17659" t="str">
            <v>Normas alimentarias</v>
          </cell>
        </row>
        <row r="17660">
          <cell r="A17660">
            <v>85151702</v>
          </cell>
          <cell r="B17660" t="str">
            <v>Servicios de sistemas de información de ayuda alimentaria global o alerta anticipada</v>
          </cell>
        </row>
        <row r="17661">
          <cell r="A17661">
            <v>85151703</v>
          </cell>
          <cell r="B17661" t="str">
            <v>Evaluación de las necesidades de alimentos de emergencia</v>
          </cell>
        </row>
        <row r="17662">
          <cell r="A17662">
            <v>85151704</v>
          </cell>
          <cell r="B17662" t="str">
            <v>Política o programas nacionales de intervención alimentaria</v>
          </cell>
        </row>
        <row r="17663">
          <cell r="A17663">
            <v>85151705</v>
          </cell>
          <cell r="B17663" t="str">
            <v>Evaluación del impacto nutricional de la ayuda alimentaria</v>
          </cell>
        </row>
        <row r="17664">
          <cell r="A17664">
            <v>86101501</v>
          </cell>
          <cell r="B17664" t="str">
            <v>Formación profesional para la agroindustria</v>
          </cell>
        </row>
        <row r="17665">
          <cell r="A17665">
            <v>86101502</v>
          </cell>
          <cell r="B17665" t="str">
            <v>Formación profesional para la industria láctea</v>
          </cell>
        </row>
        <row r="17666">
          <cell r="A17666">
            <v>86101503</v>
          </cell>
          <cell r="B17666" t="str">
            <v>Formación profesional para la industria cárnica</v>
          </cell>
        </row>
        <row r="17667">
          <cell r="A17667">
            <v>86101504</v>
          </cell>
          <cell r="B17667" t="str">
            <v>Servicios de formación profesional agrícola</v>
          </cell>
        </row>
        <row r="17668">
          <cell r="A17668">
            <v>86101505</v>
          </cell>
          <cell r="B17668" t="str">
            <v>Servicios de formación profesional para jóvenes rurales o granjeros</v>
          </cell>
        </row>
        <row r="17669">
          <cell r="A17669">
            <v>86101506</v>
          </cell>
          <cell r="B17669" t="str">
            <v>Servicios de formación profesional forestal</v>
          </cell>
        </row>
        <row r="17670">
          <cell r="A17670">
            <v>86101507</v>
          </cell>
          <cell r="B17670" t="str">
            <v>Servicios de formación profesional pesquera</v>
          </cell>
        </row>
        <row r="17671">
          <cell r="A17671">
            <v>86101508</v>
          </cell>
          <cell r="B17671" t="str">
            <v>Servicios de formación profesional ambiental</v>
          </cell>
        </row>
        <row r="17672">
          <cell r="A17672">
            <v>86101509</v>
          </cell>
          <cell r="B17672" t="str">
            <v>Servicios de formación profesional en recursos naturales</v>
          </cell>
        </row>
        <row r="17673">
          <cell r="A17673">
            <v>86101601</v>
          </cell>
          <cell r="B17673" t="str">
            <v>Servicios de formación profesional en informática</v>
          </cell>
        </row>
        <row r="17674">
          <cell r="A17674">
            <v>86101602</v>
          </cell>
          <cell r="B17674" t="str">
            <v>Servicios de formación profesional relacionada con la energía</v>
          </cell>
        </row>
        <row r="17675">
          <cell r="A17675">
            <v>86101603</v>
          </cell>
          <cell r="B17675" t="str">
            <v>Servicios de formación  profesional  en química</v>
          </cell>
        </row>
        <row r="17676">
          <cell r="A17676">
            <v>86101604</v>
          </cell>
          <cell r="B17676" t="str">
            <v>Servicios de formación  profesional en biología</v>
          </cell>
        </row>
        <row r="17677">
          <cell r="A17677">
            <v>86101605</v>
          </cell>
          <cell r="B17677" t="str">
            <v>Servicios de formación  profesional médica</v>
          </cell>
        </row>
        <row r="17678">
          <cell r="A17678">
            <v>86101606</v>
          </cell>
          <cell r="B17678" t="str">
            <v>Servicios de formación profesional en electrónica</v>
          </cell>
        </row>
        <row r="17679">
          <cell r="A17679">
            <v>86101607</v>
          </cell>
          <cell r="B17679" t="str">
            <v>Servicios de formación profesional en telecomunicaciones</v>
          </cell>
        </row>
        <row r="17680">
          <cell r="A17680">
            <v>86101608</v>
          </cell>
          <cell r="B17680" t="str">
            <v>Servicios de formación profesional en hidráulica</v>
          </cell>
        </row>
        <row r="17681">
          <cell r="A17681">
            <v>86101609</v>
          </cell>
          <cell r="B17681" t="str">
            <v>Servicios de formación profesional industrial</v>
          </cell>
        </row>
        <row r="17682">
          <cell r="A17682">
            <v>86101610</v>
          </cell>
          <cell r="B17682" t="str">
            <v>Servicios de formación profesional en ingeniería</v>
          </cell>
        </row>
        <row r="17683">
          <cell r="A17683">
            <v>86101701</v>
          </cell>
          <cell r="B17683" t="str">
            <v>Servicios de formación profesional en comunicaciones</v>
          </cell>
        </row>
        <row r="17684">
          <cell r="A17684">
            <v>86101702</v>
          </cell>
          <cell r="B17684" t="str">
            <v>Capacitación relacionada con el turismo</v>
          </cell>
        </row>
        <row r="17685">
          <cell r="A17685">
            <v>86101703</v>
          </cell>
          <cell r="B17685" t="str">
            <v>Capacitación sobre bibliotecas o documentación</v>
          </cell>
        </row>
        <row r="17686">
          <cell r="A17686">
            <v>86101704</v>
          </cell>
          <cell r="B17686" t="str">
            <v>Capacitación sobre cadenas de aprovisionamiento o suministro</v>
          </cell>
        </row>
        <row r="17687">
          <cell r="A17687">
            <v>86101705</v>
          </cell>
          <cell r="B17687" t="str">
            <v>Capacitación administrativa</v>
          </cell>
        </row>
        <row r="17688">
          <cell r="A17688">
            <v>86101706</v>
          </cell>
          <cell r="B17688" t="str">
            <v>Servicios de formación profesional en asistencia sanitaria</v>
          </cell>
        </row>
        <row r="17689">
          <cell r="A17689">
            <v>86101707</v>
          </cell>
          <cell r="B17689" t="str">
            <v>Servicios de formación profesional sobre cuidado personal</v>
          </cell>
        </row>
        <row r="17690">
          <cell r="A17690">
            <v>86101708</v>
          </cell>
          <cell r="B17690" t="str">
            <v>Servicios de alfabetización</v>
          </cell>
        </row>
        <row r="17691">
          <cell r="A17691">
            <v>86101709</v>
          </cell>
          <cell r="B17691" t="str">
            <v>Servicios de capacitación en seguridad</v>
          </cell>
        </row>
        <row r="17692">
          <cell r="A17692">
            <v>86101710</v>
          </cell>
          <cell r="B17692" t="str">
            <v>Servicios de formación pedagógica</v>
          </cell>
        </row>
        <row r="17693">
          <cell r="A17693">
            <v>86101711</v>
          </cell>
          <cell r="B17693" t="str">
            <v>Servicios de capacitación sobre la lucha contra incendios</v>
          </cell>
        </row>
        <row r="17694">
          <cell r="A17694">
            <v>86101712</v>
          </cell>
          <cell r="B17694" t="str">
            <v>Servicios de formación profesional en artesanías</v>
          </cell>
        </row>
        <row r="17695">
          <cell r="A17695">
            <v>86101713</v>
          </cell>
          <cell r="B17695" t="str">
            <v>Servicios de formación profesional en derecho</v>
          </cell>
        </row>
        <row r="17696">
          <cell r="A17696">
            <v>86101714</v>
          </cell>
          <cell r="B17696" t="str">
            <v>Servicios de formación profesional  en ejecución de la ley</v>
          </cell>
        </row>
        <row r="17697">
          <cell r="A17697">
            <v>86101715</v>
          </cell>
          <cell r="B17697" t="str">
            <v>Servicios de formación profesional en transporte por carretera o ferrocarril</v>
          </cell>
        </row>
        <row r="17698">
          <cell r="A17698">
            <v>86101716</v>
          </cell>
          <cell r="B17698" t="str">
            <v>Servicios de formación profesional en transporte marítimo</v>
          </cell>
        </row>
        <row r="17699">
          <cell r="A17699">
            <v>86101801</v>
          </cell>
          <cell r="B17699" t="str">
            <v>Formación de recursos humanos para el sector bancario o financiero</v>
          </cell>
        </row>
        <row r="17700">
          <cell r="A17700">
            <v>86101802</v>
          </cell>
          <cell r="B17700" t="str">
            <v>Servicios de capacitación en readiestramiento o repaso</v>
          </cell>
        </row>
        <row r="17701">
          <cell r="A17701">
            <v>86101803</v>
          </cell>
          <cell r="B17701" t="str">
            <v>Servicios de rehabilitación vocacional</v>
          </cell>
        </row>
        <row r="17702">
          <cell r="A17702">
            <v>86101804</v>
          </cell>
          <cell r="B17702" t="str">
            <v>Formación de recursos humanos para el sector  comercial</v>
          </cell>
        </row>
        <row r="17703">
          <cell r="A17703">
            <v>86101805</v>
          </cell>
          <cell r="B17703" t="str">
            <v>Formación de recursos humanos para el sector  industrial</v>
          </cell>
        </row>
        <row r="17704">
          <cell r="A17704">
            <v>86101806</v>
          </cell>
          <cell r="B17704" t="str">
            <v>Formación de recursos humanos para el sector de la salud</v>
          </cell>
        </row>
        <row r="17705">
          <cell r="A17705">
            <v>86101807</v>
          </cell>
          <cell r="B17705" t="str">
            <v>Formación de recursos humanos para el sector de gestión</v>
          </cell>
        </row>
        <row r="17706">
          <cell r="A17706">
            <v>86101808</v>
          </cell>
          <cell r="B17706" t="str">
            <v>Servicios de formación de recursos humanos para el sector  público</v>
          </cell>
        </row>
        <row r="17707">
          <cell r="A17707">
            <v>86101809</v>
          </cell>
          <cell r="B17707" t="str">
            <v>Servicios de formación profesional de la marina mercante</v>
          </cell>
        </row>
        <row r="17708">
          <cell r="A17708">
            <v>86111501</v>
          </cell>
          <cell r="B17708" t="str">
            <v>Servicios de orientación para el aprendizaje a distancia</v>
          </cell>
        </row>
        <row r="17709">
          <cell r="A17709">
            <v>86111502</v>
          </cell>
          <cell r="B17709" t="str">
            <v>Servicios de enseñanza a distancia</v>
          </cell>
        </row>
        <row r="17710">
          <cell r="A17710">
            <v>86111503</v>
          </cell>
          <cell r="B17710" t="str">
            <v>Servicios de aprendizaje diplomado a distancia</v>
          </cell>
        </row>
        <row r="17711">
          <cell r="A17711">
            <v>86111504</v>
          </cell>
          <cell r="B17711" t="str">
            <v>Servicios de aprendizaje no diplomado a distancia</v>
          </cell>
        </row>
        <row r="17712">
          <cell r="A17712">
            <v>86111505</v>
          </cell>
          <cell r="B17712" t="str">
            <v>Servicios de evaluación del aprendizaje a distancia</v>
          </cell>
        </row>
        <row r="17713">
          <cell r="A17713">
            <v>86111601</v>
          </cell>
          <cell r="B17713" t="str">
            <v>Cursos nocturnos</v>
          </cell>
        </row>
        <row r="17714">
          <cell r="A17714">
            <v>86111602</v>
          </cell>
          <cell r="B17714" t="str">
            <v>Servicios de educación de tiempo parcial para adultos</v>
          </cell>
        </row>
        <row r="17715">
          <cell r="A17715">
            <v>86111603</v>
          </cell>
          <cell r="B17715" t="str">
            <v>Educación para padres</v>
          </cell>
        </row>
        <row r="17716">
          <cell r="A17716">
            <v>86111604</v>
          </cell>
          <cell r="B17716" t="str">
            <v>Educación para empleados</v>
          </cell>
        </row>
        <row r="17717">
          <cell r="A17717">
            <v>86111701</v>
          </cell>
          <cell r="B17717" t="str">
            <v>Enseñanza de idiomas extranjeros basada en la conversación</v>
          </cell>
        </row>
        <row r="17718">
          <cell r="A17718">
            <v>86111702</v>
          </cell>
          <cell r="B17718" t="str">
            <v>Enseñanza de idiomas extranjeros por inmersión</v>
          </cell>
        </row>
        <row r="17719">
          <cell r="A17719">
            <v>86111801</v>
          </cell>
          <cell r="B17719" t="str">
            <v>Intercambios educativos entre universidades</v>
          </cell>
        </row>
        <row r="17720">
          <cell r="A17720">
            <v>86111802</v>
          </cell>
          <cell r="B17720" t="str">
            <v>Intercambios educativos entre escuelas</v>
          </cell>
        </row>
        <row r="17721">
          <cell r="A17721">
            <v>86121501</v>
          </cell>
          <cell r="B17721" t="str">
            <v>Servicios educativos preescolares</v>
          </cell>
        </row>
        <row r="17722">
          <cell r="A17722">
            <v>86121502</v>
          </cell>
          <cell r="B17722" t="str">
            <v>Escuelas religiosas de educación primaria o secundaria</v>
          </cell>
        </row>
        <row r="17723">
          <cell r="A17723">
            <v>86121503</v>
          </cell>
          <cell r="B17723" t="str">
            <v>Escuelas privadas de educación primaria o secundaria</v>
          </cell>
        </row>
        <row r="17724">
          <cell r="A17724">
            <v>86121504</v>
          </cell>
          <cell r="B17724" t="str">
            <v>Escuelas públicas de educación primaria o secundaria</v>
          </cell>
        </row>
        <row r="17725">
          <cell r="A17725">
            <v>86121601</v>
          </cell>
          <cell r="B17725" t="str">
            <v>Universidades (colleges) comunitarias de dos años</v>
          </cell>
        </row>
        <row r="17726">
          <cell r="A17726">
            <v>86121602</v>
          </cell>
          <cell r="B17726" t="str">
            <v>Institutos técnicos</v>
          </cell>
        </row>
        <row r="17727">
          <cell r="A17727">
            <v>86121701</v>
          </cell>
          <cell r="B17727" t="str">
            <v>Programas de pregrado</v>
          </cell>
        </row>
        <row r="17728">
          <cell r="A17728">
            <v>86121702</v>
          </cell>
          <cell r="B17728" t="str">
            <v>Programas de posgrado</v>
          </cell>
        </row>
        <row r="17729">
          <cell r="A17729">
            <v>86121802</v>
          </cell>
          <cell r="B17729" t="str">
            <v>Seminarios teológicos</v>
          </cell>
        </row>
        <row r="17730">
          <cell r="A17730">
            <v>86121803</v>
          </cell>
          <cell r="B17730" t="str">
            <v>Escuelas profesionales técnicas</v>
          </cell>
        </row>
        <row r="17731">
          <cell r="A17731">
            <v>86121804</v>
          </cell>
          <cell r="B17731" t="str">
            <v>Escuelas profesionales no técnicas</v>
          </cell>
        </row>
        <row r="17732">
          <cell r="A17732">
            <v>86131501</v>
          </cell>
          <cell r="B17732" t="str">
            <v>Estudios de teatro</v>
          </cell>
        </row>
        <row r="17733">
          <cell r="A17733">
            <v>86131502</v>
          </cell>
          <cell r="B17733" t="str">
            <v>Pintura</v>
          </cell>
        </row>
        <row r="17734">
          <cell r="A17734">
            <v>86131503</v>
          </cell>
          <cell r="B17734" t="str">
            <v>Esculturas</v>
          </cell>
        </row>
        <row r="17735">
          <cell r="A17735">
            <v>86131504</v>
          </cell>
          <cell r="B17735" t="str">
            <v>Estudios de medios de comunicación</v>
          </cell>
        </row>
        <row r="17736">
          <cell r="A17736">
            <v>86131601</v>
          </cell>
          <cell r="B17736" t="str">
            <v>Escuelas de música</v>
          </cell>
        </row>
        <row r="17737">
          <cell r="A17737">
            <v>86131602</v>
          </cell>
          <cell r="B17737" t="str">
            <v>Educación en baile</v>
          </cell>
        </row>
        <row r="17738">
          <cell r="A17738">
            <v>86131603</v>
          </cell>
          <cell r="B17738" t="str">
            <v>Estudios de arte dramático</v>
          </cell>
        </row>
        <row r="17739">
          <cell r="A17739">
            <v>86131701</v>
          </cell>
          <cell r="B17739" t="str">
            <v>Servicios de escuelas de enseñanza automovilística</v>
          </cell>
        </row>
        <row r="17740">
          <cell r="A17740">
            <v>86131702</v>
          </cell>
          <cell r="B17740" t="str">
            <v>Servicios de escuelas de aviación</v>
          </cell>
        </row>
        <row r="17741">
          <cell r="A17741">
            <v>86131703</v>
          </cell>
          <cell r="B17741" t="str">
            <v>Servicios de escuelas náuticas de yates y veleros</v>
          </cell>
        </row>
        <row r="17742">
          <cell r="A17742">
            <v>86131801</v>
          </cell>
          <cell r="B17742" t="str">
            <v>Academias de servicio</v>
          </cell>
        </row>
        <row r="17743">
          <cell r="A17743">
            <v>86131802</v>
          </cell>
          <cell r="B17743" t="str">
            <v>Escuelas de pilotos</v>
          </cell>
        </row>
        <row r="17744">
          <cell r="A17744">
            <v>86131803</v>
          </cell>
          <cell r="B17744" t="str">
            <v>Formación de policía militar</v>
          </cell>
        </row>
        <row r="17745">
          <cell r="A17745">
            <v>86131804</v>
          </cell>
          <cell r="B17745" t="str">
            <v>Escuela de guerra</v>
          </cell>
        </row>
        <row r="17746">
          <cell r="A17746">
            <v>86131901</v>
          </cell>
          <cell r="B17746" t="str">
            <v>Servicios de escolarización primaria para personas discapacitadas</v>
          </cell>
        </row>
        <row r="17747">
          <cell r="A17747">
            <v>86131902</v>
          </cell>
          <cell r="B17747" t="str">
            <v>Servicios de escolarización secundaria para personas discapacitadas</v>
          </cell>
        </row>
        <row r="17748">
          <cell r="A17748">
            <v>86131903</v>
          </cell>
          <cell r="B17748" t="str">
            <v>Escuelas especializadas para personas discapacitadas</v>
          </cell>
        </row>
        <row r="17749">
          <cell r="A17749">
            <v>86131904</v>
          </cell>
          <cell r="B17749" t="str">
            <v>Servicios de rehabilitación especializados para personas discapacitadas</v>
          </cell>
        </row>
        <row r="17750">
          <cell r="A17750">
            <v>86141501</v>
          </cell>
          <cell r="B17750" t="str">
            <v>Servicios de asesorías educativas</v>
          </cell>
        </row>
        <row r="17751">
          <cell r="A17751">
            <v>86141502</v>
          </cell>
          <cell r="B17751" t="str">
            <v>Servicios de orientación para la cooperación universitaria</v>
          </cell>
        </row>
        <row r="17752">
          <cell r="A17752">
            <v>86141503</v>
          </cell>
          <cell r="B17752" t="str">
            <v>Servicios de asesoría para estudios en el extranjero</v>
          </cell>
        </row>
        <row r="17753">
          <cell r="A17753">
            <v>86141504</v>
          </cell>
          <cell r="B17753" t="str">
            <v>Programas de reembolso de matrículas</v>
          </cell>
        </row>
        <row r="17754">
          <cell r="A17754">
            <v>86141601</v>
          </cell>
          <cell r="B17754" t="str">
            <v>Clubes de ocio para estudiantes</v>
          </cell>
        </row>
        <row r="17755">
          <cell r="A17755">
            <v>86141602</v>
          </cell>
          <cell r="B17755" t="str">
            <v>Sindicatos de estudiantes</v>
          </cell>
        </row>
        <row r="17756">
          <cell r="A17756">
            <v>86141603</v>
          </cell>
          <cell r="B17756" t="str">
            <v>Organizaciones para viajes de estudiantes</v>
          </cell>
        </row>
        <row r="17757">
          <cell r="A17757">
            <v>86141701</v>
          </cell>
          <cell r="B17757" t="str">
            <v>Laboratorios de idiomas</v>
          </cell>
        </row>
        <row r="17758">
          <cell r="A17758">
            <v>86141702</v>
          </cell>
          <cell r="B17758" t="str">
            <v>Tecnología audiovisual</v>
          </cell>
        </row>
        <row r="17759">
          <cell r="A17759">
            <v>86141703</v>
          </cell>
          <cell r="B17759" t="str">
            <v>Instrucción programada asistida por computador</v>
          </cell>
        </row>
        <row r="17760">
          <cell r="A17760">
            <v>86141704</v>
          </cell>
          <cell r="B17760" t="str">
            <v>Servicios de biblioteca o documentación</v>
          </cell>
        </row>
        <row r="17761">
          <cell r="A17761">
            <v>90101501</v>
          </cell>
          <cell r="B17761" t="str">
            <v>Restaurantes</v>
          </cell>
        </row>
        <row r="17762">
          <cell r="A17762">
            <v>90101502</v>
          </cell>
          <cell r="B17762" t="str">
            <v>Bares</v>
          </cell>
        </row>
        <row r="17763">
          <cell r="A17763">
            <v>90101503</v>
          </cell>
          <cell r="B17763" t="str">
            <v>Establecimientos de comida rápida</v>
          </cell>
        </row>
        <row r="17764">
          <cell r="A17764">
            <v>90101504</v>
          </cell>
          <cell r="B17764" t="str">
            <v>Vendedores callejeros de alimentos</v>
          </cell>
        </row>
        <row r="17765">
          <cell r="A17765">
            <v>90101601</v>
          </cell>
          <cell r="B17765" t="str">
            <v>Instalaciones para banquetes</v>
          </cell>
        </row>
        <row r="17766">
          <cell r="A17766">
            <v>90101602</v>
          </cell>
          <cell r="B17766" t="str">
            <v>Servicios de carpas para fiestas</v>
          </cell>
        </row>
        <row r="17767">
          <cell r="A17767">
            <v>90101603</v>
          </cell>
          <cell r="B17767" t="str">
            <v>Servicios de cáterin</v>
          </cell>
        </row>
        <row r="17768">
          <cell r="A17768">
            <v>90101604</v>
          </cell>
          <cell r="B17768" t="str">
            <v>Servicios de cáterin en la obra o lugar de trabajo</v>
          </cell>
        </row>
        <row r="17769">
          <cell r="A17769">
            <v>90101701</v>
          </cell>
          <cell r="B17769" t="str">
            <v>Administración de cafeterías al pie de obra</v>
          </cell>
        </row>
        <row r="17770">
          <cell r="A17770">
            <v>90101801</v>
          </cell>
          <cell r="B17770" t="str">
            <v>Comidas para llevar preparadas profesionalmente</v>
          </cell>
        </row>
        <row r="17771">
          <cell r="A17771">
            <v>90101802</v>
          </cell>
          <cell r="B17771" t="str">
            <v>Servicios de comidas a domicilio</v>
          </cell>
        </row>
        <row r="17772">
          <cell r="A17772">
            <v>90111501</v>
          </cell>
          <cell r="B17772" t="str">
            <v>Hoteles</v>
          </cell>
        </row>
        <row r="17773">
          <cell r="A17773">
            <v>90111502</v>
          </cell>
          <cell r="B17773" t="str">
            <v>Posadas o centros turísticos</v>
          </cell>
        </row>
        <row r="17774">
          <cell r="A17774">
            <v>90111503</v>
          </cell>
          <cell r="B17774" t="str">
            <v>Hospedajes de cama y desayuno</v>
          </cell>
        </row>
        <row r="17775">
          <cell r="A17775">
            <v>90111504</v>
          </cell>
          <cell r="B17775" t="str">
            <v>Servicios de alquiler de cabañas</v>
          </cell>
        </row>
        <row r="17776">
          <cell r="A17776">
            <v>90111601</v>
          </cell>
          <cell r="B17776" t="str">
            <v>Centros de conferencias</v>
          </cell>
        </row>
        <row r="17777">
          <cell r="A17777">
            <v>90111602</v>
          </cell>
          <cell r="B17777" t="str">
            <v>Instalaciones para videoconferencias</v>
          </cell>
        </row>
        <row r="17778">
          <cell r="A17778">
            <v>90111603</v>
          </cell>
          <cell r="B17778" t="str">
            <v>Salas de reuniones o banquetes</v>
          </cell>
        </row>
        <row r="17779">
          <cell r="A17779">
            <v>90111604</v>
          </cell>
          <cell r="B17779" t="str">
            <v>Marquesinas</v>
          </cell>
        </row>
        <row r="17780">
          <cell r="A17780">
            <v>90111701</v>
          </cell>
          <cell r="B17780" t="str">
            <v>Campin</v>
          </cell>
        </row>
        <row r="17781">
          <cell r="A17781">
            <v>90111702</v>
          </cell>
          <cell r="B17781" t="str">
            <v>Parques nacionales</v>
          </cell>
        </row>
        <row r="17782">
          <cell r="A17782">
            <v>90111703</v>
          </cell>
          <cell r="B17782" t="str">
            <v>Instalaciones de campin para vehículos recreativos</v>
          </cell>
        </row>
        <row r="17783">
          <cell r="A17783">
            <v>90111801</v>
          </cell>
          <cell r="B17783" t="str">
            <v>Habitación sencilla</v>
          </cell>
        </row>
        <row r="17784">
          <cell r="A17784">
            <v>90111802</v>
          </cell>
          <cell r="B17784" t="str">
            <v>Habitación doble</v>
          </cell>
        </row>
        <row r="17785">
          <cell r="A17785">
            <v>90111803</v>
          </cell>
          <cell r="B17785" t="str">
            <v>Suite</v>
          </cell>
        </row>
        <row r="17786">
          <cell r="A17786">
            <v>90121501</v>
          </cell>
          <cell r="B17786" t="str">
            <v>Servicios de organización de excursiones</v>
          </cell>
        </row>
        <row r="17787">
          <cell r="A17787">
            <v>90121502</v>
          </cell>
          <cell r="B17787" t="str">
            <v>Agencias de viajes</v>
          </cell>
        </row>
        <row r="17788">
          <cell r="A17788">
            <v>90121503</v>
          </cell>
          <cell r="B17788" t="str">
            <v>Servicios de fletamento</v>
          </cell>
        </row>
        <row r="17789">
          <cell r="A17789">
            <v>90121601</v>
          </cell>
          <cell r="B17789" t="str">
            <v>Servicios de pasaportes</v>
          </cell>
        </row>
        <row r="17790">
          <cell r="A17790">
            <v>90121602</v>
          </cell>
          <cell r="B17790" t="str">
            <v>Servicios de visas o de documentos complementarios</v>
          </cell>
        </row>
        <row r="17791">
          <cell r="A17791">
            <v>90121701</v>
          </cell>
          <cell r="B17791" t="str">
            <v>Guías locales o de excursiones</v>
          </cell>
        </row>
        <row r="17792">
          <cell r="A17792">
            <v>90121702</v>
          </cell>
          <cell r="B17792" t="str">
            <v>Intérpretes</v>
          </cell>
        </row>
        <row r="17793">
          <cell r="A17793">
            <v>90131501</v>
          </cell>
          <cell r="B17793" t="str">
            <v>Actuaciones u obras teatrales</v>
          </cell>
        </row>
        <row r="17794">
          <cell r="A17794">
            <v>90131502</v>
          </cell>
          <cell r="B17794" t="str">
            <v>Actuaciones de danza</v>
          </cell>
        </row>
        <row r="17795">
          <cell r="A17795">
            <v>90131503</v>
          </cell>
          <cell r="B17795" t="str">
            <v>Ópera</v>
          </cell>
        </row>
        <row r="17796">
          <cell r="A17796">
            <v>90131504</v>
          </cell>
          <cell r="B17796" t="str">
            <v>Conciertos</v>
          </cell>
        </row>
        <row r="17797">
          <cell r="A17797">
            <v>90131601</v>
          </cell>
          <cell r="B17797" t="str">
            <v>Películas cinematográficas</v>
          </cell>
        </row>
        <row r="17798">
          <cell r="A17798">
            <v>90131602</v>
          </cell>
          <cell r="B17798" t="str">
            <v>Entretenimiento grabado en video</v>
          </cell>
        </row>
        <row r="17799">
          <cell r="A17799">
            <v>90141501</v>
          </cell>
          <cell r="B17799" t="str">
            <v>Juego de liga</v>
          </cell>
        </row>
        <row r="17800">
          <cell r="A17800">
            <v>90141502</v>
          </cell>
          <cell r="B17800" t="str">
            <v>Eventos competitivos</v>
          </cell>
        </row>
        <row r="17801">
          <cell r="A17801">
            <v>90141503</v>
          </cell>
          <cell r="B17801" t="str">
            <v>Exposiciones</v>
          </cell>
        </row>
        <row r="17802">
          <cell r="A17802">
            <v>90141601</v>
          </cell>
          <cell r="B17802" t="str">
            <v>Eventos deportivos profesionales patrocinados por empresas</v>
          </cell>
        </row>
        <row r="17803">
          <cell r="A17803">
            <v>90141602</v>
          </cell>
          <cell r="B17803" t="str">
            <v>Eventos deportivos aficionados patrocinados por empresas</v>
          </cell>
        </row>
        <row r="17804">
          <cell r="A17804">
            <v>90141603</v>
          </cell>
          <cell r="B17804" t="str">
            <v>Servicios de promoción de eventos deportivos</v>
          </cell>
        </row>
        <row r="17805">
          <cell r="A17805">
            <v>90141701</v>
          </cell>
          <cell r="B17805" t="str">
            <v>Ligas deportivas juveniles de competencias</v>
          </cell>
        </row>
        <row r="17806">
          <cell r="A17806">
            <v>90141702</v>
          </cell>
          <cell r="B17806" t="str">
            <v>Ligas deportivas de adultos</v>
          </cell>
        </row>
        <row r="17807">
          <cell r="A17807">
            <v>90141703</v>
          </cell>
          <cell r="B17807" t="str">
            <v>Deportes juveniles</v>
          </cell>
        </row>
        <row r="17808">
          <cell r="A17808">
            <v>90151501</v>
          </cell>
          <cell r="B17808" t="str">
            <v>Museos</v>
          </cell>
        </row>
        <row r="17809">
          <cell r="A17809">
            <v>90151502</v>
          </cell>
          <cell r="B17809" t="str">
            <v>Lugares históricos o culturales</v>
          </cell>
        </row>
        <row r="17810">
          <cell r="A17810">
            <v>90151503</v>
          </cell>
          <cell r="B17810" t="str">
            <v>Parques zoológicos</v>
          </cell>
        </row>
        <row r="17811">
          <cell r="A17811">
            <v>90151601</v>
          </cell>
          <cell r="B17811" t="str">
            <v>Circos</v>
          </cell>
        </row>
        <row r="17812">
          <cell r="A17812">
            <v>90151602</v>
          </cell>
          <cell r="B17812" t="str">
            <v>Empresas de excursiones turísticas</v>
          </cell>
        </row>
        <row r="17813">
          <cell r="A17813">
            <v>90151603</v>
          </cell>
          <cell r="B17813" t="str">
            <v>Exposiciones de arte</v>
          </cell>
        </row>
        <row r="17814">
          <cell r="A17814">
            <v>90151701</v>
          </cell>
          <cell r="B17814" t="str">
            <v>Parques temáticos</v>
          </cell>
        </row>
        <row r="17815">
          <cell r="A17815">
            <v>90151702</v>
          </cell>
          <cell r="B17815" t="str">
            <v>Parques acuáticos</v>
          </cell>
        </row>
        <row r="17816">
          <cell r="A17816">
            <v>90151703</v>
          </cell>
          <cell r="B17816" t="str">
            <v>Campos de minigolf</v>
          </cell>
        </row>
        <row r="17817">
          <cell r="A17817">
            <v>90151801</v>
          </cell>
          <cell r="B17817" t="str">
            <v>Carnavales ambulantes</v>
          </cell>
        </row>
        <row r="17818">
          <cell r="A17818">
            <v>90151802</v>
          </cell>
          <cell r="B17818" t="str">
            <v>Servicios de organización o administración de ferias</v>
          </cell>
        </row>
        <row r="17819">
          <cell r="A17819">
            <v>90151803</v>
          </cell>
          <cell r="B17819" t="str">
            <v>Construcción o creación de pabellones de feria</v>
          </cell>
        </row>
        <row r="17820">
          <cell r="A17820">
            <v>90151901</v>
          </cell>
          <cell r="B17820" t="str">
            <v>Casinos</v>
          </cell>
        </row>
        <row r="17821">
          <cell r="A17821">
            <v>90151902</v>
          </cell>
          <cell r="B17821" t="str">
            <v>Clubes de cartas</v>
          </cell>
        </row>
        <row r="17822">
          <cell r="A17822">
            <v>90151903</v>
          </cell>
          <cell r="B17822" t="str">
            <v>Hipódromos</v>
          </cell>
        </row>
        <row r="17823">
          <cell r="A17823">
            <v>90152001</v>
          </cell>
          <cell r="B17823" t="str">
            <v>Clubes nocturnos</v>
          </cell>
        </row>
        <row r="17824">
          <cell r="A17824">
            <v>90152002</v>
          </cell>
          <cell r="B17824" t="str">
            <v>Salones de baile</v>
          </cell>
        </row>
        <row r="17825">
          <cell r="A17825">
            <v>90152101</v>
          </cell>
          <cell r="B17825" t="str">
            <v>Servicios de asistencia personal</v>
          </cell>
        </row>
        <row r="17826">
          <cell r="A17826">
            <v>91101501</v>
          </cell>
          <cell r="B17826" t="str">
            <v>Gimnasios o centros de salud</v>
          </cell>
        </row>
        <row r="17827">
          <cell r="A17827">
            <v>91101502</v>
          </cell>
          <cell r="B17827" t="str">
            <v>Spas</v>
          </cell>
        </row>
        <row r="17828">
          <cell r="A17828">
            <v>91101503</v>
          </cell>
          <cell r="B17828" t="str">
            <v>Servicios de masajes</v>
          </cell>
        </row>
        <row r="17829">
          <cell r="A17829">
            <v>91101504</v>
          </cell>
          <cell r="B17829" t="str">
            <v>Clases de aeróbicos o ejercicios</v>
          </cell>
        </row>
        <row r="17830">
          <cell r="A17830">
            <v>91101505</v>
          </cell>
          <cell r="B17830" t="str">
            <v>Baños turcos o de vapor o rituales</v>
          </cell>
        </row>
        <row r="17831">
          <cell r="A17831">
            <v>91101601</v>
          </cell>
          <cell r="B17831" t="str">
            <v>Tratamientos faciales o corporales</v>
          </cell>
        </row>
        <row r="17832">
          <cell r="A17832">
            <v>91101602</v>
          </cell>
          <cell r="B17832" t="str">
            <v>Consulta de maquillaje</v>
          </cell>
        </row>
        <row r="17833">
          <cell r="A17833">
            <v>91101603</v>
          </cell>
          <cell r="B17833" t="str">
            <v>Servicios de tatuajes</v>
          </cell>
        </row>
        <row r="17834">
          <cell r="A17834">
            <v>91101604</v>
          </cell>
          <cell r="B17834" t="str">
            <v>Servicios de pirsin corporal</v>
          </cell>
        </row>
        <row r="17835">
          <cell r="A17835">
            <v>91101605</v>
          </cell>
          <cell r="B17835" t="str">
            <v>Electrólisis</v>
          </cell>
        </row>
        <row r="17836">
          <cell r="A17836">
            <v>91101701</v>
          </cell>
          <cell r="B17836" t="str">
            <v>Servicios de corte y tinte de pelo</v>
          </cell>
        </row>
        <row r="17837">
          <cell r="A17837">
            <v>91101702</v>
          </cell>
          <cell r="B17837" t="str">
            <v>Servicios de extensiones o reemplazo de cabello</v>
          </cell>
        </row>
        <row r="17838">
          <cell r="A17838">
            <v>91101801</v>
          </cell>
          <cell r="B17838" t="str">
            <v>Alquiler de esmóquines o trajes de etiqueta</v>
          </cell>
        </row>
        <row r="17839">
          <cell r="A17839">
            <v>91101802</v>
          </cell>
          <cell r="B17839" t="str">
            <v>Alquiler de vestidos o  trajes de noche o de novia</v>
          </cell>
        </row>
        <row r="17840">
          <cell r="A17840">
            <v>91101803</v>
          </cell>
          <cell r="B17840" t="str">
            <v>Alquiler de disfraces</v>
          </cell>
        </row>
        <row r="17841">
          <cell r="A17841">
            <v>91101901</v>
          </cell>
          <cell r="B17841" t="str">
            <v>Asesor de colores</v>
          </cell>
        </row>
        <row r="17842">
          <cell r="A17842">
            <v>91101902</v>
          </cell>
          <cell r="B17842" t="str">
            <v>Estilista de moda</v>
          </cell>
        </row>
        <row r="17843">
          <cell r="A17843">
            <v>91101903</v>
          </cell>
          <cell r="B17843" t="str">
            <v>Asesor de vestuario</v>
          </cell>
        </row>
        <row r="17844">
          <cell r="A17844">
            <v>91111501</v>
          </cell>
          <cell r="B17844" t="str">
            <v>Alquiler de uniformes</v>
          </cell>
        </row>
        <row r="17845">
          <cell r="A17845">
            <v>91111502</v>
          </cell>
          <cell r="B17845" t="str">
            <v>Servicios de lavandería</v>
          </cell>
        </row>
        <row r="17846">
          <cell r="A17846">
            <v>91111503</v>
          </cell>
          <cell r="B17846" t="str">
            <v>Lavado en seco</v>
          </cell>
        </row>
        <row r="17847">
          <cell r="A17847">
            <v>91111504</v>
          </cell>
          <cell r="B17847" t="str">
            <v>Lavandería de autoservicio operadas con monedas</v>
          </cell>
        </row>
        <row r="17848">
          <cell r="A17848">
            <v>91111601</v>
          </cell>
          <cell r="B17848" t="str">
            <v>Servicios de ama de llaves</v>
          </cell>
        </row>
        <row r="17849">
          <cell r="A17849">
            <v>91111602</v>
          </cell>
          <cell r="B17849" t="str">
            <v>Servicios de cuidado de patios o piscinas</v>
          </cell>
        </row>
        <row r="17850">
          <cell r="A17850">
            <v>91111603</v>
          </cell>
          <cell r="B17850" t="str">
            <v>Servicios de cocina o preparación de comidas</v>
          </cell>
        </row>
        <row r="17851">
          <cell r="A17851">
            <v>91111701</v>
          </cell>
          <cell r="B17851" t="str">
            <v>Servicios de envío de ropa usada</v>
          </cell>
        </row>
        <row r="17852">
          <cell r="A17852">
            <v>91111702</v>
          </cell>
          <cell r="B17852" t="str">
            <v>Clubes o consorcios de trueque</v>
          </cell>
        </row>
        <row r="17853">
          <cell r="A17853">
            <v>91111703</v>
          </cell>
          <cell r="B17853" t="str">
            <v>Servicios de compra de vestuario</v>
          </cell>
        </row>
        <row r="17854">
          <cell r="A17854">
            <v>91111801</v>
          </cell>
          <cell r="B17854" t="str">
            <v>Servicios de valet</v>
          </cell>
        </row>
        <row r="17855">
          <cell r="A17855">
            <v>91111802</v>
          </cell>
          <cell r="B17855" t="str">
            <v>Concesiones de guardarropía</v>
          </cell>
        </row>
        <row r="17856">
          <cell r="A17856">
            <v>91111803</v>
          </cell>
          <cell r="B17856" t="str">
            <v>Alquiler de casilleros</v>
          </cell>
        </row>
        <row r="17857">
          <cell r="A17857">
            <v>91111804</v>
          </cell>
          <cell r="B17857" t="str">
            <v>Almacenamiento de pieles</v>
          </cell>
        </row>
        <row r="17858">
          <cell r="A17858">
            <v>91111901</v>
          </cell>
          <cell r="B17858" t="str">
            <v>Servicios de guardería para niños o bebés</v>
          </cell>
        </row>
        <row r="17859">
          <cell r="A17859">
            <v>91111902</v>
          </cell>
          <cell r="B17859" t="str">
            <v>Servicios de niñera o cuidado de niños</v>
          </cell>
        </row>
        <row r="17860">
          <cell r="A17860">
            <v>91111903</v>
          </cell>
          <cell r="B17860" t="str">
            <v>Servicios asistenciales diurnos para  ancianos</v>
          </cell>
        </row>
        <row r="17861">
          <cell r="A17861">
            <v>91111904</v>
          </cell>
          <cell r="B17861" t="str">
            <v>Servicios de vivienda asistida</v>
          </cell>
        </row>
        <row r="17862">
          <cell r="A17862">
            <v>92101501</v>
          </cell>
          <cell r="B17862" t="str">
            <v>Servicios de vigilancia</v>
          </cell>
        </row>
        <row r="17863">
          <cell r="A17863">
            <v>92101502</v>
          </cell>
          <cell r="B17863" t="str">
            <v>Equipos de armas y tácticas especiales swat o equipos antidisturbios</v>
          </cell>
        </row>
        <row r="17864">
          <cell r="A17864">
            <v>92101503</v>
          </cell>
          <cell r="B17864" t="str">
            <v>Programas de ayuda a la comunidad</v>
          </cell>
        </row>
        <row r="17865">
          <cell r="A17865">
            <v>92101504</v>
          </cell>
          <cell r="B17865" t="str">
            <v>Programas para la disuasión de delitos</v>
          </cell>
        </row>
        <row r="17866">
          <cell r="A17866">
            <v>92101601</v>
          </cell>
          <cell r="B17866" t="str">
            <v>Servicios contra incendios municipales o nacionales</v>
          </cell>
        </row>
        <row r="17867">
          <cell r="A17867">
            <v>92101602</v>
          </cell>
          <cell r="B17867" t="str">
            <v>Servicios de cuerpos de bomberos voluntarios</v>
          </cell>
        </row>
        <row r="17868">
          <cell r="A17868">
            <v>92101603</v>
          </cell>
          <cell r="B17868" t="str">
            <v>Servicios para la  prevención de incendios</v>
          </cell>
        </row>
        <row r="17869">
          <cell r="A17869">
            <v>92101604</v>
          </cell>
          <cell r="B17869" t="str">
            <v>Servicios contra incendios en bosques o tierras vírgenes</v>
          </cell>
        </row>
        <row r="17870">
          <cell r="A17870">
            <v>92101701</v>
          </cell>
          <cell r="B17870" t="str">
            <v>Servicios de cárcel o prisión o penitenciaría</v>
          </cell>
        </row>
        <row r="17871">
          <cell r="A17871">
            <v>92101702</v>
          </cell>
          <cell r="B17871" t="str">
            <v>Servicios de campamentos o instalaciones para jóvenes</v>
          </cell>
        </row>
        <row r="17872">
          <cell r="A17872">
            <v>92101703</v>
          </cell>
          <cell r="B17872" t="str">
            <v>Servicios de casas de paso</v>
          </cell>
        </row>
        <row r="17873">
          <cell r="A17873">
            <v>92101704</v>
          </cell>
          <cell r="B17873" t="str">
            <v>Instalaciones penales para discapacitados mentales</v>
          </cell>
        </row>
        <row r="17874">
          <cell r="A17874">
            <v>92101801</v>
          </cell>
          <cell r="B17874" t="str">
            <v>Servicios de comisario de policía</v>
          </cell>
        </row>
        <row r="17875">
          <cell r="A17875">
            <v>92101802</v>
          </cell>
          <cell r="B17875" t="str">
            <v>Acuerdos de reducción de pena</v>
          </cell>
        </row>
        <row r="17876">
          <cell r="A17876">
            <v>92101803</v>
          </cell>
          <cell r="B17876" t="str">
            <v>Costas o costos de procesos civiles</v>
          </cell>
        </row>
        <row r="17877">
          <cell r="A17877">
            <v>92101804</v>
          </cell>
          <cell r="B17877" t="str">
            <v>Multas u honorarios de procesos penales</v>
          </cell>
        </row>
        <row r="17878">
          <cell r="A17878">
            <v>92101805</v>
          </cell>
          <cell r="B17878" t="str">
            <v>Trámites de apelación o revisión judicial</v>
          </cell>
        </row>
        <row r="17879">
          <cell r="A17879">
            <v>92101901</v>
          </cell>
          <cell r="B17879" t="str">
            <v>Equipos de búsqueda y salvamento</v>
          </cell>
        </row>
        <row r="17880">
          <cell r="A17880">
            <v>92101902</v>
          </cell>
          <cell r="B17880" t="str">
            <v>Servicios de ambulancia</v>
          </cell>
        </row>
        <row r="17881">
          <cell r="A17881">
            <v>92101903</v>
          </cell>
          <cell r="B17881" t="str">
            <v>Servicios de helicópteros de salvamento</v>
          </cell>
        </row>
        <row r="17882">
          <cell r="A17882">
            <v>92101904</v>
          </cell>
          <cell r="B17882" t="str">
            <v>Servicios de salvavidas para piscina o playa</v>
          </cell>
        </row>
        <row r="17883">
          <cell r="A17883">
            <v>92111501</v>
          </cell>
          <cell r="B17883" t="str">
            <v>Mediación o conciliación o negociación o resolución de disputas</v>
          </cell>
        </row>
        <row r="17884">
          <cell r="A17884">
            <v>92111502</v>
          </cell>
          <cell r="B17884" t="str">
            <v>Operaciones de mantenimiento de la paz</v>
          </cell>
        </row>
        <row r="17885">
          <cell r="A17885">
            <v>92111503</v>
          </cell>
          <cell r="B17885" t="str">
            <v>Acuerdos de cese del fuego o supervisión de treguas</v>
          </cell>
        </row>
        <row r="17886">
          <cell r="A17886">
            <v>92111504</v>
          </cell>
          <cell r="B17886" t="str">
            <v>Misiones de investigación</v>
          </cell>
        </row>
        <row r="17887">
          <cell r="A17887">
            <v>92111505</v>
          </cell>
          <cell r="B17887" t="str">
            <v>Estrategias de prevención de la guerra</v>
          </cell>
        </row>
        <row r="17888">
          <cell r="A17888">
            <v>92111506</v>
          </cell>
          <cell r="B17888" t="str">
            <v>Contraterrorismo</v>
          </cell>
        </row>
        <row r="17889">
          <cell r="A17889">
            <v>92111507</v>
          </cell>
          <cell r="B17889" t="str">
            <v>Embargos</v>
          </cell>
        </row>
        <row r="17890">
          <cell r="A17890">
            <v>92111601</v>
          </cell>
          <cell r="B17890" t="str">
            <v>Limitación  de armamentos</v>
          </cell>
        </row>
        <row r="17891">
          <cell r="A17891">
            <v>92111602</v>
          </cell>
          <cell r="B17891" t="str">
            <v>Desarme de armas convencionales</v>
          </cell>
        </row>
        <row r="17892">
          <cell r="A17892">
            <v>92111603</v>
          </cell>
          <cell r="B17892" t="str">
            <v>Moratoria o desarme nuclear</v>
          </cell>
        </row>
        <row r="17893">
          <cell r="A17893">
            <v>92111604</v>
          </cell>
          <cell r="B17893" t="str">
            <v>Destrucción de armas</v>
          </cell>
        </row>
        <row r="17894">
          <cell r="A17894">
            <v>92111605</v>
          </cell>
          <cell r="B17894" t="str">
            <v>Negociaciones o acuerdos de desarme</v>
          </cell>
        </row>
        <row r="17895">
          <cell r="A17895">
            <v>92111606</v>
          </cell>
          <cell r="B17895" t="str">
            <v>Reducción de fuerza mutua o equilibrada.</v>
          </cell>
        </row>
        <row r="17896">
          <cell r="A17896">
            <v>92111701</v>
          </cell>
          <cell r="B17896" t="str">
            <v>Historia militar</v>
          </cell>
        </row>
        <row r="17897">
          <cell r="A17897">
            <v>92111702</v>
          </cell>
          <cell r="B17897" t="str">
            <v>Uso de armas convencionales</v>
          </cell>
        </row>
        <row r="17898">
          <cell r="A17898">
            <v>92111703</v>
          </cell>
          <cell r="B17898" t="str">
            <v>Uso de armas químicas</v>
          </cell>
        </row>
        <row r="17899">
          <cell r="A17899">
            <v>92111704</v>
          </cell>
          <cell r="B17899" t="str">
            <v>Guerra de guerrillas</v>
          </cell>
        </row>
        <row r="17900">
          <cell r="A17900">
            <v>92111705</v>
          </cell>
          <cell r="B17900" t="str">
            <v>Estrategia militar</v>
          </cell>
        </row>
        <row r="17901">
          <cell r="A17901">
            <v>92111706</v>
          </cell>
          <cell r="B17901" t="str">
            <v>Maniobras aéreas</v>
          </cell>
        </row>
        <row r="17902">
          <cell r="A17902">
            <v>92111707</v>
          </cell>
          <cell r="B17902" t="str">
            <v>Maniobras navales o submarinas</v>
          </cell>
        </row>
        <row r="17903">
          <cell r="A17903">
            <v>92111708</v>
          </cell>
          <cell r="B17903" t="str">
            <v>Maniobras terrestres</v>
          </cell>
        </row>
        <row r="17904">
          <cell r="A17904">
            <v>92111801</v>
          </cell>
          <cell r="B17904" t="str">
            <v>Defensa civil</v>
          </cell>
        </row>
        <row r="17905">
          <cell r="A17905">
            <v>92111802</v>
          </cell>
          <cell r="B17905" t="str">
            <v>Servicio militar obligatorio</v>
          </cell>
        </row>
        <row r="17906">
          <cell r="A17906">
            <v>92111803</v>
          </cell>
          <cell r="B17906" t="str">
            <v>Servicio militar voluntario</v>
          </cell>
        </row>
        <row r="17907">
          <cell r="A17907">
            <v>92111804</v>
          </cell>
          <cell r="B17907" t="str">
            <v>Reservistas militares</v>
          </cell>
        </row>
        <row r="17908">
          <cell r="A17908">
            <v>92111805</v>
          </cell>
          <cell r="B17908" t="str">
            <v>Guerrillas</v>
          </cell>
        </row>
        <row r="17909">
          <cell r="A17909">
            <v>92111806</v>
          </cell>
          <cell r="B17909" t="str">
            <v>Mercenarios</v>
          </cell>
        </row>
        <row r="17910">
          <cell r="A17910">
            <v>92111807</v>
          </cell>
          <cell r="B17910" t="str">
            <v>Veteranos de guerra</v>
          </cell>
        </row>
        <row r="17911">
          <cell r="A17911">
            <v>92111808</v>
          </cell>
          <cell r="B17911" t="str">
            <v>Tribunales militares</v>
          </cell>
        </row>
        <row r="17912">
          <cell r="A17912">
            <v>92111809</v>
          </cell>
          <cell r="B17912" t="str">
            <v>Delitos militares</v>
          </cell>
        </row>
        <row r="17913">
          <cell r="A17913">
            <v>92111810</v>
          </cell>
          <cell r="B17913" t="str">
            <v>Personal militar</v>
          </cell>
        </row>
        <row r="17914">
          <cell r="A17914">
            <v>92111901</v>
          </cell>
          <cell r="B17914" t="str">
            <v>Seguridad nacional</v>
          </cell>
        </row>
        <row r="17915">
          <cell r="A17915">
            <v>92111902</v>
          </cell>
          <cell r="B17915" t="str">
            <v>Contratos de defensa</v>
          </cell>
        </row>
        <row r="17916">
          <cell r="A17916">
            <v>92111903</v>
          </cell>
          <cell r="B17916" t="str">
            <v>Política de no primer uso</v>
          </cell>
        </row>
        <row r="17917">
          <cell r="A17917">
            <v>92111904</v>
          </cell>
          <cell r="B17917" t="str">
            <v>Carrera armamentista</v>
          </cell>
        </row>
        <row r="17918">
          <cell r="A17918">
            <v>92111905</v>
          </cell>
          <cell r="B17918" t="str">
            <v>Relaciones militares</v>
          </cell>
        </row>
        <row r="17919">
          <cell r="A17919">
            <v>92112001</v>
          </cell>
          <cell r="B17919" t="str">
            <v>Zonas desmilitarizadas</v>
          </cell>
        </row>
        <row r="17920">
          <cell r="A17920">
            <v>92112002</v>
          </cell>
          <cell r="B17920" t="str">
            <v>Zonas libres de armas nucleares o químicas</v>
          </cell>
        </row>
        <row r="17921">
          <cell r="A17921">
            <v>92112003</v>
          </cell>
          <cell r="B17921" t="str">
            <v>Zonas de paz</v>
          </cell>
        </row>
        <row r="17922">
          <cell r="A17922">
            <v>92112004</v>
          </cell>
          <cell r="B17922" t="str">
            <v>Zonas de exclusión aérea</v>
          </cell>
        </row>
        <row r="17923">
          <cell r="A17923">
            <v>92112101</v>
          </cell>
          <cell r="B17923" t="str">
            <v>Salvaguardias nucleares</v>
          </cell>
        </row>
        <row r="17924">
          <cell r="A17924">
            <v>92112102</v>
          </cell>
          <cell r="B17924" t="str">
            <v>Ensayos de armas nucleares</v>
          </cell>
        </row>
        <row r="17925">
          <cell r="A17925">
            <v>92112103</v>
          </cell>
          <cell r="B17925" t="str">
            <v>No proliferación nuclear</v>
          </cell>
        </row>
        <row r="17926">
          <cell r="A17926">
            <v>92112201</v>
          </cell>
          <cell r="B17926" t="str">
            <v>Despliegue de armas</v>
          </cell>
        </row>
        <row r="17927">
          <cell r="A17927">
            <v>92112202</v>
          </cell>
          <cell r="B17927" t="str">
            <v>Reconocimiento militar</v>
          </cell>
        </row>
        <row r="17928">
          <cell r="A17928">
            <v>92112203</v>
          </cell>
          <cell r="B17928" t="str">
            <v>Transferencias de armamento</v>
          </cell>
        </row>
        <row r="17929">
          <cell r="A17929">
            <v>92112204</v>
          </cell>
          <cell r="B17929" t="str">
            <v>Asistencia militar</v>
          </cell>
        </row>
        <row r="17930">
          <cell r="A17930">
            <v>92112205</v>
          </cell>
          <cell r="B17930" t="str">
            <v>Retiradas de tropas</v>
          </cell>
        </row>
        <row r="17931">
          <cell r="A17931">
            <v>92112206</v>
          </cell>
          <cell r="B17931" t="str">
            <v>Fuerzas de despliegue rápido</v>
          </cell>
        </row>
        <row r="17932">
          <cell r="A17932">
            <v>92112207</v>
          </cell>
          <cell r="B17932" t="str">
            <v>Guerra ambiental</v>
          </cell>
        </row>
        <row r="17933">
          <cell r="A17933">
            <v>92112301</v>
          </cell>
          <cell r="B17933" t="str">
            <v>Bases militares nacionales</v>
          </cell>
        </row>
        <row r="17934">
          <cell r="A17934">
            <v>92112302</v>
          </cell>
          <cell r="B17934" t="str">
            <v>Bases militares extranjeras</v>
          </cell>
        </row>
        <row r="17935">
          <cell r="A17935">
            <v>92112303</v>
          </cell>
          <cell r="B17935" t="str">
            <v>Bases navales</v>
          </cell>
        </row>
        <row r="17936">
          <cell r="A17936">
            <v>92112401</v>
          </cell>
          <cell r="B17936" t="str">
            <v>Incidentes fronterizos</v>
          </cell>
        </row>
        <row r="17937">
          <cell r="A17937">
            <v>92112402</v>
          </cell>
          <cell r="B17937" t="str">
            <v>Guerra limitada</v>
          </cell>
        </row>
        <row r="17938">
          <cell r="A17938">
            <v>92112403</v>
          </cell>
          <cell r="B17938" t="str">
            <v>Guerra nuclear</v>
          </cell>
        </row>
        <row r="17939">
          <cell r="A17939">
            <v>92112404</v>
          </cell>
          <cell r="B17939" t="str">
            <v>Guerra basada en el espacio</v>
          </cell>
        </row>
        <row r="17940">
          <cell r="A17940">
            <v>92112405</v>
          </cell>
          <cell r="B17940" t="str">
            <v>Respuesta a ataques terroristas</v>
          </cell>
        </row>
        <row r="17941">
          <cell r="A17941">
            <v>92121501</v>
          </cell>
          <cell r="B17941" t="str">
            <v>Servicios de coches blindados</v>
          </cell>
        </row>
        <row r="17942">
          <cell r="A17942">
            <v>92121502</v>
          </cell>
          <cell r="B17942" t="str">
            <v>Servicios de protección contra robos</v>
          </cell>
        </row>
        <row r="17943">
          <cell r="A17943">
            <v>92121503</v>
          </cell>
          <cell r="B17943" t="str">
            <v>Alquiler de perros guardianes</v>
          </cell>
        </row>
        <row r="17944">
          <cell r="A17944">
            <v>92121504</v>
          </cell>
          <cell r="B17944" t="str">
            <v>Servicios de guardas de seguridad</v>
          </cell>
        </row>
        <row r="17945">
          <cell r="A17945">
            <v>92121601</v>
          </cell>
          <cell r="B17945" t="str">
            <v>Agencias de detectives</v>
          </cell>
        </row>
        <row r="17946">
          <cell r="A17946">
            <v>92121602</v>
          </cell>
          <cell r="B17946" t="str">
            <v>Servicios de huellas dactilares</v>
          </cell>
        </row>
        <row r="17947">
          <cell r="A17947">
            <v>92121603</v>
          </cell>
          <cell r="B17947" t="str">
            <v>Servicios de detección de mentiras</v>
          </cell>
        </row>
        <row r="17948">
          <cell r="A17948">
            <v>92121604</v>
          </cell>
          <cell r="B17948" t="str">
            <v>Servicios de investigación privada</v>
          </cell>
        </row>
        <row r="17949">
          <cell r="A17949">
            <v>92121701</v>
          </cell>
          <cell r="B17949" t="str">
            <v>Vigilancia o mantenimiento o monitoreo de alarmas</v>
          </cell>
        </row>
        <row r="17950">
          <cell r="A17950">
            <v>92121702</v>
          </cell>
          <cell r="B17950" t="str">
            <v>Mantenimiento o monitoreo de alarmas contra incendios</v>
          </cell>
        </row>
        <row r="17951">
          <cell r="A17951">
            <v>92121703</v>
          </cell>
          <cell r="B17951" t="str">
            <v>Servicios antirrobo para  tiendas o empresas</v>
          </cell>
        </row>
        <row r="17952">
          <cell r="A17952">
            <v>92121704</v>
          </cell>
          <cell r="B17952" t="str">
            <v>Mantenimiento o monitoreo de sistemas de vigilancia de confinamiento</v>
          </cell>
        </row>
        <row r="17953">
          <cell r="A17953">
            <v>93101501</v>
          </cell>
          <cell r="B17953" t="str">
            <v>Servicios de representación de partidos políticos</v>
          </cell>
        </row>
        <row r="17954">
          <cell r="A17954">
            <v>93101502</v>
          </cell>
          <cell r="B17954" t="str">
            <v>Servicios de recaudación de fondos de partidos políticos</v>
          </cell>
        </row>
        <row r="17955">
          <cell r="A17955">
            <v>93101503</v>
          </cell>
          <cell r="B17955" t="str">
            <v>Servicios de aparición pública de partidos políticos</v>
          </cell>
        </row>
        <row r="17956">
          <cell r="A17956">
            <v>93101504</v>
          </cell>
          <cell r="B17956" t="str">
            <v>Servicios de legislatura política</v>
          </cell>
        </row>
        <row r="17957">
          <cell r="A17957">
            <v>93101505</v>
          </cell>
          <cell r="B17957" t="str">
            <v>Poder judicial político o servicios</v>
          </cell>
        </row>
        <row r="17958">
          <cell r="A17958">
            <v>93101506</v>
          </cell>
          <cell r="B17958" t="str">
            <v>Poder ejecutivo político o servicios</v>
          </cell>
        </row>
        <row r="17959">
          <cell r="A17959">
            <v>93101601</v>
          </cell>
          <cell r="B17959" t="str">
            <v>Servicios de funcionarios del gabinete</v>
          </cell>
        </row>
        <row r="17960">
          <cell r="A17960">
            <v>93101602</v>
          </cell>
          <cell r="B17960" t="str">
            <v>Servicios de gobernadores</v>
          </cell>
        </row>
        <row r="17961">
          <cell r="A17961">
            <v>93101603</v>
          </cell>
          <cell r="B17961" t="str">
            <v>Servicios de jefes de estado</v>
          </cell>
        </row>
        <row r="17962">
          <cell r="A17962">
            <v>93101604</v>
          </cell>
          <cell r="B17962" t="str">
            <v>Servicios presidenciales</v>
          </cell>
        </row>
        <row r="17963">
          <cell r="A17963">
            <v>93101605</v>
          </cell>
          <cell r="B17963" t="str">
            <v>Servicios de primeros ministros</v>
          </cell>
        </row>
        <row r="17964">
          <cell r="A17964">
            <v>93101606</v>
          </cell>
          <cell r="B17964" t="str">
            <v>Servicios de monarcas</v>
          </cell>
        </row>
        <row r="17965">
          <cell r="A17965">
            <v>93101607</v>
          </cell>
          <cell r="B17965" t="str">
            <v>Servicios de estadistas</v>
          </cell>
        </row>
        <row r="17966">
          <cell r="A17966">
            <v>93101608</v>
          </cell>
          <cell r="B17966" t="str">
            <v>Servicios de miembros del parlamento</v>
          </cell>
        </row>
        <row r="17967">
          <cell r="A17967">
            <v>93101701</v>
          </cell>
          <cell r="B17967" t="str">
            <v>Servicios del consejo nacional</v>
          </cell>
        </row>
        <row r="17968">
          <cell r="A17968">
            <v>93101702</v>
          </cell>
          <cell r="B17968" t="str">
            <v>Estados corporativos</v>
          </cell>
        </row>
        <row r="17969">
          <cell r="A17969">
            <v>93101703</v>
          </cell>
          <cell r="B17969" t="str">
            <v>Servicios de redacción de proyectos de ley</v>
          </cell>
        </row>
        <row r="17970">
          <cell r="A17970">
            <v>93101704</v>
          </cell>
          <cell r="B17970" t="str">
            <v>Servicios de audiencias legislativas</v>
          </cell>
        </row>
        <row r="17971">
          <cell r="A17971">
            <v>93101705</v>
          </cell>
          <cell r="B17971" t="str">
            <v>Servicios de inteligencia</v>
          </cell>
        </row>
        <row r="17972">
          <cell r="A17972">
            <v>93101706</v>
          </cell>
          <cell r="B17972" t="str">
            <v>Servicios de legisladores</v>
          </cell>
        </row>
        <row r="17973">
          <cell r="A17973">
            <v>93101707</v>
          </cell>
          <cell r="B17973" t="str">
            <v>Servicios de práctica parlamentaria</v>
          </cell>
        </row>
        <row r="17974">
          <cell r="A17974">
            <v>93111501</v>
          </cell>
          <cell r="B17974" t="str">
            <v>Movimientos extremistas</v>
          </cell>
        </row>
        <row r="17975">
          <cell r="A17975">
            <v>93111502</v>
          </cell>
          <cell r="B17975" t="str">
            <v>Movimientos pacifistas</v>
          </cell>
        </row>
        <row r="17976">
          <cell r="A17976">
            <v>93111503</v>
          </cell>
          <cell r="B17976" t="str">
            <v>Movimientos de protesta</v>
          </cell>
        </row>
        <row r="17977">
          <cell r="A17977">
            <v>93111504</v>
          </cell>
          <cell r="B17977" t="str">
            <v>Movimientos clandestinos</v>
          </cell>
        </row>
        <row r="17978">
          <cell r="A17978">
            <v>93111505</v>
          </cell>
          <cell r="B17978" t="str">
            <v>Movimientos estudiantiles</v>
          </cell>
        </row>
        <row r="17979">
          <cell r="A17979">
            <v>93111506</v>
          </cell>
          <cell r="B17979" t="str">
            <v>Movimientos campesinos</v>
          </cell>
        </row>
        <row r="17980">
          <cell r="A17980">
            <v>93111507</v>
          </cell>
          <cell r="B17980" t="str">
            <v>Movimientos de oposición</v>
          </cell>
        </row>
        <row r="17981">
          <cell r="A17981">
            <v>93111601</v>
          </cell>
          <cell r="B17981" t="str">
            <v>Representación política</v>
          </cell>
        </row>
        <row r="17982">
          <cell r="A17982">
            <v>93111602</v>
          </cell>
          <cell r="B17982" t="str">
            <v>Participación política</v>
          </cell>
        </row>
        <row r="17983">
          <cell r="A17983">
            <v>93111603</v>
          </cell>
          <cell r="B17983" t="str">
            <v>Representación proporcional</v>
          </cell>
        </row>
        <row r="17984">
          <cell r="A17984">
            <v>93111604</v>
          </cell>
          <cell r="B17984" t="str">
            <v>Servicios de captación de votos</v>
          </cell>
        </row>
        <row r="17985">
          <cell r="A17985">
            <v>93111605</v>
          </cell>
          <cell r="B17985" t="str">
            <v>Servicios de registro de votantes o conteo o análisis o escrutinio</v>
          </cell>
        </row>
        <row r="17986">
          <cell r="A17986">
            <v>93111606</v>
          </cell>
          <cell r="B17986" t="str">
            <v>Servicios de participación o representación de grupos de presión</v>
          </cell>
        </row>
        <row r="17987">
          <cell r="A17987">
            <v>93111607</v>
          </cell>
          <cell r="B17987" t="str">
            <v>Servicios de análisis de elecciones</v>
          </cell>
        </row>
        <row r="17988">
          <cell r="A17988">
            <v>93111608</v>
          </cell>
          <cell r="B17988" t="str">
            <v>Servicios de organización de elecciones</v>
          </cell>
        </row>
        <row r="17989">
          <cell r="A17989">
            <v>93121501</v>
          </cell>
          <cell r="B17989" t="str">
            <v>Servicios diplomáticos</v>
          </cell>
        </row>
        <row r="17990">
          <cell r="A17990">
            <v>93121502</v>
          </cell>
          <cell r="B17990" t="str">
            <v>Servicios consulares</v>
          </cell>
        </row>
        <row r="17991">
          <cell r="A17991">
            <v>93121503</v>
          </cell>
          <cell r="B17991" t="str">
            <v>Servicios de seguridad para diplomáticos</v>
          </cell>
        </row>
        <row r="17992">
          <cell r="A17992">
            <v>93121504</v>
          </cell>
          <cell r="B17992" t="str">
            <v>Servicios de privilegios o inmunidad diplomática</v>
          </cell>
        </row>
        <row r="17993">
          <cell r="A17993">
            <v>93121505</v>
          </cell>
          <cell r="B17993" t="str">
            <v>Servicios de inmunidad estatal</v>
          </cell>
        </row>
        <row r="17994">
          <cell r="A17994">
            <v>93121506</v>
          </cell>
          <cell r="B17994" t="str">
            <v>Servicios de embajadas o embajadores</v>
          </cell>
        </row>
        <row r="17995">
          <cell r="A17995">
            <v>93121507</v>
          </cell>
          <cell r="B17995" t="str">
            <v>Servicios de organización de visitas de estado</v>
          </cell>
        </row>
        <row r="17996">
          <cell r="A17996">
            <v>93121508</v>
          </cell>
          <cell r="B17996" t="str">
            <v>Servicios de prescripción del derecho internacional</v>
          </cell>
        </row>
        <row r="17997">
          <cell r="A17997">
            <v>93121509</v>
          </cell>
          <cell r="B17997" t="str">
            <v>Servicios de promoción o reconocimiento del derecho internacional</v>
          </cell>
        </row>
        <row r="17998">
          <cell r="A17998">
            <v>93121601</v>
          </cell>
          <cell r="B17998" t="str">
            <v>Servicios de cooperación multilateral</v>
          </cell>
        </row>
        <row r="17999">
          <cell r="A17999">
            <v>93121602</v>
          </cell>
          <cell r="B17999" t="str">
            <v>Servicios de cooperación militar</v>
          </cell>
        </row>
        <row r="18000">
          <cell r="A18000">
            <v>93121603</v>
          </cell>
          <cell r="B18000" t="str">
            <v>Servicios de cooperación política</v>
          </cell>
        </row>
        <row r="18001">
          <cell r="A18001">
            <v>93121604</v>
          </cell>
          <cell r="B18001" t="str">
            <v>Servicios de cooperación económica internacional</v>
          </cell>
        </row>
        <row r="18002">
          <cell r="A18002">
            <v>93121605</v>
          </cell>
          <cell r="B18002" t="str">
            <v>Servicios de cooperación norte-sur</v>
          </cell>
        </row>
        <row r="18003">
          <cell r="A18003">
            <v>93121606</v>
          </cell>
          <cell r="B18003" t="str">
            <v>Servicios de cooperación este-oeste</v>
          </cell>
        </row>
        <row r="18004">
          <cell r="A18004">
            <v>93121607</v>
          </cell>
          <cell r="B18004" t="str">
            <v>Servicios de cooperación internacional</v>
          </cell>
        </row>
        <row r="18005">
          <cell r="A18005">
            <v>93121608</v>
          </cell>
          <cell r="B18005" t="str">
            <v>Servicio de enlace con organizaciones no gubernamentales</v>
          </cell>
        </row>
        <row r="18006">
          <cell r="A18006">
            <v>93121609</v>
          </cell>
          <cell r="B18006" t="str">
            <v>Cooperación de países no alineados</v>
          </cell>
        </row>
        <row r="18007">
          <cell r="A18007">
            <v>93121610</v>
          </cell>
          <cell r="B18007" t="str">
            <v>Cooperación de países alineados</v>
          </cell>
        </row>
        <row r="18008">
          <cell r="A18008">
            <v>93121611</v>
          </cell>
          <cell r="B18008" t="str">
            <v>Servicios de cooperación sobre delitos políticos</v>
          </cell>
        </row>
        <row r="18009">
          <cell r="A18009">
            <v>93121612</v>
          </cell>
          <cell r="B18009" t="str">
            <v>Cooperación sobre tratados de paz</v>
          </cell>
        </row>
        <row r="18010">
          <cell r="A18010">
            <v>93121613</v>
          </cell>
          <cell r="B18010" t="str">
            <v>Servicios de firma o adhesión o rectificación de tratados</v>
          </cell>
        </row>
        <row r="18011">
          <cell r="A18011">
            <v>93121614</v>
          </cell>
          <cell r="B18011" t="str">
            <v>Servicios de cooperación internacional sobre cursos de agua</v>
          </cell>
        </row>
        <row r="18012">
          <cell r="A18012">
            <v>93121615</v>
          </cell>
          <cell r="B18012" t="str">
            <v>Servicios de terceros de negociaciones o reclamaciones territoriales</v>
          </cell>
        </row>
        <row r="18013">
          <cell r="A18013">
            <v>93121701</v>
          </cell>
          <cell r="B18013" t="str">
            <v>Servicios del sistema de las organizaciones</v>
          </cell>
        </row>
        <row r="18014">
          <cell r="A18014">
            <v>93121702</v>
          </cell>
          <cell r="B18014" t="str">
            <v>Servicios del consejo de seguridad</v>
          </cell>
        </row>
        <row r="18015">
          <cell r="A18015">
            <v>93121703</v>
          </cell>
          <cell r="B18015" t="str">
            <v>Servicios del consejo económico y social</v>
          </cell>
        </row>
        <row r="18016">
          <cell r="A18016">
            <v>93121704</v>
          </cell>
          <cell r="B18016" t="str">
            <v>Servicios de la secretaría</v>
          </cell>
        </row>
        <row r="18017">
          <cell r="A18017">
            <v>93121705</v>
          </cell>
          <cell r="B18017" t="str">
            <v>Servicios del consejo de administración fiduciaria</v>
          </cell>
        </row>
        <row r="18018">
          <cell r="A18018">
            <v>93121706</v>
          </cell>
          <cell r="B18018" t="str">
            <v>Servicios de la asamblea general</v>
          </cell>
        </row>
        <row r="18019">
          <cell r="A18019">
            <v>93121707</v>
          </cell>
          <cell r="B18019" t="str">
            <v>Servicios de la corte internacional de justicia</v>
          </cell>
        </row>
        <row r="18020">
          <cell r="A18020">
            <v>93121708</v>
          </cell>
          <cell r="B18020" t="str">
            <v>Servicios de organizaciones políticas internacionales</v>
          </cell>
        </row>
        <row r="18021">
          <cell r="A18021">
            <v>93121709</v>
          </cell>
          <cell r="B18021" t="str">
            <v>Servicios de organizaciones internacionales de beneficencia</v>
          </cell>
        </row>
        <row r="18022">
          <cell r="A18022">
            <v>93121710</v>
          </cell>
          <cell r="B18022" t="str">
            <v>Servicios de organizaciones internacional de ayuda humanitaria</v>
          </cell>
        </row>
        <row r="18023">
          <cell r="A18023">
            <v>93121711</v>
          </cell>
          <cell r="B18023" t="str">
            <v>Servicios de organizaciones internacionales de salud</v>
          </cell>
        </row>
        <row r="18024">
          <cell r="A18024">
            <v>93131501</v>
          </cell>
          <cell r="B18024" t="str">
            <v>Servicios de protección de los derechos humanos</v>
          </cell>
        </row>
        <row r="18025">
          <cell r="A18025">
            <v>93131502</v>
          </cell>
          <cell r="B18025" t="str">
            <v>Servicios de promoción de los derechos humanos</v>
          </cell>
        </row>
        <row r="18026">
          <cell r="A18026">
            <v>93131503</v>
          </cell>
          <cell r="B18026" t="str">
            <v>Servicios de educación o divulgación de información sobre derechos humanos</v>
          </cell>
        </row>
        <row r="18027">
          <cell r="A18027">
            <v>93131504</v>
          </cell>
          <cell r="B18027" t="str">
            <v>Servicios de asistencia de emergencia a refugiados</v>
          </cell>
        </row>
        <row r="18028">
          <cell r="A18028">
            <v>93131505</v>
          </cell>
          <cell r="B18028" t="str">
            <v>Servicios de campos de refugiados</v>
          </cell>
        </row>
        <row r="18029">
          <cell r="A18029">
            <v>93131506</v>
          </cell>
          <cell r="B18029" t="str">
            <v>Servicios de reasentamientos o repatriación de refugiados</v>
          </cell>
        </row>
        <row r="18030">
          <cell r="A18030">
            <v>93131507</v>
          </cell>
          <cell r="B18030" t="str">
            <v>Servicios de asistencia a desplazados</v>
          </cell>
        </row>
        <row r="18031">
          <cell r="A18031">
            <v>93131601</v>
          </cell>
          <cell r="B18031" t="str">
            <v>Programas de erradicación del hambre</v>
          </cell>
        </row>
        <row r="18032">
          <cell r="A18032">
            <v>93131602</v>
          </cell>
          <cell r="B18032" t="str">
            <v>Servicios de suministro de alimentos de emergencia</v>
          </cell>
        </row>
        <row r="18033">
          <cell r="A18033">
            <v>93131603</v>
          </cell>
          <cell r="B18033" t="str">
            <v>Servicios del programa mundial de alimentos</v>
          </cell>
        </row>
        <row r="18034">
          <cell r="A18034">
            <v>93131604</v>
          </cell>
          <cell r="B18034" t="str">
            <v>Servicios de la organización para la alimentación y la agricultura</v>
          </cell>
        </row>
        <row r="18035">
          <cell r="A18035">
            <v>93131605</v>
          </cell>
          <cell r="B18035" t="str">
            <v>Servicios del fondo común para los  productos básicos</v>
          </cell>
        </row>
        <row r="18036">
          <cell r="A18036">
            <v>93131606</v>
          </cell>
          <cell r="B18036" t="str">
            <v>Servicios del fondo internacional para el desarrollo agrícola</v>
          </cell>
        </row>
        <row r="18037">
          <cell r="A18037">
            <v>93131607</v>
          </cell>
          <cell r="B18037" t="str">
            <v>Servicios de distribución de alimentos</v>
          </cell>
        </row>
        <row r="18038">
          <cell r="A18038">
            <v>93131608</v>
          </cell>
          <cell r="B18038" t="str">
            <v>Servicios de suministro de alimentos</v>
          </cell>
        </row>
        <row r="18039">
          <cell r="A18039">
            <v>93131609</v>
          </cell>
          <cell r="B18039" t="str">
            <v>Políticas o programas de ayuda alimentaría</v>
          </cell>
        </row>
        <row r="18040">
          <cell r="A18040">
            <v>93131610</v>
          </cell>
          <cell r="B18040" t="str">
            <v>Servicios de planificación de alimentos</v>
          </cell>
        </row>
        <row r="18041">
          <cell r="A18041">
            <v>93131611</v>
          </cell>
          <cell r="B18041" t="str">
            <v>Servicios de seguridad alimentaria</v>
          </cell>
        </row>
        <row r="18042">
          <cell r="A18042">
            <v>93131612</v>
          </cell>
          <cell r="B18042" t="str">
            <v>Administración de reservas alimentarias</v>
          </cell>
        </row>
        <row r="18043">
          <cell r="A18043">
            <v>93131613</v>
          </cell>
          <cell r="B18043" t="str">
            <v>Servicios de control o  administración de excedentes o escasez de alimentos</v>
          </cell>
        </row>
        <row r="18044">
          <cell r="A18044">
            <v>93131701</v>
          </cell>
          <cell r="B18044" t="str">
            <v>Campañas contra el tabaco</v>
          </cell>
        </row>
        <row r="18045">
          <cell r="A18045">
            <v>93131702</v>
          </cell>
          <cell r="B18045" t="str">
            <v>Programas de sanidad</v>
          </cell>
        </row>
        <row r="18046">
          <cell r="A18046">
            <v>93131703</v>
          </cell>
          <cell r="B18046" t="str">
            <v>Programas de investigación</v>
          </cell>
        </row>
        <row r="18047">
          <cell r="A18047">
            <v>93131704</v>
          </cell>
          <cell r="B18047" t="str">
            <v>Servicios de prevención o control de enfermedades</v>
          </cell>
        </row>
        <row r="18048">
          <cell r="A18048">
            <v>93131705</v>
          </cell>
          <cell r="B18048" t="str">
            <v>Programas de prevención o control de abuso de drogas</v>
          </cell>
        </row>
        <row r="18049">
          <cell r="A18049">
            <v>93131801</v>
          </cell>
          <cell r="B18049" t="str">
            <v>Servicios de prevención de desastres</v>
          </cell>
        </row>
        <row r="18050">
          <cell r="A18050">
            <v>93131802</v>
          </cell>
          <cell r="B18050" t="str">
            <v>Servicios de respuesta contra desastres</v>
          </cell>
        </row>
        <row r="18051">
          <cell r="A18051">
            <v>93131803</v>
          </cell>
          <cell r="B18051" t="str">
            <v>Servicios de viviendas de emergencia</v>
          </cell>
        </row>
        <row r="18052">
          <cell r="A18052">
            <v>93141501</v>
          </cell>
          <cell r="B18052" t="str">
            <v>Servicios de política social</v>
          </cell>
        </row>
        <row r="18053">
          <cell r="A18053">
            <v>93141502</v>
          </cell>
          <cell r="B18053" t="str">
            <v>Servicios de legislación de seguridad social</v>
          </cell>
        </row>
        <row r="18054">
          <cell r="A18054">
            <v>93141503</v>
          </cell>
          <cell r="B18054" t="str">
            <v>Servicios de planificación social</v>
          </cell>
        </row>
        <row r="18055">
          <cell r="A18055">
            <v>93141504</v>
          </cell>
          <cell r="B18055" t="str">
            <v>Servicios de cuidado en hogares adoptivos u orfanatos</v>
          </cell>
        </row>
        <row r="18056">
          <cell r="A18056">
            <v>93141505</v>
          </cell>
          <cell r="B18056" t="str">
            <v>Servicios de adopción</v>
          </cell>
        </row>
        <row r="18057">
          <cell r="A18057">
            <v>93141506</v>
          </cell>
          <cell r="B18057" t="str">
            <v>Servicios de bienestar social</v>
          </cell>
        </row>
        <row r="18058">
          <cell r="A18058">
            <v>93141507</v>
          </cell>
          <cell r="B18058" t="str">
            <v>Servicios de administración del trabajo social</v>
          </cell>
        </row>
        <row r="18059">
          <cell r="A18059">
            <v>93141508</v>
          </cell>
          <cell r="B18059" t="str">
            <v>Gestión de servicios de voluntariado</v>
          </cell>
        </row>
        <row r="18060">
          <cell r="A18060">
            <v>93141509</v>
          </cell>
          <cell r="B18060" t="str">
            <v>Servicios de análisis o gestión de problemas sociales</v>
          </cell>
        </row>
        <row r="18061">
          <cell r="A18061">
            <v>93141510</v>
          </cell>
          <cell r="B18061" t="str">
            <v>Estudios de estructura sociales o servicios relacionados</v>
          </cell>
        </row>
        <row r="18062">
          <cell r="A18062">
            <v>93141511</v>
          </cell>
          <cell r="B18062" t="str">
            <v>Estudios de grupos sociales o servicios relacionados</v>
          </cell>
        </row>
        <row r="18063">
          <cell r="A18063">
            <v>93141512</v>
          </cell>
          <cell r="B18063" t="str">
            <v>Servicios de organizaciones o movimientos juveniles</v>
          </cell>
        </row>
        <row r="18064">
          <cell r="A18064">
            <v>93141513</v>
          </cell>
          <cell r="B18064" t="str">
            <v>Servicios de legislación o justicia social</v>
          </cell>
        </row>
        <row r="18065">
          <cell r="A18065">
            <v>93141514</v>
          </cell>
          <cell r="B18065" t="str">
            <v>Servicios socioculturales</v>
          </cell>
        </row>
        <row r="18066">
          <cell r="A18066">
            <v>93141601</v>
          </cell>
          <cell r="B18066" t="str">
            <v>Servicios de censo de la población</v>
          </cell>
        </row>
        <row r="18067">
          <cell r="A18067">
            <v>93141602</v>
          </cell>
          <cell r="B18067" t="str">
            <v>Servicios de estudios de muestras de población</v>
          </cell>
        </row>
        <row r="18068">
          <cell r="A18068">
            <v>93141603</v>
          </cell>
          <cell r="B18068" t="str">
            <v>Servicios de notificación de nacimientos o control de natalidad</v>
          </cell>
        </row>
        <row r="18069">
          <cell r="A18069">
            <v>93141604</v>
          </cell>
          <cell r="B18069" t="str">
            <v>Servicios de control de la población</v>
          </cell>
        </row>
        <row r="18070">
          <cell r="A18070">
            <v>93141605</v>
          </cell>
          <cell r="B18070" t="str">
            <v>Servicios de tendencias o proyecciones de la población</v>
          </cell>
        </row>
        <row r="18071">
          <cell r="A18071">
            <v>93141606</v>
          </cell>
          <cell r="B18071" t="str">
            <v>Servicios de estadísticas de natalidad</v>
          </cell>
        </row>
        <row r="18072">
          <cell r="A18072">
            <v>93141607</v>
          </cell>
          <cell r="B18072" t="str">
            <v>Servicios de investigación o estadística matrimonial</v>
          </cell>
        </row>
        <row r="18073">
          <cell r="A18073">
            <v>93141608</v>
          </cell>
          <cell r="B18073" t="str">
            <v>Servicios de distribución o análisis de la población</v>
          </cell>
        </row>
        <row r="18074">
          <cell r="A18074">
            <v>93141609</v>
          </cell>
          <cell r="B18074" t="str">
            <v>Servicios de análisis de la composición de la población</v>
          </cell>
        </row>
        <row r="18075">
          <cell r="A18075">
            <v>93141610</v>
          </cell>
          <cell r="B18075" t="str">
            <v>Estudios demográficos</v>
          </cell>
        </row>
        <row r="18076">
          <cell r="A18076">
            <v>93141611</v>
          </cell>
          <cell r="B18076" t="str">
            <v>Análisis o servicios de inmigración</v>
          </cell>
        </row>
        <row r="18077">
          <cell r="A18077">
            <v>93141612</v>
          </cell>
          <cell r="B18077" t="str">
            <v>Programas o servicios de planificación familiar</v>
          </cell>
        </row>
        <row r="18078">
          <cell r="A18078">
            <v>93141613</v>
          </cell>
          <cell r="B18078" t="str">
            <v>Análisis de reproducción humana</v>
          </cell>
        </row>
        <row r="18079">
          <cell r="A18079">
            <v>93141701</v>
          </cell>
          <cell r="B18079" t="str">
            <v>Organizaciones de eventos culturales</v>
          </cell>
        </row>
        <row r="18080">
          <cell r="A18080">
            <v>93141702</v>
          </cell>
          <cell r="B18080" t="str">
            <v>Servicios de promoción cultural</v>
          </cell>
        </row>
        <row r="18081">
          <cell r="A18081">
            <v>93141703</v>
          </cell>
          <cell r="B18081" t="str">
            <v>Servicios relacionados con el arte</v>
          </cell>
        </row>
        <row r="18082">
          <cell r="A18082">
            <v>93141704</v>
          </cell>
          <cell r="B18082" t="str">
            <v>Servicios de composición de canciones</v>
          </cell>
        </row>
        <row r="18083">
          <cell r="A18083">
            <v>93141705</v>
          </cell>
          <cell r="B18083" t="str">
            <v>Servicios de redacción literaria</v>
          </cell>
        </row>
        <row r="18084">
          <cell r="A18084">
            <v>93141706</v>
          </cell>
          <cell r="B18084" t="str">
            <v>Servicios de protección de minorías</v>
          </cell>
        </row>
        <row r="18085">
          <cell r="A18085">
            <v>93141707</v>
          </cell>
          <cell r="B18085" t="str">
            <v>Servicios de preservación o  promoción del patrimonio cultural</v>
          </cell>
        </row>
        <row r="18086">
          <cell r="A18086">
            <v>93141708</v>
          </cell>
          <cell r="B18086" t="str">
            <v>Servicios de museos</v>
          </cell>
        </row>
        <row r="18087">
          <cell r="A18087">
            <v>93141709</v>
          </cell>
          <cell r="B18087" t="str">
            <v>Servicios de política cultural</v>
          </cell>
        </row>
        <row r="18088">
          <cell r="A18088">
            <v>93141710</v>
          </cell>
          <cell r="B18088" t="str">
            <v>Servicios de lenguas arcaicas o indígenas</v>
          </cell>
        </row>
        <row r="18089">
          <cell r="A18089">
            <v>93141711</v>
          </cell>
          <cell r="B18089" t="str">
            <v>Servicios de promoción de artesanías tradicionales</v>
          </cell>
        </row>
        <row r="18090">
          <cell r="A18090">
            <v>93141712</v>
          </cell>
          <cell r="B18090" t="str">
            <v>Servicios de protección de la propiedad intelectual o cultural</v>
          </cell>
        </row>
        <row r="18091">
          <cell r="A18091">
            <v>93141713</v>
          </cell>
          <cell r="B18091" t="str">
            <v>Servicios de protección de sitios históricos o monumentos</v>
          </cell>
        </row>
        <row r="18092">
          <cell r="A18092">
            <v>93141714</v>
          </cell>
          <cell r="B18092" t="str">
            <v>Mitología</v>
          </cell>
        </row>
        <row r="18093">
          <cell r="A18093">
            <v>93141801</v>
          </cell>
          <cell r="B18093" t="str">
            <v>Servicios de promoción o planificación del empleo</v>
          </cell>
        </row>
        <row r="18094">
          <cell r="A18094">
            <v>93141802</v>
          </cell>
          <cell r="B18094" t="str">
            <v>Servicios de reclutamiento</v>
          </cell>
        </row>
        <row r="18095">
          <cell r="A18095">
            <v>93141803</v>
          </cell>
          <cell r="B18095" t="str">
            <v>Servicios de estándares laborales internacionales</v>
          </cell>
        </row>
        <row r="18096">
          <cell r="A18096">
            <v>93141804</v>
          </cell>
          <cell r="B18096" t="str">
            <v>Servicios de registros laborales internacionales</v>
          </cell>
        </row>
        <row r="18097">
          <cell r="A18097">
            <v>93141805</v>
          </cell>
          <cell r="B18097" t="str">
            <v>Servicios de desempleo</v>
          </cell>
        </row>
        <row r="18098">
          <cell r="A18098">
            <v>93141806</v>
          </cell>
          <cell r="B18098" t="str">
            <v>Servicios de estadísticas o predicciones del empleo</v>
          </cell>
        </row>
        <row r="18099">
          <cell r="A18099">
            <v>93141807</v>
          </cell>
          <cell r="B18099" t="str">
            <v>Acuerdos sobre horarios laborales</v>
          </cell>
        </row>
        <row r="18100">
          <cell r="A18100">
            <v>93141808</v>
          </cell>
          <cell r="B18100" t="str">
            <v>Servicios de seguridad o salud ocupacional</v>
          </cell>
        </row>
        <row r="18101">
          <cell r="A18101">
            <v>93141810</v>
          </cell>
          <cell r="B18101" t="str">
            <v>Servicios de perspectivas de desarrollo profesional</v>
          </cell>
        </row>
        <row r="18102">
          <cell r="A18102">
            <v>93141811</v>
          </cell>
          <cell r="B18102" t="str">
            <v>Servicios de promoción</v>
          </cell>
        </row>
        <row r="18103">
          <cell r="A18103">
            <v>93141812</v>
          </cell>
          <cell r="B18103" t="str">
            <v>Servicios de inspección laboral</v>
          </cell>
        </row>
        <row r="18104">
          <cell r="A18104">
            <v>93141813</v>
          </cell>
          <cell r="B18104" t="str">
            <v>Servicios del consejo del trabajo</v>
          </cell>
        </row>
        <row r="18105">
          <cell r="A18105">
            <v>93141814</v>
          </cell>
          <cell r="B18105" t="str">
            <v>Servicios laborales internacionales</v>
          </cell>
        </row>
        <row r="18106">
          <cell r="A18106">
            <v>93141901</v>
          </cell>
          <cell r="B18106" t="str">
            <v>Servicios bancarios comerciales agrícolas</v>
          </cell>
        </row>
        <row r="18107">
          <cell r="A18107">
            <v>93141902</v>
          </cell>
          <cell r="B18107" t="str">
            <v>Servicios de inversión rural</v>
          </cell>
        </row>
        <row r="18108">
          <cell r="A18108">
            <v>93141903</v>
          </cell>
          <cell r="B18108" t="str">
            <v>Servicios de organización o gestión de instituciones agrícolas</v>
          </cell>
        </row>
        <row r="18109">
          <cell r="A18109">
            <v>93141904</v>
          </cell>
          <cell r="B18109" t="str">
            <v>Servicios de cooperativas agrícolas o rurales</v>
          </cell>
        </row>
        <row r="18110">
          <cell r="A18110">
            <v>93141905</v>
          </cell>
          <cell r="B18110" t="str">
            <v>Servicios de investigación agrícola</v>
          </cell>
        </row>
        <row r="18111">
          <cell r="A18111">
            <v>93141906</v>
          </cell>
          <cell r="B18111" t="str">
            <v>Servicios de organizaciones de agricultores o campesinos</v>
          </cell>
        </row>
        <row r="18112">
          <cell r="A18112">
            <v>93141907</v>
          </cell>
          <cell r="B18112" t="str">
            <v>Servicios de mujeres en la producción agrícola o desarrollo rural</v>
          </cell>
        </row>
        <row r="18113">
          <cell r="A18113">
            <v>93141908</v>
          </cell>
          <cell r="B18113" t="str">
            <v>Servicios de reforma agraria o colonización</v>
          </cell>
        </row>
        <row r="18114">
          <cell r="A18114">
            <v>93141909</v>
          </cell>
          <cell r="B18114" t="str">
            <v>Servicios de administración de la tierra</v>
          </cell>
        </row>
        <row r="18115">
          <cell r="A18115">
            <v>93141910</v>
          </cell>
          <cell r="B18115" t="str">
            <v>Servicios para el desarrollo insular</v>
          </cell>
        </row>
        <row r="18116">
          <cell r="A18116">
            <v>93142001</v>
          </cell>
          <cell r="B18116" t="str">
            <v>Servicios de planificación de la ordenación urbana</v>
          </cell>
        </row>
        <row r="18117">
          <cell r="A18117">
            <v>93142002</v>
          </cell>
          <cell r="B18117" t="str">
            <v>Servicios de administración de tierras urbanas</v>
          </cell>
        </row>
        <row r="18118">
          <cell r="A18118">
            <v>93142003</v>
          </cell>
          <cell r="B18118" t="str">
            <v>Servicios de programación de inversiones urbanas</v>
          </cell>
        </row>
        <row r="18119">
          <cell r="A18119">
            <v>93142004</v>
          </cell>
          <cell r="B18119" t="str">
            <v>Servicios de reestructuración de  barrios marginales</v>
          </cell>
        </row>
        <row r="18120">
          <cell r="A18120">
            <v>93142005</v>
          </cell>
          <cell r="B18120" t="str">
            <v>Servicios de alumbrado urbano</v>
          </cell>
        </row>
        <row r="18121">
          <cell r="A18121">
            <v>93142006</v>
          </cell>
          <cell r="B18121" t="str">
            <v>Servicios de control o regulación del desarrollo urbano</v>
          </cell>
        </row>
        <row r="18122">
          <cell r="A18122">
            <v>93142007</v>
          </cell>
          <cell r="B18122" t="str">
            <v>Servicios de estándares o regulación de edificios urbanos</v>
          </cell>
        </row>
        <row r="18123">
          <cell r="A18123">
            <v>93142008</v>
          </cell>
          <cell r="B18123" t="str">
            <v>Servicios comunitarios urbanos</v>
          </cell>
        </row>
        <row r="18124">
          <cell r="A18124">
            <v>93142009</v>
          </cell>
          <cell r="B18124" t="str">
            <v>Servicios de administración o gestión de proyectos o programas urbanos</v>
          </cell>
        </row>
        <row r="18125">
          <cell r="A18125">
            <v>93142101</v>
          </cell>
          <cell r="B18125" t="str">
            <v>Servicios de planificación de desarrollo regional</v>
          </cell>
        </row>
        <row r="18126">
          <cell r="A18126">
            <v>93142102</v>
          </cell>
          <cell r="B18126" t="str">
            <v>Servicios de cooperación económica</v>
          </cell>
        </row>
        <row r="18127">
          <cell r="A18127">
            <v>93142103</v>
          </cell>
          <cell r="B18127" t="str">
            <v>Servicios de cooperación técnica</v>
          </cell>
        </row>
        <row r="18128">
          <cell r="A18128">
            <v>93142104</v>
          </cell>
          <cell r="B18128" t="str">
            <v>Servicios de planificación sectorial</v>
          </cell>
        </row>
        <row r="18129">
          <cell r="A18129">
            <v>93151501</v>
          </cell>
          <cell r="B18129" t="str">
            <v>Servicios financieros o de  gestión administrativa de empresas  públicas</v>
          </cell>
        </row>
        <row r="18130">
          <cell r="A18130">
            <v>93151502</v>
          </cell>
          <cell r="B18130" t="str">
            <v>Servicios de sistemas de información o control de empresas públicas</v>
          </cell>
        </row>
        <row r="18131">
          <cell r="A18131">
            <v>93151503</v>
          </cell>
          <cell r="B18131" t="str">
            <v>Programas de privatización</v>
          </cell>
        </row>
        <row r="18132">
          <cell r="A18132">
            <v>93151504</v>
          </cell>
          <cell r="B18132" t="str">
            <v>Servicios de reforma administrativa</v>
          </cell>
        </row>
        <row r="18133">
          <cell r="A18133">
            <v>93151505</v>
          </cell>
          <cell r="B18133" t="str">
            <v>Servicios de organismos administrativos</v>
          </cell>
        </row>
        <row r="18134">
          <cell r="A18134">
            <v>93151506</v>
          </cell>
          <cell r="B18134" t="str">
            <v>Servicios de consejos económicos administrativos</v>
          </cell>
        </row>
        <row r="18135">
          <cell r="A18135">
            <v>93151507</v>
          </cell>
          <cell r="B18135" t="str">
            <v>Procedimientos o servicios administrativos</v>
          </cell>
        </row>
        <row r="18136">
          <cell r="A18136">
            <v>93151508</v>
          </cell>
          <cell r="B18136" t="str">
            <v>Servicios de departamentos gubernamentales</v>
          </cell>
        </row>
        <row r="18137">
          <cell r="A18137">
            <v>93151509</v>
          </cell>
          <cell r="B18137" t="str">
            <v>Servicios gubernamentales de información</v>
          </cell>
        </row>
        <row r="18138">
          <cell r="A18138">
            <v>93151510</v>
          </cell>
          <cell r="B18138" t="str">
            <v>Servicios recaudación de  impuestos o tasas administrativas</v>
          </cell>
        </row>
        <row r="18139">
          <cell r="A18139">
            <v>93151511</v>
          </cell>
          <cell r="B18139" t="str">
            <v>Servicios de ratificación o implementación de leyes administrativas</v>
          </cell>
        </row>
        <row r="18140">
          <cell r="A18140">
            <v>93151512</v>
          </cell>
          <cell r="B18140" t="str">
            <v>Servicios de instituciones públicas</v>
          </cell>
        </row>
        <row r="18141">
          <cell r="A18141">
            <v>93151513</v>
          </cell>
          <cell r="B18141" t="str">
            <v>Servicios de sociedades anónimas públicas multinacionales</v>
          </cell>
        </row>
        <row r="18142">
          <cell r="A18142">
            <v>93151514</v>
          </cell>
          <cell r="B18142" t="str">
            <v>Servicios de defensoría del pueblo (ombudsman)</v>
          </cell>
        </row>
        <row r="18143">
          <cell r="A18143">
            <v>93151515</v>
          </cell>
          <cell r="B18143" t="str">
            <v>Servicios de planificación  nacional</v>
          </cell>
        </row>
        <row r="18144">
          <cell r="A18144">
            <v>93151601</v>
          </cell>
          <cell r="B18144" t="str">
            <v>Servicios de preparación del presupuesto de programas</v>
          </cell>
        </row>
        <row r="18145">
          <cell r="A18145">
            <v>93151602</v>
          </cell>
          <cell r="B18145" t="str">
            <v>Servicios gubernamentales de preparación del presupuesto</v>
          </cell>
        </row>
        <row r="18146">
          <cell r="A18146">
            <v>93151603</v>
          </cell>
          <cell r="B18146" t="str">
            <v>Gestión presupuestal o de inversiones públicas</v>
          </cell>
        </row>
        <row r="18147">
          <cell r="A18147">
            <v>93151604</v>
          </cell>
          <cell r="B18147" t="str">
            <v>Servicios de preparación del presupuesto de gastos militares</v>
          </cell>
        </row>
        <row r="18148">
          <cell r="A18148">
            <v>93151605</v>
          </cell>
          <cell r="B18148" t="str">
            <v>Servicios financieros gubernamentales</v>
          </cell>
        </row>
        <row r="18149">
          <cell r="A18149">
            <v>93151606</v>
          </cell>
          <cell r="B18149" t="str">
            <v>Servicios gubernamentales de contabilidad</v>
          </cell>
        </row>
        <row r="18150">
          <cell r="A18150">
            <v>93151607</v>
          </cell>
          <cell r="B18150" t="str">
            <v>Servicios gubernamentales de auditoría</v>
          </cell>
        </row>
        <row r="18151">
          <cell r="A18151">
            <v>93151608</v>
          </cell>
          <cell r="B18151" t="str">
            <v>Servicios bancarios gubernamentales o centrales</v>
          </cell>
        </row>
        <row r="18152">
          <cell r="A18152">
            <v>93151609</v>
          </cell>
          <cell r="B18152" t="str">
            <v>Servicios de loterías</v>
          </cell>
        </row>
        <row r="18153">
          <cell r="A18153">
            <v>93151610</v>
          </cell>
          <cell r="B18153" t="str">
            <v>Servicios de recaudación de impuestos</v>
          </cell>
        </row>
        <row r="18154">
          <cell r="A18154">
            <v>93151611</v>
          </cell>
          <cell r="B18154" t="str">
            <v>Subsidios</v>
          </cell>
        </row>
        <row r="18155">
          <cell r="A18155">
            <v>93151701</v>
          </cell>
          <cell r="B18155" t="str">
            <v>Monedas o acuñación</v>
          </cell>
        </row>
        <row r="18156">
          <cell r="A18156">
            <v>93151702</v>
          </cell>
          <cell r="B18156" t="str">
            <v>Billetes nacionales</v>
          </cell>
        </row>
        <row r="18157">
          <cell r="A18157">
            <v>93161501</v>
          </cell>
          <cell r="B18157" t="str">
            <v>Impuesto nacional sobre la renta</v>
          </cell>
        </row>
        <row r="18158">
          <cell r="A18158">
            <v>93161502</v>
          </cell>
          <cell r="B18158" t="str">
            <v>Impuesto municipal sobre la renta</v>
          </cell>
        </row>
        <row r="18159">
          <cell r="A18159">
            <v>93161503</v>
          </cell>
          <cell r="B18159" t="str">
            <v>Impuesto sobre el incremento de capital</v>
          </cell>
        </row>
        <row r="18160">
          <cell r="A18160">
            <v>93161504</v>
          </cell>
          <cell r="B18160" t="str">
            <v>Impuesto sobre beneficios extraordinarios</v>
          </cell>
        </row>
        <row r="18161">
          <cell r="A18161">
            <v>93161601</v>
          </cell>
          <cell r="B18161" t="str">
            <v>Impuesto sobre los bienes</v>
          </cell>
        </row>
        <row r="18162">
          <cell r="A18162">
            <v>93161602</v>
          </cell>
          <cell r="B18162" t="str">
            <v>Impuesto sobre la tierra</v>
          </cell>
        </row>
        <row r="18163">
          <cell r="A18163">
            <v>93161603</v>
          </cell>
          <cell r="B18163" t="str">
            <v>Impuesto al valor agregado (iva)</v>
          </cell>
        </row>
        <row r="18164">
          <cell r="A18164">
            <v>93161604</v>
          </cell>
          <cell r="B18164" t="str">
            <v>Impuesto sobre nóminas</v>
          </cell>
        </row>
        <row r="18165">
          <cell r="A18165">
            <v>93161605</v>
          </cell>
          <cell r="B18165" t="str">
            <v>Impuesto sobre las ventas</v>
          </cell>
        </row>
        <row r="18166">
          <cell r="A18166">
            <v>93161606</v>
          </cell>
          <cell r="B18166" t="str">
            <v>Impuesto de seguridad social</v>
          </cell>
        </row>
        <row r="18167">
          <cell r="A18167">
            <v>93161607</v>
          </cell>
          <cell r="B18167" t="str">
            <v>Impuesto a la sucesión o sobre transferencia de propiedad</v>
          </cell>
        </row>
        <row r="18168">
          <cell r="A18168">
            <v>93161701</v>
          </cell>
          <cell r="B18168" t="str">
            <v>Recaudación de impuestos</v>
          </cell>
        </row>
        <row r="18169">
          <cell r="A18169">
            <v>93161702</v>
          </cell>
          <cell r="B18169" t="str">
            <v>Incentivos tributarios</v>
          </cell>
        </row>
        <row r="18170">
          <cell r="A18170">
            <v>93161703</v>
          </cell>
          <cell r="B18170" t="str">
            <v>Sistemas tributarios</v>
          </cell>
        </row>
        <row r="18171">
          <cell r="A18171">
            <v>93161704</v>
          </cell>
          <cell r="B18171" t="str">
            <v>Administración de ingresos tributarios</v>
          </cell>
        </row>
        <row r="18172">
          <cell r="A18172">
            <v>93161801</v>
          </cell>
          <cell r="B18172" t="str">
            <v>Reforma tributaria</v>
          </cell>
        </row>
        <row r="18173">
          <cell r="A18173">
            <v>93161802</v>
          </cell>
          <cell r="B18173" t="str">
            <v>Política fiscal</v>
          </cell>
        </row>
        <row r="18174">
          <cell r="A18174">
            <v>93161803</v>
          </cell>
          <cell r="B18174" t="str">
            <v>Investigación tributaria</v>
          </cell>
        </row>
        <row r="18175">
          <cell r="A18175">
            <v>93161804</v>
          </cell>
          <cell r="B18175" t="str">
            <v>Crédito fiscal de inversión</v>
          </cell>
        </row>
        <row r="18176">
          <cell r="A18176">
            <v>93161805</v>
          </cell>
          <cell r="B18176" t="str">
            <v>Deducciones tributarias</v>
          </cell>
        </row>
        <row r="18177">
          <cell r="A18177">
            <v>93161806</v>
          </cell>
          <cell r="B18177" t="str">
            <v>Evasión fiscal</v>
          </cell>
        </row>
        <row r="18178">
          <cell r="A18178">
            <v>93161807</v>
          </cell>
          <cell r="B18178" t="str">
            <v>Refugios o paraísos fiscales</v>
          </cell>
        </row>
        <row r="18179">
          <cell r="A18179">
            <v>93161808</v>
          </cell>
          <cell r="B18179" t="str">
            <v>Declaración de renta</v>
          </cell>
        </row>
        <row r="18180">
          <cell r="A18180">
            <v>93171501</v>
          </cell>
          <cell r="B18180" t="str">
            <v>Acuerdos comerciales</v>
          </cell>
        </row>
        <row r="18181">
          <cell r="A18181">
            <v>93171502</v>
          </cell>
          <cell r="B18181" t="str">
            <v>Negociaciones comerciales</v>
          </cell>
        </row>
        <row r="18182">
          <cell r="A18182">
            <v>93171503</v>
          </cell>
          <cell r="B18182" t="str">
            <v>Formulación de políticas nacionales de productos básicos</v>
          </cell>
        </row>
        <row r="18183">
          <cell r="A18183">
            <v>93171504</v>
          </cell>
          <cell r="B18183" t="str">
            <v>Desarrollo de pequeñas industrias</v>
          </cell>
        </row>
        <row r="18184">
          <cell r="A18184">
            <v>93171601</v>
          </cell>
          <cell r="B18184" t="str">
            <v>Acuerdos internacionales sobre productos básicos</v>
          </cell>
        </row>
        <row r="18185">
          <cell r="A18185">
            <v>93171602</v>
          </cell>
          <cell r="B18185" t="str">
            <v>Política de exportación</v>
          </cell>
        </row>
        <row r="18186">
          <cell r="A18186">
            <v>93171603</v>
          </cell>
          <cell r="B18186" t="str">
            <v>Políticas o procedimientos de comercio mundial</v>
          </cell>
        </row>
        <row r="18187">
          <cell r="A18187">
            <v>93171604</v>
          </cell>
          <cell r="B18187" t="str">
            <v>Acuerdos comerciales bilaterales</v>
          </cell>
        </row>
        <row r="18188">
          <cell r="A18188">
            <v>93171701</v>
          </cell>
          <cell r="B18188" t="str">
            <v>Convenciones aduaneras</v>
          </cell>
        </row>
        <row r="18189">
          <cell r="A18189">
            <v>93171702</v>
          </cell>
          <cell r="B18189" t="str">
            <v>Trámites aduaneros</v>
          </cell>
        </row>
        <row r="18190">
          <cell r="A18190">
            <v>93171703</v>
          </cell>
          <cell r="B18190" t="str">
            <v>Delitos aduaneros</v>
          </cell>
        </row>
        <row r="18191">
          <cell r="A18191">
            <v>93171801</v>
          </cell>
          <cell r="B18191" t="str">
            <v>Proyecciones comerciales</v>
          </cell>
        </row>
        <row r="18192">
          <cell r="A18192">
            <v>93171802</v>
          </cell>
          <cell r="B18192" t="str">
            <v>Proyecciones de la balanza comercial</v>
          </cell>
        </row>
        <row r="18193">
          <cell r="A18193">
            <v>93171803</v>
          </cell>
          <cell r="B18193" t="str">
            <v>Estadísticas comerciales</v>
          </cell>
        </row>
        <row r="18194">
          <cell r="A18194">
            <v>94101501</v>
          </cell>
          <cell r="B18194" t="str">
            <v>Asociaciones de la industria agrícola</v>
          </cell>
        </row>
        <row r="18195">
          <cell r="A18195">
            <v>94101502</v>
          </cell>
          <cell r="B18195" t="str">
            <v>Asociaciones reguladoras</v>
          </cell>
        </row>
        <row r="18196">
          <cell r="A18196">
            <v>94101503</v>
          </cell>
          <cell r="B18196" t="str">
            <v>Asociaciones empresariales sectoriales</v>
          </cell>
        </row>
        <row r="18197">
          <cell r="A18197">
            <v>94101504</v>
          </cell>
          <cell r="B18197" t="str">
            <v>Asociaciones empresariales internacionales</v>
          </cell>
        </row>
        <row r="18198">
          <cell r="A18198">
            <v>94101505</v>
          </cell>
          <cell r="B18198" t="str">
            <v>Asociaciones de empleadores</v>
          </cell>
        </row>
        <row r="18199">
          <cell r="A18199">
            <v>94101601</v>
          </cell>
          <cell r="B18199" t="str">
            <v>Asociaciones de odontólogos</v>
          </cell>
        </row>
        <row r="18200">
          <cell r="A18200">
            <v>94101602</v>
          </cell>
          <cell r="B18200" t="str">
            <v>Asociaciones de médicos</v>
          </cell>
        </row>
        <row r="18201">
          <cell r="A18201">
            <v>94101603</v>
          </cell>
          <cell r="B18201" t="str">
            <v>Asociaciones de enfermeras</v>
          </cell>
        </row>
        <row r="18202">
          <cell r="A18202">
            <v>94101604</v>
          </cell>
          <cell r="B18202" t="str">
            <v>Asociaciones de contadores</v>
          </cell>
        </row>
        <row r="18203">
          <cell r="A18203">
            <v>94101605</v>
          </cell>
          <cell r="B18203" t="str">
            <v>Asociaciones de arquitectos</v>
          </cell>
        </row>
        <row r="18204">
          <cell r="A18204">
            <v>94101606</v>
          </cell>
          <cell r="B18204" t="str">
            <v>Colegios de abogados</v>
          </cell>
        </row>
        <row r="18205">
          <cell r="A18205">
            <v>94101607</v>
          </cell>
          <cell r="B18205" t="str">
            <v>Asociaciones educativas o de profesores</v>
          </cell>
        </row>
        <row r="18206">
          <cell r="A18206">
            <v>94101608</v>
          </cell>
          <cell r="B18206" t="str">
            <v>Asociaciones de ingenieros</v>
          </cell>
        </row>
        <row r="18207">
          <cell r="A18207">
            <v>94101609</v>
          </cell>
          <cell r="B18207" t="str">
            <v>Asociaciones científicas</v>
          </cell>
        </row>
        <row r="18208">
          <cell r="A18208">
            <v>94101610</v>
          </cell>
          <cell r="B18208" t="str">
            <v>Juntas de revisión de estándares profesionales</v>
          </cell>
        </row>
        <row r="18209">
          <cell r="A18209">
            <v>94101701</v>
          </cell>
          <cell r="B18209" t="str">
            <v>Clubes de ocio del personal</v>
          </cell>
        </row>
        <row r="18210">
          <cell r="A18210">
            <v>94101702</v>
          </cell>
          <cell r="B18210" t="str">
            <v>Asociaciones deportivas del personal</v>
          </cell>
        </row>
        <row r="18211">
          <cell r="A18211">
            <v>94101703</v>
          </cell>
          <cell r="B18211" t="str">
            <v>Asociaciones de personal femenino</v>
          </cell>
        </row>
        <row r="18212">
          <cell r="A18212">
            <v>94101704</v>
          </cell>
          <cell r="B18212" t="str">
            <v>Asociaciones de personal pensionado</v>
          </cell>
        </row>
        <row r="18213">
          <cell r="A18213">
            <v>94101705</v>
          </cell>
          <cell r="B18213" t="str">
            <v>Asociaciones de personal administrativo</v>
          </cell>
        </row>
        <row r="18214">
          <cell r="A18214">
            <v>94101801</v>
          </cell>
          <cell r="B18214" t="str">
            <v>Sindicatos de obreros o trabajadores generales</v>
          </cell>
        </row>
        <row r="18215">
          <cell r="A18215">
            <v>94101802</v>
          </cell>
          <cell r="B18215" t="str">
            <v>Servicios de activistas sindicales</v>
          </cell>
        </row>
        <row r="18216">
          <cell r="A18216">
            <v>94101803</v>
          </cell>
          <cell r="B18216" t="str">
            <v>Servicios sindicales de información</v>
          </cell>
        </row>
        <row r="18217">
          <cell r="A18217">
            <v>94101804</v>
          </cell>
          <cell r="B18217" t="str">
            <v>Sindicatos de transportadores</v>
          </cell>
        </row>
        <row r="18218">
          <cell r="A18218">
            <v>94101805</v>
          </cell>
          <cell r="B18218" t="str">
            <v>Sindicatos de profesores</v>
          </cell>
        </row>
        <row r="18219">
          <cell r="A18219">
            <v>94101806</v>
          </cell>
          <cell r="B18219" t="str">
            <v>Sindicatos de personal médico</v>
          </cell>
        </row>
        <row r="18220">
          <cell r="A18220">
            <v>94101807</v>
          </cell>
          <cell r="B18220" t="str">
            <v>Sindicatos de empleadores</v>
          </cell>
        </row>
        <row r="18221">
          <cell r="A18221">
            <v>94101808</v>
          </cell>
          <cell r="B18221" t="str">
            <v>Sindicatos de funcionarios</v>
          </cell>
        </row>
        <row r="18222">
          <cell r="A18222">
            <v>94101809</v>
          </cell>
          <cell r="B18222" t="str">
            <v>Sindicatos de servicios de asistencia personal</v>
          </cell>
        </row>
        <row r="18223">
          <cell r="A18223">
            <v>94101810</v>
          </cell>
          <cell r="B18223" t="str">
            <v>Sindicatos de aviación</v>
          </cell>
        </row>
        <row r="18224">
          <cell r="A18224">
            <v>94111701</v>
          </cell>
          <cell r="B18224" t="str">
            <v>Residencias religiosas privadas</v>
          </cell>
        </row>
        <row r="18225">
          <cell r="A18225">
            <v>94111702</v>
          </cell>
          <cell r="B18225" t="str">
            <v>Residencias de comunidades religiosas</v>
          </cell>
        </row>
        <row r="18226">
          <cell r="A18226">
            <v>94111703</v>
          </cell>
          <cell r="B18226" t="str">
            <v>Residencias para retiros religiosos</v>
          </cell>
        </row>
        <row r="18227">
          <cell r="A18227">
            <v>94111704</v>
          </cell>
          <cell r="B18227" t="str">
            <v>Residencias religiosas temporales</v>
          </cell>
        </row>
        <row r="18228">
          <cell r="A18228">
            <v>94111801</v>
          </cell>
          <cell r="B18228" t="str">
            <v>Organizaciones o servicios de peregrinaje a la meca</v>
          </cell>
        </row>
        <row r="18229">
          <cell r="A18229">
            <v>94111802</v>
          </cell>
          <cell r="B18229" t="str">
            <v>Organizaciones o servicios de peregrinaje al vaticano</v>
          </cell>
        </row>
        <row r="18230">
          <cell r="A18230">
            <v>94111803</v>
          </cell>
          <cell r="B18230" t="str">
            <v>Servicios de asistencia para viajes de peregrinaje</v>
          </cell>
        </row>
        <row r="18231">
          <cell r="A18231">
            <v>94111804</v>
          </cell>
          <cell r="B18231" t="str">
            <v>Servicios de operadores turísticos de peregrinaje</v>
          </cell>
        </row>
        <row r="18232">
          <cell r="A18232">
            <v>94111901</v>
          </cell>
          <cell r="B18232" t="str">
            <v>Servicios de órdenes religiosas</v>
          </cell>
        </row>
        <row r="18233">
          <cell r="A18233">
            <v>94111902</v>
          </cell>
          <cell r="B18233" t="str">
            <v>Servicios de misioneros evangélicos</v>
          </cell>
        </row>
        <row r="18234">
          <cell r="A18234">
            <v>94111903</v>
          </cell>
          <cell r="B18234" t="str">
            <v>Servicios misioneros educativos</v>
          </cell>
        </row>
        <row r="18235">
          <cell r="A18235">
            <v>94112001</v>
          </cell>
          <cell r="B18235" t="str">
            <v>Servicios relacionados con el hinduismo</v>
          </cell>
        </row>
        <row r="18236">
          <cell r="A18236">
            <v>94112002</v>
          </cell>
          <cell r="B18236" t="str">
            <v>Servicios relacionados con el budismo</v>
          </cell>
        </row>
        <row r="18237">
          <cell r="A18237">
            <v>94112003</v>
          </cell>
          <cell r="B18237" t="str">
            <v>Servicios relacionados con el cristianismo</v>
          </cell>
        </row>
        <row r="18238">
          <cell r="A18238">
            <v>94112004</v>
          </cell>
          <cell r="B18238" t="str">
            <v>Servicios relacionados con el islamismo</v>
          </cell>
        </row>
        <row r="18239">
          <cell r="A18239">
            <v>94112005</v>
          </cell>
          <cell r="B18239" t="str">
            <v>Servicios relacionados con el judaísmo</v>
          </cell>
        </row>
        <row r="18240">
          <cell r="A18240">
            <v>94121501</v>
          </cell>
          <cell r="B18240" t="str">
            <v>Clubes de deportes en hielo</v>
          </cell>
        </row>
        <row r="18241">
          <cell r="A18241">
            <v>94121502</v>
          </cell>
          <cell r="B18241" t="str">
            <v>Clubes deportivos de vela o natación</v>
          </cell>
        </row>
        <row r="18242">
          <cell r="A18242">
            <v>94121503</v>
          </cell>
          <cell r="B18242" t="str">
            <v>Clubes deportivos de caza o tiro</v>
          </cell>
        </row>
        <row r="18243">
          <cell r="A18243">
            <v>94121504</v>
          </cell>
          <cell r="B18243" t="str">
            <v>Clubes deportivos de campos al aire libre</v>
          </cell>
        </row>
        <row r="18244">
          <cell r="A18244">
            <v>94121505</v>
          </cell>
          <cell r="B18244" t="str">
            <v>Clubes deportivos de canchas cubiertas o al aire libre</v>
          </cell>
        </row>
        <row r="18245">
          <cell r="A18245">
            <v>94121506</v>
          </cell>
          <cell r="B18245" t="str">
            <v>Clubes deportivos de invierno</v>
          </cell>
        </row>
        <row r="18246">
          <cell r="A18246">
            <v>94121507</v>
          </cell>
          <cell r="B18246" t="str">
            <v>Clubes deportivos de playa o acuáticos</v>
          </cell>
        </row>
        <row r="18247">
          <cell r="A18247">
            <v>94121508</v>
          </cell>
          <cell r="B18247" t="str">
            <v>Clubes deportivos de ciclismo</v>
          </cell>
        </row>
        <row r="18248">
          <cell r="A18248">
            <v>94121509</v>
          </cell>
          <cell r="B18248" t="str">
            <v>Clubes deportivos de montañismo</v>
          </cell>
        </row>
        <row r="18249">
          <cell r="A18249">
            <v>94121510</v>
          </cell>
          <cell r="B18249" t="str">
            <v>Clubes deportivos de carreras</v>
          </cell>
        </row>
        <row r="18250">
          <cell r="A18250">
            <v>94121511</v>
          </cell>
          <cell r="B18250" t="str">
            <v>Clubes deportivos de vuelo</v>
          </cell>
        </row>
        <row r="18251">
          <cell r="A18251">
            <v>94121512</v>
          </cell>
          <cell r="B18251" t="str">
            <v>Clubes deportivos profesionales o semiprofesionales</v>
          </cell>
        </row>
        <row r="18252">
          <cell r="A18252">
            <v>94121513</v>
          </cell>
          <cell r="B18252" t="str">
            <v>Servicios de operadores de eventos en estadios</v>
          </cell>
        </row>
        <row r="18253">
          <cell r="A18253">
            <v>94121514</v>
          </cell>
          <cell r="B18253" t="str">
            <v>Servicios de promotores o directores técnicos de clubes deportivos</v>
          </cell>
        </row>
        <row r="18254">
          <cell r="A18254">
            <v>94121601</v>
          </cell>
          <cell r="B18254" t="str">
            <v>Clubes de aficionados a los juegos de cartas</v>
          </cell>
        </row>
        <row r="18255">
          <cell r="A18255">
            <v>94121602</v>
          </cell>
          <cell r="B18255" t="str">
            <v>Clubes de artesanías</v>
          </cell>
        </row>
        <row r="18256">
          <cell r="A18256">
            <v>94121603</v>
          </cell>
          <cell r="B18256" t="str">
            <v>Clubes de aficionados a la poesía o la literatura</v>
          </cell>
        </row>
        <row r="18257">
          <cell r="A18257">
            <v>94121604</v>
          </cell>
          <cell r="B18257" t="str">
            <v>Clubes de aficionados a la cocina</v>
          </cell>
        </row>
        <row r="18258">
          <cell r="A18258">
            <v>94121605</v>
          </cell>
          <cell r="B18258" t="str">
            <v>Clubes de aficionados a la jardinería</v>
          </cell>
        </row>
        <row r="18259">
          <cell r="A18259">
            <v>94121606</v>
          </cell>
          <cell r="B18259" t="str">
            <v>Club de aficionados al coleccionismo</v>
          </cell>
        </row>
        <row r="18260">
          <cell r="A18260">
            <v>94121607</v>
          </cell>
          <cell r="B18260" t="str">
            <v>Club de exploradores (scouts)</v>
          </cell>
        </row>
        <row r="18261">
          <cell r="A18261">
            <v>94121701</v>
          </cell>
          <cell r="B18261" t="str">
            <v>Clubes o servicios para aficionados al teatro</v>
          </cell>
        </row>
        <row r="18262">
          <cell r="A18262">
            <v>94121702</v>
          </cell>
          <cell r="B18262" t="str">
            <v>Clubes o servicios para aficionados a la música</v>
          </cell>
        </row>
        <row r="18263">
          <cell r="A18263">
            <v>94121703</v>
          </cell>
          <cell r="B18263" t="str">
            <v>Clubes o servicios para aficionados al baile a la danza</v>
          </cell>
        </row>
        <row r="18264">
          <cell r="A18264">
            <v>94121704</v>
          </cell>
          <cell r="B18264" t="str">
            <v>Clubes o servicios para aficionados a las bellas artes</v>
          </cell>
        </row>
        <row r="18265">
          <cell r="A18265">
            <v>94121801</v>
          </cell>
          <cell r="B18265" t="str">
            <v>Clubes juveniles</v>
          </cell>
        </row>
        <row r="18266">
          <cell r="A18266">
            <v>94121802</v>
          </cell>
          <cell r="B18266" t="str">
            <v>Clubes para la tercera edad</v>
          </cell>
        </row>
        <row r="18267">
          <cell r="A18267">
            <v>94121803</v>
          </cell>
          <cell r="B18267" t="str">
            <v>Clubes para reuniones sociales</v>
          </cell>
        </row>
        <row r="18268">
          <cell r="A18268">
            <v>94121804</v>
          </cell>
          <cell r="B18268" t="str">
            <v>Clubes sociales para personas discapacitadas</v>
          </cell>
        </row>
        <row r="18269">
          <cell r="A18269">
            <v>94121805</v>
          </cell>
          <cell r="B18269" t="str">
            <v>Clubes sociales para veteranos de guerra</v>
          </cell>
        </row>
        <row r="18270">
          <cell r="A18270">
            <v>94131501</v>
          </cell>
          <cell r="B18270" t="str">
            <v>Servicios ambientales no gubernamentales</v>
          </cell>
        </row>
        <row r="18271">
          <cell r="A18271">
            <v>94131502</v>
          </cell>
          <cell r="B18271" t="str">
            <v>Servicios no gubernamentales de ayuda de emergencia</v>
          </cell>
        </row>
        <row r="18272">
          <cell r="A18272">
            <v>94131503</v>
          </cell>
          <cell r="B18272" t="str">
            <v>Servicios no gubernamentales de asistencia técnica</v>
          </cell>
        </row>
        <row r="18273">
          <cell r="A18273">
            <v>94131504</v>
          </cell>
          <cell r="B18273" t="str">
            <v>Servicios no gubernamentales de ayuda al desarrollo</v>
          </cell>
        </row>
        <row r="18274">
          <cell r="A18274">
            <v>94131601</v>
          </cell>
          <cell r="B18274" t="str">
            <v>Servicios de albergue de organizaciones de beneficencia</v>
          </cell>
        </row>
        <row r="18275">
          <cell r="A18275">
            <v>94131602</v>
          </cell>
          <cell r="B18275" t="str">
            <v>Servicios de socorro alimentario</v>
          </cell>
        </row>
        <row r="18276">
          <cell r="A18276">
            <v>94131603</v>
          </cell>
          <cell r="B18276" t="str">
            <v>Servicios de asistencia legal</v>
          </cell>
        </row>
        <row r="18277">
          <cell r="A18277">
            <v>94131604</v>
          </cell>
          <cell r="B18277" t="str">
            <v>Servicios de movilización de recursos</v>
          </cell>
        </row>
        <row r="18278">
          <cell r="A18278">
            <v>94131605</v>
          </cell>
          <cell r="B18278" t="str">
            <v>Servicios de asistencia de ayuda internacional</v>
          </cell>
        </row>
        <row r="18279">
          <cell r="A18279">
            <v>94131606</v>
          </cell>
          <cell r="B18279" t="str">
            <v>Servicios de orfanatos o adopción</v>
          </cell>
        </row>
        <row r="18280">
          <cell r="A18280">
            <v>94131607</v>
          </cell>
          <cell r="B18280" t="str">
            <v>Organizaciones de asistencia a los adultos mayores</v>
          </cell>
        </row>
        <row r="18281">
          <cell r="A18281">
            <v>94131608</v>
          </cell>
          <cell r="B18281" t="str">
            <v>Organizaciones de asistencia a presos</v>
          </cell>
        </row>
        <row r="18282">
          <cell r="A18282">
            <v>94131701</v>
          </cell>
          <cell r="B18282" t="str">
            <v>Asociaciones ecologistas radicales</v>
          </cell>
        </row>
        <row r="18283">
          <cell r="A18283">
            <v>94131702</v>
          </cell>
          <cell r="B18283" t="str">
            <v>Asociaciones ecofeministas</v>
          </cell>
        </row>
        <row r="18284">
          <cell r="A18284">
            <v>94131703</v>
          </cell>
          <cell r="B18284" t="str">
            <v>Organizaciones políticas ecológicas</v>
          </cell>
        </row>
        <row r="18285">
          <cell r="A18285">
            <v>94131704</v>
          </cell>
          <cell r="B18285" t="str">
            <v>Movimientos o servicios de activistas ecológicos</v>
          </cell>
        </row>
        <row r="18286">
          <cell r="A18286">
            <v>94131801</v>
          </cell>
          <cell r="B18286" t="str">
            <v>Movimientos de homosexuales, lesbianas, bisexuales o transexuales</v>
          </cell>
        </row>
        <row r="18287">
          <cell r="A18287">
            <v>94131802</v>
          </cell>
          <cell r="B18287" t="str">
            <v>Movimientos antirracistas</v>
          </cell>
        </row>
        <row r="18288">
          <cell r="A18288">
            <v>94131803</v>
          </cell>
          <cell r="B18288" t="str">
            <v>Movimientos para la  liberación femenina</v>
          </cell>
        </row>
        <row r="18289">
          <cell r="A18289">
            <v>94131804</v>
          </cell>
          <cell r="B18289" t="str">
            <v>Asociaciones fraternales</v>
          </cell>
        </row>
        <row r="18290">
          <cell r="A18290">
            <v>94131805</v>
          </cell>
          <cell r="B18290" t="str">
            <v>Servicios de preservación cultural de las minorías étnicas</v>
          </cell>
        </row>
        <row r="18291">
          <cell r="A18291">
            <v>94131901</v>
          </cell>
          <cell r="B18291" t="str">
            <v>Movimientos para la liberación de animales</v>
          </cell>
        </row>
        <row r="18292">
          <cell r="A18292">
            <v>94131902</v>
          </cell>
          <cell r="B18292" t="str">
            <v>Asociaciones para la protección de las especies en peligro de extinción</v>
          </cell>
        </row>
        <row r="18293">
          <cell r="A18293">
            <v>94131903</v>
          </cell>
          <cell r="B18293" t="str">
            <v>Asociaciones para la protección de animales amenazados</v>
          </cell>
        </row>
        <row r="18294">
          <cell r="A18294">
            <v>94132001</v>
          </cell>
          <cell r="B18294" t="str">
            <v>Servicios de defensa de los derechos de los niños</v>
          </cell>
        </row>
        <row r="18295">
          <cell r="A18295">
            <v>94132002</v>
          </cell>
          <cell r="B18295" t="str">
            <v>Servicios de defensa de los presos</v>
          </cell>
        </row>
        <row r="18296">
          <cell r="A18296">
            <v>94132003</v>
          </cell>
          <cell r="B18296" t="str">
            <v>Asociaciones para la defensa de la tortura física o mental</v>
          </cell>
        </row>
        <row r="18297">
          <cell r="A18297">
            <v>94132004</v>
          </cell>
          <cell r="B18297" t="str">
            <v>Asociaciones para la defensa de la libertad de expresión</v>
          </cell>
        </row>
        <row r="18298">
          <cell r="A18298">
            <v>94132005</v>
          </cell>
          <cell r="B18298" t="str">
            <v>Asociaciones de defensa del derecho de voto</v>
          </cell>
        </row>
      </sheetData>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946E307-825F-493F-B755-BA9BEDEAAF3B}" name="Table162" displayName="Table162" ref="A2000:F2005" totalsRowShown="0">
  <tableColumns count="6">
    <tableColumn id="1" xr3:uid="{DC354E7D-7A16-4E4B-A808-5F26AE5442D5}" name="CÓDIGO CATÁLOGO"/>
    <tableColumn id="2" xr3:uid="{752F703D-C99A-4DEE-A1AB-C73999116F7C}" name="ARTÍCULO"/>
    <tableColumn id="3" xr3:uid="{59C46DB9-6F2C-4774-959B-708027368839}" name="UNIDAD DE MEDIDA">
      <calculatedColumnFormula>IFERROR(VLOOKUP("UD",'[1]Informacion '!P:Q,2,FALSE),"")</calculatedColumnFormula>
    </tableColumn>
    <tableColumn id="4" xr3:uid="{1C53E7B5-DDBD-4F9A-B65F-B63E09C8D2E4}" name="CANTIDAD TOTAL ESTIMADA"/>
    <tableColumn id="5" xr3:uid="{4BBD7EE8-2AC5-4861-A403-7C6EF86BC6FF}" name="PRECIO UNITARIO ESTIMADO"/>
    <tableColumn id="6" xr3:uid="{2DDDEE2A-29D5-47BB-AB7B-1DE52BA55BD6}"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7AD746F-A32A-4541-A72F-B1C4541A0AA2}" name="Table82" displayName="Table82" ref="A918:F919" totalsRowShown="0">
  <tableColumns count="6">
    <tableColumn id="1" xr3:uid="{8B0090A1-7DD7-4526-BB38-5A120702B959}" name="CÓDIGO CATÁLOGO"/>
    <tableColumn id="2" xr3:uid="{C53642AD-1F26-49B0-B80C-F60954246FD0}" name="ARTÍCULO">
      <calculatedColumnFormula>IFERROR(INDEX(UNSPSCDes,MATCH(INDIRECT(ADDRESS(ROW(),COLUMN()-1,4)),UNSPSCCode,0)),IF(INDIRECT(ADDRESS(ROW(),COLUMN()-1,4))="11131504","Cueros",""))</calculatedColumnFormula>
    </tableColumn>
    <tableColumn id="3" xr3:uid="{7D57F7C8-998B-47B3-8A2F-8C2634AE1967}" name="UNIDAD DE MEDIDA">
      <calculatedColumnFormula>IFERROR(VLOOKUP("UD",'[1]Informacion '!P:Q,2,FALSE),"")</calculatedColumnFormula>
    </tableColumn>
    <tableColumn id="4" xr3:uid="{C7B68F33-B88B-4551-9E7B-2C36677ADB4D}" name="CANTIDAD TOTAL ESTIMADA"/>
    <tableColumn id="5" xr3:uid="{70659AA0-A0B0-4BF7-B7BB-DBED6AEF611B}" name="PRECIO UNITARIO ESTIMADO"/>
    <tableColumn id="6" xr3:uid="{5C95BD84-7E17-416F-8329-A98E866CACAB}"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CA7FDA1D-7DE1-48FE-851B-3F1ED9A69595}" name="Table85" displayName="Table85" ref="A951:F952" totalsRowShown="0">
  <tableColumns count="6">
    <tableColumn id="1" xr3:uid="{C9678317-B884-4C9B-B559-FF43EAB10F9B}" name="CÓDIGO CATÁLOGO"/>
    <tableColumn id="2" xr3:uid="{A1A720AC-8076-42EE-8FBF-36B50E89F52E}" name="ARTÍCULO">
      <calculatedColumnFormula>IFERROR(INDEX(UNSPSCDes,MATCH(INDIRECT(ADDRESS(ROW(),COLUMN()-1,4)),UNSPSCCode,0)),IF(INDIRECT(ADDRESS(ROW(),COLUMN()-1,4))="25172504","Neumáticos para automoviles o camiones ligeros",""))</calculatedColumnFormula>
    </tableColumn>
    <tableColumn id="3" xr3:uid="{8F6BAA48-C7F1-4822-89C9-30BA731D6C84}" name="UNIDAD DE MEDIDA"/>
    <tableColumn id="4" xr3:uid="{929B4144-D558-421A-8FD5-09DE9D5F5A2E}" name="CANTIDAD TOTAL ESTIMADA"/>
    <tableColumn id="5" xr3:uid="{0367678C-C03C-43EB-9D85-5DC026349685}" name="PRECIO UNITARIO ESTIMADO"/>
    <tableColumn id="6" xr3:uid="{277AB12F-B3F8-41F6-A0D9-032BB107ACFD}"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69B72750-820E-4E00-97D8-9573688C3EDA}" name="Table49" displayName="Table49" ref="A525:F529" totalsRowShown="0">
  <tableColumns count="6">
    <tableColumn id="1" xr3:uid="{5E21B3E3-0BE0-42F1-8397-750CB33194CA}" name="CÓDIGO CATÁLOGO"/>
    <tableColumn id="2" xr3:uid="{BA820685-3CEB-4E80-89F5-039FE118B834}" name="ARTÍCULO"/>
    <tableColumn id="3" xr3:uid="{D6C5639B-8961-4CDE-A3C2-41C8518354AC}" name="UNIDAD DE MEDIDA">
      <calculatedColumnFormula>IFERROR(VLOOKUP("UD",'[1]Informacion '!P:Q,2,FALSE),"")</calculatedColumnFormula>
    </tableColumn>
    <tableColumn id="4" xr3:uid="{AF008B78-95A3-41CE-BA01-5114332970D6}" name="CANTIDAD TOTAL ESTIMADA"/>
    <tableColumn id="5" xr3:uid="{5D2E2D56-95F1-4F35-AAE1-BB57FBABA9DB}" name="PRECIO UNITARIO ESTIMADO"/>
    <tableColumn id="6" xr3:uid="{B5319A21-EE29-4EE1-A07C-1412DA7B358C}"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E62629BC-96C4-4D5C-862B-01B503DF5FBF}" name="Table138" displayName="Table138" ref="A1712:F1721" totalsRowShown="0">
  <tableColumns count="6">
    <tableColumn id="1" xr3:uid="{DF81E394-E9F8-4E49-A984-2D526B9298E5}" name="CÓDIGO CATÁLOGO"/>
    <tableColumn id="2" xr3:uid="{95D1ED90-E1BB-441F-B277-0A6AD9E0DF77}" name="ARTÍCULO"/>
    <tableColumn id="3" xr3:uid="{464DE2D0-704F-47B1-AB52-DBBAA1A6024C}" name="UNIDAD DE MEDIDA">
      <calculatedColumnFormula>IFERROR(VLOOKUP("UD",'[1]Informacion '!P:Q,2,FALSE),"")</calculatedColumnFormula>
    </tableColumn>
    <tableColumn id="4" xr3:uid="{6B6EFC26-F75D-4353-A24F-92FD6BF5B596}" name="CANTIDAD TOTAL ESTIMADA"/>
    <tableColumn id="5" xr3:uid="{A61A531D-F10B-4B0B-A001-C37BA323C3F9}" name="PRECIO UNITARIO ESTIMADO"/>
    <tableColumn id="6" xr3:uid="{1ECBD642-560F-4923-8CE3-C550F5ABC8A7}"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73D21BAC-5812-4F5B-9732-8DCC33FC407B}" name="Table21" displayName="Table21" ref="A215:F217" totalsRowShown="0">
  <tableColumns count="6">
    <tableColumn id="1" xr3:uid="{B310DF80-859A-4C33-8030-F965BEE266AC}" name="CÓDIGO CATÁLOGO"/>
    <tableColumn id="2" xr3:uid="{766AC95E-7082-4AD1-91EA-DC12B4D163EC}" name="ARTÍCULO">
      <calculatedColumnFormula>IFERROR(INDEX(UNSPSCDes,MATCH(INDIRECT(ADDRESS(ROW(),COLUMN()-1,4)),UNSPSCCode,0)),IF(INDIRECT(ADDRESS(ROW(),COLUMN()-1,4))="86101705","Capacitación administrativa",""))</calculatedColumnFormula>
    </tableColumn>
    <tableColumn id="3" xr3:uid="{1D9AFF6C-461F-4A4E-ABC7-E21F3807257B}" name="UNIDAD DE MEDIDA">
      <calculatedColumnFormula>IFERROR(VLOOKUP("UD",'[1]Informacion '!P:Q,2,FALSE),"")</calculatedColumnFormula>
    </tableColumn>
    <tableColumn id="4" xr3:uid="{05889DD8-A5DF-469E-A7BF-5DF6360045FF}" name="CANTIDAD TOTAL ESTIMADA"/>
    <tableColumn id="5" xr3:uid="{9E3FCFEE-DE84-42E9-AEB2-D28D7DB1A288}" name="PRECIO UNITARIO ESTIMADO"/>
    <tableColumn id="6" xr3:uid="{741D6C51-5FF0-4462-B468-6FE3D22DDC41}"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9141AB96-965B-48F7-AF32-DFAB3AA57F91}" name="Table221" displayName="Table221" ref="A2658:F2659" totalsRowShown="0">
  <tableColumns count="6">
    <tableColumn id="1" xr3:uid="{99D78A6A-4C7E-420B-B44F-C4B198CE0AFD}" name="CÓDIGO CATÁLOGO"/>
    <tableColumn id="2" xr3:uid="{9C7C61BE-EC58-4417-BC02-16D4999D8F00}" name="ARTÍCULO">
      <calculatedColumnFormula>IFERROR(INDEX(UNSPSCDes,MATCH(INDIRECT(ADDRESS(ROW(),COLUMN()-1,4)),UNSPSCCode,0)),IF(INDIRECT(ADDRESS(ROW(),COLUMN()-1,4))="41111903","Detectores de metales",""))</calculatedColumnFormula>
    </tableColumn>
    <tableColumn id="3" xr3:uid="{83BF4C4F-F976-4747-8BEC-C32A8C610B0D}" name="UNIDAD DE MEDIDA">
      <calculatedColumnFormula>IFERROR(VLOOKUP("UD",'[1]Informacion '!P:Q,2,FALSE),"")</calculatedColumnFormula>
    </tableColumn>
    <tableColumn id="4" xr3:uid="{DFE9B1B8-E729-4034-A251-5D4E09EF3305}" name="CANTIDAD TOTAL ESTIMADA"/>
    <tableColumn id="5" xr3:uid="{B45141DD-697F-4E8C-9FD9-13509B89DA14}" name="PRECIO UNITARIO ESTIMADO"/>
    <tableColumn id="6" xr3:uid="{0AF4BDA3-A531-49E8-A773-46426C794439}"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5C95630C-7FD4-4989-A939-48C3F8919A89}" name="Table177" displayName="Table177" ref="A2175:F2177" totalsRowShown="0">
  <tableColumns count="6">
    <tableColumn id="1" xr3:uid="{53377682-8AA9-4AB2-9D6C-B1C71368037D}" name="CÓDIGO CATÁLOGO"/>
    <tableColumn id="2" xr3:uid="{A948E520-A2F6-43EA-A8F4-6F297A31B2E1}" name="ARTÍCULO"/>
    <tableColumn id="3" xr3:uid="{93060594-91FA-4694-914B-DD145919C7F1}" name="UNIDAD DE MEDIDA">
      <calculatedColumnFormula>IFERROR(VLOOKUP("UD",'[1]Informacion '!P:Q,2,FALSE),"")</calculatedColumnFormula>
    </tableColumn>
    <tableColumn id="4" xr3:uid="{C50F8F01-3D31-4CC1-9583-AE118F4B1AFB}" name="CANTIDAD TOTAL ESTIMADA"/>
    <tableColumn id="5" xr3:uid="{EC0DC646-962E-45EC-B9B4-A85963B2DCAA}" name="PRECIO UNITARIO ESTIMADO"/>
    <tableColumn id="6" xr3:uid="{15FFEEB1-6B00-45A9-BB01-43E94B901450}"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6E3E0822-D936-42D2-9EC9-2D634CABA3EE}" name="Table219" displayName="Table219" ref="A2647:F2648" totalsRowShown="0">
  <tableColumns count="6">
    <tableColumn id="1" xr3:uid="{C97AFCCB-4EB8-4341-86DE-B3F6882A113C}" name="CÓDIGO CATÁLOGO"/>
    <tableColumn id="2" xr3:uid="{6DBAA658-91DE-481A-B0E0-DFC10F8E3033}" name="ARTÍCULO">
      <calculatedColumnFormula>IFERROR(INDEX(UNSPSCDes,MATCH(INDIRECT(ADDRESS(ROW(),COLUMN()-1,4)),UNSPSCCode,0)),IF(INDIRECT(ADDRESS(ROW(),COLUMN()-1,4))="24101510","Contenedor de basura plástico",""))</calculatedColumnFormula>
    </tableColumn>
    <tableColumn id="3" xr3:uid="{741A3F0A-64E9-4C47-BB0A-C9E70D3A310D}" name="UNIDAD DE MEDIDA">
      <calculatedColumnFormula>IFERROR(VLOOKUP("UD",'[1]Informacion '!P:Q,2,FALSE),"")</calculatedColumnFormula>
    </tableColumn>
    <tableColumn id="4" xr3:uid="{023DC8B3-DFBC-47CC-98AF-E3CB8BB66D1A}" name="CANTIDAD TOTAL ESTIMADA"/>
    <tableColumn id="5" xr3:uid="{9CCF2A9D-B881-44D6-B6B1-4D6BAB3A3468}" name="PRECIO UNITARIO ESTIMADO"/>
    <tableColumn id="6" xr3:uid="{392F3BDA-CD07-4FF0-8007-38F030CD2E78}"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3DE3DB8F-4ACE-410B-A5B0-C8FBB453CA9C}" name="Table260" displayName="Table260" ref="A3000:F3001" totalsRowShown="0">
  <tableColumns count="6">
    <tableColumn id="1" xr3:uid="{9BEE7B79-438E-41D6-98CD-6D78CCB824A5}" name="CÓDIGO CATÁLOGO"/>
    <tableColumn id="2" xr3:uid="{4E204BCD-0753-4888-9C46-AF312DB53EFE}" name="ARTÍCULO">
      <calculatedColumnFormula>IFERROR(INDEX(UNSPSCDes,MATCH(INDIRECT(ADDRESS(ROW(),COLUMN()-1,4)),UNSPSCCode,0)),IF(INDIRECT(ADDRESS(ROW(),COLUMN()-1,4))="91111502","Servicios de lavandería",""))</calculatedColumnFormula>
    </tableColumn>
    <tableColumn id="3" xr3:uid="{EC8DABB8-2222-458B-8DB3-AF22F59AF682}" name="UNIDAD DE MEDIDA">
      <calculatedColumnFormula>IFERROR(VLOOKUP("UD",'[1]Informacion '!P:Q,2,FALSE),"")</calculatedColumnFormula>
    </tableColumn>
    <tableColumn id="4" xr3:uid="{EBE6D9FE-4C44-42F8-9214-0BBF3B7182ED}" name="CANTIDAD TOTAL ESTIMADA"/>
    <tableColumn id="5" xr3:uid="{7525BB38-1044-42C3-8F1D-92D75055D825}" name="PRECIO UNITARIO ESTIMADO"/>
    <tableColumn id="6" xr3:uid="{C1C3B8A1-5645-4665-BF3E-989A556247C5}"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294A572C-2CEF-4F19-83EB-D0E0DB0B8719}" name="Table116" displayName="Table116" ref="A1326:F1329" totalsRowShown="0">
  <tableColumns count="6">
    <tableColumn id="1" xr3:uid="{9635AFFA-5C9E-4407-A75E-BE8221BBBC04}" name="CÓDIGO CATÁLOGO"/>
    <tableColumn id="2" xr3:uid="{5B20C621-BF78-4F9D-95C9-4EAF6B65EAB5}" name="ARTÍCULO">
      <calculatedColumnFormula>IFERROR(INDEX(UNSPSCDes,MATCH(INDIRECT(ADDRESS(ROW(),COLUMN()-1,4)),UNSPSCCode,0)),IF(INDIRECT(ADDRESS(ROW(),COLUMN()-1,4))="12141901","Cloro cl",""))</calculatedColumnFormula>
    </tableColumn>
    <tableColumn id="3" xr3:uid="{0232F58A-0319-474D-91E6-602CC566DEFC}" name="UNIDAD DE MEDIDA">
      <calculatedColumnFormula>IFERROR(VLOOKUP("UD",'[1]Informacion '!P:Q,2,FALSE),"")</calculatedColumnFormula>
    </tableColumn>
    <tableColumn id="4" xr3:uid="{B1DED3E0-B83E-456C-8D47-41133375EF4B}" name="CANTIDAD TOTAL ESTIMADA"/>
    <tableColumn id="5" xr3:uid="{FD9256A1-1147-471C-BF97-1D614D334763}" name="PRECIO UNITARIO ESTIMADO"/>
    <tableColumn id="6" xr3:uid="{8D49F625-0790-4881-B738-0608007AA610}"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31579B16-F8C8-466B-8E2F-3F58040D4D48}" name="Table81" displayName="Table81" ref="A903:F908" totalsRowShown="0">
  <tableColumns count="6">
    <tableColumn id="1" xr3:uid="{F621CF12-F912-41C6-AEFC-79265BDD1C57}" name="CÓDIGO CATÁLOGO"/>
    <tableColumn id="2" xr3:uid="{BF79C572-44E6-4156-9083-2316E6053EFC}" name="ARTÍCULO"/>
    <tableColumn id="3" xr3:uid="{AFD71E8D-A556-438F-A26D-20EA5BB53B4C}" name="UNIDAD DE MEDIDA">
      <calculatedColumnFormula>IFERROR(VLOOKUP("UD",'[1]Informacion '!P:Q,2,FALSE),"")</calculatedColumnFormula>
    </tableColumn>
    <tableColumn id="4" xr3:uid="{38DC7C5B-6142-43A8-8730-BAD3049C2AF2}" name="CANTIDAD TOTAL ESTIMADA"/>
    <tableColumn id="5" xr3:uid="{E1F6BBE2-CFE9-42A4-897D-2979F6174793}" name="PRECIO UNITARIO ESTIMADO"/>
    <tableColumn id="6" xr3:uid="{47792BE0-F1F9-4958-AC46-D18697D90CC3}"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240C4CC-3765-4A48-94E8-27568705A0B6}" name="Table118" displayName="Table118" ref="A1354:F1363" totalsRowShown="0">
  <tableColumns count="6">
    <tableColumn id="1" xr3:uid="{57D850E2-0A78-4B1F-B916-3DB26C1ED503}" name="CÓDIGO CATÁLOGO"/>
    <tableColumn id="2" xr3:uid="{FCECC3EC-803D-48A2-B96B-9B9335A22E2B}" name="ARTÍCULO"/>
    <tableColumn id="3" xr3:uid="{71EEEE98-F2CC-4653-9D6A-9D5D75FDD1BF}" name="UNIDAD DE MEDIDA">
      <calculatedColumnFormula>IFERROR(VLOOKUP("UD",'[1]Informacion '!P:Q,2,FALSE),"")</calculatedColumnFormula>
    </tableColumn>
    <tableColumn id="4" xr3:uid="{E8EE4B7A-31D0-4103-9B1F-91A036D60EF0}" name="CANTIDAD TOTAL ESTIMADA"/>
    <tableColumn id="5" xr3:uid="{FE2613C2-23BD-41A0-89C8-1A3FA36E0B27}" name="PRECIO UNITARIO ESTIMADO"/>
    <tableColumn id="6" xr3:uid="{A13AF5EA-7C83-437C-B5D0-2105E84C75E3}"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51568221-A9A6-40EB-A5B8-9C5F79CCC700}" name="Table41" displayName="Table41" ref="A428:F429" totalsRowShown="0">
  <tableColumns count="6">
    <tableColumn id="1" xr3:uid="{7536B3D1-049C-4E5A-83A5-F61C8986B465}" name="CÓDIGO CATÁLOGO"/>
    <tableColumn id="2" xr3:uid="{0D590A78-BFD4-4BA4-8B12-17C7E709FA54}" name="ARTÍCULO">
      <calculatedColumnFormula>IFERROR(INDEX(UNSPSCDes,MATCH(INDIRECT(ADDRESS(ROW(),COLUMN()-1,4)),UNSPSCCode,0)),IF(INDIRECT(ADDRESS(ROW(),COLUMN()-1,4))="50202301","Agua",""))</calculatedColumnFormula>
    </tableColumn>
    <tableColumn id="3" xr3:uid="{E8252DAC-7A8D-47C4-91E5-45EB581ADE88}" name="UNIDAD DE MEDIDA">
      <calculatedColumnFormula>IFERROR(VLOOKUP("UD",'[1]Informacion '!P:Q,2,FALSE),"")</calculatedColumnFormula>
    </tableColumn>
    <tableColumn id="4" xr3:uid="{71E6AF31-72D0-4CDD-9B76-82577D5731E0}" name="CANTIDAD TOTAL ESTIMADA"/>
    <tableColumn id="5" xr3:uid="{D8FDB413-451B-4F78-A7F7-5FA7539EACDC}" name="PRECIO UNITARIO ESTIMADO"/>
    <tableColumn id="6" xr3:uid="{666ABE4F-70DC-42B5-850E-7C27DF73735B}"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C3E1D3D3-9B9E-433A-ADBB-0B6415A4CC4E}" name="Table52" displayName="Table52" ref="A539:F542" totalsRowShown="0">
  <tableColumns count="6">
    <tableColumn id="1" xr3:uid="{480E752E-5552-482C-BB07-8C738398D2F9}" name="CÓDIGO CATÁLOGO"/>
    <tableColumn id="2" xr3:uid="{D4E91145-2C40-48C7-9DE6-3E94F0DF3993}" name="ARTÍCULO"/>
    <tableColumn id="3" xr3:uid="{4EFBA137-E2A8-4EA2-B899-C4120CF6A68E}" name="UNIDAD DE MEDIDA">
      <calculatedColumnFormula>IFERROR(VLOOKUP("UD",'[1]Informacion '!P:Q,2,FALSE),"")</calculatedColumnFormula>
    </tableColumn>
    <tableColumn id="4" xr3:uid="{F0C5B3AC-0BBF-42BC-A619-22D2866223DA}" name="CANTIDAD TOTAL ESTIMADA"/>
    <tableColumn id="5" xr3:uid="{B705E8EF-9EC4-4354-B824-F1E0B829AE58}" name="PRECIO UNITARIO ESTIMADO"/>
    <tableColumn id="6" xr3:uid="{1F2042FA-6250-4EFE-BC45-00FE1EE0190D}"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6CA33836-B024-4D34-8A21-FB7E4481B048}" name="Table235" displayName="Table235" ref="A2779:F2780" totalsRowShown="0">
  <tableColumns count="6">
    <tableColumn id="1" xr3:uid="{4CD2DDAA-5297-47D0-A749-30A7C0DA5005}" name="CÓDIGO CATÁLOGO"/>
    <tableColumn id="2" xr3:uid="{2B6A4261-1349-4725-882E-054858772EC5}" name="ARTÍCULO">
      <calculatedColumnFormula>IFERROR(INDEX(UNSPSCDes,MATCH(INDIRECT(ADDRESS(ROW(),COLUMN()-1,4)),UNSPSCCode,0)),IF(INDIRECT(ADDRESS(ROW(),COLUMN()-1,4))="81101502","Dibujo técnico",""))</calculatedColumnFormula>
    </tableColumn>
    <tableColumn id="3" xr3:uid="{C5D861E1-F1B8-4ED3-97C6-3A1E0C0FDE02}" name="UNIDAD DE MEDIDA">
      <calculatedColumnFormula>IFERROR(VLOOKUP("UD",'[1]Informacion '!P:Q,2,FALSE),"")</calculatedColumnFormula>
    </tableColumn>
    <tableColumn id="4" xr3:uid="{4AC25EAE-08E3-4DF9-831E-D059187B7907}" name="CANTIDAD TOTAL ESTIMADA"/>
    <tableColumn id="5" xr3:uid="{E7938B41-C447-4C88-A0F7-F166D899AB84}" name="PRECIO UNITARIO ESTIMADO"/>
    <tableColumn id="6" xr3:uid="{41B07644-579C-42C7-B115-27ED08BF882F}"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279E1BC6-36F7-4A30-A71E-F974452D989D}" name="Table68" displayName="Table68" ref="A707:F711" totalsRowShown="0">
  <tableColumns count="6">
    <tableColumn id="1" xr3:uid="{871BA919-9EDE-4D31-A050-004E90F5E2EB}" name="CÓDIGO CATÁLOGO"/>
    <tableColumn id="2" xr3:uid="{98A74272-2CC2-4EEC-924B-94067673EE35}" name="ARTÍCULO"/>
    <tableColumn id="3" xr3:uid="{0E4CB7B5-A975-4256-909E-E296A66A40EF}" name="UNIDAD DE MEDIDA">
      <calculatedColumnFormula>IFERROR(VLOOKUP("UD",'[1]Informacion '!P:Q,2,FALSE),"")</calculatedColumnFormula>
    </tableColumn>
    <tableColumn id="4" xr3:uid="{9EF68E61-15E6-4606-8C74-C082D4E8C888}" name="CANTIDAD TOTAL ESTIMADA"/>
    <tableColumn id="5" xr3:uid="{63EA8D34-7248-4486-B06C-B8A9259505EB}" name="PRECIO UNITARIO ESTIMADO"/>
    <tableColumn id="6" xr3:uid="{A1F0C666-DBAB-490A-8D7E-E54C402E6561}"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5D57C931-B7F1-43DF-8648-51E508C9051F}" name="Table13" displayName="Table13" ref="A126:F127" totalsRowShown="0">
  <tableColumns count="6">
    <tableColumn id="1" xr3:uid="{F7774410-8DBB-44C3-89B3-16F801E6BCF6}" name="CÓDIGO CATÁLOGO"/>
    <tableColumn id="2" xr3:uid="{8590B59D-94DB-4EEB-B78F-ACA5C9E0348E}" name="ARTÍCULO">
      <calculatedColumnFormula>IFERROR(INDEX(UNSPSCDes,MATCH(INDIRECT(ADDRESS(ROW(),COLUMN()-1,4)),UNSPSCCode,0)),IF(INDIRECT(ADDRESS(ROW(),COLUMN()-1,4))="90151801","Carnavales ambulantes",""))</calculatedColumnFormula>
    </tableColumn>
    <tableColumn id="3" xr3:uid="{55ED997E-E631-4F53-A54A-F60C98294294}" name="UNIDAD DE MEDIDA">
      <calculatedColumnFormula>IFERROR(VLOOKUP("UD",'[1]Informacion '!P:Q,2,FALSE),"")</calculatedColumnFormula>
    </tableColumn>
    <tableColumn id="4" xr3:uid="{728A60CC-5D68-499A-9D9D-397D131AF22D}" name="CANTIDAD TOTAL ESTIMADA"/>
    <tableColumn id="5" xr3:uid="{5319715A-E269-47FC-B97A-A54045B01722}" name="PRECIO UNITARIO ESTIMADO"/>
    <tableColumn id="6" xr3:uid="{23D3E35E-EDBE-4E68-A647-B5F817C6E865}"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58523084-A135-41A4-AA91-1ADBF7B2E774}" name="Table139" displayName="Table139" ref="A1731:F1733" totalsRowShown="0">
  <tableColumns count="6">
    <tableColumn id="1" xr3:uid="{F0414F2C-43E6-454B-A026-BC642B39D60D}" name="CÓDIGO CATÁLOGO"/>
    <tableColumn id="2" xr3:uid="{C4C3FC75-3019-4506-BF90-9136DAB53D72}" name="ARTÍCULO"/>
    <tableColumn id="3" xr3:uid="{DA3A1123-54D7-46A6-9F89-D57B42D7CA02}" name="UNIDAD DE MEDIDA">
      <calculatedColumnFormula>IFERROR(VLOOKUP("UD",'[1]Informacion '!P:Q,2,FALSE),"")</calculatedColumnFormula>
    </tableColumn>
    <tableColumn id="4" xr3:uid="{6FDEF0E0-EA08-4B54-A736-B2328AAD3702}" name="CANTIDAD TOTAL ESTIMADA"/>
    <tableColumn id="5" xr3:uid="{80FAD3B2-B941-4767-85FF-08C56D86DA53}" name="PRECIO UNITARIO ESTIMADO"/>
    <tableColumn id="6" xr3:uid="{725C2A6F-AB2F-4519-BC1C-B1652FC83277}"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6F098840-A51F-4F16-8368-1944F26DE6A4}" name="Table218" displayName="Table218" ref="A2632:F2637" totalsRowShown="0">
  <tableColumns count="6">
    <tableColumn id="1" xr3:uid="{DD42FF2F-2114-4ABB-8A66-5AAC3BDE0BF8}" name="CÓDIGO CATÁLOGO"/>
    <tableColumn id="2" xr3:uid="{D23D0683-CEE1-4E91-8D0D-80C171016B5A}" name="ARTÍCULO"/>
    <tableColumn id="3" xr3:uid="{230FB8BF-80C8-48E0-998E-524F5003DEEA}" name="UNIDAD DE MEDIDA">
      <calculatedColumnFormula>IFERROR(VLOOKUP("UD",'[1]Informacion '!P:Q,2,FALSE),"")</calculatedColumnFormula>
    </tableColumn>
    <tableColumn id="4" xr3:uid="{B88EDACB-DB44-4865-B2E2-88D35B415A7B}" name="CANTIDAD TOTAL ESTIMADA"/>
    <tableColumn id="5" xr3:uid="{BD48E8BE-CD80-4ED8-8A35-1CA03D30B6B4}" name="PRECIO UNITARIO ESTIMADO"/>
    <tableColumn id="6" xr3:uid="{E3435517-AD0F-4984-9F22-FE74D6E2BA3E}"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259E41E1-A2BA-4FA4-AE02-E9C4F8C5702B}" name="Table47" displayName="Table47" ref="A502:F504" totalsRowShown="0">
  <tableColumns count="6">
    <tableColumn id="1" xr3:uid="{1123B8CB-FD41-4879-BEB7-580E9632ACED}" name="CÓDIGO CATÁLOGO"/>
    <tableColumn id="2" xr3:uid="{16049B57-F4EB-4CC0-965E-61B155A38061}" name="ARTÍCULO"/>
    <tableColumn id="3" xr3:uid="{8A71CA7F-F7F5-4DE4-9EA9-CEDB40034227}" name="UNIDAD DE MEDIDA">
      <calculatedColumnFormula>IFERROR(VLOOKUP("UD",'[1]Informacion '!P:Q,2,FALSE),"")</calculatedColumnFormula>
    </tableColumn>
    <tableColumn id="4" xr3:uid="{9CD5BFCD-16FC-487F-A1FC-AAC784385FCA}" name="CANTIDAD TOTAL ESTIMADA"/>
    <tableColumn id="5" xr3:uid="{4C8BB0C0-CD9F-4FC0-858D-7FC94C6996B8}" name="PRECIO UNITARIO ESTIMADO"/>
    <tableColumn id="6" xr3:uid="{3B690F65-BC0C-4168-A7D2-18C4DD1934A1}"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A1D44529-7CAC-4FAD-97AF-7AB8153176AD}" name="Table127" displayName="Table127" ref="A1524:F1530" totalsRowShown="0">
  <tableColumns count="6">
    <tableColumn id="1" xr3:uid="{77501295-AB0B-4F6C-B91B-B710B4AE2CCE}" name="CÓDIGO CATÁLOGO"/>
    <tableColumn id="2" xr3:uid="{F2CEB7E3-1142-4C9A-9C2A-BEF06D221A4A}" name="ARTÍCULO"/>
    <tableColumn id="3" xr3:uid="{AEBD3830-F7BE-42C5-9C4E-2BC625A96A3C}" name="UNIDAD DE MEDIDA">
      <calculatedColumnFormula>IFERROR(VLOOKUP("UD",'[1]Informacion '!P:Q,2,FALSE),"")</calculatedColumnFormula>
    </tableColumn>
    <tableColumn id="4" xr3:uid="{CA4A05C2-E1E6-4AFD-9940-266AC574A72C}" name="CANTIDAD TOTAL ESTIMADA"/>
    <tableColumn id="5" xr3:uid="{0F2B3A71-20DD-4399-BB56-1C820D234C3E}" name="PRECIO UNITARIO ESTIMADO"/>
    <tableColumn id="6" xr3:uid="{430A6BE5-11F0-464F-B33F-C4B63C7FECB8}"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B39FE742-8476-428B-893A-6B875345FA5B}" name="Table156" displayName="Table156" ref="A1921:F1924" totalsRowShown="0">
  <tableColumns count="6">
    <tableColumn id="1" xr3:uid="{4D14714C-0102-4BF9-A482-1DDD668A873C}" name="CÓDIGO CATÁLOGO"/>
    <tableColumn id="2" xr3:uid="{5B488962-B087-4803-A925-1D91A771D702}" name="ARTÍCULO"/>
    <tableColumn id="3" xr3:uid="{A7154341-7A91-41BD-B552-7E077D6B4BAC}" name="UNIDAD DE MEDIDA">
      <calculatedColumnFormula>IFERROR(VLOOKUP("UD",'[1]Informacion '!P:Q,2,FALSE),"")</calculatedColumnFormula>
    </tableColumn>
    <tableColumn id="4" xr3:uid="{9F38EA03-82B6-409E-A7A2-F33E238F7343}" name="CANTIDAD TOTAL ESTIMADA"/>
    <tableColumn id="5" xr3:uid="{030E625F-0ECB-475C-8C25-CDCCBE326EB3}" name="PRECIO UNITARIO ESTIMADO"/>
    <tableColumn id="6" xr3:uid="{744E3621-9EDB-4D7B-97F0-C94D4ACE49E1}"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06A8910-3C35-432A-A7DF-C0AC13A5F483}" name="Table122" displayName="Table122" ref="A1431:F1442" totalsRowShown="0">
  <tableColumns count="6">
    <tableColumn id="1" xr3:uid="{CA51F14E-CDAC-4B12-BC99-B9E8ED0FEB6B}" name="CÓDIGO CATÁLOGO"/>
    <tableColumn id="2" xr3:uid="{0A49947D-B04E-4235-B132-401EB8C6096E}" name="ARTÍCULO"/>
    <tableColumn id="3" xr3:uid="{71327265-7225-4E8F-AC8B-A1463DB55472}" name="UNIDAD DE MEDIDA">
      <calculatedColumnFormula>IFERROR(VLOOKUP("UD",'[1]Informacion '!P:Q,2,FALSE),"")</calculatedColumnFormula>
    </tableColumn>
    <tableColumn id="4" xr3:uid="{095EFF5E-93F0-4228-8F29-AAD93BB57342}" name="CANTIDAD TOTAL ESTIMADA"/>
    <tableColumn id="5" xr3:uid="{5575C6B6-7ADB-4C81-85D3-D900048B798E}" name="PRECIO UNITARIO ESTIMADO"/>
    <tableColumn id="6" xr3:uid="{A3CC0F7B-5BAE-4C0B-8E95-515D4513724D}"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85457395-8896-48EF-A7FF-E7FE3BDF20F7}" name="Table153" displayName="Table153" ref="A1884:F1888" totalsRowShown="0">
  <tableColumns count="6">
    <tableColumn id="1" xr3:uid="{62A41BD9-DEA2-47DF-85F1-7A1D3A348761}" name="CÓDIGO CATÁLOGO"/>
    <tableColumn id="2" xr3:uid="{028B91EB-1CC0-4AA3-AAF8-34E3D73F5E82}" name="ARTÍCULO"/>
    <tableColumn id="3" xr3:uid="{E89B969B-0B33-4035-AC63-51183F0B489A}" name="UNIDAD DE MEDIDA">
      <calculatedColumnFormula>IFERROR(VLOOKUP("UD",'[1]Informacion '!P:Q,2,FALSE),"")</calculatedColumnFormula>
    </tableColumn>
    <tableColumn id="4" xr3:uid="{DDBB3FF1-9F49-4002-8FD6-BD537FE29A83}" name="CANTIDAD TOTAL ESTIMADA"/>
    <tableColumn id="5" xr3:uid="{480739BA-BB9A-4EAF-ABC4-0C1F798015FD}" name="PRECIO UNITARIO ESTIMADO"/>
    <tableColumn id="6" xr3:uid="{8C3C72A0-F895-4ADA-A3FC-F7DF3542A3C7}"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54D806B3-A0F6-4AE7-A95C-4473A2F92EB2}" name="Table238" displayName="Table238" ref="A2816:F2817" totalsRowShown="0">
  <tableColumns count="6">
    <tableColumn id="1" xr3:uid="{A5B1A458-ED2D-44F1-AD4C-D38E1E5432A0}" name="CÓDIGO CATÁLOGO"/>
    <tableColumn id="2" xr3:uid="{DD22CF50-BB17-491F-B48C-4F1E6684D122}" name="ARTÍCULO">
      <calculatedColumnFormula>IFERROR(INDEX(UNSPSCDes,MATCH(INDIRECT(ADDRESS(ROW(),COLUMN()-1,4)),UNSPSCCode,0)),IF(INDIRECT(ADDRESS(ROW(),COLUMN()-1,4))="72102402","Servicios de pintura de interiores",""))</calculatedColumnFormula>
    </tableColumn>
    <tableColumn id="3" xr3:uid="{D978F57A-DA6C-490D-862F-5ABA265FEFD0}" name="UNIDAD DE MEDIDA">
      <calculatedColumnFormula>IFERROR(VLOOKUP("UD",'[1]Informacion '!P:Q,2,FALSE),"")</calculatedColumnFormula>
    </tableColumn>
    <tableColumn id="4" xr3:uid="{94DABFB8-6197-4F51-80FA-9F133B6E34CF}" name="CANTIDAD TOTAL ESTIMADA"/>
    <tableColumn id="5" xr3:uid="{B8B20FB7-37F4-4EDA-A43D-2FED6CD14B7C}" name="PRECIO UNITARIO ESTIMADO"/>
    <tableColumn id="6" xr3:uid="{99EEF2A2-1B83-42A1-903C-766BF6C69C83}"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CA22E8A-4E52-45D0-9539-582609910972}" name="Table141" displayName="Table141" ref="A1756:F1759" totalsRowShown="0">
  <tableColumns count="6">
    <tableColumn id="1" xr3:uid="{FEF84EDC-4D35-425A-97A7-4B574801E0D6}" name="CÓDIGO CATÁLOGO"/>
    <tableColumn id="2" xr3:uid="{A3696E5F-8351-4BF1-A222-BB5170AC5F0B}" name="ARTÍCULO"/>
    <tableColumn id="3" xr3:uid="{EE271848-693A-4B2F-A96D-75A442460D18}" name="UNIDAD DE MEDIDA">
      <calculatedColumnFormula>IFERROR(VLOOKUP("UD",'[1]Informacion '!P:Q,2,FALSE),"")</calculatedColumnFormula>
    </tableColumn>
    <tableColumn id="4" xr3:uid="{75E44862-F18F-4987-83EE-0021371DC699}" name="CANTIDAD TOTAL ESTIMADA"/>
    <tableColumn id="5" xr3:uid="{69D4D0F0-40B5-4A1F-A46F-E315C5642E1B}" name="PRECIO UNITARIO ESTIMADO"/>
    <tableColumn id="6" xr3:uid="{47DD63C0-FD1A-4B7F-A41C-99128183E1CF}"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6A4D4510-75C8-4F14-855C-14F141B766B8}" name="Table75" displayName="Table75" ref="A788:F789" totalsRowShown="0">
  <tableColumns count="6">
    <tableColumn id="1" xr3:uid="{813BB60D-AE44-43D9-8E17-75371522591A}" name="CÓDIGO CATÁLOGO"/>
    <tableColumn id="2" xr3:uid="{97EF8FE3-4574-4AFA-B314-65002F8412DE}" name="ARTÍCULO">
      <calculatedColumnFormula>IFERROR(INDEX(UNSPSCDes,MATCH(INDIRECT(ADDRESS(ROW(),COLUMN()-1,4)),UNSPSCCode,0)),IF(INDIRECT(ADDRESS(ROW(),COLUMN()-1,4))="82121508","Impresión de envolturas, etiquetas, sellos o bolsas",""))</calculatedColumnFormula>
    </tableColumn>
    <tableColumn id="3" xr3:uid="{1E45F191-D3FB-4376-BB7D-E5C412807728}" name="UNIDAD DE MEDIDA">
      <calculatedColumnFormula>IFERROR(VLOOKUP("UD",'[1]Informacion '!P:Q,2,FALSE),"")</calculatedColumnFormula>
    </tableColumn>
    <tableColumn id="4" xr3:uid="{9985C892-F713-4D7C-9113-403FC070CA0A}" name="CANTIDAD TOTAL ESTIMADA"/>
    <tableColumn id="5" xr3:uid="{B2F07FAC-DC0C-488B-BD99-4FD1B873D145}" name="PRECIO UNITARIO ESTIMADO"/>
    <tableColumn id="6" xr3:uid="{08266054-5BF6-4A78-8F3C-B98B72082C59}"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F813FD54-CCFE-49C2-AE6F-27C000018E9C}" name="Table104" displayName="Table104" ref="A1196:F1197" totalsRowShown="0">
  <tableColumns count="6">
    <tableColumn id="1" xr3:uid="{25BEF8B6-2457-4D65-980E-ABCAE5982CDB}" name="CÓDIGO CATÁLOGO"/>
    <tableColumn id="2" xr3:uid="{465022E3-3560-429C-98C3-D44001741FB4}" name="ARTÍCULO">
      <calculatedColumnFormula>IFERROR(INDEX(UNSPSCDes,MATCH(INDIRECT(ADDRESS(ROW(),COLUMN()-1,4)),UNSPSCCode,0)),IF(INDIRECT(ADDRESS(ROW(),COLUMN()-1,4))="15101506","Gasolina",""))</calculatedColumnFormula>
    </tableColumn>
    <tableColumn id="3" xr3:uid="{83D559CB-79B3-4DB4-BFB0-9E7D348054E4}" name="UNIDAD DE MEDIDA">
      <calculatedColumnFormula>IFERROR(VLOOKUP("UD",'[1]Informacion '!P:Q,2,FALSE),"")</calculatedColumnFormula>
    </tableColumn>
    <tableColumn id="4" xr3:uid="{17E79783-C330-4088-B8FF-6AAD154372A2}" name="CANTIDAD TOTAL ESTIMADA"/>
    <tableColumn id="5" xr3:uid="{D5C20564-5AA6-4ED9-9E1F-81522EC51D20}" name="PRECIO UNITARIO ESTIMADO"/>
    <tableColumn id="6" xr3:uid="{78333534-36A1-4280-9513-448AE295C8F3}"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64B24562-8A60-4AC1-A1AE-866BAD6A83C2}" name="Table200" displayName="Table200" ref="A2454:F2455" totalsRowShown="0">
  <tableColumns count="6">
    <tableColumn id="1" xr3:uid="{0A57A0C7-FABA-4B38-B922-D4FB0D34D88F}" name="CÓDIGO CATÁLOGO"/>
    <tableColumn id="2" xr3:uid="{48801337-8E51-48CA-BA60-01C0EC6F2415}" name="ARTÍCULO">
      <calculatedColumnFormula>IFERROR(INDEX(UNSPSCDes,MATCH(INDIRECT(ADDRESS(ROW(),COLUMN()-1,4)),UNSPSCCode,0)),IF(INDIRECT(ADDRESS(ROW(),COLUMN()-1,4))="46171619","Sistemas de seguridad o de control de acceso",""))</calculatedColumnFormula>
    </tableColumn>
    <tableColumn id="3" xr3:uid="{0F285ABC-0031-45AE-BCD2-77B8E54D313A}" name="UNIDAD DE MEDIDA">
      <calculatedColumnFormula>IFERROR(VLOOKUP("UD",'[1]Informacion '!P:Q,2,FALSE),"")</calculatedColumnFormula>
    </tableColumn>
    <tableColumn id="4" xr3:uid="{BC971FF5-AFE4-43FA-BCAC-1913096BC8EB}" name="CANTIDAD TOTAL ESTIMADA"/>
    <tableColumn id="5" xr3:uid="{01C8D885-8C83-4610-97B1-CC7E67F6A1C2}" name="PRECIO UNITARIO ESTIMADO"/>
    <tableColumn id="6" xr3:uid="{07229C53-A22E-48BC-B3B0-81C3EA7283F8}"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EAB99062-3351-4048-BCCC-AF3FE45669DD}" name="Table126" displayName="Table126" ref="A1512:F1514" totalsRowShown="0">
  <tableColumns count="6">
    <tableColumn id="1" xr3:uid="{D61BC08E-58DE-4C1B-93E5-235297E8FA8E}" name="CÓDIGO CATÁLOGO"/>
    <tableColumn id="2" xr3:uid="{EEFD7131-10E1-410B-AB93-D09A65C1A41D}" name="ARTÍCULO">
      <calculatedColumnFormula>IFERROR(INDEX(UNSPSCDes,MATCH(INDIRECT(ADDRESS(ROW(),COLUMN()-1,4)),UNSPSCCode,0)),IF(INDIRECT(ADDRESS(ROW(),COLUMN()-1,4))="60141111","Accesorios para juegos",""))</calculatedColumnFormula>
    </tableColumn>
    <tableColumn id="3" xr3:uid="{D8B36693-B5B2-49AD-AD4F-B47F3490A329}" name="UNIDAD DE MEDIDA">
      <calculatedColumnFormula>IFERROR(VLOOKUP("UD",'[1]Informacion '!P:Q,2,FALSE),"")</calculatedColumnFormula>
    </tableColumn>
    <tableColumn id="4" xr3:uid="{FC5E5C45-15A0-49F4-856D-39E182B30419}" name="CANTIDAD TOTAL ESTIMADA"/>
    <tableColumn id="5" xr3:uid="{11D1768D-3A56-4BCB-BC88-8EB1D363EA8A}" name="PRECIO UNITARIO ESTIMADO"/>
    <tableColumn id="6" xr3:uid="{DEE101E9-D2AA-482C-B2B9-3D7D66CF2651}"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713EFAE5-538E-4264-8AFE-0723506B1C90}" name="Table106" displayName="Table106" ref="A1218:F1219" totalsRowShown="0">
  <tableColumns count="6">
    <tableColumn id="1" xr3:uid="{18866B64-BB40-42FB-8E62-C0A4BC427237}" name="CÓDIGO CATÁLOGO"/>
    <tableColumn id="2" xr3:uid="{834E0664-6962-4215-A4B3-94EE6AEC0258}" name="ARTÍCULO">
      <calculatedColumnFormula>IFERROR(INDEX(UNSPSCDes,MATCH(INDIRECT(ADDRESS(ROW(),COLUMN()-1,4)),UNSPSCCode,0)),IF(INDIRECT(ADDRESS(ROW(),COLUMN()-1,4))="15101505","Combustible diesel",""))</calculatedColumnFormula>
    </tableColumn>
    <tableColumn id="3" xr3:uid="{BEE0F95F-402D-44D0-A34E-7485E0E2DFA1}" name="UNIDAD DE MEDIDA">
      <calculatedColumnFormula>IFERROR(VLOOKUP("UD",'[1]Informacion '!P:Q,2,FALSE),"")</calculatedColumnFormula>
    </tableColumn>
    <tableColumn id="4" xr3:uid="{1CA5C14A-5397-4729-914E-F429BA89EB1A}" name="CANTIDAD TOTAL ESTIMADA"/>
    <tableColumn id="5" xr3:uid="{AA0B54F8-171B-4F2E-B03F-833872D7D415}" name="PRECIO UNITARIO ESTIMADO"/>
    <tableColumn id="6" xr3:uid="{A3AC309E-71A5-4F37-ABDF-7BA9CDF5D13B}" name="MONTO TOTAL ESTIMADO">
      <calculatedColumnFormula>INDIRECT(ADDRESS(ROW(),COLUMN()-2,4))*INDIRECT(ADDRESS(ROW(),COLUMN()-1,4))</calculatedColumnFormula>
    </tableColumn>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199DBAB2-715B-4184-B0C5-1648A1465FD4}" name="Table77" displayName="Table77" ref="A810:F811" totalsRowShown="0">
  <tableColumns count="6">
    <tableColumn id="1" xr3:uid="{FAC46F7B-6D5A-4753-BD13-D59910131AD7}" name="CÓDIGO CATÁLOGO"/>
    <tableColumn id="2" xr3:uid="{4F3BF2E8-CCBD-4D50-9CD0-3A694C0074E3}" name="ARTÍCULO">
      <calculatedColumnFormula>IFERROR(INDEX(UNSPSCDes,MATCH(INDIRECT(ADDRESS(ROW(),COLUMN()-1,4)),UNSPSCCode,0)),IF(INDIRECT(ADDRESS(ROW(),COLUMN()-1,4))="82121508","Impresión de envolturas, etiquetas, sellos o bolsas",""))</calculatedColumnFormula>
    </tableColumn>
    <tableColumn id="3" xr3:uid="{57D43B4D-1608-4A07-B9CB-5D138AF683D9}" name="UNIDAD DE MEDIDA">
      <calculatedColumnFormula>IFERROR(VLOOKUP("UD",'[1]Informacion '!P:Q,2,FALSE),"")</calculatedColumnFormula>
    </tableColumn>
    <tableColumn id="4" xr3:uid="{B99BAFB3-65F2-4B01-9EDD-1FD0E999FD1A}" name="CANTIDAD TOTAL ESTIMADA"/>
    <tableColumn id="5" xr3:uid="{FC5AA929-667B-4FD0-A990-2DF7034976C1}" name="PRECIO UNITARIO ESTIMADO"/>
    <tableColumn id="6" xr3:uid="{C083A5B6-E4EA-45E1-B7F3-8D6426F0237A}" name="MONTO TOTAL ESTIMADO">
      <calculatedColumnFormula>INDIRECT(ADDRESS(ROW(),COLUMN()-2,4))*INDIRECT(ADDRESS(ROW(),COLUMN()-1,4))</calculatedColumnFormula>
    </tableColumn>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AD057E9-1572-403E-8604-179CF5B5FD4A}" name="Table170" displayName="Table170" ref="A2102:F2103" totalsRowShown="0">
  <tableColumns count="6">
    <tableColumn id="1" xr3:uid="{9ADAEC94-20E8-4798-9EA8-0EEC1280C60E}" name="CÓDIGO CATÁLOGO"/>
    <tableColumn id="2" xr3:uid="{CAD5AFE7-8B25-401E-AD38-2234107A39E5}" name="ARTÍCULO">
      <calculatedColumnFormula>IFERROR(INDEX(UNSPSCDes,MATCH(INDIRECT(ADDRESS(ROW(),COLUMN()-1,4)),UNSPSCCode,0)),IF(INDIRECT(ADDRESS(ROW(),COLUMN()-1,4))="46171610","Cámaras de seguridad",""))</calculatedColumnFormula>
    </tableColumn>
    <tableColumn id="3" xr3:uid="{0F22D0A8-A79D-4B4E-92EE-06A60A4B241F}" name="UNIDAD DE MEDIDA">
      <calculatedColumnFormula>IFERROR(VLOOKUP("UD",'[1]Informacion '!P:Q,2,FALSE),"")</calculatedColumnFormula>
    </tableColumn>
    <tableColumn id="4" xr3:uid="{E2072CA6-3635-449E-B5E7-12F98FB7C80B}" name="CANTIDAD TOTAL ESTIMADA"/>
    <tableColumn id="5" xr3:uid="{F607D104-5D4C-40B5-938C-7D323295F484}" name="PRECIO UNITARIO ESTIMADO"/>
    <tableColumn id="6" xr3:uid="{EBFE278F-5320-4B38-A3D0-183B26F31431}"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0E1A09E-9AC0-4541-9E2F-D2E58C1F8207}" name="Table10" displayName="Table10" ref="A88:F89" totalsRowShown="0">
  <tableColumns count="6">
    <tableColumn id="1" xr3:uid="{4E7462DE-5D86-4AFB-86AD-2E7FAF2546FF}" name="CÓDIGO CATÁLOGO"/>
    <tableColumn id="2" xr3:uid="{5F2D2CB5-F0DC-41C9-9182-0CA0CC01BDC3}" name="ARTÍCULO">
      <calculatedColumnFormula>IFERROR(INDEX(UNSPSCDes,MATCH(INDIRECT(ADDRESS(ROW(),COLUMN()-1,4)),UNSPSCCode,0)),IF(INDIRECT(ADDRESS(ROW(),COLUMN()-1,4))="80141607","Gestión de eventos",""))</calculatedColumnFormula>
    </tableColumn>
    <tableColumn id="3" xr3:uid="{56385DE9-3A21-4DAC-ACD1-A54E724C4E02}" name="UNIDAD DE MEDIDA">
      <calculatedColumnFormula>IFERROR(VLOOKUP("UD",'[1]Informacion '!P:Q,2,FALSE),"")</calculatedColumnFormula>
    </tableColumn>
    <tableColumn id="4" xr3:uid="{57FF2EEA-62AA-4434-AE8F-7722A5B7DA9A}" name="CANTIDAD TOTAL ESTIMADA"/>
    <tableColumn id="5" xr3:uid="{BDBC6377-58F7-41A2-B32A-8B29D2917561}" name="PRECIO UNITARIO ESTIMADO"/>
    <tableColumn id="6" xr3:uid="{423DBA4F-CC0D-46EF-B891-840D733C0E3C}" name="MONTO TOTAL ESTIMADO">
      <calculatedColumnFormula>INDIRECT(ADDRESS(ROW(),COLUMN()-2,4))*INDIRECT(ADDRESS(ROW(),COLUMN()-1,4))</calculatedColumnFormula>
    </tableColumn>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D588F93-2864-4C60-A46A-0E45F7E7BCA9}" name="Table25" displayName="Table25" ref="A260:F262" totalsRowShown="0">
  <tableColumns count="6">
    <tableColumn id="1" xr3:uid="{1269E8FD-649B-44F2-B96D-9BBEC7744FA2}" name="CÓDIGO CATÁLOGO"/>
    <tableColumn id="2" xr3:uid="{9CA91702-562E-460E-B596-905B7E885891}" name="ARTÍCULO">
      <calculatedColumnFormula>IFERROR(INDEX(UNSPSCDes,MATCH(INDIRECT(ADDRESS(ROW(),COLUMN()-1,4)),UNSPSCCode,0)),IF(INDIRECT(ADDRESS(ROW(),COLUMN()-1,4))="81111510","Servicios de desarrollo de aplicaciones para servidores de internet / intranet",""))</calculatedColumnFormula>
    </tableColumn>
    <tableColumn id="3" xr3:uid="{AF00308A-BB2C-4A45-9A7F-7CDE9D9D2861}" name="UNIDAD DE MEDIDA">
      <calculatedColumnFormula>IFERROR(VLOOKUP("UD",'[1]Informacion '!P:Q,2,FALSE),"")</calculatedColumnFormula>
    </tableColumn>
    <tableColumn id="4" xr3:uid="{5729C8E8-CD20-49FF-B42E-B08990AF24A4}" name="CANTIDAD TOTAL ESTIMADA"/>
    <tableColumn id="5" xr3:uid="{6E5BD12A-07CF-4483-8A2B-04269B6084C5}" name="PRECIO UNITARIO ESTIMADO"/>
    <tableColumn id="6" xr3:uid="{0380DFA7-D033-413C-A65A-88007014CA86}" name="MONTO TOTAL ESTIMADO">
      <calculatedColumnFormula>INDIRECT(ADDRESS(ROW(),COLUMN()-2,4))*INDIRECT(ADDRESS(ROW(),COLUMN()-1,4))</calculatedColumnFormula>
    </tableColumn>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83BE1BA4-F139-41AE-A9DA-1C4E07E773FF}" name="Table119" displayName="Table119" ref="A1373:F1382" totalsRowShown="0">
  <tableColumns count="6">
    <tableColumn id="1" xr3:uid="{591D372E-9B71-4710-A0DA-635B67B86625}" name="CÓDIGO CATÁLOGO"/>
    <tableColumn id="2" xr3:uid="{2A17F69F-82C7-4D6A-9571-22A003EA1ECA}" name="ARTÍCULO">
      <calculatedColumnFormula>IFERROR(INDEX(UNSPSCDes,MATCH(INDIRECT(ADDRESS(ROW(),COLUMN()-1,4)),UNSPSCCode,0)),IF(INDIRECT(ADDRESS(ROW(),COLUMN()-1,4))="47131805","Limpiadores de propósito general",""))</calculatedColumnFormula>
    </tableColumn>
    <tableColumn id="3" xr3:uid="{E7E1EB0F-905F-4A1E-AC80-A750D2A73663}" name="UNIDAD DE MEDIDA">
      <calculatedColumnFormula>IFERROR(VLOOKUP("UD",'[1]Informacion '!P:Q,2,FALSE),"")</calculatedColumnFormula>
    </tableColumn>
    <tableColumn id="4" xr3:uid="{D5702A08-054A-4C21-ACC7-9E0446043D39}" name="CANTIDAD TOTAL ESTIMADA"/>
    <tableColumn id="5" xr3:uid="{D0AC9162-4114-44B5-B4CE-5513859C4E5E}" name="PRECIO UNITARIO ESTIMADO"/>
    <tableColumn id="6" xr3:uid="{7B1C6F11-586F-4329-B029-930D64781938}" name="MONTO TOTAL ESTIMADO">
      <calculatedColumnFormula>INDIRECT(ADDRESS(ROW(),COLUMN()-2,4))*INDIRECT(ADDRESS(ROW(),COLUMN()-1,4))</calculatedColumnFormula>
    </tableColumn>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F432FF91-1C53-451B-9DB5-B5B032F84BC0}" name="Table198" displayName="Table198" ref="A2431:F2433" totalsRowShown="0">
  <tableColumns count="6">
    <tableColumn id="1" xr3:uid="{CD9B7F17-F352-4856-9480-F87F415812AC}" name="CÓDIGO CATÁLOGO"/>
    <tableColumn id="2" xr3:uid="{EAC40C54-8C32-428C-BD80-FB0AB48B13E7}" name="ARTÍCULO"/>
    <tableColumn id="3" xr3:uid="{8E29F87F-DD0C-4F01-A21D-41C67605F066}" name="UNIDAD DE MEDIDA">
      <calculatedColumnFormula>IFERROR(VLOOKUP("UD",'[1]Informacion '!P:Q,2,FALSE),"")</calculatedColumnFormula>
    </tableColumn>
    <tableColumn id="4" xr3:uid="{B4179FCF-AB05-4834-B4A6-AB164CE133CD}" name="CANTIDAD TOTAL ESTIMADA"/>
    <tableColumn id="5" xr3:uid="{FF5F00DE-F08F-4BC4-8A59-53FBEF573C60}" name="PRECIO UNITARIO ESTIMADO"/>
    <tableColumn id="6" xr3:uid="{093AEFFA-AA52-46A5-8E7F-E4B71566738E}" name="MONTO TOTAL ESTIMADO">
      <calculatedColumnFormula>INDIRECT(ADDRESS(ROW(),COLUMN()-2,4))*INDIRECT(ADDRESS(ROW(),COLUMN()-1,4))</calculatedColumnFormula>
    </tableColumn>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3C050839-D727-45E8-934B-630ACF679267}" name="Table18" displayName="Table18" ref="A182:F183" totalsRowShown="0">
  <tableColumns count="6">
    <tableColumn id="1" xr3:uid="{AD298ADA-731C-4328-ACA1-59877CF6D6F6}" name="CÓDIGO CATÁLOGO"/>
    <tableColumn id="2" xr3:uid="{8BA5BBD0-9631-446F-BB32-5AC034052EC0}" name="ARTÍCULO">
      <calculatedColumnFormula>IFERROR(INDEX(UNSPSCDes,MATCH(INDIRECT(ADDRESS(ROW(),COLUMN()-1,4)),UNSPSCCode,0)),IF(INDIRECT(ADDRESS(ROW(),COLUMN()-1,4))="80121704","Servicios legales sobre contratos",""))</calculatedColumnFormula>
    </tableColumn>
    <tableColumn id="3" xr3:uid="{ECFE016E-A03A-4626-91ED-434439B02F66}" name="UNIDAD DE MEDIDA">
      <calculatedColumnFormula>IFERROR(VLOOKUP("UD",'[1]Informacion '!P:Q,2,FALSE),"")</calculatedColumnFormula>
    </tableColumn>
    <tableColumn id="4" xr3:uid="{9C95791D-9BDB-429F-B3A1-279C76895B97}" name="CANTIDAD TOTAL ESTIMADA"/>
    <tableColumn id="5" xr3:uid="{287C9868-2050-4916-BB5C-CC8620B016D1}" name="PRECIO UNITARIO ESTIMADO"/>
    <tableColumn id="6" xr3:uid="{0460A507-A226-4C3A-B70B-4E952DC24D1F}" name="MONTO TOTAL ESTIMADO">
      <calculatedColumnFormula>INDIRECT(ADDRESS(ROW(),COLUMN()-2,4))*INDIRECT(ADDRESS(ROW(),COLUMN()-1,4))</calculatedColumnFormula>
    </tableColumn>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EC9376FA-9772-4A7A-A62A-1EEE2A7E7B86}" name="Table137" displayName="Table137" ref="A1695:F1702" totalsRowShown="0">
  <tableColumns count="6">
    <tableColumn id="1" xr3:uid="{F572968E-7944-43FB-B485-1633095EF108}" name="CÓDIGO CATÁLOGO"/>
    <tableColumn id="2" xr3:uid="{A46A4030-D1A2-4A98-B877-D7399A79E6D8}" name="ARTÍCULO"/>
    <tableColumn id="3" xr3:uid="{8486DB60-9F47-4637-8D9D-78369686B586}" name="UNIDAD DE MEDIDA">
      <calculatedColumnFormula>IFERROR(VLOOKUP("UD",'[1]Informacion '!P:Q,2,FALSE),"")</calculatedColumnFormula>
    </tableColumn>
    <tableColumn id="4" xr3:uid="{87E24708-7FCF-4161-9038-C3299B0CC82A}" name="CANTIDAD TOTAL ESTIMADA"/>
    <tableColumn id="5" xr3:uid="{BB4FA834-501D-4DBE-8FED-97CDE6C3C213}" name="PRECIO UNITARIO ESTIMADO"/>
    <tableColumn id="6" xr3:uid="{76CCEF95-3B3B-467E-A0AB-55CC76915AFB}" name="MONTO TOTAL ESTIMADO">
      <calculatedColumnFormula>INDIRECT(ADDRESS(ROW(),COLUMN()-2,4))*INDIRECT(ADDRESS(ROW(),COLUMN()-1,4))</calculatedColumnFormula>
    </tableColumn>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FF1EBB88-3F47-4139-9AD5-4BE7D27B45D3}" name="Table9" displayName="Table9" ref="A77:F78" totalsRowShown="0">
  <tableColumns count="6">
    <tableColumn id="1" xr3:uid="{8E51483C-5C46-49BA-82F5-1020EF4B98C0}" name="CÓDIGO CATÁLOGO"/>
    <tableColumn id="2" xr3:uid="{C0046E32-7E47-4A6B-BBB1-20AA3176B1AC}" name="ARTÍCULO">
      <calculatedColumnFormula>IFERROR(INDEX(UNSPSCDes,MATCH(INDIRECT(ADDRESS(ROW(),COLUMN()-1,4)),UNSPSCCode,0)),IF(INDIRECT(ADDRESS(ROW(),COLUMN()-1,4))="80141607","Gestión de eventos",""))</calculatedColumnFormula>
    </tableColumn>
    <tableColumn id="3" xr3:uid="{43448DA4-7EA3-4F27-86E8-F53F594F3D45}" name="UNIDAD DE MEDIDA">
      <calculatedColumnFormula>IFERROR(VLOOKUP("UD",'[1]Informacion '!P:Q,2,FALSE),"")</calculatedColumnFormula>
    </tableColumn>
    <tableColumn id="4" xr3:uid="{574DDF98-56B6-4727-ADD6-A5A75A7AC757}" name="CANTIDAD TOTAL ESTIMADA"/>
    <tableColumn id="5" xr3:uid="{1E665B31-1317-4DA4-8718-B89F1485B078}" name="PRECIO UNITARIO ESTIMADO"/>
    <tableColumn id="6" xr3:uid="{D13E4595-E6DA-4CAD-806D-A92569BDFBA4}" name="MONTO TOTAL ESTIMADO">
      <calculatedColumnFormula>INDIRECT(ADDRESS(ROW(),COLUMN()-2,4))*INDIRECT(ADDRESS(ROW(),COLUMN()-1,4))</calculatedColumnFormula>
    </tableColumn>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B654A74-6B54-447B-BA69-6D58B130C160}" name="Table80" displayName="Table80" ref="A892:F893" totalsRowShown="0">
  <tableColumns count="6">
    <tableColumn id="1" xr3:uid="{88D1ACAF-F2F6-4613-9F44-950DDE03A7A4}" name="CÓDIGO CATÁLOGO"/>
    <tableColumn id="2" xr3:uid="{B1E71009-12EA-440D-8E53-77E0CC466370}" name="ARTÍCULO">
      <calculatedColumnFormula>IFERROR(INDEX(UNSPSCDes,MATCH(INDIRECT(ADDRESS(ROW(),COLUMN()-1,4)),UNSPSCCode,0)),IF(INDIRECT(ADDRESS(ROW(),COLUMN()-1,4))="85121902","Servicios farmacéuticos comerciales",""))</calculatedColumnFormula>
    </tableColumn>
    <tableColumn id="3" xr3:uid="{EE0D9946-5595-40D1-A94D-34047D85282A}" name="UNIDAD DE MEDIDA">
      <calculatedColumnFormula>IFERROR(VLOOKUP("UD",'[1]Informacion '!P:Q,2,FALSE),"")</calculatedColumnFormula>
    </tableColumn>
    <tableColumn id="4" xr3:uid="{6DC5A2D8-9E21-45AD-B731-8FB1F6EC2EE6}" name="CANTIDAD TOTAL ESTIMADA"/>
    <tableColumn id="5" xr3:uid="{26394926-CAF6-4687-A595-7A20C8A1F823}" name="PRECIO UNITARIO ESTIMADO"/>
    <tableColumn id="6" xr3:uid="{C864326B-25F0-49C8-8A18-CB49F364B564}" name="MONTO TOTAL ESTIMADO">
      <calculatedColumnFormula>INDIRECT(ADDRESS(ROW(),COLUMN()-2,4))*INDIRECT(ADDRESS(ROW(),COLUMN()-1,4))</calculatedColumnFormula>
    </tableColumn>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525834C1-0469-4AD9-B91D-1ED97E9C190D}" name="Table255" displayName="Table255" ref="A2945:F2946" totalsRowShown="0">
  <tableColumns count="6">
    <tableColumn id="1" xr3:uid="{5B59BF32-EFD8-459D-8C54-BE7EB2B9A6D7}" name="CÓDIGO CATÁLOGO"/>
    <tableColumn id="2" xr3:uid="{31414CD9-5223-4211-A84D-19B65BAD7D29}" name="ARTÍCULO">
      <calculatedColumnFormula>IFERROR(INDEX(UNSPSCDes,MATCH(INDIRECT(ADDRESS(ROW(),COLUMN()-1,4)),UNSPSCCode,0)),IF(INDIRECT(ADDRESS(ROW(),COLUMN()-1,4))="72102103","Servicios de exterminación o fumigación",""))</calculatedColumnFormula>
    </tableColumn>
    <tableColumn id="3" xr3:uid="{4086265A-15A0-47B5-B228-AC1EEC34A6BA}" name="UNIDAD DE MEDIDA">
      <calculatedColumnFormula>IFERROR(VLOOKUP("UD",'[1]Informacion '!P:Q,2,FALSE),"")</calculatedColumnFormula>
    </tableColumn>
    <tableColumn id="4" xr3:uid="{1639D9D2-A5A5-4F1C-86EC-2DCA26657C9B}" name="CANTIDAD TOTAL ESTIMADA"/>
    <tableColumn id="5" xr3:uid="{5556C548-4BB2-48AB-B010-6ED6A5AA96DE}" name="PRECIO UNITARIO ESTIMADO"/>
    <tableColumn id="6" xr3:uid="{421C0E20-7052-4E3B-B384-6E0181C6F6E5}" name="MONTO TOTAL ESTIMADO">
      <calculatedColumnFormula>INDIRECT(ADDRESS(ROW(),COLUMN()-2,4))*INDIRECT(ADDRESS(ROW(),COLUMN()-1,4))</calculatedColumnFormula>
    </tableColumn>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43FBF7DA-93E0-4BFD-A7A1-9006679F6A98}" name="Table90" displayName="Table90" ref="A1013:F1014" totalsRowShown="0">
  <tableColumns count="6">
    <tableColumn id="1" xr3:uid="{CFF0C86B-BA9A-41C5-842F-B9B20B56135C}" name="CÓDIGO CATÁLOGO"/>
    <tableColumn id="2" xr3:uid="{068BB5C8-F1C3-49D4-825B-6C0629C5B597}" name="ARTÍCULO">
      <calculatedColumnFormula>IFERROR(INDEX(UNSPSCDes,MATCH(INDIRECT(ADDRESS(ROW(),COLUMN()-1,4)),UNSPSCCode,0)),IF(INDIRECT(ADDRESS(ROW(),COLUMN()-1,4))="30111601","Cemento",""))</calculatedColumnFormula>
    </tableColumn>
    <tableColumn id="3" xr3:uid="{F64DD487-62A8-47CB-8729-6F59BEF0034E}" name="UNIDAD DE MEDIDA">
      <calculatedColumnFormula>IFERROR(VLOOKUP("UD",'[1]Informacion '!P:Q,2,FALSE),"")</calculatedColumnFormula>
    </tableColumn>
    <tableColumn id="4" xr3:uid="{B9445EC1-0324-40A1-9BB8-273F105D6DEC}" name="CANTIDAD TOTAL ESTIMADA"/>
    <tableColumn id="5" xr3:uid="{70BF4930-2183-4BAD-841C-834E3D8A9DDA}" name="PRECIO UNITARIO ESTIMADO"/>
    <tableColumn id="6" xr3:uid="{433D08C3-8C71-479B-9277-911BBB9A980D}" name="MONTO TOTAL ESTIMADO">
      <calculatedColumnFormula>INDIRECT(ADDRESS(ROW(),COLUMN()-2,4))*INDIRECT(ADDRESS(ROW(),COLUMN()-1,4))</calculatedColumnFormula>
    </tableColumn>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636D353F-056C-4C5D-A690-ABD3FE9B99C9}" name="Table65" displayName="Table65" ref="A665:F669" totalsRowShown="0">
  <tableColumns count="6">
    <tableColumn id="1" xr3:uid="{5614A338-E2AF-4221-A597-18D0CA1DC0AD}" name="CÓDIGO CATÁLOGO"/>
    <tableColumn id="2" xr3:uid="{F81846BA-918A-4189-B833-42D04030932E}" name="ARTÍCULO">
      <calculatedColumnFormula>IFERROR(INDEX(UNSPSCDes,MATCH(INDIRECT(ADDRESS(ROW(),COLUMN()-1,4)),UNSPSCCode,0)),IF(INDIRECT(ADDRESS(ROW(),COLUMN()-1,4))="60121008","Afiches",""))</calculatedColumnFormula>
    </tableColumn>
    <tableColumn id="3" xr3:uid="{C1CD4B46-6DDF-424A-AB40-629FB7A4A3AE}" name="UNIDAD DE MEDIDA">
      <calculatedColumnFormula>IFERROR(VLOOKUP("UD",'[1]Informacion '!P:Q,2,FALSE),"")</calculatedColumnFormula>
    </tableColumn>
    <tableColumn id="4" xr3:uid="{405CD233-61D1-48C7-A8E3-19925757058C}" name="CANTIDAD TOTAL ESTIMADA"/>
    <tableColumn id="5" xr3:uid="{4916C96A-0C8C-46D8-B330-97283FDD0648}" name="PRECIO UNITARIO ESTIMADO"/>
    <tableColumn id="6" xr3:uid="{80B02BC0-C428-46A3-9DE4-597A0651065B}"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B6EF8C1-F7A3-4C5F-BEEF-898D57B63880}" name="Table97" displayName="Table97" ref="A1091:F1103" totalsRowShown="0">
  <tableColumns count="6">
    <tableColumn id="1" xr3:uid="{2FEB5E77-BD77-4F31-8238-458A70F7164D}" name="CÓDIGO CATÁLOGO"/>
    <tableColumn id="2" xr3:uid="{55703483-638F-43C6-8861-ED2FE174BE79}" name="ARTÍCULO"/>
    <tableColumn id="3" xr3:uid="{AE7DD961-0F08-4205-9B85-A84D6A4B32B7}" name="UNIDAD DE MEDIDA">
      <calculatedColumnFormula>IFERROR(VLOOKUP("UD",'[1]Informacion '!P:Q,2,FALSE),"")</calculatedColumnFormula>
    </tableColumn>
    <tableColumn id="4" xr3:uid="{472DD6CB-8F90-4FD9-B93A-312DC02B4747}" name="CANTIDAD TOTAL ESTIMADA"/>
    <tableColumn id="5" xr3:uid="{6510169F-757F-4E12-99AE-57C316782602}" name="PRECIO UNITARIO ESTIMADO"/>
    <tableColumn id="6" xr3:uid="{D01BF01F-27CD-44B6-9BE8-E46978E041FC}" name="MONTO TOTAL ESTIMADO">
      <calculatedColumnFormula>INDIRECT(ADDRESS(ROW(),COLUMN()-2,4))*INDIRECT(ADDRESS(ROW(),COLUMN()-1,4))</calculatedColumnFormula>
    </tableColumn>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151DABB8-253F-4A9F-BF1F-69CF78BAA36B}" name="Table78" displayName="Table78" ref="A821:F871" totalsRowShown="0">
  <tableColumns count="6">
    <tableColumn id="1" xr3:uid="{F1BECFF0-2691-4FE0-A3A0-427EC39D56A7}" name="CÓDIGO CATÁLOGO"/>
    <tableColumn id="2" xr3:uid="{9AC0377A-F99F-4527-B9F5-519A4863E74E}" name="ARTÍCULO"/>
    <tableColumn id="3" xr3:uid="{795BC54F-DC75-4EB9-8D47-95DE2D469249}" name="UNIDAD DE MEDIDA">
      <calculatedColumnFormula>IFERROR(VLOOKUP("UD",'[1]Informacion '!P:Q,2,FALSE),"")</calculatedColumnFormula>
    </tableColumn>
    <tableColumn id="4" xr3:uid="{A84551E1-B0A3-4E75-A80E-3AED88DDD8FD}" name="CANTIDAD TOTAL ESTIMADA"/>
    <tableColumn id="5" xr3:uid="{8AE5998D-ACDB-4A1F-8645-37610384C101}" name="PRECIO UNITARIO ESTIMADO"/>
    <tableColumn id="6" xr3:uid="{194051DC-FDB1-42A9-82F2-9837171A8F7E}" name="MONTO TOTAL ESTIMADO">
      <calculatedColumnFormula>INDIRECT(ADDRESS(ROW(),COLUMN()-2,4))*INDIRECT(ADDRESS(ROW(),COLUMN()-1,4))</calculatedColumnFormula>
    </tableColumn>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69D29907-107B-45F3-919B-C3AF1A07B800}" name="Table33" displayName="Table33" ref="A354:F356" totalsRowShown="0">
  <tableColumns count="6">
    <tableColumn id="1" xr3:uid="{BDF63A73-7FF4-4604-A6E8-E85D2A259D98}" name="CÓDIGO CATÁLOGO"/>
    <tableColumn id="2" xr3:uid="{C21BA687-53CC-4645-8819-614401F59439}" name="ARTÍCULO">
      <calculatedColumnFormula>IFERROR(INDEX(UNSPSCDes,MATCH(INDIRECT(ADDRESS(ROW(),COLUMN()-1,4)),UNSPSCCode,0)),IF(INDIRECT(ADDRESS(ROW(),COLUMN()-1,4))="90101604","Servicios de cáterin en la obra o lugar de trabajo",""))</calculatedColumnFormula>
    </tableColumn>
    <tableColumn id="3" xr3:uid="{10AD0C06-2C34-4065-8B18-8C79E7696B7B}" name="UNIDAD DE MEDIDA">
      <calculatedColumnFormula>IFERROR(VLOOKUP("UD",'[1]Informacion '!P:Q,2,FALSE),"")</calculatedColumnFormula>
    </tableColumn>
    <tableColumn id="4" xr3:uid="{6DB6C60F-8650-40A2-94EF-7E1D2CD5ADD0}" name="CANTIDAD TOTAL ESTIMADA"/>
    <tableColumn id="5" xr3:uid="{54A21940-70BB-462D-9E28-DD9E019166AC}" name="PRECIO UNITARIO ESTIMADO"/>
    <tableColumn id="6" xr3:uid="{9CAA8A9F-966F-4F40-8C6A-DD7E44C1AE2F}" name="MONTO TOTAL ESTIMADO">
      <calculatedColumnFormula>INDIRECT(ADDRESS(ROW(),COLUMN()-2,4))*INDIRECT(ADDRESS(ROW(),COLUMN()-1,4))</calculatedColumnFormula>
    </tableColumn>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C7E118D6-B0C1-4BEF-B776-BDA9455A04C5}" name="Table134" displayName="Table134" ref="A1657:F1658" totalsRowShown="0">
  <tableColumns count="6">
    <tableColumn id="1" xr3:uid="{7BC3EA1F-0B03-4187-B31D-D994F9C28BA1}" name="CÓDIGO CATÁLOGO"/>
    <tableColumn id="2" xr3:uid="{4311237A-1F52-41E8-90EE-BC574B9F61C7}" name="ARTÍCULO">
      <calculatedColumnFormula>IFERROR(INDEX(UNSPSCDes,MATCH(INDIRECT(ADDRESS(ROW(),COLUMN()-1,4)),UNSPSCCode,0)),IF(INDIRECT(ADDRESS(ROW(),COLUMN()-1,4))="12161602","Catalizadores de combustión",""))</calculatedColumnFormula>
    </tableColumn>
    <tableColumn id="3" xr3:uid="{0738AE50-1673-4758-8056-6FD23E4D50B7}" name="UNIDAD DE MEDIDA"/>
    <tableColumn id="4" xr3:uid="{C879A22D-9E41-4A34-992C-3042FB941FEC}" name="CANTIDAD TOTAL ESTIMADA"/>
    <tableColumn id="5" xr3:uid="{E0AD05AE-DB2D-4CEF-8F65-6D89431C0FA7}" name="PRECIO UNITARIO ESTIMADO"/>
    <tableColumn id="6" xr3:uid="{499FF10B-2CF9-4817-98A3-E50E212657C7}" name="MONTO TOTAL ESTIMADO">
      <calculatedColumnFormula>INDIRECT(ADDRESS(ROW(),COLUMN()-2,4))*INDIRECT(ADDRESS(ROW(),COLUMN()-1,4))</calculatedColumnFormula>
    </tableColumn>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B4011F5A-7E5E-4B2C-A571-B439F5F59806}" name="Table12" displayName="Table12" ref="A115:F116" totalsRowShown="0">
  <tableColumns count="6">
    <tableColumn id="1" xr3:uid="{7628B7F5-4B7E-490A-880A-8C37013DE918}" name="CÓDIGO CATÁLOGO"/>
    <tableColumn id="2" xr3:uid="{164D6FE1-254B-404A-A324-EF2480EAE78F}" name="ARTÍCULO">
      <calculatedColumnFormula>IFERROR(INDEX(UNSPSCDes,MATCH(INDIRECT(ADDRESS(ROW(),COLUMN()-1,4)),UNSPSCCode,0)),IF(INDIRECT(ADDRESS(ROW(),COLUMN()-1,4))="90151801","Carnavales ambulantes",""))</calculatedColumnFormula>
    </tableColumn>
    <tableColumn id="3" xr3:uid="{9679073A-D885-4E55-A0AA-AB8497FFEE5F}" name="UNIDAD DE MEDIDA">
      <calculatedColumnFormula>IFERROR(VLOOKUP("UD",'[1]Informacion '!P:Q,2,FALSE),"")</calculatedColumnFormula>
    </tableColumn>
    <tableColumn id="4" xr3:uid="{424746F5-2AD1-4B4B-8367-3C533ACB75FB}" name="CANTIDAD TOTAL ESTIMADA"/>
    <tableColumn id="5" xr3:uid="{FC67D9CA-4B04-46D0-BF74-76BF7EDACE62}" name="PRECIO UNITARIO ESTIMADO"/>
    <tableColumn id="6" xr3:uid="{D9720A2C-2DA4-4591-8980-617B5B940721}" name="MONTO TOTAL ESTIMADO">
      <calculatedColumnFormula>INDIRECT(ADDRESS(ROW(),COLUMN()-2,4))*INDIRECT(ADDRESS(ROW(),COLUMN()-1,4))</calculatedColumnFormula>
    </tableColumn>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593869B2-0785-4562-8B4F-6F28863782C7}" name="Table11" displayName="Table11" ref="A99:F105" totalsRowShown="0">
  <tableColumns count="6">
    <tableColumn id="1" xr3:uid="{0109A579-83CC-45B5-9B22-23E8D06D9D2F}" name="CÓDIGO CATÁLOGO"/>
    <tableColumn id="2" xr3:uid="{D49EC910-5941-441B-A449-F1764696847A}" name="ARTÍCULO"/>
    <tableColumn id="3" xr3:uid="{9EA41667-6EE3-44AF-AE56-3B33347A4BC4}" name="UNIDAD DE MEDIDA">
      <calculatedColumnFormula>IFERROR(VLOOKUP("UD",'[1]Informacion '!P:Q,2,FALSE),"")</calculatedColumnFormula>
    </tableColumn>
    <tableColumn id="4" xr3:uid="{A19C90FF-D86E-4F06-A39F-7E5AE62E4A98}" name="CANTIDAD TOTAL ESTIMADA"/>
    <tableColumn id="5" xr3:uid="{1BA01A16-0E2B-42F5-B55E-A6B0537A9C6C}" name="PRECIO UNITARIO ESTIMADO"/>
    <tableColumn id="6" xr3:uid="{0DE0D229-96DB-45C9-B2F8-698CCE756804}" name="MONTO TOTAL ESTIMADO">
      <calculatedColumnFormula>INDIRECT(ADDRESS(ROW(),COLUMN()-2,4))*INDIRECT(ADDRESS(ROW(),COLUMN()-1,4))</calculatedColumnFormula>
    </tableColumn>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21FB1ECC-2EF7-4A78-A83A-D96062C3C275}" name="Table92" displayName="Table92" ref="A1035:F1036" totalsRowShown="0">
  <tableColumns count="6">
    <tableColumn id="1" xr3:uid="{A1ED6FF3-FAB5-4CE2-A192-FC1E7E8526BE}" name="CÓDIGO CATÁLOGO"/>
    <tableColumn id="2" xr3:uid="{355DFB68-B18A-4ADD-B3F0-CC7D8F062141}" name="ARTÍCULO">
      <calculatedColumnFormula>IFERROR(INDEX(UNSPSCDes,MATCH(INDIRECT(ADDRESS(ROW(),COLUMN()-1,4)),UNSPSCCode,0)),IF(INDIRECT(ADDRESS(ROW(),COLUMN()-1,4))="60124320","Compuestos de yeso",""))</calculatedColumnFormula>
    </tableColumn>
    <tableColumn id="3" xr3:uid="{B9EB0C0F-654E-477B-BDE1-8336559E000C}" name="UNIDAD DE MEDIDA">
      <calculatedColumnFormula>IFERROR(VLOOKUP("UD",'[1]Informacion '!P:Q,2,FALSE),"")</calculatedColumnFormula>
    </tableColumn>
    <tableColumn id="4" xr3:uid="{9E3FE762-2F9D-4CC1-8A1D-529F3C43DCA3}" name="CANTIDAD TOTAL ESTIMADA"/>
    <tableColumn id="5" xr3:uid="{FCCF8A6C-1625-4C15-9C36-4309964322E4}" name="PRECIO UNITARIO ESTIMADO"/>
    <tableColumn id="6" xr3:uid="{0366123E-2308-4850-A8A9-8B0D249A632A}" name="MONTO TOTAL ESTIMADO">
      <calculatedColumnFormula>INDIRECT(ADDRESS(ROW(),COLUMN()-2,4))*INDIRECT(ADDRESS(ROW(),COLUMN()-1,4))</calculatedColumnFormula>
    </tableColumn>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5B36C3EF-C4A1-4082-99C2-7921079B4F1C}" name="Table149" displayName="Table149" ref="A1802:F1812" totalsRowShown="0">
  <tableColumns count="6">
    <tableColumn id="1" xr3:uid="{AC8687A0-5C28-4A28-B702-CF07BD88E5C7}" name="CÓDIGO CATÁLOGO"/>
    <tableColumn id="2" xr3:uid="{4A2EAC31-0C19-482F-908C-7A3AC3FB3D11}" name="ARTÍCULO"/>
    <tableColumn id="3" xr3:uid="{73FF4C88-AB6D-4F74-A183-41F67CC4EFC6}" name="UNIDAD DE MEDIDA">
      <calculatedColumnFormula>IFERROR(VLOOKUP("UD",'[1]Informacion '!P:Q,2,FALSE),"")</calculatedColumnFormula>
    </tableColumn>
    <tableColumn id="4" xr3:uid="{5F8782D4-DE59-49AF-9C71-17F8CC25D256}" name="CANTIDAD TOTAL ESTIMADA"/>
    <tableColumn id="5" xr3:uid="{C5D9C44B-330C-40EB-A4C8-671418E9B391}" name="PRECIO UNITARIO ESTIMADO"/>
    <tableColumn id="6" xr3:uid="{6E22FB8A-9E0F-485E-8DCF-620CA67AB1E0}" name="MONTO TOTAL ESTIMADO">
      <calculatedColumnFormula>INDIRECT(ADDRESS(ROW(),COLUMN()-2,4))*INDIRECT(ADDRESS(ROW(),COLUMN()-1,4))</calculatedColumnFormula>
    </tableColumn>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4DE0515E-8B18-4A46-94D0-8B19F8ED037D}" name="Table161" displayName="Table161" ref="A1988:F1990" totalsRowShown="0">
  <tableColumns count="6">
    <tableColumn id="1" xr3:uid="{6AAB20EF-E9F3-4298-80EA-20B96673C109}" name="CÓDIGO CATÁLOGO"/>
    <tableColumn id="2" xr3:uid="{6C5C4310-79E1-4E0D-BE4A-5436502E3C43}" name="ARTÍCULO"/>
    <tableColumn id="3" xr3:uid="{3DA9C764-CB27-4EB3-BDDC-926799671515}" name="UNIDAD DE MEDIDA">
      <calculatedColumnFormula>IFERROR(VLOOKUP("UD",'[1]Informacion '!P:Q,2,FALSE),"")</calculatedColumnFormula>
    </tableColumn>
    <tableColumn id="4" xr3:uid="{E952B883-B666-4BDF-BF86-F74B0F26CEF2}" name="CANTIDAD TOTAL ESTIMADA"/>
    <tableColumn id="5" xr3:uid="{8E58200F-6E71-4686-B237-A2154C84B23C}" name="PRECIO UNITARIO ESTIMADO"/>
    <tableColumn id="6" xr3:uid="{45FB737D-7466-4590-B7B3-D48662C3617D}" name="MONTO TOTAL ESTIMADO">
      <calculatedColumnFormula>INDIRECT(ADDRESS(ROW(),COLUMN()-2,4))*INDIRECT(ADDRESS(ROW(),COLUMN()-1,4))</calculatedColumnFormula>
    </tableColumn>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5071E9F8-0A53-4BD0-9293-42A68840558B}" name="Table15" displayName="Table15" ref="A148:F150" totalsRowShown="0">
  <tableColumns count="6">
    <tableColumn id="1" xr3:uid="{F1728E9A-CF2F-4C37-944F-7758D9E06F34}" name="CÓDIGO CATÁLOGO"/>
    <tableColumn id="2" xr3:uid="{E07A7DF7-DAD1-47D9-B042-D956FDC9E597}" name="ARTÍCULO">
      <calculatedColumnFormula>IFERROR(INDEX(UNSPSCDes,MATCH(INDIRECT(ADDRESS(ROW(),COLUMN()-1,4)),UNSPSCCode,0)),IF(INDIRECT(ADDRESS(ROW(),COLUMN()-1,4))="80121704","Servicios legales sobre contratos",""))</calculatedColumnFormula>
    </tableColumn>
    <tableColumn id="3" xr3:uid="{384DA798-7CB5-4409-A759-E1262879683A}" name="UNIDAD DE MEDIDA"/>
    <tableColumn id="4" xr3:uid="{3D49FD6D-3617-435F-A902-67243AA57A8B}" name="CANTIDAD TOTAL ESTIMADA"/>
    <tableColumn id="5" xr3:uid="{2FB05A4C-BF88-4F5C-98DA-A2D897CC3B3B}" name="PRECIO UNITARIO ESTIMADO"/>
    <tableColumn id="6" xr3:uid="{316EE626-B944-4903-96A4-42306AD06E05}" name="MONTO TOTAL ESTIMADO">
      <calculatedColumnFormula>INDIRECT(ADDRESS(ROW(),COLUMN()-2,4))*INDIRECT(ADDRESS(ROW(),COLUMN()-1,4))</calculatedColumnFormula>
    </tableColumn>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8B60CF22-E0F7-47F2-B6E8-378AE77041E9}" name="Table120" displayName="Table120" ref="A1392:F1401" totalsRowShown="0">
  <tableColumns count="6">
    <tableColumn id="1" xr3:uid="{A05C5A35-D225-430C-AF0D-AB102D66C130}" name="CÓDIGO CATÁLOGO"/>
    <tableColumn id="2" xr3:uid="{6AEDAAF3-9FE9-40E6-8B10-7A33A98A3DBC}" name="ARTÍCULO">
      <calculatedColumnFormula>IFERROR(INDEX(UNSPSCDes,MATCH(INDIRECT(ADDRESS(ROW(),COLUMN()-1,4)),UNSPSCCode,0)),IF(INDIRECT(ADDRESS(ROW(),COLUMN()-1,4))="47131708","Dispensador de papel de seda del cuarto de baño",""))</calculatedColumnFormula>
    </tableColumn>
    <tableColumn id="3" xr3:uid="{F599A9B0-B767-4931-A55D-975467507524}" name="UNIDAD DE MEDIDA">
      <calculatedColumnFormula>IFERROR(VLOOKUP("UD",'[1]Informacion '!P:Q,2,FALSE),"")</calculatedColumnFormula>
    </tableColumn>
    <tableColumn id="4" xr3:uid="{3201F5DC-3F7B-4044-ABD6-F477E6D91F9E}" name="CANTIDAD TOTAL ESTIMADA"/>
    <tableColumn id="5" xr3:uid="{EE84DDF2-B7C3-4984-B4C0-ED8F12CAF92E}" name="PRECIO UNITARIO ESTIMADO"/>
    <tableColumn id="6" xr3:uid="{21C3C75F-52E6-4223-B835-348DA9B458B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26CA2C5-2235-4F96-A10A-880E197AED87}" name="Table131" displayName="Table131" ref="A1599:F1608" totalsRowShown="0">
  <tableColumns count="6">
    <tableColumn id="1" xr3:uid="{2A2F4DFD-3D22-437A-B14A-2BEBF224629E}" name="CÓDIGO CATÁLOGO"/>
    <tableColumn id="2" xr3:uid="{6F40FE21-A376-47D8-B4A2-D28E392BD1D1}" name="ARTÍCULO"/>
    <tableColumn id="3" xr3:uid="{C84C39CA-2EC2-44D4-A01A-61DF9FF26AEB}" name="UNIDAD DE MEDIDA">
      <calculatedColumnFormula>IFERROR(VLOOKUP("UD",'[1]Informacion '!P:Q,2,FALSE),"")</calculatedColumnFormula>
    </tableColumn>
    <tableColumn id="4" xr3:uid="{94A2334C-3489-4354-ADC4-895D84C6BF74}" name="CANTIDAD TOTAL ESTIMADA"/>
    <tableColumn id="5" xr3:uid="{531D8D44-E189-46CC-BB26-6BA9173C5FA7}" name="PRECIO UNITARIO ESTIMADO"/>
    <tableColumn id="6" xr3:uid="{D69E7B61-DDF6-415B-8992-F2810B413D69}" name="MONTO TOTAL ESTIMADO">
      <calculatedColumnFormula>INDIRECT(ADDRESS(ROW(),COLUMN()-2,4))*INDIRECT(ADDRESS(ROW(),COLUMN()-1,4))</calculatedColumnFormula>
    </tableColumn>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6CECA2B1-6A34-428F-B2C4-B12158FDBC4A}" name="Table236" displayName="Table236" ref="A2790:F2795" totalsRowShown="0">
  <tableColumns count="6">
    <tableColumn id="1" xr3:uid="{311D460F-C5DC-403D-B9DA-3E0E65AD2115}" name="CÓDIGO CATÁLOGO"/>
    <tableColumn id="2" xr3:uid="{DED716A9-E460-4CD2-86A2-7FA600E8BEA8}" name="ARTÍCULO"/>
    <tableColumn id="3" xr3:uid="{E17E44FE-2F70-4CD1-97DF-2CB53B545D24}" name="UNIDAD DE MEDIDA">
      <calculatedColumnFormula>IFERROR(VLOOKUP("UD",'[1]Informacion '!P:Q,2,FALSE),"")</calculatedColumnFormula>
    </tableColumn>
    <tableColumn id="4" xr3:uid="{0AFD9B40-B0E3-49DE-8552-356239490D98}" name="CANTIDAD TOTAL ESTIMADA"/>
    <tableColumn id="5" xr3:uid="{B9DAE912-4BA6-4337-B0F7-F5994628C7BF}" name="PRECIO UNITARIO ESTIMADO"/>
    <tableColumn id="6" xr3:uid="{5D4059CD-24C9-4E3B-A24F-E65C0332EE63}" name="MONTO TOTAL ESTIMADO">
      <calculatedColumnFormula>INDIRECT(ADDRESS(ROW(),COLUMN()-2,4))*INDIRECT(ADDRESS(ROW(),COLUMN()-1,4))</calculatedColumnFormula>
    </tableColumn>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2FD90F3E-F11E-46E9-A59D-516CD39E9FFD}" name="Table178" displayName="Table178" ref="A2187:F2209" totalsRowShown="0">
  <tableColumns count="6">
    <tableColumn id="1" xr3:uid="{4678245A-3665-4525-BF4E-72F9D60D6077}" name="CÓDIGO CATÁLOGO"/>
    <tableColumn id="2" xr3:uid="{0E7BB151-EB0B-4F24-8ECE-E9C57276F2AD}" name="ARTÍCULO"/>
    <tableColumn id="3" xr3:uid="{875AEB6E-A566-4B5D-9E3E-D0106A21BD78}" name="UNIDAD DE MEDIDA">
      <calculatedColumnFormula>IFERROR(VLOOKUP("UD",'[1]Informacion '!P:Q,2,FALSE),"")</calculatedColumnFormula>
    </tableColumn>
    <tableColumn id="4" xr3:uid="{5F1363B7-27CD-4FF3-B881-0FF0BB0CDE49}" name="CANTIDAD TOTAL ESTIMADA"/>
    <tableColumn id="5" xr3:uid="{A2B8955F-A564-48E2-BA9F-28A71C109CBA}" name="PRECIO UNITARIO ESTIMADO"/>
    <tableColumn id="6" xr3:uid="{147D7333-F7E0-446C-B974-CF561F56501F}" name="MONTO TOTAL ESTIMADO">
      <calculatedColumnFormula>INDIRECT(ADDRESS(ROW(),COLUMN()-2,4))*INDIRECT(ADDRESS(ROW(),COLUMN()-1,4))</calculatedColumnFormula>
    </tableColumn>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7F970AF0-A435-48EF-B580-18B36FC31E39}" name="Table202" displayName="Table202" ref="A2476:F2477" totalsRowShown="0">
  <tableColumns count="6">
    <tableColumn id="1" xr3:uid="{80764611-4F2A-4635-AEB7-05A396B1D82D}" name="CÓDIGO CATÁLOGO"/>
    <tableColumn id="2" xr3:uid="{C35DC3D5-7930-46DB-8023-A9A7AD98B0B5}" name="ARTÍCULO">
      <calculatedColumnFormula>IFERROR(INDEX(UNSPSCDes,MATCH(INDIRECT(ADDRESS(ROW(),COLUMN()-1,4)),UNSPSCCode,0)),IF(INDIRECT(ADDRESS(ROW(),COLUMN()-1,4))="46171619","Sistemas de seguridad o de control de acceso",""))</calculatedColumnFormula>
    </tableColumn>
    <tableColumn id="3" xr3:uid="{5737B3E1-BCAD-4867-B1F9-E1D179816C38}" name="UNIDAD DE MEDIDA">
      <calculatedColumnFormula>IFERROR(VLOOKUP("UD",'[1]Informacion '!P:Q,2,FALSE),"")</calculatedColumnFormula>
    </tableColumn>
    <tableColumn id="4" xr3:uid="{C25EE385-03F1-4B13-B3AF-0F9FB8D2FA37}" name="CANTIDAD TOTAL ESTIMADA"/>
    <tableColumn id="5" xr3:uid="{C4A7AD77-4394-4CC8-821F-A1CA362C7B43}" name="PRECIO UNITARIO ESTIMADO"/>
    <tableColumn id="6" xr3:uid="{DB3D7BBF-7BBF-4203-8308-6A7CC85E00D7}" name="MONTO TOTAL ESTIMADO">
      <calculatedColumnFormula>INDIRECT(ADDRESS(ROW(),COLUMN()-2,4))*INDIRECT(ADDRESS(ROW(),COLUMN()-1,4))</calculatedColumnFormula>
    </tableColumn>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8BAA6F9A-DB40-4F25-B552-5C3A1B729AC7}" name="Table95" displayName="Table95" ref="A1069:F1070" totalsRowShown="0">
  <tableColumns count="6">
    <tableColumn id="1" xr3:uid="{C3C16E94-3ACC-4532-AA50-D18A0AAA8D9A}" name="CÓDIGO CATÁLOGO"/>
    <tableColumn id="2" xr3:uid="{DCAA30C0-4509-4028-89FE-8773F12F4EA6}" name="ARTÍCULO">
      <calculatedColumnFormula>IFERROR(INDEX(UNSPSCDes,MATCH(INDIRECT(ADDRESS(ROW(),COLUMN()-1,4)),UNSPSCCode,0)),IF(INDIRECT(ADDRESS(ROW(),COLUMN()-1,4))="30161706","Pisos de baldosa o piedra",""))</calculatedColumnFormula>
    </tableColumn>
    <tableColumn id="3" xr3:uid="{4EBE258C-9A89-4E65-91B3-2BEAB037C0C9}" name="UNIDAD DE MEDIDA">
      <calculatedColumnFormula>IFERROR(VLOOKUP("UD",'[1]Informacion '!P:Q,2,FALSE),"")</calculatedColumnFormula>
    </tableColumn>
    <tableColumn id="4" xr3:uid="{4438DC7F-57B4-4F1A-9920-9A23032C9783}" name="CANTIDAD TOTAL ESTIMADA"/>
    <tableColumn id="5" xr3:uid="{4EF878F0-2A2D-4901-99FA-BE9E5EDF1568}" name="PRECIO UNITARIO ESTIMADO"/>
    <tableColumn id="6" xr3:uid="{55890220-2F43-4693-A44C-0ED1459968A2}" name="MONTO TOTAL ESTIMADO">
      <calculatedColumnFormula>INDIRECT(ADDRESS(ROW(),COLUMN()-2,4))*INDIRECT(ADDRESS(ROW(),COLUMN()-1,4))</calculatedColumnFormula>
    </tableColumn>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538E450-1669-4FCF-9C16-86A0482F7027}" name="Table206" displayName="Table206" ref="A2522:F2524" totalsRowShown="0">
  <tableColumns count="6">
    <tableColumn id="1" xr3:uid="{BEC0379F-E1B5-4CEE-AB0D-42213A189063}" name="CÓDIGO CATÁLOGO"/>
    <tableColumn id="2" xr3:uid="{865700A9-A49F-42C1-8A81-0AB601372A2A}" name="ARTÍCULO">
      <calculatedColumnFormula>IFERROR(INDEX(UNSPSCDes,MATCH(INDIRECT(ADDRESS(ROW(),COLUMN()-1,4)),UNSPSCCode,0)),IF(INDIRECT(ADDRESS(ROW(),COLUMN()-1,4))="30102906","Postes de fibra de vidrio",""))</calculatedColumnFormula>
    </tableColumn>
    <tableColumn id="3" xr3:uid="{206979D2-68BC-4C9F-88E9-DF19965E0B12}" name="UNIDAD DE MEDIDA">
      <calculatedColumnFormula>IFERROR(VLOOKUP("UD",'[1]Informacion '!P:Q,2,FALSE),"")</calculatedColumnFormula>
    </tableColumn>
    <tableColumn id="4" xr3:uid="{11F084BD-4EF2-4155-A3F2-D7D890A97984}" name="CANTIDAD TOTAL ESTIMADA"/>
    <tableColumn id="5" xr3:uid="{37E22BCF-3F00-4340-BEFA-4FECE510A901}" name="PRECIO UNITARIO ESTIMADO"/>
    <tableColumn id="6" xr3:uid="{7588AA57-0B40-4800-B872-59BE390070EB}" name="MONTO TOTAL ESTIMADO">
      <calculatedColumnFormula>INDIRECT(ADDRESS(ROW(),COLUMN()-2,4))*INDIRECT(ADDRESS(ROW(),COLUMN()-1,4))</calculatedColumnFormula>
    </tableColumn>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D41CDBD2-C13D-42A4-8DA3-73CFD6BE9C0B}" name="Table69" displayName="Table69" ref="A721:F722" totalsRowShown="0">
  <tableColumns count="6">
    <tableColumn id="1" xr3:uid="{4B4CFA60-8594-4656-800E-3C411D28B0C8}" name="CÓDIGO CATÁLOGO"/>
    <tableColumn id="2" xr3:uid="{209CA04C-05E1-4971-A644-C63E96176250}" name="ARTÍCULO">
      <calculatedColumnFormula>IFERROR(INDEX(UNSPSCDes,MATCH(INDIRECT(ADDRESS(ROW(),COLUMN()-1,4)),UNSPSCCode,0)),IF(INDIRECT(ADDRESS(ROW(),COLUMN()-1,4))="55101504","Periódicos",""))</calculatedColumnFormula>
    </tableColumn>
    <tableColumn id="3" xr3:uid="{F3369229-6CBA-486A-868E-67B95EE4DD44}" name="UNIDAD DE MEDIDA">
      <calculatedColumnFormula>IFERROR(VLOOKUP("UD",'[1]Informacion '!P:Q,2,FALSE),"")</calculatedColumnFormula>
    </tableColumn>
    <tableColumn id="4" xr3:uid="{8C408541-E97B-4619-92D7-EA617696DC7F}" name="CANTIDAD TOTAL ESTIMADA"/>
    <tableColumn id="5" xr3:uid="{60EB3962-ED61-4CC3-BBC6-80ABFEAF3FD0}" name="PRECIO UNITARIO ESTIMADO"/>
    <tableColumn id="6" xr3:uid="{A1B21A5E-B87E-496F-90CC-91A90F777E1D}" name="MONTO TOTAL ESTIMADO">
      <calculatedColumnFormula>INDIRECT(ADDRESS(ROW(),COLUMN()-2,4))*INDIRECT(ADDRESS(ROW(),COLUMN()-1,4))</calculatedColumnFormula>
    </tableColumn>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92F35947-59A0-47EF-9A70-C68AD60EB0D4}" name="Table233" displayName="Table233" ref="A2768:F2769" totalsRowShown="0">
  <tableColumns count="6">
    <tableColumn id="1" xr3:uid="{36B385BE-07B2-4445-9EEC-43570CFBF85A}" name="CÓDIGO CATÁLOGO"/>
    <tableColumn id="2" xr3:uid="{39118542-F1E4-4334-9E16-37CF55185EAE}" name="ARTÍCULO"/>
    <tableColumn id="3" xr3:uid="{33A94153-DE9E-40F4-95E9-6E5AAFE98F4C}" name="UNIDAD DE MEDIDA">
      <calculatedColumnFormula>IFERROR(VLOOKUP("UD",'[1]Informacion '!P:Q,2,FALSE),"")</calculatedColumnFormula>
    </tableColumn>
    <tableColumn id="4" xr3:uid="{39031D29-1801-4787-87D0-A84D9207D415}" name="CANTIDAD TOTAL ESTIMADA"/>
    <tableColumn id="5" xr3:uid="{B37E5BE0-0AA5-4890-92E9-2C0FD7249D4E}" name="PRECIO UNITARIO ESTIMADO"/>
    <tableColumn id="6" xr3:uid="{01F8F773-FDC2-4621-A0EF-C715FCFDB4F7}" name="MONTO TOTAL ESTIMADO">
      <calculatedColumnFormula>INDIRECT(ADDRESS(ROW(),COLUMN()-2,4))*INDIRECT(ADDRESS(ROW(),COLUMN()-1,4))</calculatedColumnFormula>
    </tableColumn>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D0AD51BD-3D5B-454D-ACC3-AA68C1923040}" name="Table39" displayName="Table39" ref="A400:F407" totalsRowShown="0">
  <tableColumns count="6">
    <tableColumn id="1" xr3:uid="{573F8BF9-7224-4B67-89BE-59014CCA8162}" name="CÓDIGO CATÁLOGO"/>
    <tableColumn id="2" xr3:uid="{873D4AFD-076F-43F7-A0ED-75AE03606C6E}" name="ARTÍCULO"/>
    <tableColumn id="3" xr3:uid="{48A54A64-4A71-4D3A-9F86-506C4B9AD12C}" name="UNIDAD DE MEDIDA">
      <calculatedColumnFormula>IFERROR(VLOOKUP("UD",'[1]Informacion '!P:Q,2,FALSE),"")</calculatedColumnFormula>
    </tableColumn>
    <tableColumn id="4" xr3:uid="{A719CB0C-B260-472F-871E-251C52B64563}" name="CANTIDAD TOTAL ESTIMADA"/>
    <tableColumn id="5" xr3:uid="{00B52842-C180-4059-AC97-167FCDE97378}" name="PRECIO UNITARIO ESTIMADO"/>
    <tableColumn id="6" xr3:uid="{71E870FD-8E79-4210-9350-E29386737051}" name="MONTO TOTAL ESTIMADO">
      <calculatedColumnFormula>INDIRECT(ADDRESS(ROW(),COLUMN()-2,4))*INDIRECT(ADDRESS(ROW(),COLUMN()-1,4))</calculatedColumnFormula>
    </tableColumn>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6836BD35-6AD8-451F-9088-BC2D1735F12A}" name="Table150" displayName="Table150" ref="A1822:F1846" totalsRowShown="0">
  <tableColumns count="6">
    <tableColumn id="1" xr3:uid="{8125D7DA-C8FD-439D-8C59-8FA1266F6076}" name="CÓDIGO CATÁLOGO"/>
    <tableColumn id="2" xr3:uid="{C39D932D-E95B-4CAE-A3B4-FCA9507B1BEB}" name="ARTÍCULO"/>
    <tableColumn id="3" xr3:uid="{41D2ACFB-68EE-4B87-A94E-2DB2A8D2843E}" name="UNIDAD DE MEDIDA">
      <calculatedColumnFormula>IFERROR(VLOOKUP("UD",'[1]Informacion '!P:Q,2,FALSE),"")</calculatedColumnFormula>
    </tableColumn>
    <tableColumn id="4" xr3:uid="{63E4F07F-4F7E-40B6-A932-49069F027C09}" name="CANTIDAD TOTAL ESTIMADA"/>
    <tableColumn id="5" xr3:uid="{50B31C9F-4943-484C-94A7-16EB40894ED7}" name="PRECIO UNITARIO ESTIMADO"/>
    <tableColumn id="6" xr3:uid="{0CB77161-CED6-4354-BA09-2F2C0FCD9903}" name="MONTO TOTAL ESTIMADO">
      <calculatedColumnFormula>INDIRECT(ADDRESS(ROW(),COLUMN()-2,4))*INDIRECT(ADDRESS(ROW(),COLUMN()-1,4))</calculatedColumnFormula>
    </tableColumn>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FC80BEFD-B343-411D-9956-D2E543AF937D}" name="Table204" displayName="Table204" ref="A2499:F2500" totalsRowShown="0">
  <tableColumns count="6">
    <tableColumn id="1" xr3:uid="{1E89D580-7FE6-426D-9610-22B8D12FBC38}" name="CÓDIGO CATÁLOGO"/>
    <tableColumn id="2" xr3:uid="{8A8F3262-F9A2-4DC4-BFE8-206ACC83B793}" name="ARTÍCULO">
      <calculatedColumnFormula>IFERROR(INDEX(UNSPSCDes,MATCH(INDIRECT(ADDRESS(ROW(),COLUMN()-1,4)),UNSPSCCode,0)),IF(INDIRECT(ADDRESS(ROW(),COLUMN()-1,4))="72102201","Instalación o servicio de sistemas de energía eléctrica",""))</calculatedColumnFormula>
    </tableColumn>
    <tableColumn id="3" xr3:uid="{7AB81F4D-49C7-486F-BC54-37A9ED4E24F2}" name="UNIDAD DE MEDIDA">
      <calculatedColumnFormula>IFERROR(VLOOKUP("UD",'[1]Informacion '!P:Q,2,FALSE),"")</calculatedColumnFormula>
    </tableColumn>
    <tableColumn id="4" xr3:uid="{4D51FF67-6198-4720-83AF-A4854042D1DD}" name="CANTIDAD TOTAL ESTIMADA"/>
    <tableColumn id="5" xr3:uid="{1D3B6AC8-768C-4CE5-9AA9-F10E24CDC25D}" name="PRECIO UNITARIO ESTIMADO"/>
    <tableColumn id="6" xr3:uid="{2A3D28BD-6232-4F7B-8987-C8AD0CEB3764}"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0F9F67-91A1-4805-832C-3FD401CF865B}" name="Table243" displayName="Table243" ref="A2838:F2839" totalsRowShown="0">
  <tableColumns count="6">
    <tableColumn id="1" xr3:uid="{9E602744-116B-4330-B7F2-85D444F20690}" name="CÓDIGO CATÁLOGO"/>
    <tableColumn id="2" xr3:uid="{59BBB395-F000-4B96-AB5F-A321ECCF6961}" name="ARTÍCULO">
      <calculatedColumnFormula>IFERROR(INDEX(UNSPSCDes,MATCH(INDIRECT(ADDRESS(ROW(),COLUMN()-1,4)),UNSPSCCode,0)),IF(INDIRECT(ADDRESS(ROW(),COLUMN()-1,4))="44101501","Fotocopiadoras",""))</calculatedColumnFormula>
    </tableColumn>
    <tableColumn id="3" xr3:uid="{7035F8C9-89AA-4E3E-8E8C-C0E8C86E7CA1}" name="UNIDAD DE MEDIDA">
      <calculatedColumnFormula>IFERROR(VLOOKUP("UD",'[1]Informacion '!P:Q,2,FALSE),"")</calculatedColumnFormula>
    </tableColumn>
    <tableColumn id="4" xr3:uid="{82A445F9-9FD2-408B-BE83-908501FD2D31}" name="CANTIDAD TOTAL ESTIMADA"/>
    <tableColumn id="5" xr3:uid="{C53A831F-700B-4EC3-9EBF-584C3CC04659}" name="PRECIO UNITARIO ESTIMADO"/>
    <tableColumn id="6" xr3:uid="{E45265FE-010D-4953-BB44-78E9EAAFE707}" name="MONTO TOTAL ESTIMADO">
      <calculatedColumnFormula>INDIRECT(ADDRESS(ROW(),COLUMN()-2,4))*INDIRECT(ADDRESS(ROW(),COLUMN()-1,4))</calculatedColumnFormula>
    </tableColumn>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712E0E8D-4A07-44A3-8D42-4F4410C8FF67}" name="Table145" displayName="Table145" ref="A1769:F1770" totalsRowShown="0">
  <tableColumns count="6">
    <tableColumn id="1" xr3:uid="{EBF769C9-D53D-4C1D-94EE-1FAC414144D8}" name="CÓDIGO CATÁLOGO"/>
    <tableColumn id="2" xr3:uid="{03FBB7EE-11E9-4E62-BAFA-689A0D8BDB52}" name="ARTÍCULO">
      <calculatedColumnFormula>IFERROR(INDEX(UNSPSCDes,MATCH(INDIRECT(ADDRESS(ROW(),COLUMN()-1,4)),UNSPSCCode,0)),IF(INDIRECT(ADDRESS(ROW(),COLUMN()-1,4))="60121535","Borradores de goma",""))</calculatedColumnFormula>
    </tableColumn>
    <tableColumn id="3" xr3:uid="{1FD215EA-B157-45B6-AE1D-63CCCFE8830C}" name="UNIDAD DE MEDIDA">
      <calculatedColumnFormula>IFERROR(VLOOKUP("UD",'[1]Informacion '!P:Q,2,FALSE),"")</calculatedColumnFormula>
    </tableColumn>
    <tableColumn id="4" xr3:uid="{053230C1-9D42-4F66-B9E8-4C8FA0D10626}" name="CANTIDAD TOTAL ESTIMADA"/>
    <tableColumn id="5" xr3:uid="{8C95F347-213C-4888-A1D0-594DD123175D}" name="PRECIO UNITARIO ESTIMADO"/>
    <tableColumn id="6" xr3:uid="{1362F0F1-545C-4238-8A27-631C8B0F4477}" name="MONTO TOTAL ESTIMADO">
      <calculatedColumnFormula>INDIRECT(ADDRESS(ROW(),COLUMN()-2,4))*INDIRECT(ADDRESS(ROW(),COLUMN()-1,4))</calculatedColumnFormula>
    </tableColumn>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662A10B1-EA34-4D6D-B350-EDBDCB5AFF88}" name="Table53" displayName="Table53" ref="A552:F561" totalsRowShown="0">
  <tableColumns count="6">
    <tableColumn id="1" xr3:uid="{5B502DE4-27D1-4E9C-B55B-A3D4BD550FDD}" name="CÓDIGO CATÁLOGO"/>
    <tableColumn id="2" xr3:uid="{76DB75D2-260F-49D0-95C3-5016061CFDF0}" name="ARTÍCULO"/>
    <tableColumn id="3" xr3:uid="{1541D458-0CC7-4F81-A869-944CBA197303}" name="UNIDAD DE MEDIDA">
      <calculatedColumnFormula>IFERROR(VLOOKUP("UD",'[1]Informacion '!P:Q,2,FALSE),"")</calculatedColumnFormula>
    </tableColumn>
    <tableColumn id="4" xr3:uid="{75653304-329D-447C-948D-45C2B4A5345C}" name="CANTIDAD TOTAL ESTIMADA"/>
    <tableColumn id="5" xr3:uid="{E24DB63E-E408-4A92-966F-760C6BC90B8B}" name="PRECIO UNITARIO ESTIMADO"/>
    <tableColumn id="6" xr3:uid="{565D2850-B4C6-4EF5-B6A7-CFB8B5B8C676}" name="MONTO TOTAL ESTIMADO">
      <calculatedColumnFormula>INDIRECT(ADDRESS(ROW(),COLUMN()-2,4))*INDIRECT(ADDRESS(ROW(),COLUMN()-1,4))</calculatedColumnFormula>
    </tableColumn>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FA566B6A-C882-4CF4-BE39-CDC9434A8677}" name="Table194" displayName="Table194" ref="A2387:F2388" totalsRowShown="0">
  <tableColumns count="6">
    <tableColumn id="1" xr3:uid="{8E62CEDE-F7EB-4758-A3D9-9CBDB0E98421}" name="CÓDIGO CATÁLOGO"/>
    <tableColumn id="2" xr3:uid="{644E8976-C744-4304-AF1C-6C00CE9756EE}" name="ARTÍCULO">
      <calculatedColumnFormula>IFERROR(INDEX(UNSPSCDes,MATCH(INDIRECT(ADDRESS(ROW(),COLUMN()-1,4)),UNSPSCCode,0)),IF(INDIRECT(ADDRESS(ROW(),COLUMN()-1,4))="80131502","Arrendamiento de instalaciones comerciales o industriales",""))</calculatedColumnFormula>
    </tableColumn>
    <tableColumn id="3" xr3:uid="{C27853B1-F440-46C2-87CF-7B779A228D69}" name="UNIDAD DE MEDIDA">
      <calculatedColumnFormula>IFERROR(VLOOKUP("UD",'[1]Informacion '!P:Q,2,FALSE),"")</calculatedColumnFormula>
    </tableColumn>
    <tableColumn id="4" xr3:uid="{BF4CCE8E-3818-4579-B619-622F1C267B9F}" name="CANTIDAD TOTAL ESTIMADA"/>
    <tableColumn id="5" xr3:uid="{40F5891C-0862-40A7-85C2-7D990E017A1E}" name="PRECIO UNITARIO ESTIMADO"/>
    <tableColumn id="6" xr3:uid="{54DEF659-8F2A-4E54-9F29-C0517119C7CA}" name="MONTO TOTAL ESTIMADO">
      <calculatedColumnFormula>INDIRECT(ADDRESS(ROW(),COLUMN()-2,4))*INDIRECT(ADDRESS(ROW(),COLUMN()-1,4))</calculatedColumnFormula>
    </tableColumn>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A382AC98-C1EE-4766-88B1-B744A46EA900}" name="Table109" displayName="Table109" ref="A1251:F1252" totalsRowShown="0">
  <tableColumns count="6">
    <tableColumn id="1" xr3:uid="{5949B70D-7BE7-4074-BE5C-A7B584B34BF3}" name="CÓDIGO CATÁLOGO"/>
    <tableColumn id="2" xr3:uid="{8681A472-F6BF-4D66-9FA8-211CB3E0BA7B}" name="ARTÍCULO">
      <calculatedColumnFormula>IFERROR(INDEX(UNSPSCDes,MATCH(INDIRECT(ADDRESS(ROW(),COLUMN()-1,4)),UNSPSCCode,0)),IF(INDIRECT(ADDRESS(ROW(),COLUMN()-1,4))="15121501","Aceite motor",""))</calculatedColumnFormula>
    </tableColumn>
    <tableColumn id="3" xr3:uid="{3CAC9E74-4D78-44C3-B4FE-9D1BFC220FCC}" name="UNIDAD DE MEDIDA">
      <calculatedColumnFormula>IFERROR(VLOOKUP("UD",'[1]Informacion '!P:Q,2,FALSE),"")</calculatedColumnFormula>
    </tableColumn>
    <tableColumn id="4" xr3:uid="{F73B4E59-E71F-4776-8B7B-6D76DC6FD096}" name="CANTIDAD TOTAL ESTIMADA"/>
    <tableColumn id="5" xr3:uid="{80244512-021F-4C91-9F4F-D0C70ECCB016}" name="PRECIO UNITARIO ESTIMADO"/>
    <tableColumn id="6" xr3:uid="{8EEBDA41-5C6B-434D-A1A0-5A184C829CE8}" name="MONTO TOTAL ESTIMADO">
      <calculatedColumnFormula>INDIRECT(ADDRESS(ROW(),COLUMN()-2,4))*INDIRECT(ADDRESS(ROW(),COLUMN()-1,4))</calculatedColumnFormula>
    </tableColumn>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8943B8D0-8EF0-4D5A-8BE8-A138C3CC55EA}" name="Table226" displayName="Table226" ref="A2714:F2725" totalsRowShown="0">
  <tableColumns count="6">
    <tableColumn id="1" xr3:uid="{77EE507F-8AA5-4E3F-B493-231B4B599FEA}" name="CÓDIGO CATÁLOGO"/>
    <tableColumn id="2" xr3:uid="{AA9EEA4E-D6F6-4D9E-A1C2-CF65E8911A7D}" name="ARTÍCULO"/>
    <tableColumn id="3" xr3:uid="{F23BF7F0-D354-47EA-B8DC-1CE073A1EFB9}" name="UNIDAD DE MEDIDA">
      <calculatedColumnFormula>IFERROR(VLOOKUP("UD",'[1]Informacion '!P:Q,2,FALSE),"")</calculatedColumnFormula>
    </tableColumn>
    <tableColumn id="4" xr3:uid="{E0281A7C-2525-4E05-8F96-B3253CA3B322}" name="CANTIDAD TOTAL ESTIMADA"/>
    <tableColumn id="5" xr3:uid="{CA2D9DA5-3FF3-47B0-AA94-0D3F8A1BEEFC}" name="PRECIO UNITARIO ESTIMADO"/>
    <tableColumn id="6" xr3:uid="{C634B7FA-3308-49C2-83FA-3E283AEC6C3D}" name="MONTO TOTAL ESTIMADO">
      <calculatedColumnFormula>INDIRECT(ADDRESS(ROW(),COLUMN()-2,4))*INDIRECT(ADDRESS(ROW(),COLUMN()-1,4))</calculatedColumnFormula>
    </tableColumn>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60DEE6C3-A7F0-4804-AA91-AC2C6A0C5F43}" name="Table6" displayName="Table6" ref="A44:F45" totalsRowShown="0">
  <tableColumns count="6">
    <tableColumn id="1" xr3:uid="{86C18070-EB2C-4805-92A3-17A38C332CD0}" name="CÓDIGO CATÁLOGO"/>
    <tableColumn id="2" xr3:uid="{67450790-C989-4613-9E71-82FD3E904745}" name="ARTÍCULO">
      <calculatedColumnFormula>IFERROR(INDEX(UNSPSCDes,MATCH(INDIRECT(ADDRESS(ROW(),COLUMN()-1,4)),UNSPSCCode,0)),IF(INDIRECT(ADDRESS(ROW(),COLUMN()-1,4))="76101502","Servicios de limpieza de baños",""))</calculatedColumnFormula>
    </tableColumn>
    <tableColumn id="3" xr3:uid="{A91987E3-ECCE-4CF1-AA12-53629E63E01A}" name="UNIDAD DE MEDIDA">
      <calculatedColumnFormula>IFERROR(VLOOKUP("UD",'[1]Informacion '!P:Q,2,FALSE),"")</calculatedColumnFormula>
    </tableColumn>
    <tableColumn id="4" xr3:uid="{2C666022-BFB9-4527-B2CF-85D390D768CF}" name="CANTIDAD TOTAL ESTIMADA"/>
    <tableColumn id="5" xr3:uid="{7940C39C-8CB7-435E-B87F-4CD01C1087E4}" name="PRECIO UNITARIO ESTIMADO"/>
    <tableColumn id="6" xr3:uid="{589274B3-FF6F-4B56-821E-D9E892BF53CC}" name="MONTO TOTAL ESTIMADO">
      <calculatedColumnFormula>INDIRECT(ADDRESS(ROW(),COLUMN()-2,4))*INDIRECT(ADDRESS(ROW(),COLUMN()-1,4))</calculatedColumnFormula>
    </tableColumn>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5E036F21-6898-4C63-80F5-65828C1BA1B2}" name="Table160" displayName="Table160" ref="A1974:F1978" totalsRowShown="0">
  <tableColumns count="6">
    <tableColumn id="1" xr3:uid="{57CC15D6-7715-4BC9-BD8D-2CB42D62C293}" name="CÓDIGO CATÁLOGO"/>
    <tableColumn id="2" xr3:uid="{78FA8140-A219-4867-81B5-B4C69C63DED8}" name="ARTÍCULO"/>
    <tableColumn id="3" xr3:uid="{BE76900C-042A-4ED8-8FBB-0BF8A26814CB}" name="UNIDAD DE MEDIDA">
      <calculatedColumnFormula>IFERROR(VLOOKUP("UD",'[1]Informacion '!P:Q,2,FALSE),"")</calculatedColumnFormula>
    </tableColumn>
    <tableColumn id="4" xr3:uid="{33C5C149-4593-4D46-84D9-9D8287309BC8}" name="CANTIDAD TOTAL ESTIMADA"/>
    <tableColumn id="5" xr3:uid="{62A6BB3E-7A72-4712-9DED-8348CDCCA1FB}" name="PRECIO UNITARIO ESTIMADO"/>
    <tableColumn id="6" xr3:uid="{A68F7DB5-9B5E-4221-AB87-A6275BA3E60C}" name="MONTO TOTAL ESTIMADO">
      <calculatedColumnFormula>INDIRECT(ADDRESS(ROW(),COLUMN()-2,4))*INDIRECT(ADDRESS(ROW(),COLUMN()-1,4))</calculatedColumnFormula>
    </tableColumn>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6844FFA-162C-4953-ABE9-BA750E6673E7}" name="Table84" displayName="Table84" ref="A940:F941" totalsRowShown="0">
  <tableColumns count="6">
    <tableColumn id="1" xr3:uid="{25F27205-C976-47F4-8BC9-D4D4E9D0CD74}" name="CÓDIGO CATÁLOGO"/>
    <tableColumn id="2" xr3:uid="{16EC3667-EDE3-4A40-9B59-362DCF8E97A9}" name="ARTÍCULO">
      <calculatedColumnFormula>IFERROR(INDEX(UNSPSCDes,MATCH(INDIRECT(ADDRESS(ROW(),COLUMN()-1,4)),UNSPSCCode,0)),IF(INDIRECT(ADDRESS(ROW(),COLUMN()-1,4))="25172504","Neumáticos para automoviles o camiones ligeros",""))</calculatedColumnFormula>
    </tableColumn>
    <tableColumn id="3" xr3:uid="{350F467F-F6F9-42A5-888E-7918E400C9DF}" name="UNIDAD DE MEDIDA">
      <calculatedColumnFormula>IFERROR(VLOOKUP("UD",'[1]Informacion '!P:Q,2,FALSE),"")</calculatedColumnFormula>
    </tableColumn>
    <tableColumn id="4" xr3:uid="{99A2982B-71F5-4FCD-8198-AAE9A5C33E99}" name="CANTIDAD TOTAL ESTIMADA"/>
    <tableColumn id="5" xr3:uid="{BD399101-968F-419F-900C-F76428DB01E0}" name="PRECIO UNITARIO ESTIMADO"/>
    <tableColumn id="6" xr3:uid="{974206AA-6352-40DE-960B-F016980CC7E2}" name="MONTO TOTAL ESTIMADO">
      <calculatedColumnFormula>INDIRECT(ADDRESS(ROW(),COLUMN()-2,4))*INDIRECT(ADDRESS(ROW(),COLUMN()-1,4))</calculatedColumnFormula>
    </tableColumn>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2FD88A57-E456-41C9-B63C-981C67E7169A}" name="Table262" displayName="Table262" ref="A3022:F3023" totalsRowShown="0">
  <tableColumns count="6">
    <tableColumn id="1" xr3:uid="{153EAF5B-4A40-4750-8373-E83E17B67ED4}" name="CÓDIGO CATÁLOGO"/>
    <tableColumn id="2" xr3:uid="{3652D1D7-BF16-4235-8859-1C97322967F6}" name="ARTÍCULO">
      <calculatedColumnFormula>IFERROR(INDEX(UNSPSCDes,MATCH(INDIRECT(ADDRESS(ROW(),COLUMN()-1,4)),UNSPSCCode,0)),IF(INDIRECT(ADDRESS(ROW(),COLUMN()-1,4))="90121502","Agencias de viajes",""))</calculatedColumnFormula>
    </tableColumn>
    <tableColumn id="3" xr3:uid="{8593441F-8155-4345-AFB3-C12B659B7CD8}" name="UNIDAD DE MEDIDA">
      <calculatedColumnFormula>IFERROR(VLOOKUP("UD",'[1]Informacion '!P:Q,2,FALSE),"")</calculatedColumnFormula>
    </tableColumn>
    <tableColumn id="4" xr3:uid="{22AA71E1-1A72-4598-BBFB-CF7C32ECA79C}" name="CANTIDAD TOTAL ESTIMADA"/>
    <tableColumn id="5" xr3:uid="{DE1546E7-AAB4-445F-A145-B27B757BCFCE}" name="PRECIO UNITARIO ESTIMADO"/>
    <tableColumn id="6" xr3:uid="{7AA008BA-BBFA-4379-A2D6-A539B2F593B3}" name="MONTO TOTAL ESTIMADO">
      <calculatedColumnFormula>INDIRECT(ADDRESS(ROW(),COLUMN()-2,4))*INDIRECT(ADDRESS(ROW(),COLUMN()-1,4))</calculatedColumnFormula>
    </tableColumn>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84735B58-8B47-42C0-BC87-E295D74C92C7}" name="Table246" displayName="Table246" ref="A2872:F2874" totalsRowShown="0">
  <tableColumns count="6">
    <tableColumn id="1" xr3:uid="{CE1C4630-ADE3-473E-8686-64156A86ECE0}" name="CÓDIGO CATÁLOGO"/>
    <tableColumn id="2" xr3:uid="{C40388F4-4F9B-4E6F-B5BF-9457BE937607}" name="ARTÍCULO"/>
    <tableColumn id="3" xr3:uid="{42B20656-5B4E-4E68-AD57-E9B4934DB634}" name="UNIDAD DE MEDIDA">
      <calculatedColumnFormula>IFERROR(VLOOKUP("UD",'[1]Informacion '!P:Q,2,FALSE),"")</calculatedColumnFormula>
    </tableColumn>
    <tableColumn id="4" xr3:uid="{1E9CB2BA-0E45-42EB-9FA0-FAD068DD348D}" name="CANTIDAD TOTAL ESTIMADA"/>
    <tableColumn id="5" xr3:uid="{CD9967C2-B1B7-4729-8C8A-2FE635B87CDF}" name="PRECIO UNITARIO ESTIMADO"/>
    <tableColumn id="6" xr3:uid="{F8822AE7-6FE7-45F9-BBF3-FE4C57BD595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E70A582-3CA8-42DA-B34A-0E7E4C83C33C}" name="Table247" displayName="Table247" ref="A2884:F2885" totalsRowShown="0">
  <tableColumns count="6">
    <tableColumn id="1" xr3:uid="{619D2A66-9885-42DB-A13C-E9D0D223E6FF}" name="CÓDIGO CATÁLOGO"/>
    <tableColumn id="2" xr3:uid="{901EFFD7-F7EA-4E1B-B42F-1949CD0A4C77}" name="ARTÍCULO">
      <calculatedColumnFormula>IFERROR(INDEX(UNSPSCDes,MATCH(INDIRECT(ADDRESS(ROW(),COLUMN()-1,4)),UNSPSCCode,0)),IF(INDIRECT(ADDRESS(ROW(),COLUMN()-1,4))="85161501","Mantenimiento o reparación de equipo médico mayor (capital)",""))</calculatedColumnFormula>
    </tableColumn>
    <tableColumn id="3" xr3:uid="{5A21957C-E904-4724-8CB3-5D198431A4FD}" name="UNIDAD DE MEDIDA">
      <calculatedColumnFormula>IFERROR(VLOOKUP("UD",'[1]Informacion '!P:Q,2,FALSE),"")</calculatedColumnFormula>
    </tableColumn>
    <tableColumn id="4" xr3:uid="{D09EFA5B-F632-405C-947C-B42A6767F3E7}" name="CANTIDAD TOTAL ESTIMADA"/>
    <tableColumn id="5" xr3:uid="{95C3EC09-2A0F-4CD4-BA3D-E7844003615E}" name="PRECIO UNITARIO ESTIMADO"/>
    <tableColumn id="6" xr3:uid="{9170BBF4-F0E2-46E0-A3D2-F14ADA09599C}" name="MONTO TOTAL ESTIMADO">
      <calculatedColumnFormula>INDIRECT(ADDRESS(ROW(),COLUMN()-2,4))*INDIRECT(ADDRESS(ROW(),COLUMN()-1,4))</calculatedColumnFormula>
    </tableColumn>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6C3BBF1B-E705-4AA7-AAA5-1B1BB8D6EE11}" name="Table258" displayName="Table258" ref="A2978:F2979" totalsRowShown="0">
  <tableColumns count="6">
    <tableColumn id="1" xr3:uid="{FC56225F-CFF3-4093-A458-3F21ED95746E}" name="CÓDIGO CATÁLOGO"/>
    <tableColumn id="2" xr3:uid="{9FDD7DF9-EC8B-419C-BB79-52177C283FC2}" name="ARTÍCULO">
      <calculatedColumnFormula>IFERROR(INDEX(UNSPSCDes,MATCH(INDIRECT(ADDRESS(ROW(),COLUMN()-1,4)),UNSPSCCode,0)),IF(INDIRECT(ADDRESS(ROW(),COLUMN()-1,4))="91111502","Servicios de lavandería",""))</calculatedColumnFormula>
    </tableColumn>
    <tableColumn id="3" xr3:uid="{184780DC-FD58-4902-9139-896A9DA1F655}" name="UNIDAD DE MEDIDA">
      <calculatedColumnFormula>IFERROR(VLOOKUP("UD",'[1]Informacion '!P:Q,2,FALSE),"")</calculatedColumnFormula>
    </tableColumn>
    <tableColumn id="4" xr3:uid="{8E734725-44CC-436F-9F18-A100047795BA}" name="CANTIDAD TOTAL ESTIMADA"/>
    <tableColumn id="5" xr3:uid="{C201DFF3-983A-4646-8652-550E80756F32}" name="PRECIO UNITARIO ESTIMADO"/>
    <tableColumn id="6" xr3:uid="{F86836AE-3C48-4D98-A85B-3231158F4C59}" name="MONTO TOTAL ESTIMADO">
      <calculatedColumnFormula>INDIRECT(ADDRESS(ROW(),COLUMN()-2,4))*INDIRECT(ADDRESS(ROW(),COLUMN()-1,4))</calculatedColumnFormula>
    </tableColumn>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62A4734B-99B5-4D00-88BB-8C62D77FF114}" name="Table108" displayName="Table108" ref="A1240:F1241" totalsRowShown="0">
  <tableColumns count="6">
    <tableColumn id="1" xr3:uid="{6FF6BD0E-E817-4CEA-A6AA-6910C5A51F1F}" name="CÓDIGO CATÁLOGO"/>
    <tableColumn id="2" xr3:uid="{D9BDE3D5-F980-4EB3-BF29-A14E18CFCE87}" name="ARTÍCULO">
      <calculatedColumnFormula>IFERROR(INDEX(UNSPSCDes,MATCH(INDIRECT(ADDRESS(ROW(),COLUMN()-1,4)),UNSPSCCode,0)),IF(INDIRECT(ADDRESS(ROW(),COLUMN()-1,4))="15111510","Gas licuado de petróleo",""))</calculatedColumnFormula>
    </tableColumn>
    <tableColumn id="3" xr3:uid="{D7A7425D-49BF-4ADB-833B-265C2F6F9E2A}" name="UNIDAD DE MEDIDA">
      <calculatedColumnFormula>IFERROR(VLOOKUP("UD",'[1]Informacion '!P:Q,2,FALSE),"")</calculatedColumnFormula>
    </tableColumn>
    <tableColumn id="4" xr3:uid="{45DAFDDE-7311-4AF8-B90C-A5DE77DA3637}" name="CANTIDAD TOTAL ESTIMADA"/>
    <tableColumn id="5" xr3:uid="{AF37CF15-B50A-4211-A3F9-468877DE0403}" name="PRECIO UNITARIO ESTIMADO"/>
    <tableColumn id="6" xr3:uid="{E573273E-72F9-4818-AFD1-5A79C9AF7161}" name="MONTO TOTAL ESTIMADO">
      <calculatedColumnFormula>INDIRECT(ADDRESS(ROW(),COLUMN()-2,4))*INDIRECT(ADDRESS(ROW(),COLUMN()-1,4))</calculatedColumnFormula>
    </tableColumn>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EA9E1D2A-CA7C-4010-9C1F-78DA3FDBBA2E}" name="Table128" displayName="Table128" ref="A1540:F1565" totalsRowShown="0">
  <tableColumns count="6">
    <tableColumn id="1" xr3:uid="{DAAB1835-CEFC-4C37-8FED-C1CC7F80D4CC}" name="CÓDIGO CATÁLOGO"/>
    <tableColumn id="2" xr3:uid="{F1C39823-7C35-4BEA-913C-C5AB9030BAB8}" name="ARTÍCULO"/>
    <tableColumn id="3" xr3:uid="{078603D1-430C-444A-9B46-792A8E41DE8F}" name="UNIDAD DE MEDIDA">
      <calculatedColumnFormula>IFERROR(VLOOKUP("UD",'[1]Informacion '!P:Q,2,FALSE),"")</calculatedColumnFormula>
    </tableColumn>
    <tableColumn id="4" xr3:uid="{68BF7764-3F2D-4018-86CC-02FC56C578CC}" name="CANTIDAD TOTAL ESTIMADA"/>
    <tableColumn id="5" xr3:uid="{F8E0C613-9FF5-4A4D-B018-503D05C070F5}" name="PRECIO UNITARIO ESTIMADO"/>
    <tableColumn id="6" xr3:uid="{1D55CA70-195B-4E73-A3BD-3779309C0A82}" name="MONTO TOTAL ESTIMADO">
      <calculatedColumnFormula>INDIRECT(ADDRESS(ROW(),COLUMN()-2,4))*INDIRECT(ADDRESS(ROW(),COLUMN()-1,4))</calculatedColumnFormula>
    </tableColumn>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7D1760E8-E8E2-4ED7-A39B-F17B5410DE81}" name="Table102" displayName="Table102" ref="A1174:F1175" totalsRowShown="0">
  <tableColumns count="6">
    <tableColumn id="1" xr3:uid="{6EAC4F2A-3F8D-4EC7-AD68-749744977104}" name="CÓDIGO CATÁLOGO"/>
    <tableColumn id="2" xr3:uid="{F10A7036-FC21-4A6A-B87B-1A7F26C72C72}" name="ARTÍCULO">
      <calculatedColumnFormula>IFERROR(INDEX(UNSPSCDes,MATCH(INDIRECT(ADDRESS(ROW(),COLUMN()-1,4)),UNSPSCCode,0)),IF(INDIRECT(ADDRESS(ROW(),COLUMN()-1,4))="11111602","Travertino",""))</calculatedColumnFormula>
    </tableColumn>
    <tableColumn id="3" xr3:uid="{C502883C-853F-44E7-B6CB-80A5367EF7A1}" name="UNIDAD DE MEDIDA"/>
    <tableColumn id="4" xr3:uid="{E6F4CE98-BA8C-41BC-A852-DE10FFA4A273}" name="CANTIDAD TOTAL ESTIMADA"/>
    <tableColumn id="5" xr3:uid="{2F17071F-9BF2-45E5-81A1-221B631D574E}" name="PRECIO UNITARIO ESTIMADO"/>
    <tableColumn id="6" xr3:uid="{53F1C491-CEFB-4160-B4F8-047B9ACF07B4}" name="MONTO TOTAL ESTIMADO">
      <calculatedColumnFormula>INDIRECT(ADDRESS(ROW(),COLUMN()-2,4))*INDIRECT(ADDRESS(ROW(),COLUMN()-1,4))</calculatedColumnFormula>
    </tableColumn>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9DCAAD58-9C4C-42E4-A50A-51F265D513F4}" name="Table61" displayName="Table61" ref="A630:F631" totalsRowShown="0">
  <tableColumns count="6">
    <tableColumn id="1" xr3:uid="{7889B244-6282-4B0B-BE3A-6E4080719923}" name="CÓDIGO CATÁLOGO"/>
    <tableColumn id="2" xr3:uid="{F6E32438-7DBA-4BFA-B172-4FCDD72C4279}" name="ARTÍCULO">
      <calculatedColumnFormula>IFERROR(INDEX(UNSPSCDes,MATCH(INDIRECT(ADDRESS(ROW(),COLUMN()-1,4)),UNSPSCCode,0)),IF(INDIRECT(ADDRESS(ROW(),COLUMN()-1,4))="24121503","Cajas para empacar",""))</calculatedColumnFormula>
    </tableColumn>
    <tableColumn id="3" xr3:uid="{7E520A56-4211-4596-A473-E704CAB67518}" name="UNIDAD DE MEDIDA">
      <calculatedColumnFormula>IFERROR(VLOOKUP("UD",'[1]Informacion '!P:Q,2,FALSE),"")</calculatedColumnFormula>
    </tableColumn>
    <tableColumn id="4" xr3:uid="{654EBFB6-B516-4389-9C62-2FD2925CE5B1}" name="CANTIDAD TOTAL ESTIMADA"/>
    <tableColumn id="5" xr3:uid="{5854D031-FFE1-4128-81A8-D20370B923FC}" name="PRECIO UNITARIO ESTIMADO"/>
    <tableColumn id="6" xr3:uid="{99951067-D497-4005-BDBA-1F2D38CF784D}" name="MONTO TOTAL ESTIMADO">
      <calculatedColumnFormula>INDIRECT(ADDRESS(ROW(),COLUMN()-2,4))*INDIRECT(ADDRESS(ROW(),COLUMN()-1,4))</calculatedColumnFormula>
    </tableColumn>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7E33745D-C250-4F6E-A852-DE9927764C1D}" name="Table261" displayName="Table261" ref="A3011:F3012" totalsRowShown="0">
  <tableColumns count="6">
    <tableColumn id="1" xr3:uid="{F7FAD582-FC27-4BC0-A2E7-D8ADF6F727DC}" name="CÓDIGO CATÁLOGO"/>
    <tableColumn id="2" xr3:uid="{090D4348-F617-4D1E-81E2-F24E97D35640}" name="ARTÍCULO">
      <calculatedColumnFormula>IFERROR(INDEX(UNSPSCDes,MATCH(INDIRECT(ADDRESS(ROW(),COLUMN()-1,4)),UNSPSCCode,0)),IF(INDIRECT(ADDRESS(ROW(),COLUMN()-1,4))="91111502","Servicios de lavandería",""))</calculatedColumnFormula>
    </tableColumn>
    <tableColumn id="3" xr3:uid="{CF2EE88F-90CF-40CD-8C72-5862D1E77E4C}" name="UNIDAD DE MEDIDA">
      <calculatedColumnFormula>IFERROR(VLOOKUP("UD",'[1]Informacion '!P:Q,2,FALSE),"")</calculatedColumnFormula>
    </tableColumn>
    <tableColumn id="4" xr3:uid="{A4F96951-3232-4ED0-8423-4CBB26D43C85}" name="CANTIDAD TOTAL ESTIMADA"/>
    <tableColumn id="5" xr3:uid="{5419E620-B06C-4E4F-B4D5-7F4BB25C1DE9}" name="PRECIO UNITARIO ESTIMADO"/>
    <tableColumn id="6" xr3:uid="{7296BDB8-B63B-4FBA-ABA4-143F203B1944}" name="MONTO TOTAL ESTIMADO">
      <calculatedColumnFormula>INDIRECT(ADDRESS(ROW(),COLUMN()-2,4))*INDIRECT(ADDRESS(ROW(),COLUMN()-1,4))</calculatedColumnFormula>
    </tableColumn>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99DFAE41-ED3F-433F-B33F-94FDD6348300}" name="Table110" displayName="Table110" ref="A1262:F1263" totalsRowShown="0">
  <tableColumns count="6">
    <tableColumn id="1" xr3:uid="{A1B58494-EAB0-459F-AFAD-1C96149D981A}" name="CÓDIGO CATÁLOGO"/>
    <tableColumn id="2" xr3:uid="{6E9521FC-65F2-4CF9-9ABF-278A0E1AACE4}" name="ARTÍCULO">
      <calculatedColumnFormula>IFERROR(INDEX(UNSPSCDes,MATCH(INDIRECT(ADDRESS(ROW(),COLUMN()-1,4)),UNSPSCCode,0)),IF(INDIRECT(ADDRESS(ROW(),COLUMN()-1,4))="15121501","Aceite motor",""))</calculatedColumnFormula>
    </tableColumn>
    <tableColumn id="3" xr3:uid="{2106A8FB-321A-4BE1-8C73-2E0427D92677}" name="UNIDAD DE MEDIDA">
      <calculatedColumnFormula>IFERROR(VLOOKUP("UD",'[1]Informacion '!P:Q,2,FALSE),"")</calculatedColumnFormula>
    </tableColumn>
    <tableColumn id="4" xr3:uid="{7BE8C550-C561-410E-BE75-3A941DF413CF}" name="CANTIDAD TOTAL ESTIMADA"/>
    <tableColumn id="5" xr3:uid="{CE53BFF3-1491-4691-9E34-ABF6FA375B4A}" name="PRECIO UNITARIO ESTIMADO"/>
    <tableColumn id="6" xr3:uid="{B6BF0D62-DF89-43FC-8BD3-2F839788EB1D}" name="MONTO TOTAL ESTIMADO">
      <calculatedColumnFormula>INDIRECT(ADDRESS(ROW(),COLUMN()-2,4))*INDIRECT(ADDRESS(ROW(),COLUMN()-1,4))</calculatedColumnFormula>
    </tableColumn>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824570A7-95B1-4EEE-B6A7-E71C5B41490F}" name="Table199" displayName="Table199" ref="A2443:F2444" totalsRowShown="0">
  <tableColumns count="6">
    <tableColumn id="1" xr3:uid="{484D0E43-B74F-4883-8FC3-75262E913824}" name="CÓDIGO CATÁLOGO"/>
    <tableColumn id="2" xr3:uid="{FDA36753-EEA0-4599-9272-3E5B41D4B31C}" name="ARTÍCULO">
      <calculatedColumnFormula>IFERROR(INDEX(UNSPSCDes,MATCH(INDIRECT(ADDRESS(ROW(),COLUMN()-1,4)),UNSPSCCode,0)),IF(INDIRECT(ADDRESS(ROW(),COLUMN()-1,4))="46171619","Sistemas de seguridad o de control de acceso",""))</calculatedColumnFormula>
    </tableColumn>
    <tableColumn id="3" xr3:uid="{22EBE07A-849D-4E32-AB1B-E1319D8CF640}" name="UNIDAD DE MEDIDA">
      <calculatedColumnFormula>IFERROR(VLOOKUP("UD",'[1]Informacion '!P:Q,2,FALSE),"")</calculatedColumnFormula>
    </tableColumn>
    <tableColumn id="4" xr3:uid="{73CF47A8-AA0F-4307-AB09-B4F8DD705FCF}" name="CANTIDAD TOTAL ESTIMADA"/>
    <tableColumn id="5" xr3:uid="{7822F06F-C683-4DDA-B4EA-D3D66884065F}" name="PRECIO UNITARIO ESTIMADO"/>
    <tableColumn id="6" xr3:uid="{D6122C3E-9E07-4E86-87A4-8E6987A7BAC8}" name="MONTO TOTAL ESTIMADO">
      <calculatedColumnFormula>INDIRECT(ADDRESS(ROW(),COLUMN()-2,4))*INDIRECT(ADDRESS(ROW(),COLUMN()-1,4))</calculatedColumnFormula>
    </tableColumn>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B87C09C1-109B-4E65-8680-2AD3C353AEE1}" name="Table130" displayName="Table130" ref="A1586:F1589" totalsRowShown="0">
  <tableColumns count="6">
    <tableColumn id="1" xr3:uid="{7A5505F4-0BC9-4AF6-B486-3E7A1DEF1057}" name="CÓDIGO CATÁLOGO"/>
    <tableColumn id="2" xr3:uid="{52491782-67BB-4A9F-BAB0-736D24FF34FD}" name="ARTÍCULO">
      <calculatedColumnFormula>IFERROR(INDEX(UNSPSCDes,MATCH(INDIRECT(ADDRESS(ROW(),COLUMN()-1,4)),UNSPSCCode,0)),IF(INDIRECT(ADDRESS(ROW(),COLUMN()-1,4))="26111703","Baterías para vehículos",""))</calculatedColumnFormula>
    </tableColumn>
    <tableColumn id="3" xr3:uid="{35332F74-E0AD-4C56-AC84-F19A36CB61EB}" name="UNIDAD DE MEDIDA"/>
    <tableColumn id="4" xr3:uid="{30AC8D8F-DC88-475E-B47F-FB0C2835F6AE}" name="CANTIDAD TOTAL ESTIMADA"/>
    <tableColumn id="5" xr3:uid="{64C64BC8-5A9D-47DD-AF1F-6327ED08B9DF}" name="PRECIO UNITARIO ESTIMADO"/>
    <tableColumn id="6" xr3:uid="{13ECD457-E355-4ECC-A0E6-1D1FD45D0097}" name="MONTO TOTAL ESTIMADO">
      <calculatedColumnFormula>INDIRECT(ADDRESS(ROW(),COLUMN()-2,4))*INDIRECT(ADDRESS(ROW(),COLUMN()-1,4))</calculatedColumnFormula>
    </tableColumn>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AF0F3086-DFAE-40A1-BD34-BA10D8C157F0}" name="Table38" displayName="Table38" ref="A389:F390" totalsRowShown="0">
  <tableColumns count="6">
    <tableColumn id="1" xr3:uid="{13B9DD5A-7781-4798-B03D-1B4269A8D120}" name="CÓDIGO CATÁLOGO"/>
    <tableColumn id="2" xr3:uid="{12D95D1B-74A4-4AD3-B1A6-0801750A6E07}" name="ARTÍCULO">
      <calculatedColumnFormula>IFERROR(INDEX(UNSPSCDes,MATCH(INDIRECT(ADDRESS(ROW(),COLUMN()-1,4)),UNSPSCCode,0)),IF(INDIRECT(ADDRESS(ROW(),COLUMN()-1,4))="50201706","Café",""))</calculatedColumnFormula>
    </tableColumn>
    <tableColumn id="3" xr3:uid="{2970A076-4044-43BE-B42E-5C679486A439}" name="UNIDAD DE MEDIDA">
      <calculatedColumnFormula>IFERROR(VLOOKUP("UD",'[1]Informacion '!P:Q,2,FALSE),"")</calculatedColumnFormula>
    </tableColumn>
    <tableColumn id="4" xr3:uid="{9F9B20E6-D505-46C5-8270-B0D334D22D57}" name="CANTIDAD TOTAL ESTIMADA"/>
    <tableColumn id="5" xr3:uid="{AF07AB78-B39E-4269-A30C-210FB0BD68AE}" name="PRECIO UNITARIO ESTIMADO"/>
    <tableColumn id="6" xr3:uid="{6BB8F7A6-8721-498D-893A-B8744C60C0B4}"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0EFAF44-7B54-4A15-A81C-0953606A90EA}" name="Table224" displayName="Table224" ref="A2692:F2693" totalsRowShown="0">
  <tableColumns count="6">
    <tableColumn id="1" xr3:uid="{18A1A8EF-6BE3-4DAB-A8E1-7AE4E9669505}" name="CÓDIGO CATÁLOGO"/>
    <tableColumn id="2" xr3:uid="{11CBFF7C-8FEF-48F3-89DB-25180D6AB72D}" name="ARTÍCULO">
      <calculatedColumnFormula>IFERROR(INDEX(UNSPSCDes,MATCH(INDIRECT(ADDRESS(ROW(),COLUMN()-1,4)),UNSPSCCode,0)),IF(INDIRECT(ADDRESS(ROW(),COLUMN()-1,4))="46151605","Detectores de armas o explosivos y suministros",""))</calculatedColumnFormula>
    </tableColumn>
    <tableColumn id="3" xr3:uid="{6BD0115E-54AD-41B6-B9C1-64532F07C94C}" name="UNIDAD DE MEDIDA">
      <calculatedColumnFormula>IFERROR(VLOOKUP("UD",'[1]Informacion '!P:Q,2,FALSE),"")</calculatedColumnFormula>
    </tableColumn>
    <tableColumn id="4" xr3:uid="{ABB0C634-BF69-4A29-9045-BEA69B159BC7}" name="CANTIDAD TOTAL ESTIMADA"/>
    <tableColumn id="5" xr3:uid="{EB5D8DB7-31CC-40AC-B200-E39CB6E5C012}" name="PRECIO UNITARIO ESTIMADO"/>
    <tableColumn id="6" xr3:uid="{175C3CA6-19CC-4540-BF1D-E719A5A5BBBA}" name="MONTO TOTAL ESTIMADO">
      <calculatedColumnFormula>INDIRECT(ADDRESS(ROW(),COLUMN()-2,4))*INDIRECT(ADDRESS(ROW(),COLUMN()-1,4))</calculatedColumnFormula>
    </tableColumn>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A6E2CCB7-BA60-4E72-8B4D-493F6B5659D4}" name="Table157" displayName="Table157" ref="A1934:F1936" totalsRowShown="0">
  <tableColumns count="6">
    <tableColumn id="1" xr3:uid="{27F4D34A-2F44-4916-8FC2-E2ECE877398F}" name="CÓDIGO CATÁLOGO"/>
    <tableColumn id="2" xr3:uid="{C1F5C7F8-0830-43E8-97A7-38E6ACC96A45}" name="ARTÍCULO"/>
    <tableColumn id="3" xr3:uid="{5B51726F-1810-45B1-9753-77CE90EC40F7}" name="UNIDAD DE MEDIDA">
      <calculatedColumnFormula>IFERROR(VLOOKUP("UD",'[1]Informacion '!P:Q,2,FALSE),"")</calculatedColumnFormula>
    </tableColumn>
    <tableColumn id="4" xr3:uid="{905C2469-1BE6-4145-B29F-08DD23F830B1}" name="CANTIDAD TOTAL ESTIMADA"/>
    <tableColumn id="5" xr3:uid="{158FE266-70CA-4E38-95A2-731D63079C7D}" name="PRECIO UNITARIO ESTIMADO"/>
    <tableColumn id="6" xr3:uid="{7DFD26FD-33D9-4EBE-981B-2B8A12AC20D4}" name="MONTO TOTAL ESTIMADO">
      <calculatedColumnFormula>INDIRECT(ADDRESS(ROW(),COLUMN()-2,4))*INDIRECT(ADDRESS(ROW(),COLUMN()-1,4))</calculatedColumnFormula>
    </tableColumn>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BA78C3E-2838-4B99-BA8B-8355DBB16C96}" name="Table88" displayName="Table88" ref="A988:F992" totalsRowShown="0">
  <tableColumns count="6">
    <tableColumn id="1" xr3:uid="{06752B9B-7A78-4173-AE2E-95465AD51473}" name="CÓDIGO CATÁLOGO"/>
    <tableColumn id="2" xr3:uid="{02FFDF56-F29B-4BCB-9D5C-2B3974DF2304}" name="ARTÍCULO"/>
    <tableColumn id="3" xr3:uid="{286D06DF-3AD1-4C80-97AB-9E77597971C5}" name="UNIDAD DE MEDIDA">
      <calculatedColumnFormula>IFERROR(VLOOKUP("UD",'[1]Informacion '!P:Q,2,FALSE),"")</calculatedColumnFormula>
    </tableColumn>
    <tableColumn id="4" xr3:uid="{D0DFB660-40F6-4E4C-87FF-92D9979D610A}" name="CANTIDAD TOTAL ESTIMADA"/>
    <tableColumn id="5" xr3:uid="{74C62AAF-BEBA-4C39-9CDE-E38DFA5642E4}" name="PRECIO UNITARIO ESTIMADO"/>
    <tableColumn id="6" xr3:uid="{DFC4EA34-FE80-4A9D-85C6-4202B06919C6}" name="MONTO TOTAL ESTIMADO">
      <calculatedColumnFormula>INDIRECT(ADDRESS(ROW(),COLUMN()-2,4))*INDIRECT(ADDRESS(ROW(),COLUMN()-1,4))</calculatedColumnFormula>
    </tableColumn>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EA9146FC-2F5D-4133-9B05-DC0FD74B9F6E}" name="Table191" displayName="Table191" ref="A2354:F2355" totalsRowShown="0">
  <tableColumns count="6">
    <tableColumn id="1" xr3:uid="{38F39440-BE28-4D32-A945-9AF52BABC691}" name="CÓDIGO CATÁLOGO"/>
    <tableColumn id="2" xr3:uid="{7E291AF9-02C3-4103-9903-5EBFD15AC02A}" name="ARTÍCULO">
      <calculatedColumnFormula>IFERROR(INDEX(UNSPSCDes,MATCH(INDIRECT(ADDRESS(ROW(),COLUMN()-1,4)),UNSPSCCode,0)),IF(INDIRECT(ADDRESS(ROW(),COLUMN()-1,4))="78131602","Almacenaje de archivos de carpetas",""))</calculatedColumnFormula>
    </tableColumn>
    <tableColumn id="3" xr3:uid="{1AEF95A5-BAF1-4C4F-B134-B1EC4B86169F}" name="UNIDAD DE MEDIDA"/>
    <tableColumn id="4" xr3:uid="{485AF7F5-25BF-4EE5-99B6-73201D564A55}" name="CANTIDAD TOTAL ESTIMADA"/>
    <tableColumn id="5" xr3:uid="{34415408-558D-4E56-A1B0-72A5041A70DE}" name="PRECIO UNITARIO ESTIMADO"/>
    <tableColumn id="6" xr3:uid="{3659E402-2407-4596-B6FA-FE00921370B3}" name="MONTO TOTAL ESTIMADO">
      <calculatedColumnFormula>INDIRECT(ADDRESS(ROW(),COLUMN()-2,4))*INDIRECT(ADDRESS(ROW(),COLUMN()-1,4))</calculatedColumnFormula>
    </tableColumn>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BC323765-809F-48F2-BD2C-96571A88413F}" name="Table217" displayName="Table217" ref="A2621:F2622" totalsRowShown="0">
  <tableColumns count="6">
    <tableColumn id="1" xr3:uid="{D4D8E69A-A174-485C-A7DE-F7E55CA6486C}" name="CÓDIGO CATÁLOGO"/>
    <tableColumn id="2" xr3:uid="{68C85DD8-6015-4A41-A6B9-BCAE01DFA11F}" name="ARTÍCULO">
      <calculatedColumnFormula>IFERROR(INDEX(UNSPSCDes,MATCH(INDIRECT(ADDRESS(ROW(),COLUMN()-1,4)),UNSPSCCode,0)),IF(INDIRECT(ADDRESS(ROW(),COLUMN()-1,4))="53131608","Jabones",""))</calculatedColumnFormula>
    </tableColumn>
    <tableColumn id="3" xr3:uid="{124B19D8-C8BE-4E28-AD79-8A0B70581DBE}" name="UNIDAD DE MEDIDA">
      <calculatedColumnFormula>IFERROR(VLOOKUP("UD",'[1]Informacion '!P:Q,2,FALSE),"")</calculatedColumnFormula>
    </tableColumn>
    <tableColumn id="4" xr3:uid="{C9F3F8A2-92D2-498A-838F-D1CC0C47813F}" name="CANTIDAD TOTAL ESTIMADA"/>
    <tableColumn id="5" xr3:uid="{F5110DA0-7948-4917-B9D1-C73CD5B737FF}" name="PRECIO UNITARIO ESTIMADO"/>
    <tableColumn id="6" xr3:uid="{BD67EFD4-9755-4EF8-8B36-A85E5C5D4BD5}" name="MONTO TOTAL ESTIMADO">
      <calculatedColumnFormula>INDIRECT(ADDRESS(ROW(),COLUMN()-2,4))*INDIRECT(ADDRESS(ROW(),COLUMN()-1,4))</calculatedColumnFormula>
    </tableColumn>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2EDFCB26-541C-4ADF-BEFD-CECD73F7A462}" name="Table203" displayName="Table203" ref="A2487:F2489" totalsRowShown="0">
  <tableColumns count="6">
    <tableColumn id="1" xr3:uid="{50B77F63-299F-44E1-84E6-6FF0BC4467B1}" name="CÓDIGO CATÁLOGO"/>
    <tableColumn id="2" xr3:uid="{3CBBF25E-F6B7-494F-80BE-DEA511C9B34C}" name="ARTÍCULO"/>
    <tableColumn id="3" xr3:uid="{72E3BE1F-84BE-4F45-9173-CBE189844CD9}" name="UNIDAD DE MEDIDA"/>
    <tableColumn id="4" xr3:uid="{60C1A018-7933-452D-B836-25CFBD89502A}" name="CANTIDAD TOTAL ESTIMADA"/>
    <tableColumn id="5" xr3:uid="{D7C6EDDF-C845-4F7A-A64E-269C04572092}" name="PRECIO UNITARIO ESTIMADO"/>
    <tableColumn id="6" xr3:uid="{934CF726-D253-4DB6-96A0-689EF20B6AFA}" name="MONTO TOTAL ESTIMADO">
      <calculatedColumnFormula>INDIRECT(ADDRESS(ROW(),COLUMN()-2,4))*INDIRECT(ADDRESS(ROW(),COLUMN()-1,4))</calculatedColumnFormula>
    </tableColumn>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FA90B683-7C5D-4AA4-B376-D48DDDE14AB8}" name="Table111" displayName="Table111" ref="A1273:F1274" totalsRowShown="0">
  <tableColumns count="6">
    <tableColumn id="1" xr3:uid="{51F9F344-3511-481B-B7D1-D9329CC7E11B}" name="CÓDIGO CATÁLOGO"/>
    <tableColumn id="2" xr3:uid="{2568357E-2479-4921-ACAA-6418B8F83234}" name="ARTÍCULO">
      <calculatedColumnFormula>IFERROR(INDEX(UNSPSCDes,MATCH(INDIRECT(ADDRESS(ROW(),COLUMN()-1,4)),UNSPSCCode,0)),IF(INDIRECT(ADDRESS(ROW(),COLUMN()-1,4))="15121501","Aceite motor",""))</calculatedColumnFormula>
    </tableColumn>
    <tableColumn id="3" xr3:uid="{6519D95D-91F8-4792-A063-DD5499D45BDD}" name="UNIDAD DE MEDIDA">
      <calculatedColumnFormula>IFERROR(VLOOKUP("UD",'[1]Informacion '!P:Q,2,FALSE),"")</calculatedColumnFormula>
    </tableColumn>
    <tableColumn id="4" xr3:uid="{17A11CE2-71E2-416C-9D7D-0BF35A8A1778}" name="CANTIDAD TOTAL ESTIMADA"/>
    <tableColumn id="5" xr3:uid="{D91CECDE-CC07-4D98-9AEA-51787495CAFB}" name="PRECIO UNITARIO ESTIMADO"/>
    <tableColumn id="6" xr3:uid="{280B1794-C8AF-4409-9D4B-0A5C40336D47}" name="MONTO TOTAL ESTIMADO">
      <calculatedColumnFormula>INDIRECT(ADDRESS(ROW(),COLUMN()-2,4))*INDIRECT(ADDRESS(ROW(),COLUMN()-1,4))</calculatedColumnFormula>
    </tableColumn>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75D921B0-4726-4812-AD4E-8C6EE3D5D152}" name="Table187" displayName="Table187" ref="A2307:F2311" totalsRowShown="0">
  <tableColumns count="6">
    <tableColumn id="1" xr3:uid="{63924699-C5AB-4911-A95A-2C6D553764E6}" name="CÓDIGO CATÁLOGO"/>
    <tableColumn id="2" xr3:uid="{7B697436-B5F2-48FA-9AE1-670996FCE982}" name="ARTÍCULO"/>
    <tableColumn id="3" xr3:uid="{22B33C9E-31CE-4D7A-95CD-93443D46BE78}" name="UNIDAD DE MEDIDA">
      <calculatedColumnFormula>IFERROR(VLOOKUP("UD",'[1]Informacion '!P:Q,2,FALSE),"")</calculatedColumnFormula>
    </tableColumn>
    <tableColumn id="4" xr3:uid="{84A2E0EE-726E-4224-83AE-D9B90DC395EB}" name="CANTIDAD TOTAL ESTIMADA"/>
    <tableColumn id="5" xr3:uid="{CDA669B8-3110-4F06-BDBD-9272E15127AF}" name="PRECIO UNITARIO ESTIMADO"/>
    <tableColumn id="6" xr3:uid="{947E232D-D98B-459E-992C-7D9E65863F01}" name="MONTO TOTAL ESTIMADO">
      <calculatedColumnFormula>INDIRECT(ADDRESS(ROW(),COLUMN()-2,4))*INDIRECT(ADDRESS(ROW(),COLUMN()-1,4))</calculatedColumnFormula>
    </tableColumn>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6399A77-ACEC-4107-B0AC-F3EC5E558B15}" name="Table237" displayName="Table237" ref="A2805:F2806" totalsRowShown="0">
  <tableColumns count="6">
    <tableColumn id="1" xr3:uid="{83FF6855-35C8-42FE-9D77-51373B32B6A7}" name="CÓDIGO CATÁLOGO"/>
    <tableColumn id="2" xr3:uid="{9E345119-9743-44C7-B6D5-6B8B996C89B8}" name="ARTÍCULO">
      <calculatedColumnFormula>IFERROR(INDEX(UNSPSCDes,MATCH(INDIRECT(ADDRESS(ROW(),COLUMN()-1,4)),UNSPSCCode,0)),IF(INDIRECT(ADDRESS(ROW(),COLUMN()-1,4))="72102201","Instalación o servicio de sistemas de energía eléctrica",""))</calculatedColumnFormula>
    </tableColumn>
    <tableColumn id="3" xr3:uid="{48EF7EC6-8363-46AB-A120-0028B66323A7}" name="UNIDAD DE MEDIDA">
      <calculatedColumnFormula>IFERROR(VLOOKUP("UD",'[1]Informacion '!P:Q,2,FALSE),"")</calculatedColumnFormula>
    </tableColumn>
    <tableColumn id="4" xr3:uid="{04A31434-C932-4574-BA1A-C0C7702EEA79}" name="CANTIDAD TOTAL ESTIMADA"/>
    <tableColumn id="5" xr3:uid="{B0BF7626-63BC-4DDF-857C-45610B3FCA1C}" name="PRECIO UNITARIO ESTIMADO"/>
    <tableColumn id="6" xr3:uid="{0BF98602-4782-43D4-9FBF-64B7A5549A49}" name="MONTO TOTAL ESTIMADO">
      <calculatedColumnFormula>INDIRECT(ADDRESS(ROW(),COLUMN()-2,4))*INDIRECT(ADDRESS(ROW(),COLUMN()-1,4))</calculatedColumnFormula>
    </tableColumn>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8D261DD8-3069-46B6-842D-995430BEADFC}" name="Table114" displayName="Table114" ref="A1296:F1298" totalsRowShown="0">
  <tableColumns count="6">
    <tableColumn id="1" xr3:uid="{9FC300DD-935F-4953-8ED2-28CAC27F705C}" name="CÓDIGO CATÁLOGO"/>
    <tableColumn id="2" xr3:uid="{60881FD1-6604-4B40-830E-C496D3991F66}" name="ARTÍCULO"/>
    <tableColumn id="3" xr3:uid="{5C1E7A59-E838-4F1D-AE62-33AAA1206DE0}" name="UNIDAD DE MEDIDA">
      <calculatedColumnFormula>IFERROR(VLOOKUP("UD",'[1]Informacion '!P:Q,2,FALSE),"")</calculatedColumnFormula>
    </tableColumn>
    <tableColumn id="4" xr3:uid="{B22DE04C-7D29-4315-8981-DC5B49A46A13}" name="CANTIDAD TOTAL ESTIMADA"/>
    <tableColumn id="5" xr3:uid="{03BC8C06-F213-4C19-B425-83986C6B67F4}" name="PRECIO UNITARIO ESTIMADO"/>
    <tableColumn id="6" xr3:uid="{F0ACE375-44B6-4E52-A2BD-E3C42D363BE9}" name="MONTO TOTAL ESTIMADO">
      <calculatedColumnFormula>INDIRECT(ADDRESS(ROW(),COLUMN()-2,4))*INDIRECT(ADDRESS(ROW(),COLUMN()-1,4))</calculatedColumnFormula>
    </tableColumn>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14BFC778-9497-4728-A327-1D8E3F0A3200}" name="Table244" displayName="Table244" ref="A2849:F2850" totalsRowShown="0">
  <tableColumns count="6">
    <tableColumn id="1" xr3:uid="{DB18F870-5F0F-4C22-BE4A-BFF9CC0E5EE1}" name="CÓDIGO CATÁLOGO"/>
    <tableColumn id="2" xr3:uid="{FA2D4E9B-299C-4237-B20F-456D90EDE3D6}" name="ARTÍCULO">
      <calculatedColumnFormula>IFERROR(INDEX(UNSPSCDes,MATCH(INDIRECT(ADDRESS(ROW(),COLUMN()-1,4)),UNSPSCCode,0)),IF(INDIRECT(ADDRESS(ROW(),COLUMN()-1,4))="25101611","Camiones de carga",""))</calculatedColumnFormula>
    </tableColumn>
    <tableColumn id="3" xr3:uid="{6B20FCC7-FDB4-4AF1-8408-7905CB137BB6}" name="UNIDAD DE MEDIDA">
      <calculatedColumnFormula>IFERROR(VLOOKUP("UD",'[1]Informacion '!P:Q,2,FALSE),"")</calculatedColumnFormula>
    </tableColumn>
    <tableColumn id="4" xr3:uid="{F25D8A3A-19DE-48D3-AB4C-5E42A73CF7DA}" name="CANTIDAD TOTAL ESTIMADA"/>
    <tableColumn id="5" xr3:uid="{9A67CFD4-9646-4F81-8777-8F102E344071}" name="PRECIO UNITARIO ESTIMADO"/>
    <tableColumn id="6" xr3:uid="{F284D483-9E5D-4BD4-80F3-8F90D4C7CAB8}"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32D9CA4-E76D-4284-8B58-D6219A07E62C}" name="Table22" displayName="Table22" ref="A227:F228" totalsRowShown="0">
  <tableColumns count="6">
    <tableColumn id="1" xr3:uid="{BB2702A6-52A6-4B55-AC9C-00034B7F91E5}" name="CÓDIGO CATÁLOGO"/>
    <tableColumn id="2" xr3:uid="{B55FE350-0D85-444A-80F6-08F1005537FF}" name="ARTÍCULO">
      <calculatedColumnFormula>IFERROR(INDEX(UNSPSCDes,MATCH(INDIRECT(ADDRESS(ROW(),COLUMN()-1,4)),UNSPSCCode,0)),IF(INDIRECT(ADDRESS(ROW(),COLUMN()-1,4))="86101705","Capacitación administrativa",""))</calculatedColumnFormula>
    </tableColumn>
    <tableColumn id="3" xr3:uid="{697EA02B-B2AD-4D1A-9771-66F296F2AE17}" name="UNIDAD DE MEDIDA">
      <calculatedColumnFormula>IFERROR(VLOOKUP("UD",'[1]Informacion '!P:Q,2,FALSE),"")</calculatedColumnFormula>
    </tableColumn>
    <tableColumn id="4" xr3:uid="{3AF4850E-C565-4043-9DAF-45F985D45DC9}" name="CANTIDAD TOTAL ESTIMADA"/>
    <tableColumn id="5" xr3:uid="{BBEDB843-6CDB-4D8D-A194-BA34D09CB7CE}" name="PRECIO UNITARIO ESTIMADO"/>
    <tableColumn id="6" xr3:uid="{F2E45A94-3BE5-4B41-8DB9-06151269AA4A}" name="MONTO TOTAL ESTIMADO">
      <calculatedColumnFormula>INDIRECT(ADDRESS(ROW(),COLUMN()-2,4))*INDIRECT(ADDRESS(ROW(),COLUMN()-1,4))</calculatedColumnFormula>
    </tableColumn>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ED47E3F8-F25A-4CA6-A2C7-79D1C9E41ECF}" name="Table113" displayName="Table113" ref="A1284:F1286" totalsRowShown="0">
  <tableColumns count="6">
    <tableColumn id="1" xr3:uid="{B36DAC51-98C9-4902-B021-CE78588DD805}" name="CÓDIGO CATÁLOGO"/>
    <tableColumn id="2" xr3:uid="{964B3200-E716-4CF6-B5BB-DA57D9D7FD69}" name="ARTÍCULO"/>
    <tableColumn id="3" xr3:uid="{5FCD1234-4BB1-46F6-8A0E-7B4DD98762CB}" name="UNIDAD DE MEDIDA">
      <calculatedColumnFormula>IFERROR(VLOOKUP("UD",'[1]Informacion '!P:Q,2,FALSE),"")</calculatedColumnFormula>
    </tableColumn>
    <tableColumn id="4" xr3:uid="{6D6C382D-B4EA-447A-A1DF-0B1135021C7B}" name="CANTIDAD TOTAL ESTIMADA"/>
    <tableColumn id="5" xr3:uid="{1533EED7-2419-4651-92A9-59C6B100EB5D}" name="PRECIO UNITARIO ESTIMADO"/>
    <tableColumn id="6" xr3:uid="{C3FBCDFE-D09F-49DA-A183-1B55ADE4D329}" name="MONTO TOTAL ESTIMADO">
      <calculatedColumnFormula>INDIRECT(ADDRESS(ROW(),COLUMN()-2,4))*INDIRECT(ADDRESS(ROW(),COLUMN()-1,4))</calculatedColumnFormula>
    </tableColumn>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E965F4D8-A08B-4A96-81B0-13474FB310B8}" name="Table43" displayName="Table43" ref="A452:F454" totalsRowShown="0">
  <tableColumns count="6">
    <tableColumn id="1" xr3:uid="{9AB3CF87-4F2E-4A8D-BFAC-5F9F04E1A9B5}" name="CÓDIGO CATÁLOGO"/>
    <tableColumn id="2" xr3:uid="{16C4C75E-FACE-4EC7-909E-D4DE773AF93B}" name="ARTÍCULO"/>
    <tableColumn id="3" xr3:uid="{41646BA0-E428-4534-80F1-1445814FD34D}" name="UNIDAD DE MEDIDA">
      <calculatedColumnFormula>IFERROR(VLOOKUP("UD",'[1]Informacion '!P:Q,2,FALSE),"")</calculatedColumnFormula>
    </tableColumn>
    <tableColumn id="4" xr3:uid="{A7970F71-0CC5-49F4-A56F-05C4CFC0E985}" name="CANTIDAD TOTAL ESTIMADA"/>
    <tableColumn id="5" xr3:uid="{4D9D13D5-3501-4C2D-B837-198127CD778D}" name="PRECIO UNITARIO ESTIMADO"/>
    <tableColumn id="6" xr3:uid="{65B02C58-B0EB-4DE9-8D3D-28CB53E5C66C}" name="MONTO TOTAL ESTIMADO">
      <calculatedColumnFormula>INDIRECT(ADDRESS(ROW(),COLUMN()-2,4))*INDIRECT(ADDRESS(ROW(),COLUMN()-1,4))</calculatedColumnFormula>
    </tableColumn>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AC9C691F-A696-4B13-81B6-F96A5CB7DF9D}" name="Table67" displayName="Table67" ref="A693:F697" totalsRowShown="0">
  <tableColumns count="6">
    <tableColumn id="1" xr3:uid="{F6B3834A-D002-4F90-84A6-01EE69B2976B}" name="CÓDIGO CATÁLOGO"/>
    <tableColumn id="2" xr3:uid="{4E79282A-AFA3-403D-BA11-8B46D99CFA72}" name="ARTÍCULO">
      <calculatedColumnFormula>IFERROR(INDEX(UNSPSCDes,MATCH(INDIRECT(ADDRESS(ROW(),COLUMN()-1,4)),UNSPSCCode,0)),IF(INDIRECT(ADDRESS(ROW(),COLUMN()-1,4))="60121008","Afiches",""))</calculatedColumnFormula>
    </tableColumn>
    <tableColumn id="3" xr3:uid="{53246B66-4044-4835-84A1-1FE5F5E20A17}" name="UNIDAD DE MEDIDA">
      <calculatedColumnFormula>IFERROR(VLOOKUP("UD",'[1]Informacion '!P:Q,2,FALSE),"")</calculatedColumnFormula>
    </tableColumn>
    <tableColumn id="4" xr3:uid="{920D2058-C72D-43BB-8C1A-B44F98045354}" name="CANTIDAD TOTAL ESTIMADA"/>
    <tableColumn id="5" xr3:uid="{BDDC4A73-F2F4-4837-9B7D-77ADDBFCA5EE}" name="PRECIO UNITARIO ESTIMADO"/>
    <tableColumn id="6" xr3:uid="{3B3F3288-EF23-4F15-ABA8-E942F7420B89}" name="MONTO TOTAL ESTIMADO">
      <calculatedColumnFormula>INDIRECT(ADDRESS(ROW(),COLUMN()-2,4))*INDIRECT(ADDRESS(ROW(),COLUMN()-1,4))</calculatedColumnFormula>
    </tableColumn>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43B01F77-2B76-4A46-A425-B3CC37077A2F}" name="Table54" displayName="Table54" ref="A571:F573" totalsRowShown="0">
  <tableColumns count="6">
    <tableColumn id="1" xr3:uid="{41DF15DB-FB24-4750-A3A9-F165E73A1C42}" name="CÓDIGO CATÁLOGO"/>
    <tableColumn id="2" xr3:uid="{4AA03D9F-51A2-4A45-B8F4-24CE0B00B23E}" name="ARTÍCULO"/>
    <tableColumn id="3" xr3:uid="{67DF6EB4-B169-4B36-91B7-7D153BC04262}" name="UNIDAD DE MEDIDA">
      <calculatedColumnFormula>IFERROR(VLOOKUP("UD",'[1]Informacion '!P:Q,2,FALSE),"")</calculatedColumnFormula>
    </tableColumn>
    <tableColumn id="4" xr3:uid="{EE813A19-441C-494B-A97C-812A8B23B052}" name="CANTIDAD TOTAL ESTIMADA"/>
    <tableColumn id="5" xr3:uid="{B068C438-3DF0-413E-8167-3A164A00973D}" name="PRECIO UNITARIO ESTIMADO"/>
    <tableColumn id="6" xr3:uid="{9E181A92-06E1-42F6-8A42-B9519FAD94A1}" name="MONTO TOTAL ESTIMADO">
      <calculatedColumnFormula>INDIRECT(ADDRESS(ROW(),COLUMN()-2,4))*INDIRECT(ADDRESS(ROW(),COLUMN()-1,4))</calculatedColumnFormula>
    </tableColumn>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4E1E3DD1-34C4-4477-947D-DEE9D1DD8A61}" name="Table147" displayName="Table147" ref="A1791:F1792" totalsRowShown="0">
  <tableColumns count="6">
    <tableColumn id="1" xr3:uid="{E887B8B4-6006-452F-8E8D-06C2DD2965BC}" name="CÓDIGO CATÁLOGO"/>
    <tableColumn id="2" xr3:uid="{73BDF3C7-C4F7-4A6C-8CE8-670EAEF97ACB}" name="ARTÍCULO">
      <calculatedColumnFormula>IFERROR(INDEX(UNSPSCDes,MATCH(INDIRECT(ADDRESS(ROW(),COLUMN()-1,4)),UNSPSCCode,0)),IF(INDIRECT(ADDRESS(ROW(),COLUMN()-1,4))="14111608","Certificados de regalo",""))</calculatedColumnFormula>
    </tableColumn>
    <tableColumn id="3" xr3:uid="{5B284ABB-FD71-457C-89A6-44747A10EE22}" name="UNIDAD DE MEDIDA">
      <calculatedColumnFormula>IFERROR(VLOOKUP("UD",'[1]Informacion '!P:Q,2,FALSE),"")</calculatedColumnFormula>
    </tableColumn>
    <tableColumn id="4" xr3:uid="{5A37E34A-2069-46FD-BB6E-0B6142BD44FB}" name="CANTIDAD TOTAL ESTIMADA"/>
    <tableColumn id="5" xr3:uid="{64BFAB30-9D56-4669-A97B-28D1555A59A8}" name="PRECIO UNITARIO ESTIMADO"/>
    <tableColumn id="6" xr3:uid="{65A12198-7994-4A84-B6E7-FBE52051CA71}" name="MONTO TOTAL ESTIMADO">
      <calculatedColumnFormula>INDIRECT(ADDRESS(ROW(),COLUMN()-2,4))*INDIRECT(ADDRESS(ROW(),COLUMN()-1,4))</calculatedColumnFormula>
    </tableColumn>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BEE5C896-C69A-4E84-9B84-15C7F7EEF8C7}" name="Table115" displayName="Table115" ref="A1308:F1316" totalsRowShown="0">
  <tableColumns count="6">
    <tableColumn id="1" xr3:uid="{0EAA1925-E1BB-4F84-ADDF-FF2969AEA33C}" name="CÓDIGO CATÁLOGO"/>
    <tableColumn id="2" xr3:uid="{84464C5E-072D-4D32-B4E4-BF9C8FD4721A}" name="ARTÍCULO"/>
    <tableColumn id="3" xr3:uid="{2FD67817-C5FE-4ACE-B462-5CD9895D5A4A}" name="UNIDAD DE MEDIDA">
      <calculatedColumnFormula>IFERROR(VLOOKUP("UD",'[1]Informacion '!P:Q,2,FALSE),"")</calculatedColumnFormula>
    </tableColumn>
    <tableColumn id="4" xr3:uid="{F4FD3AE2-CEC9-4C61-AFA2-C4E2F8DA46A6}" name="CANTIDAD TOTAL ESTIMADA"/>
    <tableColumn id="5" xr3:uid="{C00F5B9E-4A3D-4D7E-9D73-F82469341188}" name="PRECIO UNITARIO ESTIMADO"/>
    <tableColumn id="6" xr3:uid="{79A5C9E9-8A2B-46F6-8D39-6C6B35F8384B}" name="MONTO TOTAL ESTIMADO">
      <calculatedColumnFormula>INDIRECT(ADDRESS(ROW(),COLUMN()-2,4))*INDIRECT(ADDRESS(ROW(),COLUMN()-1,4))</calculatedColumnFormula>
    </tableColumn>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E47EAEA-AC32-415A-B13F-1A4DC792FD3D}" name="Table63" displayName="Table63" ref="A641:F643" totalsRowShown="0">
  <tableColumns count="6">
    <tableColumn id="1" xr3:uid="{029ECE1B-4909-4473-9D7B-620D7780BA7E}" name="CÓDIGO CATÁLOGO"/>
    <tableColumn id="2" xr3:uid="{7EF797EC-2BF2-4195-81BC-D22C985C86DB}" name="ARTÍCULO">
      <calculatedColumnFormula>IFERROR(INDEX(UNSPSCDes,MATCH(INDIRECT(ADDRESS(ROW(),COLUMN()-1,4)),UNSPSCCode,0)),IF(INDIRECT(ADDRESS(ROW(),COLUMN()-1,4))="14121503","Cartón",""))</calculatedColumnFormula>
    </tableColumn>
    <tableColumn id="3" xr3:uid="{8CC1DA9D-76A3-474D-A0D7-493074D5DFCC}" name="UNIDAD DE MEDIDA">
      <calculatedColumnFormula>IFERROR(VLOOKUP("UD",'[1]Informacion '!P:Q,2,FALSE),"")</calculatedColumnFormula>
    </tableColumn>
    <tableColumn id="4" xr3:uid="{8752B2C9-BC0C-4440-A51E-29CE560C2882}" name="CANTIDAD TOTAL ESTIMADA"/>
    <tableColumn id="5" xr3:uid="{62CCC5A5-94D4-45A7-9647-B91F2F33DFD7}" name="PRECIO UNITARIO ESTIMADO"/>
    <tableColumn id="6" xr3:uid="{D13EF883-0FBB-43AA-B012-E33353C031DD}" name="MONTO TOTAL ESTIMADO">
      <calculatedColumnFormula>INDIRECT(ADDRESS(ROW(),COLUMN()-2,4))*INDIRECT(ADDRESS(ROW(),COLUMN()-1,4))</calculatedColumnFormula>
    </tableColumn>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150885ED-8F09-4A97-9377-596B6B1DA30C}" name="Table93" displayName="Table93" ref="A1046:F1047" totalsRowShown="0">
  <tableColumns count="6">
    <tableColumn id="1" xr3:uid="{4967D92D-A067-4B6A-B8F8-86B4D6951B26}" name="CÓDIGO CATÁLOGO"/>
    <tableColumn id="2" xr3:uid="{F7915105-5E0D-4B2C-9C3B-1EBBD8A2CFDE}" name="ARTÍCULO">
      <calculatedColumnFormula>IFERROR(INDEX(UNSPSCDes,MATCH(INDIRECT(ADDRESS(ROW(),COLUMN()-1,4)),UNSPSCCode,0)),IF(INDIRECT(ADDRESS(ROW(),COLUMN()-1,4))="60122906","Cuentas de vidrio",""))</calculatedColumnFormula>
    </tableColumn>
    <tableColumn id="3" xr3:uid="{B3B28EB2-E278-41D7-87E3-70D262921A24}" name="UNIDAD DE MEDIDA">
      <calculatedColumnFormula>IFERROR(VLOOKUP("UD",'[1]Informacion '!P:Q,2,FALSE),"")</calculatedColumnFormula>
    </tableColumn>
    <tableColumn id="4" xr3:uid="{17D11F33-E7D7-4097-82CA-294C9D6B1AB0}" name="CANTIDAD TOTAL ESTIMADA"/>
    <tableColumn id="5" xr3:uid="{94379638-03D2-4072-92BD-6827F4C39AB3}" name="PRECIO UNITARIO ESTIMADO"/>
    <tableColumn id="6" xr3:uid="{B186B146-DEC4-4CA7-B820-E501100DE62A}" name="MONTO TOTAL ESTIMADO">
      <calculatedColumnFormula>INDIRECT(ADDRESS(ROW(),COLUMN()-2,4))*INDIRECT(ADDRESS(ROW(),COLUMN()-1,4))</calculatedColumnFormula>
    </tableColumn>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7479C59D-9A0A-4B6C-9D44-5284833E33EB}" name="Table171" displayName="Table171" ref="A2113:F2114" totalsRowShown="0">
  <tableColumns count="6">
    <tableColumn id="1" xr3:uid="{1D0651DD-1B16-4E07-9E41-94ACDD8E1441}" name="CÓDIGO CATÁLOGO"/>
    <tableColumn id="2" xr3:uid="{E5864E7C-809F-473C-AB8D-E8614530F907}" name="ARTÍCULO">
      <calculatedColumnFormula>IFERROR(INDEX(UNSPSCDes,MATCH(INDIRECT(ADDRESS(ROW(),COLUMN()-1,4)),UNSPSCCode,0)),IF(INDIRECT(ADDRESS(ROW(),COLUMN()-1,4))="43231512","Software de manejo de licencias",""))</calculatedColumnFormula>
    </tableColumn>
    <tableColumn id="3" xr3:uid="{CF2B629E-1442-4A99-880A-5543A32759F5}" name="UNIDAD DE MEDIDA">
      <calculatedColumnFormula>IFERROR(VLOOKUP("UD",'[1]Informacion '!P:Q,2,FALSE),"")</calculatedColumnFormula>
    </tableColumn>
    <tableColumn id="4" xr3:uid="{9C258D88-1786-4C97-BB15-1FE4DE294E8D}" name="CANTIDAD TOTAL ESTIMADA"/>
    <tableColumn id="5" xr3:uid="{4606E6D0-8E3B-46A1-8F02-D65E1C810679}" name="PRECIO UNITARIO ESTIMADO"/>
    <tableColumn id="6" xr3:uid="{BBCBA44D-0F63-4D3B-A9DE-1F129C668116}" name="MONTO TOTAL ESTIMADO">
      <calculatedColumnFormula>INDIRECT(ADDRESS(ROW(),COLUMN()-2,4))*INDIRECT(ADDRESS(ROW(),COLUMN()-1,4))</calculatedColumnFormula>
    </tableColumn>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A5BE85AF-80BC-4C89-AF0E-7CAEF5715C23}" name="Table32" displayName="Table32" ref="A343:F344" totalsRowShown="0">
  <tableColumns count="6">
    <tableColumn id="1" xr3:uid="{E1F91619-1160-4371-9F72-2478B9CDC621}" name="CÓDIGO CATÁLOGO"/>
    <tableColumn id="2" xr3:uid="{6A39DFE9-CAA1-4273-8FC8-A7C377F11A58}" name="ARTÍCULO">
      <calculatedColumnFormula>IFERROR(INDEX(UNSPSCDes,MATCH(INDIRECT(ADDRESS(ROW(),COLUMN()-1,4)),UNSPSCCode,0)),IF(INDIRECT(ADDRESS(ROW(),COLUMN()-1,4))="90101802","Servicios de comidas a domicilio",""))</calculatedColumnFormula>
    </tableColumn>
    <tableColumn id="3" xr3:uid="{294EF38A-9AC7-491D-99F1-704152E2D412}" name="UNIDAD DE MEDIDA">
      <calculatedColumnFormula>IFERROR(VLOOKUP("UD",'[1]Informacion '!P:Q,2,FALSE),"")</calculatedColumnFormula>
    </tableColumn>
    <tableColumn id="4" xr3:uid="{21FD14E9-16D1-40C3-A0F2-A5F99E8F2864}" name="CANTIDAD TOTAL ESTIMADA"/>
    <tableColumn id="5" xr3:uid="{10D15B9F-D306-4D70-83F4-D55662872793}" name="PRECIO UNITARIO ESTIMADO"/>
    <tableColumn id="6" xr3:uid="{74883BC8-F72B-4EFF-B292-D5AA39A6A501}"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45EBDA8-65F3-40AC-8822-D9AAC163FA75}" name="Table55" displayName="Table55" ref="A583:F586" totalsRowShown="0">
  <tableColumns count="6">
    <tableColumn id="1" xr3:uid="{3C4F2DC5-4AF3-41E1-9371-A836CF2D344E}" name="CÓDIGO CATÁLOGO"/>
    <tableColumn id="2" xr3:uid="{79C704EA-36D8-43A1-A96F-211F7968BA36}" name="ARTÍCULO"/>
    <tableColumn id="3" xr3:uid="{D5B1C230-7883-4D73-81C5-80308D94CFAE}" name="UNIDAD DE MEDIDA">
      <calculatedColumnFormula>IFERROR(VLOOKUP("UD",'[1]Informacion '!P:Q,2,FALSE),"")</calculatedColumnFormula>
    </tableColumn>
    <tableColumn id="4" xr3:uid="{7C165EB6-2161-4028-808A-C747A0FA5345}" name="CANTIDAD TOTAL ESTIMADA"/>
    <tableColumn id="5" xr3:uid="{35469022-6A0D-4BF9-B2D7-0BA87314493D}" name="PRECIO UNITARIO ESTIMADO"/>
    <tableColumn id="6" xr3:uid="{D845B450-5478-4CEB-AE85-07B1C0FFF45C}"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21F3BCC-0852-4AD5-9BC1-56AAC0A54269}" name="Table263" displayName="Table263" ref="A3033:F3034" totalsRowShown="0">
  <tableColumns count="6">
    <tableColumn id="1" xr3:uid="{37146696-E220-471D-92C8-9C458AD16102}" name="CÓDIGO CATÁLOGO"/>
    <tableColumn id="2" xr3:uid="{072CFECD-72CE-440C-845C-3ABA04837719}" name="ARTÍCULO">
      <calculatedColumnFormula>IFERROR(INDEX(UNSPSCDes,MATCH(INDIRECT(ADDRESS(ROW(),COLUMN()-1,4)),UNSPSCCode,0)),IF(INDIRECT(ADDRESS(ROW(),COLUMN()-1,4))="11111611","Gravilla",""))</calculatedColumnFormula>
    </tableColumn>
    <tableColumn id="3" xr3:uid="{FDB495CB-8B9A-420C-94D4-E4A439A44070}" name="UNIDAD DE MEDIDA">
      <calculatedColumnFormula>IFERROR(VLOOKUP("UD",'[1]Informacion '!P:Q,2,FALSE),"")</calculatedColumnFormula>
    </tableColumn>
    <tableColumn id="4" xr3:uid="{192B0F2B-080D-4CCA-AB26-408483C5BE18}" name="CANTIDAD TOTAL ESTIMADA"/>
    <tableColumn id="5" xr3:uid="{ABBC943F-8F00-4F7D-9382-A2359839195B}" name="PRECIO UNITARIO ESTIMADO"/>
    <tableColumn id="6" xr3:uid="{7A17F83A-9281-4B6F-A818-1D23B3968E6B}" name="MONTO TOTAL ESTIMADO">
      <calculatedColumnFormula>INDIRECT(ADDRESS(ROW(),COLUMN()-2,4))*INDIRECT(ADDRESS(ROW(),COLUMN()-1,4))</calculatedColumnFormula>
    </tableColumn>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D8E26D16-0FB4-4BD6-8906-F5415AAAA5D1}" name="Table34" displayName="Table34" ref="A366:F368" totalsRowShown="0">
  <tableColumns count="6">
    <tableColumn id="1" xr3:uid="{36AFC843-9620-453F-BBCF-FDA693C97AB1}" name="CÓDIGO CATÁLOGO"/>
    <tableColumn id="2" xr3:uid="{00E1529F-B724-4801-B54E-0E1152ED9CE2}" name="ARTÍCULO"/>
    <tableColumn id="3" xr3:uid="{F4313A70-2A8E-44CF-93F6-1B213AFD7835}" name="UNIDAD DE MEDIDA">
      <calculatedColumnFormula>IFERROR(VLOOKUP("UD",'[1]Informacion '!P:Q,2,FALSE),"")</calculatedColumnFormula>
    </tableColumn>
    <tableColumn id="4" xr3:uid="{42545052-5415-4293-812A-0A793DF81197}" name="CANTIDAD TOTAL ESTIMADA"/>
    <tableColumn id="5" xr3:uid="{E096DAA2-7194-41BF-A301-BF2C1A5D9ABE}" name="PRECIO UNITARIO ESTIMADO"/>
    <tableColumn id="6" xr3:uid="{908EEF04-F326-463C-B6A1-5777B1B7AC22}" name="MONTO TOTAL ESTIMADO">
      <calculatedColumnFormula>INDIRECT(ADDRESS(ROW(),COLUMN()-2,4))*INDIRECT(ADDRESS(ROW(),COLUMN()-1,4))</calculatedColumnFormula>
    </tableColumn>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FEBC13AF-7D79-482F-88DD-5373F4D65746}" name="Table190" displayName="Table190" ref="A2343:F2344" totalsRowShown="0">
  <tableColumns count="6">
    <tableColumn id="1" xr3:uid="{E08A0889-A8DA-4638-8099-EDCC9F944A17}" name="CÓDIGO CATÁLOGO"/>
    <tableColumn id="2" xr3:uid="{E6C7CCCB-AB60-4699-813A-1C3525F07DCD}" name="ARTÍCULO">
      <calculatedColumnFormula>IFERROR(INDEX(UNSPSCDes,MATCH(INDIRECT(ADDRESS(ROW(),COLUMN()-1,4)),UNSPSCCode,0)),IF(INDIRECT(ADDRESS(ROW(),COLUMN()-1,4))="78131602","Almacenaje de archivos de carpetas",""))</calculatedColumnFormula>
    </tableColumn>
    <tableColumn id="3" xr3:uid="{504DDB70-6C9F-4ADB-895C-E0B2E014BAA7}" name="UNIDAD DE MEDIDA"/>
    <tableColumn id="4" xr3:uid="{3D5A97F7-97DE-44F5-B213-6AF65DDE238F}" name="CANTIDAD TOTAL ESTIMADA"/>
    <tableColumn id="5" xr3:uid="{9D3E0443-A430-48E7-9FE1-097726A8FC4D}" name="PRECIO UNITARIO ESTIMADO"/>
    <tableColumn id="6" xr3:uid="{6080A182-38F2-4E30-859F-BB9EA37DF38B}" name="MONTO TOTAL ESTIMADO">
      <calculatedColumnFormula>INDIRECT(ADDRESS(ROW(),COLUMN()-2,4))*INDIRECT(ADDRESS(ROW(),COLUMN()-1,4))</calculatedColumnFormula>
    </tableColumn>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6FF4C76C-9C43-4D6E-AB03-853C073192F3}" name="Table223" displayName="Table223" ref="A2681:F2682" totalsRowShown="0">
  <tableColumns count="6">
    <tableColumn id="1" xr3:uid="{ADB11136-2256-4297-BFD1-AAB488155A91}" name="CÓDIGO CATÁLOGO"/>
    <tableColumn id="2" xr3:uid="{BD3BFD93-D82D-4099-8B70-1A23BC730282}" name="ARTÍCULO">
      <calculatedColumnFormula>IFERROR(INDEX(UNSPSCDes,MATCH(INDIRECT(ADDRESS(ROW(),COLUMN()-1,4)),UNSPSCCode,0)),IF(INDIRECT(ADDRESS(ROW(),COLUMN()-1,4))="40151601","Compresores de aire",""))</calculatedColumnFormula>
    </tableColumn>
    <tableColumn id="3" xr3:uid="{5ED8326F-3986-4AE4-A596-5E34DD439A12}" name="UNIDAD DE MEDIDA">
      <calculatedColumnFormula>IFERROR(VLOOKUP("UD",'[1]Informacion '!P:Q,2,FALSE),"")</calculatedColumnFormula>
    </tableColumn>
    <tableColumn id="4" xr3:uid="{F448BFF6-AA7F-4939-A55C-0E0F82B9AFBA}" name="CANTIDAD TOTAL ESTIMADA"/>
    <tableColumn id="5" xr3:uid="{8B76E010-1D90-4A4B-8F6B-A36E1C2EC322}" name="PRECIO UNITARIO ESTIMADO"/>
    <tableColumn id="6" xr3:uid="{728531FD-D0D2-486A-9F22-9982B4F33583}" name="MONTO TOTAL ESTIMADO">
      <calculatedColumnFormula>INDIRECT(ADDRESS(ROW(),COLUMN()-2,4))*INDIRECT(ADDRESS(ROW(),COLUMN()-1,4))</calculatedColumnFormula>
    </tableColumn>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AB9D72C0-CC83-42AD-A3E2-3C72482D028A}" name="Table125" displayName="Table125" ref="A1495:F1502" totalsRowShown="0">
  <tableColumns count="6">
    <tableColumn id="1" xr3:uid="{01DA9170-0074-4F15-B96E-76DEBBE84EA1}" name="CÓDIGO CATÁLOGO"/>
    <tableColumn id="2" xr3:uid="{623DD172-A4B7-415A-AD13-94D2BC5C7263}" name="ARTÍCULO"/>
    <tableColumn id="3" xr3:uid="{C76C54CF-5547-453A-9F2E-81827CE61A94}" name="UNIDAD DE MEDIDA">
      <calculatedColumnFormula>IFERROR(VLOOKUP("UD",'[1]Informacion '!P:Q,2,FALSE),"")</calculatedColumnFormula>
    </tableColumn>
    <tableColumn id="4" xr3:uid="{83E53054-BC2F-4D05-BA7F-57C7206BBA12}" name="CANTIDAD TOTAL ESTIMADA"/>
    <tableColumn id="5" xr3:uid="{58AB8AD1-E376-4D75-B97F-78367BDC845C}" name="PRECIO UNITARIO ESTIMADO"/>
    <tableColumn id="6" xr3:uid="{9AC3AA3C-4820-477D-A12B-29590F58A9AC}" name="MONTO TOTAL ESTIMADO">
      <calculatedColumnFormula>INDIRECT(ADDRESS(ROW(),COLUMN()-2,4))*INDIRECT(ADDRESS(ROW(),COLUMN()-1,4))</calculatedColumnFormula>
    </tableColumn>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F133D4D1-1528-4DEB-A0E8-AC1F45BA50F6}" name="Table71" displayName="Table71" ref="A743:F744" totalsRowShown="0">
  <tableColumns count="6">
    <tableColumn id="1" xr3:uid="{3C251CBE-241F-43D6-B2B1-DC967483FB0E}" name="CÓDIGO CATÁLOGO"/>
    <tableColumn id="2" xr3:uid="{361BE305-68CA-4392-8577-52D90F24F4FD}" name="ARTÍCULO">
      <calculatedColumnFormula>IFERROR(INDEX(UNSPSCDes,MATCH(INDIRECT(ADDRESS(ROW(),COLUMN()-1,4)),UNSPSCCode,0)),IF(INDIRECT(ADDRESS(ROW(),COLUMN()-1,4))="55101504","Periódicos",""))</calculatedColumnFormula>
    </tableColumn>
    <tableColumn id="3" xr3:uid="{221F69AA-9F60-4068-9592-6062CC629225}" name="UNIDAD DE MEDIDA">
      <calculatedColumnFormula>IFERROR(VLOOKUP("UD",'[1]Informacion '!P:Q,2,FALSE),"")</calculatedColumnFormula>
    </tableColumn>
    <tableColumn id="4" xr3:uid="{A7FB9438-E033-4C8B-AE50-E0B9C50EEF06}" name="CANTIDAD TOTAL ESTIMADA"/>
    <tableColumn id="5" xr3:uid="{03CC926B-9EA2-4E14-94D1-6F8246703FB0}" name="PRECIO UNITARIO ESTIMADO"/>
    <tableColumn id="6" xr3:uid="{68B63865-4DD9-47BF-9BCC-2CD244642B05}" name="MONTO TOTAL ESTIMADO">
      <calculatedColumnFormula>INDIRECT(ADDRESS(ROW(),COLUMN()-2,4))*INDIRECT(ADDRESS(ROW(),COLUMN()-1,4))</calculatedColumnFormula>
    </tableColumn>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215D89FE-07D3-4E4F-80B3-3041316A7E86}" name="Table163" displayName="Table163" ref="A2015:F2016" totalsRowShown="0">
  <tableColumns count="6">
    <tableColumn id="1" xr3:uid="{5371B85D-9B01-4930-8E56-D3FA7C2033E6}" name="CÓDIGO CATÁLOGO"/>
    <tableColumn id="2" xr3:uid="{36A4BC69-BA72-4124-9F47-432C0F36CF85}" name="ARTÍCULO">
      <calculatedColumnFormula>IFERROR(INDEX(UNSPSCDes,MATCH(INDIRECT(ADDRESS(ROW(),COLUMN()-1,4)),UNSPSCCode,0)),IF(INDIRECT(ADDRESS(ROW(),COLUMN()-1,4))="40101701","Aires acondicionados",""))</calculatedColumnFormula>
    </tableColumn>
    <tableColumn id="3" xr3:uid="{AF6F1E8A-3B10-417A-AC4C-95E693772CF8}" name="UNIDAD DE MEDIDA">
      <calculatedColumnFormula>IFERROR(VLOOKUP("UD",'[1]Informacion '!P:Q,2,FALSE),"")</calculatedColumnFormula>
    </tableColumn>
    <tableColumn id="4" xr3:uid="{7CD10F61-3DD0-417D-ABEC-C03849B57976}" name="CANTIDAD TOTAL ESTIMADA"/>
    <tableColumn id="5" xr3:uid="{0EEB4C75-3DF7-4E6E-83E0-D6312C5468FE}" name="PRECIO UNITARIO ESTIMADO"/>
    <tableColumn id="6" xr3:uid="{B314E85B-BE24-43F2-B730-56F6E6207255}" name="MONTO TOTAL ESTIMADO">
      <calculatedColumnFormula>INDIRECT(ADDRESS(ROW(),COLUMN()-2,4))*INDIRECT(ADDRESS(ROW(),COLUMN()-1,4))</calculatedColumnFormula>
    </tableColumn>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57DD39F2-D285-4A64-A17F-B627AAB02503}" name="Table252" displayName="Table252" ref="A2906:F2909" totalsRowShown="0">
  <tableColumns count="6">
    <tableColumn id="1" xr3:uid="{C372BF76-92CD-450D-BFFC-8173519C5F2E}" name="CÓDIGO CATÁLOGO"/>
    <tableColumn id="2" xr3:uid="{4E1FBF67-0B53-40C7-A154-0C2884F300FC}" name="ARTÍCULO"/>
    <tableColumn id="3" xr3:uid="{6B00FE83-379D-456E-BB1D-4439CF0C3218}" name="UNIDAD DE MEDIDA">
      <calculatedColumnFormula>IFERROR(VLOOKUP("UD",'[1]Informacion '!P:Q,2,FALSE),"")</calculatedColumnFormula>
    </tableColumn>
    <tableColumn id="4" xr3:uid="{EC6F9278-93DC-4CDE-ADA4-1E329ABBC134}" name="CANTIDAD TOTAL ESTIMADA"/>
    <tableColumn id="5" xr3:uid="{74B210B0-AA26-4ECF-AEEA-6066D7D50CF6}" name="PRECIO UNITARIO ESTIMADO"/>
    <tableColumn id="6" xr3:uid="{94D2A38B-5EC9-4F85-BB7B-C2DB58F12765}" name="MONTO TOTAL ESTIMADO">
      <calculatedColumnFormula>INDIRECT(ADDRESS(ROW(),COLUMN()-2,4))*INDIRECT(ADDRESS(ROW(),COLUMN()-1,4))</calculatedColumnFormula>
    </tableColumn>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BEB2E061-8122-4439-A51D-77E472BC2215}" name="Table159" displayName="Table159" ref="A1958:F1964" totalsRowShown="0">
  <tableColumns count="6">
    <tableColumn id="1" xr3:uid="{89ADAA80-2AFA-422B-B8B4-97B3FF223CC8}" name="CÓDIGO CATÁLOGO"/>
    <tableColumn id="2" xr3:uid="{A058B302-CA5B-4B11-B90E-A426DD99FD8A}" name="ARTÍCULO"/>
    <tableColumn id="3" xr3:uid="{120894C4-62CA-4E9C-9BD7-F7153B49BF91}" name="UNIDAD DE MEDIDA">
      <calculatedColumnFormula>IFERROR(VLOOKUP("UD",'[1]Informacion '!P:Q,2,FALSE),"")</calculatedColumnFormula>
    </tableColumn>
    <tableColumn id="4" xr3:uid="{7A8BE709-0CEF-4990-9854-782B04748431}" name="CANTIDAD TOTAL ESTIMADA"/>
    <tableColumn id="5" xr3:uid="{F18DBE84-403C-44A1-8CC7-CE8FF73595DA}" name="PRECIO UNITARIO ESTIMADO"/>
    <tableColumn id="6" xr3:uid="{4C7B3A30-CF21-4765-9F02-D8558F2698D4}" name="MONTO TOTAL ESTIMADO">
      <calculatedColumnFormula>INDIRECT(ADDRESS(ROW(),COLUMN()-2,4))*INDIRECT(ADDRESS(ROW(),COLUMN()-1,4))</calculatedColumnFormula>
    </tableColumn>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CB8212CC-076D-4428-A817-288ABBAECCC6}" name="Table176" displayName="Table176" ref="A2164:F2165" totalsRowShown="0">
  <tableColumns count="6">
    <tableColumn id="1" xr3:uid="{F6E59B1D-98B9-4CC7-9DDE-2EA5C007570E}" name="CÓDIGO CATÁLOGO"/>
    <tableColumn id="2" xr3:uid="{D82C4843-EE12-4DAB-A1F8-665AE9F9B058}" name="ARTÍCULO">
      <calculatedColumnFormula>IFERROR(INDEX(UNSPSCDes,MATCH(INDIRECT(ADDRESS(ROW(),COLUMN()-1,4)),UNSPSCCode,0)),IF(INDIRECT(ADDRESS(ROW(),COLUMN()-1,4))="10191509","Insecticidas",""))</calculatedColumnFormula>
    </tableColumn>
    <tableColumn id="3" xr3:uid="{A1B6E9D1-0D29-4AB9-BAB6-978A1513D801}" name="UNIDAD DE MEDIDA">
      <calculatedColumnFormula>IFERROR(VLOOKUP("UD",'[1]Informacion '!P:Q,2,FALSE),"")</calculatedColumnFormula>
    </tableColumn>
    <tableColumn id="4" xr3:uid="{E24B31DE-B2A5-4583-A056-44556DC57187}" name="CANTIDAD TOTAL ESTIMADA"/>
    <tableColumn id="5" xr3:uid="{2474B29C-BB23-49F5-AAAA-E5CA24BC05C6}" name="PRECIO UNITARIO ESTIMADO"/>
    <tableColumn id="6" xr3:uid="{C3033677-CC56-4CCA-AAFE-5B7EF758686D}" name="MONTO TOTAL ESTIMADO">
      <calculatedColumnFormula>INDIRECT(ADDRESS(ROW(),COLUMN()-2,4))*INDIRECT(ADDRESS(ROW(),COLUMN()-1,4))</calculatedColumnFormula>
    </tableColumn>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928A6C28-5B85-4F3F-AB3C-4605B4EF142F}" name="Table45" displayName="Table45" ref="A478:F479" totalsRowShown="0">
  <tableColumns count="6">
    <tableColumn id="1" xr3:uid="{D334C29C-9E61-4E8C-B15E-0B4625201E11}" name="CÓDIGO CATÁLOGO"/>
    <tableColumn id="2" xr3:uid="{D8243940-C676-4DCF-A01E-694E9A40AFF5}" name="ARTÍCULO">
      <calculatedColumnFormula>IFERROR(INDEX(UNSPSCDes,MATCH(INDIRECT(ADDRESS(ROW(),COLUMN()-1,4)),UNSPSCCode,0)),IF(INDIRECT(ADDRESS(ROW(),COLUMN()-1,4))="10161707","Arreglo de flores cortadas",""))</calculatedColumnFormula>
    </tableColumn>
    <tableColumn id="3" xr3:uid="{94A79B94-AD11-4637-AA63-215BAFD307BF}" name="UNIDAD DE MEDIDA">
      <calculatedColumnFormula>IFERROR(VLOOKUP("UD",'[1]Informacion '!P:Q,2,FALSE),"")</calculatedColumnFormula>
    </tableColumn>
    <tableColumn id="4" xr3:uid="{9960E382-DEBE-4896-9D4C-3A3E413A367B}" name="CANTIDAD TOTAL ESTIMADA"/>
    <tableColumn id="5" xr3:uid="{73434AAF-49D3-440B-AB68-1BFC93366D6C}" name="PRECIO UNITARIO ESTIMADO" dataDxfId="0" dataCellStyle="ArticleBody_currency"/>
    <tableColumn id="6" xr3:uid="{3E32F0B8-9A8B-4234-A471-2D83BD0D182E}"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5ADD885B-D488-4295-84D0-EAC216117D95}" name="Table179" displayName="Table179" ref="A2219:F2224" totalsRowShown="0">
  <tableColumns count="6">
    <tableColumn id="1" xr3:uid="{D3F3D5C8-02BD-40D6-B6D9-7B2BB27E5608}" name="CÓDIGO CATÁLOGO"/>
    <tableColumn id="2" xr3:uid="{F2EC10F0-D515-4A4C-BCB5-B373FEAB1C16}" name="ARTÍCULO"/>
    <tableColumn id="3" xr3:uid="{D712F945-F187-4CA0-BC13-880E5DE7B78F}" name="UNIDAD DE MEDIDA">
      <calculatedColumnFormula>IFERROR(VLOOKUP("UD",'[1]Informacion '!P:Q,2,FALSE),"")</calculatedColumnFormula>
    </tableColumn>
    <tableColumn id="4" xr3:uid="{3BAF107F-F7C6-494E-9954-B54B06D36FC1}" name="CANTIDAD TOTAL ESTIMADA"/>
    <tableColumn id="5" xr3:uid="{40F70C7F-235A-436D-B557-4D8E297AF341}" name="PRECIO UNITARIO ESTIMADO"/>
    <tableColumn id="6" xr3:uid="{CEE10FB8-35CF-414A-9994-D8F4703D3944}" name="MONTO TOTAL ESTIMADO">
      <calculatedColumnFormula>INDIRECT(ADDRESS(ROW(),COLUMN()-2,4))*INDIRECT(ADDRESS(ROW(),COLUMN()-1,4))</calculatedColumnFormula>
    </tableColumn>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9DCC622-FA17-4338-858A-D2D83D96F9AF}" name="Table245" displayName="Table245" ref="A2860:F2862" totalsRowShown="0">
  <tableColumns count="6">
    <tableColumn id="1" xr3:uid="{815FA6BE-C3E8-4A59-9916-F774650F7C20}" name="CÓDIGO CATÁLOGO"/>
    <tableColumn id="2" xr3:uid="{60B240B3-8657-4B44-ADAE-FA3A7352E713}" name="ARTÍCULO"/>
    <tableColumn id="3" xr3:uid="{B6C4D43B-986C-49EC-8E32-2B8442F131BD}" name="UNIDAD DE MEDIDA">
      <calculatedColumnFormula>IFERROR(VLOOKUP("UD",'[1]Informacion '!P:Q,2,FALSE),"")</calculatedColumnFormula>
    </tableColumn>
    <tableColumn id="4" xr3:uid="{86C12CA3-450E-4338-A0C4-570D12E9A1DE}" name="CANTIDAD TOTAL ESTIMADA"/>
    <tableColumn id="5" xr3:uid="{04C851AA-B262-4B46-AC1F-BCB5596566BE}" name="PRECIO UNITARIO ESTIMADO"/>
    <tableColumn id="6" xr3:uid="{A1B2F5A9-554A-4D3E-B4D8-FFC67EA28AF1}" name="MONTO TOTAL ESTIMADO">
      <calculatedColumnFormula>INDIRECT(ADDRESS(ROW(),COLUMN()-2,4))*INDIRECT(ADDRESS(ROW(),COLUMN()-1,4))</calculatedColumnFormula>
    </tableColumn>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384AC72F-22BC-440B-A28E-748C3F5E09FE}" name="Table257" displayName="Table257" ref="A2967:F2968" totalsRowShown="0">
  <tableColumns count="6">
    <tableColumn id="1" xr3:uid="{B4C901F4-0EFD-4AC1-BBDA-9A48CDE79DD5}" name="CÓDIGO CATÁLOGO"/>
    <tableColumn id="2" xr3:uid="{77664566-B86A-4C69-81D6-0AC8E7E39809}" name="ARTÍCULO">
      <calculatedColumnFormula>IFERROR(INDEX(UNSPSCDes,MATCH(INDIRECT(ADDRESS(ROW(),COLUMN()-1,4)),UNSPSCCode,0)),IF(INDIRECT(ADDRESS(ROW(),COLUMN()-1,4))="72102103","Servicios de exterminación o fumigación",""))</calculatedColumnFormula>
    </tableColumn>
    <tableColumn id="3" xr3:uid="{D1D40EDE-001F-4317-8B6A-D0E45F27023E}" name="UNIDAD DE MEDIDA">
      <calculatedColumnFormula>IFERROR(VLOOKUP("UD",'[1]Informacion '!P:Q,2,FALSE),"")</calculatedColumnFormula>
    </tableColumn>
    <tableColumn id="4" xr3:uid="{55F6E31A-D634-4EE5-BFB7-B3971C38677F}" name="CANTIDAD TOTAL ESTIMADA"/>
    <tableColumn id="5" xr3:uid="{06ECC43D-116D-4593-86CC-132B64A9534D}" name="PRECIO UNITARIO ESTIMADO"/>
    <tableColumn id="6" xr3:uid="{70A3D66A-72BB-48E4-83A5-2A44FF642C36}" name="MONTO TOTAL ESTIMADO">
      <calculatedColumnFormula>INDIRECT(ADDRESS(ROW(),COLUMN()-2,4))*INDIRECT(ADDRESS(ROW(),COLUMN()-1,4))</calculatedColumnFormula>
    </tableColumn>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8BC74F50-9E38-4047-8DCE-CD540451413A}" name="Table265" displayName="Table265" ref="A3056:F3057" totalsRowShown="0">
  <tableColumns count="6">
    <tableColumn id="1" xr3:uid="{1244DCF4-9FFB-493E-BD51-7152F36D847A}" name="CÓDIGO CATÁLOGO"/>
    <tableColumn id="2" xr3:uid="{B34D7E4C-51B9-436A-BF13-4C1519A1368A}" name="ARTÍCULO">
      <calculatedColumnFormula>IFERROR(INDEX(UNSPSCDes,MATCH(INDIRECT(ADDRESS(ROW(),COLUMN()-1,4)),UNSPSCCode,0)),IF(INDIRECT(ADDRESS(ROW(),COLUMN()-1,4))="25101801","Motocicletas",""))</calculatedColumnFormula>
    </tableColumn>
    <tableColumn id="3" xr3:uid="{97D59584-0207-4D29-88A8-DBCE8F92DD35}" name="UNIDAD DE MEDIDA">
      <calculatedColumnFormula>IFERROR(VLOOKUP("UD",'[1]Informacion '!P:Q,2,FALSE),"")</calculatedColumnFormula>
    </tableColumn>
    <tableColumn id="4" xr3:uid="{320EBA2A-EF26-4EA5-AA32-7B2C205E170E}" name="CANTIDAD TOTAL ESTIMADA"/>
    <tableColumn id="5" xr3:uid="{82BFC4E5-2BF5-4BE6-8DAB-87256CD3E8BD}" name="PRECIO UNITARIO ESTIMADO"/>
    <tableColumn id="6" xr3:uid="{AF1D11BD-27C2-4E7D-ADB7-BE520578B646}" name="MONTO TOTAL ESTIMADO">
      <calculatedColumnFormula>INDIRECT(ADDRESS(ROW(),COLUMN()-2,4))*INDIRECT(ADDRESS(ROW(),COLUMN()-1,4))</calculatedColumnFormula>
    </tableColumn>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94CB7781-6F17-4FA9-ABCD-7D4D44177B2C}" name="Table205" displayName="Table205" ref="A2510:F2512" totalsRowShown="0">
  <tableColumns count="6">
    <tableColumn id="1" xr3:uid="{DF296D5A-9436-4B70-970E-D756CB771F0B}" name="CÓDIGO CATÁLOGO"/>
    <tableColumn id="2" xr3:uid="{E3699EE6-9902-4783-8AE0-40DF6E36BAD1}" name="ARTÍCULO"/>
    <tableColumn id="3" xr3:uid="{5FE0B7A4-9621-4AAC-8FC9-0FADD662353D}" name="UNIDAD DE MEDIDA">
      <calculatedColumnFormula>IFERROR(VLOOKUP("UD",'[1]Informacion '!P:Q,2,FALSE),"")</calculatedColumnFormula>
    </tableColumn>
    <tableColumn id="4" xr3:uid="{47EC6F70-887C-49B6-A1B8-C3A223AA9656}" name="CANTIDAD TOTAL ESTIMADA"/>
    <tableColumn id="5" xr3:uid="{E37BFEDD-EEB0-4B50-85D6-D7D1B855C5E5}" name="PRECIO UNITARIO ESTIMADO"/>
    <tableColumn id="6" xr3:uid="{56F82EE2-B050-46D1-A846-C0C217E87A34}" name="MONTO TOTAL ESTIMADO">
      <calculatedColumnFormula>INDIRECT(ADDRESS(ROW(),COLUMN()-2,4))*INDIRECT(ADDRESS(ROW(),COLUMN()-1,4))</calculatedColumnFormula>
    </tableColumn>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505BEB60-2063-4AF0-99F8-D610C617C6AE}" name="Table73" displayName="Table73" ref="A766:F767" totalsRowShown="0">
  <tableColumns count="6">
    <tableColumn id="1" xr3:uid="{7EECD0C7-0F42-4053-A367-5A10D85457CF}" name="CÓDIGO CATÁLOGO"/>
    <tableColumn id="2" xr3:uid="{806A4A8D-A70A-42A4-861D-2194B9985ABA}" name="ARTÍCULO">
      <calculatedColumnFormula>IFERROR(INDEX(UNSPSCDes,MATCH(INDIRECT(ADDRESS(ROW(),COLUMN()-1,4)),UNSPSCCode,0)),IF(INDIRECT(ADDRESS(ROW(),COLUMN()-1,4))="55101509","Textos educacionales o vocacionales",""))</calculatedColumnFormula>
    </tableColumn>
    <tableColumn id="3" xr3:uid="{8FAD94AD-634D-4A19-AE89-D0BC7FF76503}" name="UNIDAD DE MEDIDA">
      <calculatedColumnFormula>IFERROR(VLOOKUP("UD",'[1]Informacion '!P:Q,2,FALSE),"")</calculatedColumnFormula>
    </tableColumn>
    <tableColumn id="4" xr3:uid="{209A0221-445D-4E75-8B0D-8F24101803D5}" name="CANTIDAD TOTAL ESTIMADA"/>
    <tableColumn id="5" xr3:uid="{C7811DE4-5585-4D99-8A8F-5E6ABA2C36C4}" name="PRECIO UNITARIO ESTIMADO"/>
    <tableColumn id="6" xr3:uid="{F144E041-9D55-4AF3-BD48-C9C035178F51}" name="MONTO TOTAL ESTIMADO">
      <calculatedColumnFormula>INDIRECT(ADDRESS(ROW(),COLUMN()-2,4))*INDIRECT(ADDRESS(ROW(),COLUMN()-1,4))</calculatedColumnFormula>
    </tableColumn>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F3065B85-98FE-42CC-93CB-94CDC2CD2953}" name="Table23" displayName="Table23" ref="A238:F239" totalsRowShown="0">
  <tableColumns count="6">
    <tableColumn id="1" xr3:uid="{F93BAE52-F1EC-4CDA-B190-C1FCE67067A6}" name="CÓDIGO CATÁLOGO"/>
    <tableColumn id="2" xr3:uid="{1EA2273B-4DBC-40BA-B1F0-8BE1F5258F09}" name="ARTÍCULO">
      <calculatedColumnFormula>IFERROR(INDEX(UNSPSCDes,MATCH(INDIRECT(ADDRESS(ROW(),COLUMN()-1,4)),UNSPSCCode,0)),IF(INDIRECT(ADDRESS(ROW(),COLUMN()-1,4))="81111510","Servicios de desarrollo de aplicaciones para servidores de internet / intranet",""))</calculatedColumnFormula>
    </tableColumn>
    <tableColumn id="3" xr3:uid="{47B8BE07-B02E-4C99-9F0F-F694CF9E4B5D}" name="UNIDAD DE MEDIDA">
      <calculatedColumnFormula>IFERROR(VLOOKUP("UD",'[1]Informacion '!P:Q,2,FALSE),"")</calculatedColumnFormula>
    </tableColumn>
    <tableColumn id="4" xr3:uid="{214A9599-EED8-4165-A033-3769A63A5C3F}" name="CANTIDAD TOTAL ESTIMADA"/>
    <tableColumn id="5" xr3:uid="{57C28C04-5A5C-431A-A750-030AD4FE52C3}" name="PRECIO UNITARIO ESTIMADO"/>
    <tableColumn id="6" xr3:uid="{CFF7A9A2-3B94-4096-9037-5FC95A2B78AE}" name="MONTO TOTAL ESTIMADO">
      <calculatedColumnFormula>INDIRECT(ADDRESS(ROW(),COLUMN()-2,4))*INDIRECT(ADDRESS(ROW(),COLUMN()-1,4))</calculatedColumnFormula>
    </tableColumn>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459BB22D-726B-4ADD-8AF4-1592DD8DE831}" name="Table197" displayName="Table197" ref="A2420:F2421" totalsRowShown="0">
  <tableColumns count="6">
    <tableColumn id="1" xr3:uid="{D02BD252-60DD-4531-AF22-05911784FBA8}" name="CÓDIGO CATÁLOGO"/>
    <tableColumn id="2" xr3:uid="{3E491139-971A-4B1D-8126-CB8932C3A7C3}" name="ARTÍCULO">
      <calculatedColumnFormula>IFERROR(INDEX(UNSPSCDes,MATCH(INDIRECT(ADDRESS(ROW(),COLUMN()-1,4)),UNSPSCCode,0)),IF(INDIRECT(ADDRESS(ROW(),COLUMN()-1,4))="43231512","Software de manejo de licencias",""))</calculatedColumnFormula>
    </tableColumn>
    <tableColumn id="3" xr3:uid="{1C4B64AD-3E50-4E1E-A24B-09D61C707825}" name="UNIDAD DE MEDIDA">
      <calculatedColumnFormula>IFERROR(VLOOKUP("UD",'[1]Informacion '!P:Q,2,FALSE),"")</calculatedColumnFormula>
    </tableColumn>
    <tableColumn id="4" xr3:uid="{35F7223F-ECBA-43BE-9B41-89379F319E41}" name="CANTIDAD TOTAL ESTIMADA"/>
    <tableColumn id="5" xr3:uid="{B3C7FA3E-7685-47E6-A86E-3C311A1EDC5F}" name="PRECIO UNITARIO ESTIMADO"/>
    <tableColumn id="6" xr3:uid="{BA52D4E5-B200-42F9-B8FB-FCDB35BEFF05}" name="MONTO TOTAL ESTIMADO">
      <calculatedColumnFormula>INDIRECT(ADDRESS(ROW(),COLUMN()-2,4))*INDIRECT(ADDRESS(ROW(),COLUMN()-1,4))</calculatedColumnFormula>
    </tableColumn>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A18109C-3AE1-47DC-ACF3-FEF421923F97}" name="Table48" displayName="Table48" ref="A514:F515" totalsRowShown="0">
  <tableColumns count="6">
    <tableColumn id="1" xr3:uid="{0ECE5400-3A7F-4306-B100-A3A1BF8341E1}" name="CÓDIGO CATÁLOGO"/>
    <tableColumn id="2" xr3:uid="{DEA4904C-2B0E-4E78-AD44-ECCBEDCF1F7E}" name="ARTÍCULO">
      <calculatedColumnFormula>IFERROR(INDEX(UNSPSCDes,MATCH(INDIRECT(ADDRESS(ROW(),COLUMN()-1,4)),UNSPSCCode,0)),IF(INDIRECT(ADDRESS(ROW(),COLUMN()-1,4))="10161707","Arreglo de flores cortadas",""))</calculatedColumnFormula>
    </tableColumn>
    <tableColumn id="3" xr3:uid="{F912584C-8E3B-4906-820D-0FBE6AA0B320}" name="UNIDAD DE MEDIDA"/>
    <tableColumn id="4" xr3:uid="{19327B42-E114-45E8-964A-DBFA68EC9C17}" name="CANTIDAD TOTAL ESTIMADA"/>
    <tableColumn id="5" xr3:uid="{7C9D1FD6-F36E-4E71-A25C-349CFCF3FCF5}" name="PRECIO UNITARIO ESTIMADO"/>
    <tableColumn id="6" xr3:uid="{5EA78982-C901-4AD5-9FA1-5BA49FAD427A}" name="MONTO TOTAL ESTIMADO">
      <calculatedColumnFormula>INDIRECT(ADDRESS(ROW(),COLUMN()-2,4))*INDIRECT(ADDRESS(ROW(),COLUMN()-1,4))</calculatedColumnFormula>
    </tableColumn>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211F36-CA7C-4269-8A00-3C80E1C9A1FC}" name="Table29" displayName="Table29" ref="A307:F309" totalsRowShown="0">
  <tableColumns count="6">
    <tableColumn id="1" xr3:uid="{34051CA3-ABEF-42E5-A056-487A70515069}" name="CÓDIGO CATÁLOGO"/>
    <tableColumn id="2" xr3:uid="{129E5A03-CB2C-4B11-AA34-6C7955CEE077}" name="ARTÍCULO"/>
    <tableColumn id="3" xr3:uid="{EF68FE0D-6437-4A09-B566-63BBFA9B5990}" name="UNIDAD DE MEDIDA">
      <calculatedColumnFormula>IFERROR(VLOOKUP("UD",'[1]Informacion '!P:Q,2,FALSE),"")</calculatedColumnFormula>
    </tableColumn>
    <tableColumn id="4" xr3:uid="{C771990F-782C-465C-BF8A-DE0B9C92D5B8}" name="CANTIDAD TOTAL ESTIMADA"/>
    <tableColumn id="5" xr3:uid="{DA95CA24-62B6-497C-A54A-A04F8C83357E}" name="PRECIO UNITARIO ESTIMADO"/>
    <tableColumn id="6" xr3:uid="{98C39085-72A5-43F9-943E-FCDD4324C004}" name="MONTO TOTAL ESTIMADO">
      <calculatedColumnFormula>INDIRECT(ADDRESS(ROW(),COLUMN()-2,4))*INDIRECT(ADDRESS(ROW(),COLUMN()-1,4))</calculatedColumnFormula>
    </tableColumn>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A06D5566-25F1-4F72-8EB9-BC4B1931FF35}" name="Table259" displayName="Table259" ref="A2989:F2990" totalsRowShown="0">
  <tableColumns count="6">
    <tableColumn id="1" xr3:uid="{E703ABD5-5524-44CE-8EE8-98E55268E485}" name="CÓDIGO CATÁLOGO"/>
    <tableColumn id="2" xr3:uid="{8DF8DC24-5D93-48EF-A92E-2FD2DF4B4B2F}" name="ARTÍCULO">
      <calculatedColumnFormula>IFERROR(INDEX(UNSPSCDes,MATCH(INDIRECT(ADDRESS(ROW(),COLUMN()-1,4)),UNSPSCCode,0)),IF(INDIRECT(ADDRESS(ROW(),COLUMN()-1,4))="91111502","Servicios de lavandería",""))</calculatedColumnFormula>
    </tableColumn>
    <tableColumn id="3" xr3:uid="{56FF89D8-5CC3-4920-9973-553B2008746F}" name="UNIDAD DE MEDIDA">
      <calculatedColumnFormula>IFERROR(VLOOKUP("UD",'[1]Informacion '!P:Q,2,FALSE),"")</calculatedColumnFormula>
    </tableColumn>
    <tableColumn id="4" xr3:uid="{494928D2-C332-4C68-8339-D5ACED405781}" name="CANTIDAD TOTAL ESTIMADA"/>
    <tableColumn id="5" xr3:uid="{725E5F62-1AD0-4245-B995-052FA5FD77D2}" name="PRECIO UNITARIO ESTIMADO"/>
    <tableColumn id="6" xr3:uid="{5C398117-52BA-468E-9AB6-5ADC948A0F28}"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71A7C8F-E3EE-4A86-8857-4A4BBC284352}" name="Table117" displayName="Table117" ref="A1339:F1344" totalsRowShown="0">
  <tableColumns count="6">
    <tableColumn id="1" xr3:uid="{38A89160-D035-416C-9F36-0C94396545AA}" name="CÓDIGO CATÁLOGO"/>
    <tableColumn id="2" xr3:uid="{E41FC7EE-B708-411E-9825-5411FFC70232}" name="ARTÍCULO"/>
    <tableColumn id="3" xr3:uid="{0B522B95-268E-467D-988F-AB1A7785D509}" name="UNIDAD DE MEDIDA">
      <calculatedColumnFormula>IFERROR(VLOOKUP("UD",'[1]Informacion '!P:Q,2,FALSE),"")</calculatedColumnFormula>
    </tableColumn>
    <tableColumn id="4" xr3:uid="{2A29CF05-99A5-4D7D-8E82-42A07CF3769E}" name="CANTIDAD TOTAL ESTIMADA"/>
    <tableColumn id="5" xr3:uid="{F5670459-0E0A-4D28-B931-55F71CBB2888}" name="PRECIO UNITARIO ESTIMADO"/>
    <tableColumn id="6" xr3:uid="{B7DFC69C-472A-4810-AE52-8CFAD6CB1AF2}" name="MONTO TOTAL ESTIMADO">
      <calculatedColumnFormula>INDIRECT(ADDRESS(ROW(),COLUMN()-2,4))*INDIRECT(ADDRESS(ROW(),COLUMN()-1,4))</calculatedColumnFormula>
    </tableColumn>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52C874A0-3CC0-471A-95A9-0B02C5FDC79A}" name="Table105" displayName="Table105" ref="A1207:F1208" totalsRowShown="0">
  <tableColumns count="6">
    <tableColumn id="1" xr3:uid="{3296627F-2CCA-4CFD-880D-750A5A960966}" name="CÓDIGO CATÁLOGO"/>
    <tableColumn id="2" xr3:uid="{9A2ED800-997D-45AE-ACA5-FAF05F95AB7A}" name="ARTÍCULO">
      <calculatedColumnFormula>IFERROR(INDEX(UNSPSCDes,MATCH(INDIRECT(ADDRESS(ROW(),COLUMN()-1,4)),UNSPSCCode,0)),IF(INDIRECT(ADDRESS(ROW(),COLUMN()-1,4))="15101505","Combustible diesel",""))</calculatedColumnFormula>
    </tableColumn>
    <tableColumn id="3" xr3:uid="{C8BE2C78-4DFB-415D-A5A4-5DE30DCE11B9}" name="UNIDAD DE MEDIDA">
      <calculatedColumnFormula>IFERROR(VLOOKUP("UD",'[1]Informacion '!P:Q,2,FALSE),"")</calculatedColumnFormula>
    </tableColumn>
    <tableColumn id="4" xr3:uid="{AE20C0D0-F146-401A-AA0B-56C6FF4D49F0}" name="CANTIDAD TOTAL ESTIMADA"/>
    <tableColumn id="5" xr3:uid="{E64152D3-F549-4700-A05F-3CF792F6591A}" name="PRECIO UNITARIO ESTIMADO"/>
    <tableColumn id="6" xr3:uid="{B779EB6B-26BE-496B-81A5-42D18746E790}" name="MONTO TOTAL ESTIMADO">
      <calculatedColumnFormula>INDIRECT(ADDRESS(ROW(),COLUMN()-2,4))*INDIRECT(ADDRESS(ROW(),COLUMN()-1,4))</calculatedColumnFormula>
    </tableColumn>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76727A5F-794C-4844-ACE8-8979F0AD5EAE}" name="Table207" displayName="Table207" ref="A2534:F2535" totalsRowShown="0">
  <tableColumns count="6">
    <tableColumn id="1" xr3:uid="{1220EFF3-D335-45B6-9837-FEB6D7933872}" name="CÓDIGO CATÁLOGO"/>
    <tableColumn id="2" xr3:uid="{31A866DA-1E58-4781-A9A4-DB7673BE188C}" name="ARTÍCULO">
      <calculatedColumnFormula>IFERROR(INDEX(UNSPSCDes,MATCH(INDIRECT(ADDRESS(ROW(),COLUMN()-1,4)),UNSPSCCode,0)),IF(INDIRECT(ADDRESS(ROW(),COLUMN()-1,4))="81101505","Ingeniería estructural",""))</calculatedColumnFormula>
    </tableColumn>
    <tableColumn id="3" xr3:uid="{2F60585B-E334-4F1E-89B5-36E8462B2543}" name="UNIDAD DE MEDIDA">
      <calculatedColumnFormula>IFERROR(VLOOKUP("UD",'[1]Informacion '!P:Q,2,FALSE),"")</calculatedColumnFormula>
    </tableColumn>
    <tableColumn id="4" xr3:uid="{546D18F3-65C2-4732-83A8-6BC346EC3DE2}" name="CANTIDAD TOTAL ESTIMADA"/>
    <tableColumn id="5" xr3:uid="{3D54053A-47A5-4892-9CB3-4DC509362F03}" name="PRECIO UNITARIO ESTIMADO"/>
    <tableColumn id="6" xr3:uid="{68D7C6B2-F2D9-4D73-AEA1-BE1BED84D38E}" name="MONTO TOTAL ESTIMADO">
      <calculatedColumnFormula>INDIRECT(ADDRESS(ROW(),COLUMN()-2,4))*INDIRECT(ADDRESS(ROW(),COLUMN()-1,4))</calculatedColumnFormula>
    </tableColumn>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86C66281-17CD-4162-BAFA-D2FA0B286CFB}" name="Table169" displayName="Table169" ref="A2090:F2092" totalsRowShown="0">
  <tableColumns count="6">
    <tableColumn id="1" xr3:uid="{CD6DAF58-D70D-472D-9E55-A53CDA15D57E}" name="CÓDIGO CATÁLOGO"/>
    <tableColumn id="2" xr3:uid="{5F4A8A32-E1E2-445B-8753-089BE0510D74}" name="ARTÍCULO"/>
    <tableColumn id="3" xr3:uid="{B2F76AC7-F97A-4C9D-84F8-CBAA9E2E19A0}" name="UNIDAD DE MEDIDA">
      <calculatedColumnFormula>IFERROR(VLOOKUP("UD",'[1]Informacion '!P:Q,2,FALSE),"")</calculatedColumnFormula>
    </tableColumn>
    <tableColumn id="4" xr3:uid="{14708EA6-0BBE-4B91-B435-42C4E01F0287}" name="CANTIDAD TOTAL ESTIMADA"/>
    <tableColumn id="5" xr3:uid="{B8BB8A9B-5D20-4DC1-9528-A0A2195584B7}" name="PRECIO UNITARIO ESTIMADO"/>
    <tableColumn id="6" xr3:uid="{4438CE61-86A5-495E-B922-D72D109052C2}" name="MONTO TOTAL ESTIMADO">
      <calculatedColumnFormula>INDIRECT(ADDRESS(ROW(),COLUMN()-2,4))*INDIRECT(ADDRESS(ROW(),COLUMN()-1,4))</calculatedColumnFormula>
    </tableColumn>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94443FE1-9B1B-4768-9679-4CDB79E2A809}" name="Table174" displayName="Table174" ref="A2153:F2154" totalsRowShown="0">
  <tableColumns count="6">
    <tableColumn id="1" xr3:uid="{CA0FB8CE-AAC3-4D31-8764-8185D43FBCEA}" name="CÓDIGO CATÁLOGO"/>
    <tableColumn id="2" xr3:uid="{4130C40F-8A37-4185-B7B1-B379ED5EA888}" name="ARTÍCULO">
      <calculatedColumnFormula>IFERROR(INDEX(UNSPSCDes,MATCH(INDIRECT(ADDRESS(ROW(),COLUMN()-1,4)),UNSPSCCode,0)),IF(INDIRECT(ADDRESS(ROW(),COLUMN()-1,4))="72102403","Servicios de revestimientos de muros",""))</calculatedColumnFormula>
    </tableColumn>
    <tableColumn id="3" xr3:uid="{06448CF6-108D-47E2-A41B-0C5E7BC18B4B}" name="UNIDAD DE MEDIDA">
      <calculatedColumnFormula>IFERROR(VLOOKUP("UD",'[1]Informacion '!P:Q,2,FALSE),"")</calculatedColumnFormula>
    </tableColumn>
    <tableColumn id="4" xr3:uid="{08178658-206F-4822-B882-E0FC0DC0A1BD}" name="CANTIDAD TOTAL ESTIMADA"/>
    <tableColumn id="5" xr3:uid="{3A81FC48-BAE7-4B77-B733-AA6F4085DF07}" name="PRECIO UNITARIO ESTIMADO"/>
    <tableColumn id="6" xr3:uid="{87FF3B17-4100-4204-BC40-8A25C959D8DB}" name="MONTO TOTAL ESTIMADO">
      <calculatedColumnFormula>INDIRECT(ADDRESS(ROW(),COLUMN()-2,4))*INDIRECT(ADDRESS(ROW(),COLUMN()-1,4))</calculatedColumnFormula>
    </tableColumn>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3ADAAADE-0C9F-4D6D-AFA8-4AF3D62BF92E}" name="Table182" displayName="Table182" ref="A2246:F2249" totalsRowShown="0">
  <tableColumns count="6">
    <tableColumn id="1" xr3:uid="{F7F96A25-3D65-4016-8F17-2507536DE2E7}" name="CÓDIGO CATÁLOGO"/>
    <tableColumn id="2" xr3:uid="{E664E2C6-C492-419C-B01C-605FE7CFF295}" name="ARTÍCULO"/>
    <tableColumn id="3" xr3:uid="{0AE32857-CC7A-46C0-B717-2598589DD4C6}" name="UNIDAD DE MEDIDA">
      <calculatedColumnFormula>IFERROR(VLOOKUP("UD",'[1]Informacion '!P:Q,2,FALSE),"")</calculatedColumnFormula>
    </tableColumn>
    <tableColumn id="4" xr3:uid="{518F83BB-204C-4A38-BC4A-E0A5EE94E5AF}" name="CANTIDAD TOTAL ESTIMADA"/>
    <tableColumn id="5" xr3:uid="{07B5FF66-82C6-419B-9E95-6C88F52B0BE0}" name="PRECIO UNITARIO ESTIMADO"/>
    <tableColumn id="6" xr3:uid="{59FEBA48-9C19-45E7-AAA1-D656D7592514}" name="MONTO TOTAL ESTIMADO">
      <calculatedColumnFormula>INDIRECT(ADDRESS(ROW(),COLUMN()-2,4))*INDIRECT(ADDRESS(ROW(),COLUMN()-1,4))</calculatedColumnFormula>
    </tableColumn>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318C181F-0CE2-4120-B4AF-536E45427D15}" name="Table165" displayName="Table165" ref="A2040:F2042" totalsRowShown="0">
  <tableColumns count="6">
    <tableColumn id="1" xr3:uid="{CB94827D-BC07-43F8-AE88-91B1BF9AFE16}" name="CÓDIGO CATÁLOGO"/>
    <tableColumn id="2" xr3:uid="{4AADC8B8-CD94-47DC-8999-9352EE74E88E}" name="ARTÍCULO"/>
    <tableColumn id="3" xr3:uid="{5EACF7A6-51FA-4311-BDF7-A490F83E971D}" name="UNIDAD DE MEDIDA">
      <calculatedColumnFormula>IFERROR(VLOOKUP("UD",'[1]Informacion '!P:Q,2,FALSE),"")</calculatedColumnFormula>
    </tableColumn>
    <tableColumn id="4" xr3:uid="{B5FF1E7A-9364-4692-AA52-96E623EA443F}" name="CANTIDAD TOTAL ESTIMADA"/>
    <tableColumn id="5" xr3:uid="{0C8CE277-27E1-46FA-BDB0-3BA2D8D7C8CD}" name="PRECIO UNITARIO ESTIMADO"/>
    <tableColumn id="6" xr3:uid="{960C820E-F24C-4339-AE90-42A272DFF8FC}" name="MONTO TOTAL ESTIMADO">
      <calculatedColumnFormula>INDIRECT(ADDRESS(ROW(),COLUMN()-2,4))*INDIRECT(ADDRESS(ROW(),COLUMN()-1,4))</calculatedColumnFormula>
    </tableColumn>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F7AED0C8-956B-48EB-97C8-FEDA7CE3E6BF}" name="Table225" displayName="Table225" ref="A2703:F2704" totalsRowShown="0">
  <tableColumns count="6">
    <tableColumn id="1" xr3:uid="{CE88B03A-E678-456B-AD8B-9782BB6D7ACE}" name="CÓDIGO CATÁLOGO"/>
    <tableColumn id="2" xr3:uid="{586E2ED7-99E6-46B3-8195-6064298BA721}" name="ARTÍCULO">
      <calculatedColumnFormula>IFERROR(INDEX(UNSPSCDes,MATCH(INDIRECT(ADDRESS(ROW(),COLUMN()-1,4)),UNSPSCCode,0)),IF(INDIRECT(ADDRESS(ROW(),COLUMN()-1,4))="72101508","Servicio de limpieza de pisos",""))</calculatedColumnFormula>
    </tableColumn>
    <tableColumn id="3" xr3:uid="{018FADD6-6229-4C7B-8D69-D1006995431A}" name="UNIDAD DE MEDIDA">
      <calculatedColumnFormula>IFERROR(VLOOKUP("UD",'[1]Informacion '!P:Q,2,FALSE),"")</calculatedColumnFormula>
    </tableColumn>
    <tableColumn id="4" xr3:uid="{B9912FD3-EE01-43ED-88C1-7A03D6F3C67C}" name="CANTIDAD TOTAL ESTIMADA"/>
    <tableColumn id="5" xr3:uid="{58B2890D-9E3F-4ABE-9ED9-17B1D386A062}" name="PRECIO UNITARIO ESTIMADO"/>
    <tableColumn id="6" xr3:uid="{7119410E-E37B-4905-A7E4-3D3867B0EFB8}" name="MONTO TOTAL ESTIMADO">
      <calculatedColumnFormula>INDIRECT(ADDRESS(ROW(),COLUMN()-2,4))*INDIRECT(ADDRESS(ROW(),COLUMN()-1,4))</calculatedColumnFormula>
    </tableColumn>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7804CFE0-6C47-4E2B-A6D7-6F03D4A28940}" name="Table70" displayName="Table70" ref="A732:F733" totalsRowShown="0">
  <tableColumns count="6">
    <tableColumn id="1" xr3:uid="{F4857263-AF6A-4035-B312-3B17B8097265}" name="CÓDIGO CATÁLOGO"/>
    <tableColumn id="2" xr3:uid="{92D0CEA1-EEDE-43D2-BB3D-E018E4CB2EF1}" name="ARTÍCULO">
      <calculatedColumnFormula>IFERROR(INDEX(UNSPSCDes,MATCH(INDIRECT(ADDRESS(ROW(),COLUMN()-1,4)),UNSPSCCode,0)),IF(INDIRECT(ADDRESS(ROW(),COLUMN()-1,4))="55101504","Periódicos",""))</calculatedColumnFormula>
    </tableColumn>
    <tableColumn id="3" xr3:uid="{4B5C0DA5-1BBA-4F64-A210-B5F169376A7A}" name="UNIDAD DE MEDIDA">
      <calculatedColumnFormula>IFERROR(VLOOKUP("UD",'[1]Informacion '!P:Q,2,FALSE),"")</calculatedColumnFormula>
    </tableColumn>
    <tableColumn id="4" xr3:uid="{19C899A2-028D-4136-AEAB-976F6F0EB888}" name="CANTIDAD TOTAL ESTIMADA"/>
    <tableColumn id="5" xr3:uid="{D86B3469-1F3F-44CA-8503-A934E48D142C}" name="PRECIO UNITARIO ESTIMADO"/>
    <tableColumn id="6" xr3:uid="{0F23E406-29FC-433D-A6DD-8A4C4FBC77E8}" name="MONTO TOTAL ESTIMADO">
      <calculatedColumnFormula>INDIRECT(ADDRESS(ROW(),COLUMN()-2,4))*INDIRECT(ADDRESS(ROW(),COLUMN()-1,4))</calculatedColumnFormula>
    </tableColumn>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71A083FC-C87C-4445-9A80-CAD6ABDBA46F}" name="Table256" displayName="Table256" ref="A2956:F2957" totalsRowShown="0">
  <tableColumns count="6">
    <tableColumn id="1" xr3:uid="{18500E46-7568-432F-9A50-38EE7635EE5A}" name="CÓDIGO CATÁLOGO"/>
    <tableColumn id="2" xr3:uid="{D6A41DFA-8A9F-42B4-8B54-11032E8531B9}" name="ARTÍCULO">
      <calculatedColumnFormula>IFERROR(INDEX(UNSPSCDes,MATCH(INDIRECT(ADDRESS(ROW(),COLUMN()-1,4)),UNSPSCCode,0)),IF(INDIRECT(ADDRESS(ROW(),COLUMN()-1,4))="72102103","Servicios de exterminación o fumigación",""))</calculatedColumnFormula>
    </tableColumn>
    <tableColumn id="3" xr3:uid="{E65E9AD1-C17E-40F3-9240-25BA96477D0F}" name="UNIDAD DE MEDIDA">
      <calculatedColumnFormula>IFERROR(VLOOKUP("UD",'[1]Informacion '!P:Q,2,FALSE),"")</calculatedColumnFormula>
    </tableColumn>
    <tableColumn id="4" xr3:uid="{1914E4F6-9372-4C01-88BB-B6B1056EB531}" name="CANTIDAD TOTAL ESTIMADA"/>
    <tableColumn id="5" xr3:uid="{82A71B25-A3BE-4A3E-B2F7-A96FC8A11D50}" name="PRECIO UNITARIO ESTIMADO"/>
    <tableColumn id="6" xr3:uid="{C9738542-A740-48D4-928A-93098CD0D1E4}" name="MONTO TOTAL ESTIMADO">
      <calculatedColumnFormula>INDIRECT(ADDRESS(ROW(),COLUMN()-2,4))*INDIRECT(ADDRESS(ROW(),COLUMN()-1,4))</calculatedColumnFormula>
    </tableColumn>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711C8465-D925-4D65-8223-33B59E5A9749}" name="Table72" displayName="Table72" ref="A754:F756" totalsRowShown="0">
  <tableColumns count="6">
    <tableColumn id="1" xr3:uid="{4B9179CB-4E29-4285-9441-9EADB0D03ECD}" name="CÓDIGO CATÁLOGO"/>
    <tableColumn id="2" xr3:uid="{ADBF2558-77A7-4F2E-A45E-7910D1684DB0}" name="ARTÍCULO"/>
    <tableColumn id="3" xr3:uid="{5D63CB07-AFCD-4A2D-86FC-F5CBE0BA3131}" name="UNIDAD DE MEDIDA">
      <calculatedColumnFormula>IFERROR(VLOOKUP("UD",'[1]Informacion '!P:Q,2,FALSE),"")</calculatedColumnFormula>
    </tableColumn>
    <tableColumn id="4" xr3:uid="{DE4FDEC4-89F7-4C6F-8B14-7741E0C8D773}" name="CANTIDAD TOTAL ESTIMADA"/>
    <tableColumn id="5" xr3:uid="{3A406937-5768-4282-BBAE-BFF12D87279C}" name="PRECIO UNITARIO ESTIMADO"/>
    <tableColumn id="6" xr3:uid="{AD624551-4A6F-493C-AD8C-9578B583A8A1}"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70503E9-5F30-4ACA-8042-2C5CF2B2F302}" name="Table28" displayName="Table28" ref="A295:F297" totalsRowShown="0">
  <tableColumns count="6">
    <tableColumn id="1" xr3:uid="{1B2AE3A6-DABE-4A5B-A7E7-53428EE02C02}" name="CÓDIGO CATÁLOGO"/>
    <tableColumn id="2" xr3:uid="{752031DD-DF58-434F-8614-9A30EA8DFBF7}" name="ARTÍCULO">
      <calculatedColumnFormula>IFERROR(INDEX(UNSPSCDes,MATCH(INDIRECT(ADDRESS(ROW(),COLUMN()-1,4)),UNSPSCCode,0)),IF(INDIRECT(ADDRESS(ROW(),COLUMN()-1,4))="60106004","Recursos o guías de proyectos o actividades de economía doméstica",""))</calculatedColumnFormula>
    </tableColumn>
    <tableColumn id="3" xr3:uid="{F253CB26-3BB0-4106-858C-F45CFBCD6123}" name="UNIDAD DE MEDIDA">
      <calculatedColumnFormula>IFERROR(VLOOKUP("UD",'[1]Informacion '!P:Q,2,FALSE),"")</calculatedColumnFormula>
    </tableColumn>
    <tableColumn id="4" xr3:uid="{DEEF82DE-3C33-43AC-AEB9-4FEA0EF86E97}" name="CANTIDAD TOTAL ESTIMADA"/>
    <tableColumn id="5" xr3:uid="{D278E4BC-4656-4FDD-95EF-00804C7C2BAC}" name="PRECIO UNITARIO ESTIMADO"/>
    <tableColumn id="6" xr3:uid="{9A413C77-0D9A-478D-AA48-44486C103C6A}" name="MONTO TOTAL ESTIMADO">
      <calculatedColumnFormula>INDIRECT(ADDRESS(ROW(),COLUMN()-2,4))*INDIRECT(ADDRESS(ROW(),COLUMN()-1,4))</calculatedColumnFormula>
    </tableColumn>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240A4C0A-70FF-4C1E-8C97-916273158513}" name="Table79" displayName="Table79" ref="A881:F882" totalsRowShown="0">
  <tableColumns count="6">
    <tableColumn id="1" xr3:uid="{E1CF490D-D748-4D8D-8299-EA468F2CEB99}" name="CÓDIGO CATÁLOGO"/>
    <tableColumn id="2" xr3:uid="{655493AD-84BE-4714-A7D7-D0E15803CDB7}" name="ARTÍCULO">
      <calculatedColumnFormula>IFERROR(INDEX(UNSPSCDes,MATCH(INDIRECT(ADDRESS(ROW(),COLUMN()-1,4)),UNSPSCCode,0)),IF(INDIRECT(ADDRESS(ROW(),COLUMN()-1,4))="85121902","Servicios farmacéuticos comerciales",""))</calculatedColumnFormula>
    </tableColumn>
    <tableColumn id="3" xr3:uid="{CB7EE2DF-0A1F-4DB5-B841-9E9E67523B70}" name="UNIDAD DE MEDIDA">
      <calculatedColumnFormula>IFERROR(VLOOKUP("UD",'[1]Informacion '!P:Q,2,FALSE),"")</calculatedColumnFormula>
    </tableColumn>
    <tableColumn id="4" xr3:uid="{9C1B59E8-3936-4901-B335-BC656EAEE2D4}" name="CANTIDAD TOTAL ESTIMADA"/>
    <tableColumn id="5" xr3:uid="{1EF3CFEA-1087-498E-8AFA-502D517E888E}" name="PRECIO UNITARIO ESTIMADO"/>
    <tableColumn id="6" xr3:uid="{11C70964-2B2B-4A2F-B6E3-F38C8B50C11B}" name="MONTO TOTAL ESTIMADO">
      <calculatedColumnFormula>INDIRECT(ADDRESS(ROW(),COLUMN()-2,4))*INDIRECT(ADDRESS(ROW(),COLUMN()-1,4))</calculatedColumnFormula>
    </tableColumn>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1B8805E3-A6CA-4209-B5B3-EBEF451FD3B7}" name="Table30" displayName="Table30" ref="A319:F322" totalsRowShown="0">
  <tableColumns count="6">
    <tableColumn id="1" xr3:uid="{ABDD2DDE-8151-4CC6-866F-720093809556}" name="CÓDIGO CATÁLOGO"/>
    <tableColumn id="2" xr3:uid="{9D9C40EF-FAE9-44DF-A030-8D1B4320DF6A}" name="ARTÍCULO"/>
    <tableColumn id="3" xr3:uid="{C768C5E6-9BBD-4CDE-8787-5021BB2ADEDA}" name="UNIDAD DE MEDIDA">
      <calculatedColumnFormula>IFERROR(VLOOKUP("UD",'[1]Informacion '!P:Q,2,FALSE),"")</calculatedColumnFormula>
    </tableColumn>
    <tableColumn id="4" xr3:uid="{D805FCFE-EEDD-4A50-9828-3B5F33C90FAE}" name="CANTIDAD TOTAL ESTIMADA"/>
    <tableColumn id="5" xr3:uid="{3C3AB7A9-7BB2-46FF-BD70-FFD10E72AB2C}" name="PRECIO UNITARIO ESTIMADO"/>
    <tableColumn id="6" xr3:uid="{8137B165-7F0A-4EC5-8C86-E33222810EAA}" name="MONTO TOTAL ESTIMADO">
      <calculatedColumnFormula>INDIRECT(ADDRESS(ROW(),COLUMN()-2,4))*INDIRECT(ADDRESS(ROW(),COLUMN()-1,4))</calculatedColumnFormula>
    </tableColumn>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77311678-15E2-45D0-AEBE-A9FBE1009912}" name="Table94" displayName="Table94" ref="A1057:F1059" totalsRowShown="0">
  <tableColumns count="6">
    <tableColumn id="1" xr3:uid="{DC0BCF83-1CD3-4EF9-B61F-774EEA261D6D}" name="CÓDIGO CATÁLOGO"/>
    <tableColumn id="2" xr3:uid="{06B73487-D7AB-42A4-A47F-4824FA3EA37E}" name="ARTÍCULO"/>
    <tableColumn id="3" xr3:uid="{2E024CA1-5BA4-4BC7-B8CF-2A08E40BB41E}" name="UNIDAD DE MEDIDA">
      <calculatedColumnFormula>IFERROR(VLOOKUP("UD",'[1]Informacion '!P:Q,2,FALSE),"")</calculatedColumnFormula>
    </tableColumn>
    <tableColumn id="4" xr3:uid="{86C1C598-8B05-487D-9D27-B6D5F4D68048}" name="CANTIDAD TOTAL ESTIMADA"/>
    <tableColumn id="5" xr3:uid="{7D282D99-8FFF-493E-B733-74514BE89E90}" name="PRECIO UNITARIO ESTIMADO"/>
    <tableColumn id="6" xr3:uid="{953521B3-5FE2-439C-A401-522080F7C345}" name="MONTO TOTAL ESTIMADO">
      <calculatedColumnFormula>INDIRECT(ADDRESS(ROW(),COLUMN()-2,4))*INDIRECT(ADDRESS(ROW(),COLUMN()-1,4))</calculatedColumnFormula>
    </tableColumn>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D44D9950-8739-4EDD-83BF-539D13630D50}" name="Table96" displayName="Table96" ref="A1080:F1081" totalsRowShown="0">
  <tableColumns count="6">
    <tableColumn id="1" xr3:uid="{3D169FA3-1519-4D09-A502-ED0445BB8D00}" name="CÓDIGO CATÁLOGO"/>
    <tableColumn id="2" xr3:uid="{FEB325A7-3C2A-4731-96D8-6F04FD658026}" name="ARTÍCULO">
      <calculatedColumnFormula>IFERROR(INDEX(UNSPSCDes,MATCH(INDIRECT(ADDRESS(ROW(),COLUMN()-1,4)),UNSPSCCode,0)),IF(INDIRECT(ADDRESS(ROW(),COLUMN()-1,4))="30161706","Pisos de baldosa o piedra",""))</calculatedColumnFormula>
    </tableColumn>
    <tableColumn id="3" xr3:uid="{52A9AA3D-676A-45B6-AAFB-620B93B3ABA6}" name="UNIDAD DE MEDIDA">
      <calculatedColumnFormula>IFERROR(VLOOKUP("UD",'[1]Informacion '!P:Q,2,FALSE),"")</calculatedColumnFormula>
    </tableColumn>
    <tableColumn id="4" xr3:uid="{3C05A533-04BB-4935-BF98-0AC97714A7C8}" name="CANTIDAD TOTAL ESTIMADA"/>
    <tableColumn id="5" xr3:uid="{5E134FB9-7849-4ECB-A180-F4E195D9FFB8}" name="PRECIO UNITARIO ESTIMADO"/>
    <tableColumn id="6" xr3:uid="{2FF2F349-2AFC-4554-B95E-C017B6C4D593}" name="MONTO TOTAL ESTIMADO">
      <calculatedColumnFormula>INDIRECT(ADDRESS(ROW(),COLUMN()-2,4))*INDIRECT(ADDRESS(ROW(),COLUMN()-1,4))</calculatedColumnFormula>
    </tableColumn>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D6C5BB58-D04A-4BF4-825D-9FE2F3B3DB68}" name="Table253" displayName="Table253" ref="A2919:F2924" totalsRowShown="0">
  <tableColumns count="6">
    <tableColumn id="1" xr3:uid="{B19E9F09-016D-490E-89C6-A25ABC74B3AE}" name="CÓDIGO CATÁLOGO"/>
    <tableColumn id="2" xr3:uid="{195918D7-5AA9-448F-9E8C-ADFB7F39400A}" name="ARTÍCULO"/>
    <tableColumn id="3" xr3:uid="{365DCE6E-9C1D-4020-8AD2-1C105D56EB0C}" name="UNIDAD DE MEDIDA">
      <calculatedColumnFormula>IFERROR(VLOOKUP("UD",'[1]Informacion '!P:Q,2,FALSE),"")</calculatedColumnFormula>
    </tableColumn>
    <tableColumn id="4" xr3:uid="{E3AC465B-5C66-421D-A4F2-C8BDA4E01D0C}" name="CANTIDAD TOTAL ESTIMADA"/>
    <tableColumn id="5" xr3:uid="{DC22AB64-8414-4E89-A50B-8A7DCFFE56DC}" name="PRECIO UNITARIO ESTIMADO"/>
    <tableColumn id="6" xr3:uid="{7D0D8733-953B-49D0-A0B3-7EB39BD13072}" name="MONTO TOTAL ESTIMADO">
      <calculatedColumnFormula>INDIRECT(ADDRESS(ROW(),COLUMN()-2,4))*INDIRECT(ADDRESS(ROW(),COLUMN()-1,4))</calculatedColumnFormula>
    </tableColumn>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D4553E0A-C15E-4D6D-A901-97C11C28D7D1}" name="Table215" displayName="Table215" ref="A2590:F2597" totalsRowShown="0">
  <tableColumns count="6">
    <tableColumn id="1" xr3:uid="{D5DD070E-E194-4509-AA12-3AC97901C746}" name="CÓDIGO CATÁLOGO"/>
    <tableColumn id="2" xr3:uid="{A3A70157-33B2-4606-91BE-AA7B313E15C1}" name="ARTÍCULO"/>
    <tableColumn id="3" xr3:uid="{A9E6A353-3E52-4010-AF43-A5603F76F4EC}" name="UNIDAD DE MEDIDA">
      <calculatedColumnFormula>IFERROR(VLOOKUP("UD",'[1]Informacion '!P:Q,2,FALSE),"")</calculatedColumnFormula>
    </tableColumn>
    <tableColumn id="4" xr3:uid="{C91D3FA7-F8CD-479D-94E0-6C5CF6B8AA0A}" name="CANTIDAD TOTAL ESTIMADA"/>
    <tableColumn id="5" xr3:uid="{B3B58080-11EC-460A-B697-43FF875C27AE}" name="PRECIO UNITARIO ESTIMADO"/>
    <tableColumn id="6" xr3:uid="{DAD9D5ED-9546-472A-B212-A405942CAF6E}" name="MONTO TOTAL ESTIMADO">
      <calculatedColumnFormula>INDIRECT(ADDRESS(ROW(),COLUMN()-2,4))*INDIRECT(ADDRESS(ROW(),COLUMN()-1,4))</calculatedColumnFormula>
    </tableColumn>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71305F19-5D83-48C9-A3E2-09AE452C8418}" name="Table337" displayName="Table337" ref="A3078:F3079" totalsRowShown="0">
  <autoFilter ref="A3078:F3079" xr:uid="{71305F19-5D83-48C9-A3E2-09AE452C8418}"/>
  <tableColumns count="6">
    <tableColumn id="1" xr3:uid="{9084054C-3254-4417-B991-4AE6D92100CC}" name="CÓDIGO CATÁLOGO"/>
    <tableColumn id="2" xr3:uid="{644B0626-64F1-4520-B23C-0FE7DE281CE4}" name="ARTÍCULO">
      <calculatedColumnFormula>IFERROR(INDEX(UNSPSCDes,MATCH(INDIRECT(ADDRESS(ROW(),COLUMN()-1,4)),UNSPSCCode,0)),"")</calculatedColumnFormula>
    </tableColumn>
    <tableColumn id="3" xr3:uid="{1EF8140F-211F-4A71-9AB7-9F7FFCC7BBE4}" name="UNIDAD DE MEDIDA"/>
    <tableColumn id="4" xr3:uid="{A0483AEA-9B23-4A49-99B8-9394DB0C9D82}" name="CANTIDAD TOTAL ESTIMADA"/>
    <tableColumn id="5" xr3:uid="{156145A0-9B71-436B-B598-A071088652EC}" name="PRECIO UNITARIO ESTIMADO"/>
    <tableColumn id="6" xr3:uid="{EA30DCEA-146A-4969-BFEE-4D2B1E4F29AD}" name="MONTO TOTAL ESTIMADO">
      <calculatedColumnFormula>INDIRECT(ADDRESS(ROW(),COLUMN()-2,4))*INDIRECT(ADDRESS(ROW(),COLUMN()-1,4))</calculatedColumnFormula>
    </tableColumn>
  </tableColumns>
  <tableStyleInfo name="None"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56DA8C7E-510E-493B-8EA9-C149041FF638}" name="Table35" displayName="Table35" ref="A3089:F3090" totalsRowShown="0">
  <autoFilter ref="A3089:F3090" xr:uid="{56DA8C7E-510E-493B-8EA9-C149041FF638}"/>
  <tableColumns count="6">
    <tableColumn id="1" xr3:uid="{DF11186D-4D38-4E49-9FF8-C403C30AC4D9}" name="CÓDIGO CATÁLOGO"/>
    <tableColumn id="2" xr3:uid="{62FBB95D-212E-46BD-9589-325569A61E0F}" name="ARTÍCULO">
      <calculatedColumnFormula>IFERROR(INDEX(UNSPSCDes,MATCH(INDIRECT(ADDRESS(ROW(),COLUMN()-1,4)),UNSPSCCode,0)),"")</calculatedColumnFormula>
    </tableColumn>
    <tableColumn id="3" xr3:uid="{5C8993A2-809E-4EA3-9CF1-899CCFB0EB73}" name="UNIDAD DE MEDIDA"/>
    <tableColumn id="4" xr3:uid="{6AA2D829-6DA1-48F9-8F7A-C036AA040D5C}" name="CANTIDAD TOTAL ESTIMADA"/>
    <tableColumn id="5" xr3:uid="{BAB5BDC4-D414-4D4A-97E9-DB8EED84888D}" name="PRECIO UNITARIO ESTIMADO"/>
    <tableColumn id="6" xr3:uid="{B946F4A6-7A6B-4218-9C43-73D91785D4CB}" name="MONTO TOTAL ESTIMADO">
      <calculatedColumnFormula>INDIRECT(ADDRESS(ROW(),COLUMN()-2,4))*INDIRECT(ADDRESS(ROW(),COLUMN()-1,4))</calculatedColumnFormula>
    </tableColumn>
  </tableColumns>
  <tableStyleInfo name="None"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A0039BBD-838F-4113-ACA3-1EF3B6EE3F5B}" name="Table36" displayName="Table36" ref="A3100:F3101" totalsRowShown="0">
  <autoFilter ref="A3100:F3101" xr:uid="{A0039BBD-838F-4113-ACA3-1EF3B6EE3F5B}"/>
  <tableColumns count="6">
    <tableColumn id="1" xr3:uid="{958497C8-557C-4514-9206-30B94507D999}" name="CÓDIGO CATÁLOGO"/>
    <tableColumn id="2" xr3:uid="{D85CB85A-98C7-493D-B70C-1CA3EFF90C68}" name="ARTÍCULO">
      <calculatedColumnFormula>IFERROR(INDEX(UNSPSCDes,MATCH(INDIRECT(ADDRESS(ROW(),COLUMN()-1,4)),UNSPSCCode,0)),"")</calculatedColumnFormula>
    </tableColumn>
    <tableColumn id="3" xr3:uid="{2FAC0AB3-1953-4162-80F6-6F6C84286A0F}" name="UNIDAD DE MEDIDA"/>
    <tableColumn id="4" xr3:uid="{58018CFA-53E1-4954-87E8-E84B699C98A1}" name="CANTIDAD TOTAL ESTIMADA"/>
    <tableColumn id="5" xr3:uid="{53ED5DAA-94FF-454B-8AEC-3823C4F5E7EA}" name="PRECIO UNITARIO ESTIMADO"/>
    <tableColumn id="6" xr3:uid="{024B4364-5191-49E7-A9FF-E4273C1FFD1A}" name="MONTO TOTAL ESTIMADO">
      <calculatedColumnFormula>INDIRECT(ADDRESS(ROW(),COLUMN()-2,4))*INDIRECT(ADDRESS(ROW(),COLUMN()-1,4))</calculatedColumnFormula>
    </tableColumn>
  </tableColumns>
  <tableStyleInfo name="None"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F0DFF032-86B6-4E61-9E14-CFBB7561A5F3}" name="Table336" displayName="Table336" ref="A3111:F3112" totalsRowShown="0">
  <autoFilter ref="A3111:F3112" xr:uid="{F0DFF032-86B6-4E61-9E14-CFBB7561A5F3}"/>
  <tableColumns count="6">
    <tableColumn id="1" xr3:uid="{67A9D293-4CF9-433E-BEBC-2730ECC16A1E}" name="CÓDIGO CATÁLOGO"/>
    <tableColumn id="2" xr3:uid="{24468EA4-674A-4C68-9672-0219F3664A82}" name="ARTÍCULO">
      <calculatedColumnFormula>IFERROR(INDEX(UNSPSCDes,MATCH(INDIRECT(ADDRESS(ROW(),COLUMN()-1,4)),UNSPSCCode,0)),"")</calculatedColumnFormula>
    </tableColumn>
    <tableColumn id="3" xr3:uid="{F2DE207B-6A17-4FE0-B8F0-4B987F5178FC}" name="UNIDAD DE MEDIDA"/>
    <tableColumn id="4" xr3:uid="{69D710FC-D7B3-4B5D-8C9B-A691076BC803}" name="CANTIDAD TOTAL ESTIMADA"/>
    <tableColumn id="5" xr3:uid="{8334D71E-0DC2-48DD-8B17-752EC050C62B}" name="PRECIO UNITARIO ESTIMADO"/>
    <tableColumn id="6" xr3:uid="{3BA11150-6643-4009-8FB2-5EE489C57441}"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900758D-6476-4432-8C53-D3B7A0B2EB69}" name="Table60" displayName="Table60" ref="A619:F620" totalsRowShown="0">
  <tableColumns count="6">
    <tableColumn id="1" xr3:uid="{3A83A936-E269-436C-8743-8943E3C3FAC7}" name="CÓDIGO CATÁLOGO"/>
    <tableColumn id="2" xr3:uid="{7FBBDFD4-F694-4126-AF27-518468E897C1}" name="ARTÍCULO">
      <calculatedColumnFormula>IFERROR(INDEX(UNSPSCDes,MATCH(INDIRECT(ADDRESS(ROW(),COLUMN()-1,4)),UNSPSCCode,0)),IF(INDIRECT(ADDRESS(ROW(),COLUMN()-1,4))="14111802","Recibos o libros de recibos",""))</calculatedColumnFormula>
    </tableColumn>
    <tableColumn id="3" xr3:uid="{F1C9503B-BFD4-43F4-8CCC-0A49F8486C42}" name="UNIDAD DE MEDIDA">
      <calculatedColumnFormula>IFERROR(VLOOKUP("UD",'[1]Informacion '!P:Q,2,FALSE),"")</calculatedColumnFormula>
    </tableColumn>
    <tableColumn id="4" xr3:uid="{226C320A-F809-466C-A89F-911C73A1F867}" name="CANTIDAD TOTAL ESTIMADA"/>
    <tableColumn id="5" xr3:uid="{2A5A0DA0-5BFD-4430-A716-3263CB69FAA7}" name="PRECIO UNITARIO ESTIMADO"/>
    <tableColumn id="6" xr3:uid="{53AEA8F3-13E4-45E1-BC5C-7F704E0C261B}" name="MONTO TOTAL ESTIMADO">
      <calculatedColumnFormula>INDIRECT(ADDRESS(ROW(),COLUMN()-2,4))*INDIRECT(ADDRESS(ROW(),COLUMN()-1,4))</calculatedColumnFormula>
    </tableColumn>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2D7B4F4-2204-4015-85B7-6C9A68E3203A}" name="Table351" displayName="Table351" ref="A3122:F3123" totalsRowShown="0">
  <autoFilter ref="A3122:F3123" xr:uid="{02D7B4F4-2204-4015-85B7-6C9A68E3203A}"/>
  <tableColumns count="6">
    <tableColumn id="1" xr3:uid="{60ADB0CF-5D8F-4276-BA7A-AF36EAC4CCEE}" name="CÓDIGO CATÁLOGO"/>
    <tableColumn id="2" xr3:uid="{B68654F1-960B-4AB9-B0D3-932A8046136A}" name="ARTÍCULO">
      <calculatedColumnFormula>IFERROR(INDEX(UNSPSCDes,MATCH(INDIRECT(ADDRESS(ROW(),COLUMN()-1,4)),UNSPSCCode,0)),"")</calculatedColumnFormula>
    </tableColumn>
    <tableColumn id="3" xr3:uid="{4F2039A3-982F-4C1C-A8EC-F5A752EA401D}" name="UNIDAD DE MEDIDA"/>
    <tableColumn id="4" xr3:uid="{14F2F456-8E7C-4D66-A939-E18314B2C9F2}" name="CANTIDAD TOTAL ESTIMADA"/>
    <tableColumn id="5" xr3:uid="{AFF324E2-BF82-497B-A248-0F775033E499}" name="PRECIO UNITARIO ESTIMADO"/>
    <tableColumn id="6" xr3:uid="{51DC4EAD-A1A2-4871-A2B2-6C180B20A320}" name="MONTO TOTAL ESTIMADO">
      <calculatedColumnFormula>INDIRECT(ADDRESS(ROW(),COLUMN()-2,4))*INDIRECT(ADDRESS(ROW(),COLUMN()-1,4))</calculatedColumnFormula>
    </tableColumn>
  </tableColumns>
  <tableStyleInfo name="None"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2BC2DD48-4A08-4320-B942-FD3F5AA093C5}" name="Table352" displayName="Table352" ref="A3133:F3134" totalsRowShown="0">
  <autoFilter ref="A3133:F3134" xr:uid="{2BC2DD48-4A08-4320-B942-FD3F5AA093C5}"/>
  <tableColumns count="6">
    <tableColumn id="1" xr3:uid="{1E3519D3-187B-42BE-A104-7C77DA5E069B}" name="CÓDIGO CATÁLOGO"/>
    <tableColumn id="2" xr3:uid="{261FEA5D-33E4-44F2-9B90-0459A4F02798}" name="ARTÍCULO">
      <calculatedColumnFormula>IFERROR(INDEX(UNSPSCDes,MATCH(INDIRECT(ADDRESS(ROW(),COLUMN()-1,4)),UNSPSCCode,0)),"")</calculatedColumnFormula>
    </tableColumn>
    <tableColumn id="3" xr3:uid="{9C70083F-45B3-4E3C-A783-2298595AA1EB}" name="UNIDAD DE MEDIDA"/>
    <tableColumn id="4" xr3:uid="{572B9BB3-A1B0-4824-B911-D6DAF402ADD4}" name="CANTIDAD TOTAL ESTIMADA"/>
    <tableColumn id="5" xr3:uid="{76CA9AF5-EB51-4B7A-A916-336DEBB96B66}" name="PRECIO UNITARIO ESTIMADO"/>
    <tableColumn id="6" xr3:uid="{DF6D4BC6-CD1B-4839-835E-64C99DE63A8E}" name="MONTO TOTAL ESTIMADO">
      <calculatedColumnFormula>INDIRECT(ADDRESS(ROW(),COLUMN()-2,4))*INDIRECT(ADDRESS(ROW(),COLUMN()-1,4))</calculatedColumnFormula>
    </tableColumn>
  </tableColumns>
  <tableStyleInfo name="None"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A376133D-B114-419B-AB02-8B3960F11E34}" name="Table358" displayName="Table358" ref="A3144:F3145" totalsRowShown="0">
  <autoFilter ref="A3144:F3145" xr:uid="{A376133D-B114-419B-AB02-8B3960F11E34}"/>
  <tableColumns count="6">
    <tableColumn id="1" xr3:uid="{0CBB534E-E834-413A-94EE-BF21B62A1AEB}" name="CÓDIGO CATÁLOGO"/>
    <tableColumn id="2" xr3:uid="{B8A6DEC9-E191-4933-B558-CEF9D36831BD}" name="ARTÍCULO">
      <calculatedColumnFormula>IFERROR(INDEX(UNSPSCDes,MATCH(INDIRECT(ADDRESS(ROW(),COLUMN()-1,4)),UNSPSCCode,0)),"")</calculatedColumnFormula>
    </tableColumn>
    <tableColumn id="3" xr3:uid="{21B25FF4-122F-4D60-800B-71C835BD392C}" name="UNIDAD DE MEDIDA"/>
    <tableColumn id="4" xr3:uid="{CD5C2DED-7BC1-4912-B913-5A8401EDEF0C}" name="CANTIDAD TOTAL ESTIMADA"/>
    <tableColumn id="5" xr3:uid="{244A2710-B0BD-474D-85E3-8272A057D98B}" name="PRECIO UNITARIO ESTIMADO"/>
    <tableColumn id="6" xr3:uid="{98B49FEF-6E5E-4EC7-9BB1-449E99B72780}" name="MONTO TOTAL ESTIMADO">
      <calculatedColumnFormula>INDIRECT(ADDRESS(ROW(),COLUMN()-2,4))*INDIRECT(ADDRESS(ROW(),COLUMN()-1,4))</calculatedColumnFormula>
    </tableColumn>
  </tableColumns>
  <tableStyleInfo name="None"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836F7E0C-B9AE-4B7C-841B-69637983A953}" name="Table3113" displayName="Table3113" ref="A3155:F3156" totalsRowShown="0">
  <autoFilter ref="A3155:F3156" xr:uid="{836F7E0C-B9AE-4B7C-841B-69637983A953}"/>
  <tableColumns count="6">
    <tableColumn id="1" xr3:uid="{4A569436-915B-4D69-B43A-A2C050B68042}" name="CÓDIGO CATÁLOGO"/>
    <tableColumn id="2" xr3:uid="{34D1C817-BAFD-445F-9369-5D86B32EBE44}" name="ARTÍCULO">
      <calculatedColumnFormula>IFERROR(INDEX(UNSPSCDes,MATCH(INDIRECT(ADDRESS(ROW(),COLUMN()-1,4)),UNSPSCCode,0)),"")</calculatedColumnFormula>
    </tableColumn>
    <tableColumn id="3" xr3:uid="{2CE93D43-5A58-43AB-B52B-8AA9DD0036D0}" name="UNIDAD DE MEDIDA"/>
    <tableColumn id="4" xr3:uid="{E6A62624-B120-4EA6-ACD4-D90D0C8D9B73}" name="CANTIDAD TOTAL ESTIMADA"/>
    <tableColumn id="5" xr3:uid="{D0820055-1EBD-409F-B42E-8FC111579DC0}" name="PRECIO UNITARIO ESTIMADO"/>
    <tableColumn id="6" xr3:uid="{C654AD56-0258-4119-924B-59AC8F40CAF1}" name="MONTO TOTAL ESTIMADO">
      <calculatedColumnFormula>INDIRECT(ADDRESS(ROW(),COLUMN()-2,4))*INDIRECT(ADDRESS(ROW(),COLUMN()-1,4))</calculatedColumnFormula>
    </tableColumn>
  </tableColumns>
  <tableStyleInfo name="None"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DD99373F-D401-4DAD-8D1C-A94C63EAFC99}" name="Table3143" displayName="Table3143" ref="A3166:F3170" totalsRowShown="0">
  <autoFilter ref="A3166:F3170" xr:uid="{DD99373F-D401-4DAD-8D1C-A94C63EAFC99}"/>
  <tableColumns count="6">
    <tableColumn id="1" xr3:uid="{9CB9DABA-F799-4EDB-B2C6-83887539DF22}" name="CÓDIGO CATÁLOGO"/>
    <tableColumn id="2" xr3:uid="{892942BF-63F2-404B-89AF-0F1674F834A5}" name="ARTÍCULO">
      <calculatedColumnFormula>IFERROR(INDEX(UNSPSCDes,MATCH(INDIRECT(ADDRESS(ROW(),COLUMN()-1,4)),UNSPSCCode,0)),"")</calculatedColumnFormula>
    </tableColumn>
    <tableColumn id="3" xr3:uid="{08CEF0A7-8891-445B-ACD6-A347CEFFA81E}" name="UNIDAD DE MEDIDA"/>
    <tableColumn id="4" xr3:uid="{43FBBE79-932B-41EC-B9C2-BDE5E6BD0417}" name="CANTIDAD TOTAL ESTIMADA"/>
    <tableColumn id="5" xr3:uid="{A1C9CD4D-F4E1-4CE9-9BE0-4E6E076D023D}" name="PRECIO UNITARIO ESTIMADO"/>
    <tableColumn id="6" xr3:uid="{7F8ED5CB-B386-4B1F-A233-1D21AE23E5EB}" name="MONTO TOTAL ESTIMADO">
      <calculatedColumnFormula>INDIRECT(ADDRESS(ROW(),COLUMN()-2,4))*INDIRECT(ADDRESS(ROW(),COLUMN()-1,4))</calculatedColumnFormula>
    </tableColumn>
  </tableColumns>
  <tableStyleInfo name="None"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924493C6-6FD3-4AF3-B7D7-F22CEC163B29}" name="Table3144" displayName="Table3144" ref="A3180:F3181" totalsRowShown="0">
  <autoFilter ref="A3180:F3181" xr:uid="{924493C6-6FD3-4AF3-B7D7-F22CEC163B29}"/>
  <tableColumns count="6">
    <tableColumn id="1" xr3:uid="{77E2965F-C16A-42CA-B20C-D2850B62F4A9}" name="CÓDIGO CATÁLOGO"/>
    <tableColumn id="2" xr3:uid="{1D62613D-D8FC-4AEB-A120-EE872283B8CE}" name="ARTÍCULO">
      <calculatedColumnFormula>IFERROR(INDEX(UNSPSCDes,MATCH(INDIRECT(ADDRESS(ROW(),COLUMN()-1,4)),UNSPSCCode,0)),"")</calculatedColumnFormula>
    </tableColumn>
    <tableColumn id="3" xr3:uid="{8D9CE6FF-D0A7-46B4-A971-D5924B2C1D27}" name="UNIDAD DE MEDIDA"/>
    <tableColumn id="4" xr3:uid="{0F433C84-C785-41D0-8437-3470C9BB02B6}" name="CANTIDAD TOTAL ESTIMADA"/>
    <tableColumn id="5" xr3:uid="{5A3E87AE-1BC6-43C4-BBB9-FC40D0AEFF1F}" name="PRECIO UNITARIO ESTIMADO"/>
    <tableColumn id="6" xr3:uid="{0EC0EA69-2789-4EEC-A15E-89C8941E2FBD}" name="MONTO TOTAL ESTIMADO">
      <calculatedColumnFormula>INDIRECT(ADDRESS(ROW(),COLUMN()-2,4))*INDIRECT(ADDRESS(ROW(),COLUMN()-1,4))</calculatedColumnFormula>
    </tableColumn>
  </tableColumns>
  <tableStyleInfo name="None"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E20DEAF2-922A-445C-A06D-307721D1DDBE}" name="Table3145" displayName="Table3145" ref="A3191:F3192" totalsRowShown="0">
  <autoFilter ref="A3191:F3192" xr:uid="{E20DEAF2-922A-445C-A06D-307721D1DDBE}"/>
  <tableColumns count="6">
    <tableColumn id="1" xr3:uid="{7F2AF6B5-AB32-4FEF-B591-FF4FA5651161}" name="CÓDIGO CATÁLOGO"/>
    <tableColumn id="2" xr3:uid="{99E6853E-1317-4E53-A1A2-669F64598809}" name="ARTÍCULO">
      <calculatedColumnFormula>IFERROR(INDEX(UNSPSCDes,MATCH(INDIRECT(ADDRESS(ROW(),COLUMN()-1,4)),UNSPSCCode,0)),"")</calculatedColumnFormula>
    </tableColumn>
    <tableColumn id="3" xr3:uid="{3E7DA66C-46CD-4539-AFED-70793EA5918E}" name="UNIDAD DE MEDIDA"/>
    <tableColumn id="4" xr3:uid="{DC48E77B-81B8-4208-8730-493A5A884463}" name="CANTIDAD TOTAL ESTIMADA"/>
    <tableColumn id="5" xr3:uid="{B88A07FB-5EFF-4C84-B289-A0209EE0B7B9}" name="PRECIO UNITARIO ESTIMADO"/>
    <tableColumn id="6" xr3:uid="{DF419DFE-C2BA-4B43-B154-169CBF74ABAF}" name="MONTO TOTAL ESTIMADO">
      <calculatedColumnFormula>INDIRECT(ADDRESS(ROW(),COLUMN()-2,4))*INDIRECT(ADDRESS(ROW(),COLUMN()-1,4))</calculatedColumnFormula>
    </tableColumn>
  </tableColumns>
  <tableStyleInfo name="None"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B1E0580E-53A8-4936-8CDA-6AED12AF287B}" name="Table3176" displayName="Table3176" ref="A3202:F3203" totalsRowShown="0">
  <autoFilter ref="A3202:F3203" xr:uid="{B1E0580E-53A8-4936-8CDA-6AED12AF287B}"/>
  <tableColumns count="6">
    <tableColumn id="1" xr3:uid="{CC368913-9E15-42E0-964D-20AAFB76A0B3}" name="CÓDIGO CATÁLOGO"/>
    <tableColumn id="2" xr3:uid="{558AF485-CC02-4A76-AA7F-952C11112E94}" name="ARTÍCULO">
      <calculatedColumnFormula>IFERROR(INDEX(UNSPSCDes,MATCH(INDIRECT(ADDRESS(ROW(),COLUMN()-1,4)),UNSPSCCode,0)),"")</calculatedColumnFormula>
    </tableColumn>
    <tableColumn id="3" xr3:uid="{FF96A025-3F75-455B-BCC3-ADF21A5B7A2B}" name="UNIDAD DE MEDIDA"/>
    <tableColumn id="4" xr3:uid="{0E0F26AD-0BFF-4F5E-870A-EDA5E06DB978}" name="CANTIDAD TOTAL ESTIMADA"/>
    <tableColumn id="5" xr3:uid="{BE0107F0-3AC0-403C-B4FF-067BF797B108}" name="PRECIO UNITARIO ESTIMADO"/>
    <tableColumn id="6" xr3:uid="{31AD19B1-7672-4A40-9047-C472E43E0F42}" name="MONTO TOTAL ESTIMADO">
      <calculatedColumnFormula>INDIRECT(ADDRESS(ROW(),COLUMN()-2,4))*INDIRECT(ADDRESS(ROW(),COLUMN()-1,4))</calculatedColumnFormula>
    </tableColumn>
  </tableColumns>
  <tableStyleInfo name="None"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6F33C5D2-E745-448B-A638-340B72C5329B}" name="Table3181" displayName="Table3181" ref="A3213:F3214" totalsRowShown="0">
  <autoFilter ref="A3213:F3214" xr:uid="{6F33C5D2-E745-448B-A638-340B72C5329B}"/>
  <tableColumns count="6">
    <tableColumn id="1" xr3:uid="{A09E7F1A-17E1-4591-B46A-24873DD5445A}" name="CÓDIGO CATÁLOGO"/>
    <tableColumn id="2" xr3:uid="{F785D0B9-FAAD-4503-BB57-1798730EBC40}" name="ARTÍCULO">
      <calculatedColumnFormula>IFERROR(INDEX(UNSPSCDes,MATCH(INDIRECT(ADDRESS(ROW(),COLUMN()-1,4)),UNSPSCCode,0)),"")</calculatedColumnFormula>
    </tableColumn>
    <tableColumn id="3" xr3:uid="{27DE892E-7418-466C-92F1-59812573D602}" name="UNIDAD DE MEDIDA"/>
    <tableColumn id="4" xr3:uid="{46F0A55F-E79C-413B-AC76-6C3881644AD0}" name="CANTIDAD TOTAL ESTIMADA"/>
    <tableColumn id="5" xr3:uid="{A14661F6-122C-4C34-B7DD-EC8FD5FBFAE7}" name="PRECIO UNITARIO ESTIMADO"/>
    <tableColumn id="6" xr3:uid="{20216D3F-13F4-4BB4-B609-1973C251069F}" name="MONTO TOTAL ESTIMADO">
      <calculatedColumnFormula>INDIRECT(ADDRESS(ROW(),COLUMN()-2,4))*INDIRECT(ADDRESS(ROW(),COLUMN()-1,4))</calculatedColumnFormula>
    </tableColumn>
  </tableColumns>
  <tableStyleInfo name="None"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856266D3-D4A6-40F6-BC0B-41DE9FD0B4D4}" name="Table3213" displayName="Table3213" ref="A3224:F3226" totalsRowShown="0">
  <autoFilter ref="A3224:F3226" xr:uid="{856266D3-D4A6-40F6-BC0B-41DE9FD0B4D4}"/>
  <tableColumns count="6">
    <tableColumn id="1" xr3:uid="{2546114D-4701-439C-9D1D-692C09AF62FD}" name="CÓDIGO CATÁLOGO"/>
    <tableColumn id="2" xr3:uid="{C629AD90-9753-4727-A031-A6DC9164C79A}" name="ARTÍCULO">
      <calculatedColumnFormula>IFERROR(INDEX(UNSPSCDes,MATCH(INDIRECT(ADDRESS(ROW(),COLUMN()-1,4)),UNSPSCCode,0)),"")</calculatedColumnFormula>
    </tableColumn>
    <tableColumn id="3" xr3:uid="{F0AE82FF-99EA-43EB-98E7-9AFF3BB01B63}" name="UNIDAD DE MEDIDA"/>
    <tableColumn id="4" xr3:uid="{1A1C8F63-2D1A-49B1-9102-9942D9979046}" name="CANTIDAD TOTAL ESTIMADA"/>
    <tableColumn id="5" xr3:uid="{2E6BA2B4-15F9-45A5-838F-576DB3A21616}" name="PRECIO UNITARIO ESTIMADO"/>
    <tableColumn id="6" xr3:uid="{9558A96F-1581-4191-8CB4-9E4A98D23007}"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3A93A18-9A06-4A10-AAD4-7914669C5ADA}" name="Table4" displayName="Table4" ref="A22:F23" totalsRowShown="0">
  <tableColumns count="6">
    <tableColumn id="1" xr3:uid="{E8749222-5D1B-4A32-A170-EF601B772145}" name="CÓDIGO CATÁLOGO"/>
    <tableColumn id="2" xr3:uid="{774F3BFC-951C-4C85-AEEA-C8CFD46608A8}" name="ARTÍCULO">
      <calculatedColumnFormula>IFERROR(INDEX(UNSPSCDes,MATCH(INDIRECT(ADDRESS(ROW(),COLUMN()-1,4)),UNSPSCCode,0)),IF(INDIRECT(ADDRESS(ROW(),COLUMN()-1,4))="76101502","Servicios de limpieza de baños",""))</calculatedColumnFormula>
    </tableColumn>
    <tableColumn id="3" xr3:uid="{24000808-1EFE-44D8-B28F-F778628D47DB}" name="UNIDAD DE MEDIDA">
      <calculatedColumnFormula>IFERROR(VLOOKUP("UD",'[1]Informacion '!P:Q,2,FALSE),"")</calculatedColumnFormula>
    </tableColumn>
    <tableColumn id="4" xr3:uid="{4EBCE846-7FC8-44D2-A0A5-FE7EA4314237}" name="CANTIDAD TOTAL ESTIMADA"/>
    <tableColumn id="5" xr3:uid="{51D5DF94-FB57-4632-B42A-2671EB953DA4}" name="PRECIO UNITARIO ESTIMADO"/>
    <tableColumn id="6" xr3:uid="{E14CE59B-8107-470C-ACFC-25971DD009F8}" name="MONTO TOTAL ESTIMADO">
      <calculatedColumnFormula>INDIRECT(ADDRESS(ROW(),COLUMN()-2,4))*INDIRECT(ADDRESS(ROW(),COLUMN()-1,4))</calculatedColumnFormula>
    </tableColumn>
  </tableColumns>
  <tableStyleInfo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AEEF4C16-AC83-4F0D-A1F8-4052956F69DB}" name="Table3214" displayName="Table3214" ref="A3236:F3241" totalsRowShown="0">
  <autoFilter ref="A3236:F3241" xr:uid="{AEEF4C16-AC83-4F0D-A1F8-4052956F69DB}"/>
  <tableColumns count="6">
    <tableColumn id="1" xr3:uid="{32E81120-A194-4E23-B0F1-E50235C1D780}" name="CÓDIGO CATÁLOGO"/>
    <tableColumn id="2" xr3:uid="{BFFADFE2-8012-4208-9634-453C338CAB6B}" name="ARTÍCULO">
      <calculatedColumnFormula>IFERROR(INDEX(UNSPSCDes,MATCH(INDIRECT(ADDRESS(ROW(),COLUMN()-1,4)),UNSPSCCode,0)),"")</calculatedColumnFormula>
    </tableColumn>
    <tableColumn id="3" xr3:uid="{2EA3636B-5CE9-4907-86DA-82A7632F4E70}" name="UNIDAD DE MEDIDA"/>
    <tableColumn id="4" xr3:uid="{30734EDF-79C1-4FC9-B3B6-FEBCEE257AB2}" name="CANTIDAD TOTAL ESTIMADA"/>
    <tableColumn id="5" xr3:uid="{10BF3B5B-AE21-48DC-ADB5-0252B4CA6012}" name="PRECIO UNITARIO ESTIMADO"/>
    <tableColumn id="6" xr3:uid="{500E707B-E1B4-4271-843E-8534A72AA68B}" name="MONTO TOTAL ESTIMADO">
      <calculatedColumnFormula>INDIRECT(ADDRESS(ROW(),COLUMN()-2,4))*INDIRECT(ADDRESS(ROW(),COLUMN()-1,4))</calculatedColumnFormula>
    </tableColumn>
  </tableColumns>
  <tableStyleInfo name="None"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F5BDD53C-A40E-4E5A-8953-2E33A6268187}" name="Table3215" displayName="Table3215" ref="A3251:F3258" totalsRowShown="0">
  <autoFilter ref="A3251:F3258" xr:uid="{F5BDD53C-A40E-4E5A-8953-2E33A6268187}"/>
  <tableColumns count="6">
    <tableColumn id="1" xr3:uid="{0AE256A1-5F1D-4346-AEA5-3012E90E0B4A}" name="CÓDIGO CATÁLOGO"/>
    <tableColumn id="2" xr3:uid="{4402BFB7-88DC-44F4-A2AE-52A3E162AFCD}" name="ARTÍCULO">
      <calculatedColumnFormula>IFERROR(INDEX(UNSPSCDes,MATCH(INDIRECT(ADDRESS(ROW(),COLUMN()-1,4)),UNSPSCCode,0)),"")</calculatedColumnFormula>
    </tableColumn>
    <tableColumn id="3" xr3:uid="{D858F922-2410-499A-9F8B-704D256930D3}" name="UNIDAD DE MEDIDA"/>
    <tableColumn id="4" xr3:uid="{6362E3A4-33A8-471D-99C8-1FB3E35C48A3}" name="CANTIDAD TOTAL ESTIMADA"/>
    <tableColumn id="5" xr3:uid="{943DB9DE-745E-4041-9D93-EEEAB623B79E}" name="PRECIO UNITARIO ESTIMADO"/>
    <tableColumn id="6" xr3:uid="{53925777-4C08-442F-A8B2-07BA86769D6F}" name="MONTO TOTAL ESTIMADO">
      <calculatedColumnFormula>INDIRECT(ADDRESS(ROW(),COLUMN()-2,4))*INDIRECT(ADDRESS(ROW(),COLUMN()-1,4))</calculatedColumnFormula>
    </tableColumn>
  </tableColumns>
  <tableStyleInfo name="None"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127800BC-2F42-42E4-B7EE-95880D0C46C5}" name="Table3221" displayName="Table3221" ref="A3268:F3275" totalsRowShown="0">
  <autoFilter ref="A3268:F3275" xr:uid="{127800BC-2F42-42E4-B7EE-95880D0C46C5}"/>
  <tableColumns count="6">
    <tableColumn id="1" xr3:uid="{EC6063BC-2124-4594-81B0-F83DAA2D0651}" name="CÓDIGO CATÁLOGO"/>
    <tableColumn id="2" xr3:uid="{99B630B5-5A49-4434-8D0F-3AEAA4AF1BA2}" name="ARTÍCULO">
      <calculatedColumnFormula>IFERROR(INDEX(UNSPSCDes,MATCH(INDIRECT(ADDRESS(ROW(),COLUMN()-1,4)),UNSPSCCode,0)),"")</calculatedColumnFormula>
    </tableColumn>
    <tableColumn id="3" xr3:uid="{6082E5B0-7925-4479-9615-293E35D7BFED}" name="UNIDAD DE MEDIDA"/>
    <tableColumn id="4" xr3:uid="{E832CEDA-E206-49A7-ACB1-887D29A189AA}" name="CANTIDAD TOTAL ESTIMADA"/>
    <tableColumn id="5" xr3:uid="{D61D01BA-F5EE-4933-9535-0820A100F1A3}" name="PRECIO UNITARIO ESTIMADO"/>
    <tableColumn id="6" xr3:uid="{6DC3B0E9-7A74-4694-874C-F0AFFDC290F8}" name="MONTO TOTAL ESTIMADO">
      <calculatedColumnFormula>INDIRECT(ADDRESS(ROW(),COLUMN()-2,4))*INDIRECT(ADDRESS(ROW(),COLUMN()-1,4))</calculatedColumnFormula>
    </tableColumn>
  </tableColumns>
  <tableStyleInfo name="None"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E5D84F98-3D38-4E8F-8CB6-AC32E83E3777}" name="Table3229" displayName="Table3229" ref="A3285:F3286" totalsRowShown="0">
  <autoFilter ref="A3285:F3286" xr:uid="{E5D84F98-3D38-4E8F-8CB6-AC32E83E3777}"/>
  <tableColumns count="6">
    <tableColumn id="1" xr3:uid="{1E8AC942-3B8C-470B-8801-7F190974F211}" name="CÓDIGO CATÁLOGO"/>
    <tableColumn id="2" xr3:uid="{14A83B69-F60D-4058-93CC-4DE61509FBE8}" name="ARTÍCULO">
      <calculatedColumnFormula>IFERROR(INDEX(UNSPSCDes,MATCH(INDIRECT(ADDRESS(ROW(),COLUMN()-1,4)),UNSPSCCode,0)),"")</calculatedColumnFormula>
    </tableColumn>
    <tableColumn id="3" xr3:uid="{B578F8C4-FF6E-4A18-9EC2-E272775A7199}" name="UNIDAD DE MEDIDA"/>
    <tableColumn id="4" xr3:uid="{589AB040-A6A4-4D05-8084-7E09360B9517}" name="CANTIDAD TOTAL ESTIMADA"/>
    <tableColumn id="5" xr3:uid="{39EF943B-E83B-4486-89B3-02C68D2E19C2}" name="PRECIO UNITARIO ESTIMADO"/>
    <tableColumn id="6" xr3:uid="{611FB366-2B49-4D99-A338-4272CFE7F1C9}" name="MONTO TOTAL ESTIMADO">
      <calculatedColumnFormula>INDIRECT(ADDRESS(ROW(),COLUMN()-2,4))*INDIRECT(ADDRESS(ROW(),COLUMN()-1,4))</calculatedColumnFormula>
    </tableColumn>
  </tableColumns>
  <tableStyleInfo name="None"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500D2F17-8387-4956-A3EB-84B0DE9FCE3F}" name="Table3230" displayName="Table3230" ref="A3296:F3297" totalsRowShown="0">
  <autoFilter ref="A3296:F3297" xr:uid="{500D2F17-8387-4956-A3EB-84B0DE9FCE3F}"/>
  <tableColumns count="6">
    <tableColumn id="1" xr3:uid="{AAADC183-97CF-4058-B5CA-7D7070E59C0A}" name="CÓDIGO CATÁLOGO"/>
    <tableColumn id="2" xr3:uid="{2926A93F-B3C3-4D35-8A1B-A95BD3E68ACA}" name="ARTÍCULO">
      <calculatedColumnFormula>IFERROR(INDEX(UNSPSCDes,MATCH(INDIRECT(ADDRESS(ROW(),COLUMN()-1,4)),UNSPSCCode,0)),"")</calculatedColumnFormula>
    </tableColumn>
    <tableColumn id="3" xr3:uid="{3164A138-E52F-46E2-BAF3-711E1B9BFEFD}" name="UNIDAD DE MEDIDA"/>
    <tableColumn id="4" xr3:uid="{ACC91370-1988-4748-8081-808339382717}" name="CANTIDAD TOTAL ESTIMADA"/>
    <tableColumn id="5" xr3:uid="{D1697256-BE90-45B5-ABEE-38A9DDBC4F2C}" name="PRECIO UNITARIO ESTIMADO"/>
    <tableColumn id="6" xr3:uid="{4F3C9A76-1DD3-48C5-B7E3-6EC9F56D772C}" name="MONTO TOTAL ESTIMADO">
      <calculatedColumnFormula>INDIRECT(ADDRESS(ROW(),COLUMN()-2,4))*INDIRECT(ADDRESS(ROW(),COLUMN()-1,4))</calculatedColumnFormula>
    </tableColumn>
  </tableColumns>
  <tableStyleInfo name="None"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D71688A5-F077-4143-8EE4-D320E8CF0A37}" name="Table3233" displayName="Table3233" ref="A3307:F3308" totalsRowShown="0">
  <autoFilter ref="A3307:F3308" xr:uid="{D71688A5-F077-4143-8EE4-D320E8CF0A37}"/>
  <tableColumns count="6">
    <tableColumn id="1" xr3:uid="{9E7592CF-2DEE-4121-A615-31DE0149C4F4}" name="CÓDIGO CATÁLOGO"/>
    <tableColumn id="2" xr3:uid="{FDF72EAF-81BD-49A9-8EC3-56D22B675397}" name="ARTÍCULO">
      <calculatedColumnFormula>IFERROR(INDEX(UNSPSCDes,MATCH(INDIRECT(ADDRESS(ROW(),COLUMN()-1,4)),UNSPSCCode,0)),"")</calculatedColumnFormula>
    </tableColumn>
    <tableColumn id="3" xr3:uid="{ADAFB40B-02B1-46F3-8EF8-4D4A88459159}" name="UNIDAD DE MEDIDA"/>
    <tableColumn id="4" xr3:uid="{476AAE0E-79AA-445B-B9A7-E5582B632C3C}" name="CANTIDAD TOTAL ESTIMADA"/>
    <tableColumn id="5" xr3:uid="{BF7C2CB7-C8EF-4693-AEE9-34EB73C6D95F}" name="PRECIO UNITARIO ESTIMADO"/>
    <tableColumn id="6" xr3:uid="{C04F0C22-B462-49EB-8461-648127A84A78}" name="MONTO TOTAL ESTIMADO">
      <calculatedColumnFormula>INDIRECT(ADDRESS(ROW(),COLUMN()-2,4))*INDIRECT(ADDRESS(ROW(),COLUMN()-1,4))</calculatedColumnFormula>
    </tableColumn>
  </tableColumns>
  <tableStyleInfo name="None"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4886A2D1-D20D-4840-9FA4-C5DE46194B1F}" name="Table3235" displayName="Table3235" ref="A3318:F3319" totalsRowShown="0">
  <autoFilter ref="A3318:F3319" xr:uid="{4886A2D1-D20D-4840-9FA4-C5DE46194B1F}"/>
  <tableColumns count="6">
    <tableColumn id="1" xr3:uid="{A6FDFAF5-14D9-4DB5-92A6-E0D48D25E4AC}" name="CÓDIGO CATÁLOGO"/>
    <tableColumn id="2" xr3:uid="{A0546FEA-15AD-4656-8A50-FDE5A49B76F5}" name="ARTÍCULO">
      <calculatedColumnFormula>IFERROR(INDEX(UNSPSCDes,MATCH(INDIRECT(ADDRESS(ROW(),COLUMN()-1,4)),UNSPSCCode,0)),"")</calculatedColumnFormula>
    </tableColumn>
    <tableColumn id="3" xr3:uid="{D516CDCC-808E-4338-BB7C-09CBE6F506E2}" name="UNIDAD DE MEDIDA"/>
    <tableColumn id="4" xr3:uid="{960722C3-C02D-4537-969E-C389BAA7D43E}" name="CANTIDAD TOTAL ESTIMADA"/>
    <tableColumn id="5" xr3:uid="{FC948468-9590-47A2-904A-99EAD2E92E8F}" name="PRECIO UNITARIO ESTIMADO"/>
    <tableColumn id="6" xr3:uid="{CAE0A424-1145-4759-A472-9C29A6158B97}"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CEB7B70-F07A-4F62-AE04-76DC293D6A33}" name="Table83" displayName="Table83" ref="A929:F930" totalsRowShown="0">
  <tableColumns count="6">
    <tableColumn id="1" xr3:uid="{E586BA4A-9541-438D-A283-E8E3A1BF59CC}" name="CÓDIGO CATÁLOGO"/>
    <tableColumn id="2" xr3:uid="{808765F6-B1E7-4C4B-A06D-D4B6E179B43B}" name="ARTÍCULO">
      <calculatedColumnFormula>IFERROR(INDEX(UNSPSCDes,MATCH(INDIRECT(ADDRESS(ROW(),COLUMN()-1,4)),UNSPSCCode,0)),IF(INDIRECT(ADDRESS(ROW(),COLUMN()-1,4))="11131504","Cueros",""))</calculatedColumnFormula>
    </tableColumn>
    <tableColumn id="3" xr3:uid="{5FB88931-7BCF-4082-8F2A-2E8E2EF8368D}" name="UNIDAD DE MEDIDA">
      <calculatedColumnFormula>IFERROR(VLOOKUP("UD",'[1]Informacion '!P:Q,2,FALSE),"")</calculatedColumnFormula>
    </tableColumn>
    <tableColumn id="4" xr3:uid="{9D3C630C-46EB-4A3D-B110-0B1842ED8454}" name="CANTIDAD TOTAL ESTIMADA"/>
    <tableColumn id="5" xr3:uid="{446279B8-2161-44A0-AD10-29CE10718D72}" name="PRECIO UNITARIO ESTIMADO"/>
    <tableColumn id="6" xr3:uid="{728EDFF1-0B9B-40EF-A11E-ED1248E19C5B}"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1A11498-BDD5-4ABA-A66B-32E7A87ED648}" name="Table107" displayName="Table107" ref="A1229:F1230" totalsRowShown="0">
  <tableColumns count="6">
    <tableColumn id="1" xr3:uid="{5A48F53E-B80E-4EE2-925C-B9A1BCAC5DB1}" name="CÓDIGO CATÁLOGO"/>
    <tableColumn id="2" xr3:uid="{F82902BB-24E5-49CC-AD86-AC64588CED37}" name="ARTÍCULO">
      <calculatedColumnFormula>IFERROR(INDEX(UNSPSCDes,MATCH(INDIRECT(ADDRESS(ROW(),COLUMN()-1,4)),UNSPSCCode,0)),IF(INDIRECT(ADDRESS(ROW(),COLUMN()-1,4))="15111510","Gas licuado de petróleo",""))</calculatedColumnFormula>
    </tableColumn>
    <tableColumn id="3" xr3:uid="{1FBA6889-C80E-4B74-89ED-53344FBC6C34}" name="UNIDAD DE MEDIDA"/>
    <tableColumn id="4" xr3:uid="{5E2A0DD8-B965-43BE-A1CF-BB7BDF212940}" name="CANTIDAD TOTAL ESTIMADA"/>
    <tableColumn id="5" xr3:uid="{AFC9F7F8-84AA-44F9-84EB-DED9DB39D13A}" name="PRECIO UNITARIO ESTIMADO"/>
    <tableColumn id="6" xr3:uid="{F5E95EBE-904E-45FD-BA82-E3D673A41F1B}"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884A12E1-2205-41FB-A260-BF1014B11824}" name="Table123" displayName="Table123" ref="A1452:F1453" totalsRowShown="0">
  <tableColumns count="6">
    <tableColumn id="1" xr3:uid="{41C202F2-5AF7-4AE2-BBAA-9DB8003CF560}" name="CÓDIGO CATÁLOGO"/>
    <tableColumn id="2" xr3:uid="{5A2ED3CB-45AF-4150-A004-96A07CD84A63}" name="ARTÍCULO">
      <calculatedColumnFormula>IFERROR(INDEX(UNSPSCDes,MATCH(INDIRECT(ADDRESS(ROW(),COLUMN()-1,4)),UNSPSCCode,0)),IF(INDIRECT(ADDRESS(ROW(),COLUMN()-1,4))="44103105","Cartuchos de tinta",""))</calculatedColumnFormula>
    </tableColumn>
    <tableColumn id="3" xr3:uid="{2B7715E1-68C0-4777-84F9-364FEBBC50C7}" name="UNIDAD DE MEDIDA"/>
    <tableColumn id="4" xr3:uid="{30978360-9F04-44FF-A89D-498DDFBE085D}" name="CANTIDAD TOTAL ESTIMADA"/>
    <tableColumn id="5" xr3:uid="{E584353C-D7A4-4FDC-AE0C-BA3C03D39D7E}" name="PRECIO UNITARIO ESTIMADO"/>
    <tableColumn id="6" xr3:uid="{3D6001CA-38F3-4149-BCA7-D9EF0B6617C8}"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D8A3C46-0F6A-485F-8134-6292F6C8CC22}" name="Table20" displayName="Table20" ref="A204:F205" totalsRowShown="0">
  <tableColumns count="6">
    <tableColumn id="1" xr3:uid="{311E27B4-7995-43DF-9302-2B3C831C4F19}" name="CÓDIGO CATÁLOGO"/>
    <tableColumn id="2" xr3:uid="{5E052C09-1807-4F6E-B387-8223D8FC3AA8}" name="ARTÍCULO">
      <calculatedColumnFormula>IFERROR(INDEX(UNSPSCDes,MATCH(INDIRECT(ADDRESS(ROW(),COLUMN()-1,4)),UNSPSCCode,0)),IF(INDIRECT(ADDRESS(ROW(),COLUMN()-1,4))="84111601","Auditorias de cierre del ejercicio",""))</calculatedColumnFormula>
    </tableColumn>
    <tableColumn id="3" xr3:uid="{B0D0D3E7-7844-4799-8521-B1E453AAB84D}" name="UNIDAD DE MEDIDA">
      <calculatedColumnFormula>IFERROR(VLOOKUP("UD",'[1]Informacion '!P:Q,2,FALSE),"")</calculatedColumnFormula>
    </tableColumn>
    <tableColumn id="4" xr3:uid="{D0FE7346-A045-4F30-854B-9C5842B51C72}" name="CANTIDAD TOTAL ESTIMADA"/>
    <tableColumn id="5" xr3:uid="{D68B7887-89A8-460A-86EE-3BC705D0C961}" name="PRECIO UNITARIO ESTIMADO"/>
    <tableColumn id="6" xr3:uid="{1DF6E620-E118-48CB-B4A0-33C710CBFB5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3A19923-7E7C-49B6-A172-0AB12F683C5A}" name="Table37" displayName="Table37" ref="A378:F379" totalsRowShown="0">
  <tableColumns count="6">
    <tableColumn id="1" xr3:uid="{4E520314-3FDA-4399-BDB5-88C0267B92EC}" name="CÓDIGO CATÁLOGO"/>
    <tableColumn id="2" xr3:uid="{830D983A-EB92-48B8-A92E-1DF54186D25C}" name="ARTÍCULO">
      <calculatedColumnFormula>IFERROR(INDEX(UNSPSCDes,MATCH(INDIRECT(ADDRESS(ROW(),COLUMN()-1,4)),UNSPSCCode,0)),IF(INDIRECT(ADDRESS(ROW(),COLUMN()-1,4))="50201706","Café",""))</calculatedColumnFormula>
    </tableColumn>
    <tableColumn id="3" xr3:uid="{DF2A4B34-A033-4F14-AC78-5B69317AD29F}" name="UNIDAD DE MEDIDA"/>
    <tableColumn id="4" xr3:uid="{ACE4F37F-CE94-4762-96DA-821FBAA78D63}" name="CANTIDAD TOTAL ESTIMADA"/>
    <tableColumn id="5" xr3:uid="{773F25E8-A131-40BC-AA95-1E0511D3DA9D}" name="PRECIO UNITARIO ESTIMADO"/>
    <tableColumn id="6" xr3:uid="{94750D70-A160-4D23-8C8B-14C7878C4447}"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4724035-D145-4461-B3A1-743028A2B01B}" name="Table56" displayName="Table56" ref="A596:F598" totalsRowShown="0">
  <tableColumns count="6">
    <tableColumn id="1" xr3:uid="{FC83C060-BB5F-46F8-A924-6957D2B7A8CC}" name="CÓDIGO CATÁLOGO"/>
    <tableColumn id="2" xr3:uid="{CE902A13-2DEF-499A-80D8-F06FC11DE64C}" name="ARTÍCULO"/>
    <tableColumn id="3" xr3:uid="{7CCABD1B-094B-44AC-B3F4-75CEE33EE23B}" name="UNIDAD DE MEDIDA">
      <calculatedColumnFormula>IFERROR(VLOOKUP("UD",'[1]Informacion '!P:Q,2,FALSE),"")</calculatedColumnFormula>
    </tableColumn>
    <tableColumn id="4" xr3:uid="{B55CC384-1B4C-454A-BDED-C43CD6190703}" name="CANTIDAD TOTAL ESTIMADA"/>
    <tableColumn id="5" xr3:uid="{4544EBBE-A3CE-427F-84CE-0AA0FBF44859}" name="PRECIO UNITARIO ESTIMADO"/>
    <tableColumn id="6" xr3:uid="{1B8701B5-7B94-45ED-A1DE-D4D8A7BCB031}"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62ADC78-094C-4AA0-B55D-CA2C723177E4}" name="Table196" displayName="Table196" ref="A2409:F2410" totalsRowShown="0">
  <tableColumns count="6">
    <tableColumn id="1" xr3:uid="{4F6833A1-BBB6-4A68-8A67-833E725991C7}" name="CÓDIGO CATÁLOGO"/>
    <tableColumn id="2" xr3:uid="{92AA4C62-FD7E-4C76-A248-0DF615250525}" name="ARTÍCULO">
      <calculatedColumnFormula>IFERROR(INDEX(UNSPSCDes,MATCH(INDIRECT(ADDRESS(ROW(),COLUMN()-1,4)),UNSPSCCode,0)),IF(INDIRECT(ADDRESS(ROW(),COLUMN()-1,4))="43231512","Software de manejo de licencias",""))</calculatedColumnFormula>
    </tableColumn>
    <tableColumn id="3" xr3:uid="{3AC85CF0-B95F-478A-8D2B-89BA9AB5A8C3}" name="UNIDAD DE MEDIDA">
      <calculatedColumnFormula>IFERROR(VLOOKUP("UD",'[1]Informacion '!P:Q,2,FALSE),"")</calculatedColumnFormula>
    </tableColumn>
    <tableColumn id="4" xr3:uid="{61A0E678-EA99-49B8-AB8D-951EC02EB40E}" name="CANTIDAD TOTAL ESTIMADA"/>
    <tableColumn id="5" xr3:uid="{E6AA1B4C-0005-4088-8692-A94DAD9CCB1C}" name="PRECIO UNITARIO ESTIMADO"/>
    <tableColumn id="6" xr3:uid="{BDD12E08-2544-4375-9C37-21734BBE9273}"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871F22F-305E-4E72-AE90-5CECC293DDA9}" name="Table76" displayName="Table76" ref="A799:F800" totalsRowShown="0">
  <tableColumns count="6">
    <tableColumn id="1" xr3:uid="{AB67ECD9-75D8-446E-91DF-C344D86477EC}" name="CÓDIGO CATÁLOGO"/>
    <tableColumn id="2" xr3:uid="{B6A2A420-A136-4080-A596-FC7CB32A529B}" name="ARTÍCULO">
      <calculatedColumnFormula>IFERROR(INDEX(UNSPSCDes,MATCH(INDIRECT(ADDRESS(ROW(),COLUMN()-1,4)),UNSPSCCode,0)),IF(INDIRECT(ADDRESS(ROW(),COLUMN()-1,4))="82121508","Impresión de envolturas, etiquetas, sellos o bolsas",""))</calculatedColumnFormula>
    </tableColumn>
    <tableColumn id="3" xr3:uid="{ABCAC6F3-3B91-4869-91DD-6A1581FD6AE2}" name="UNIDAD DE MEDIDA">
      <calculatedColumnFormula>IFERROR(VLOOKUP("UD",'[1]Informacion '!P:Q,2,FALSE),"")</calculatedColumnFormula>
    </tableColumn>
    <tableColumn id="4" xr3:uid="{0185F528-5A6B-4440-887A-85385C366F89}" name="CANTIDAD TOTAL ESTIMADA"/>
    <tableColumn id="5" xr3:uid="{2B6C3169-2635-4AB5-ABF0-30B076CCF3AB}" name="PRECIO UNITARIO ESTIMADO"/>
    <tableColumn id="6" xr3:uid="{AD6FB829-D3D9-47A6-9A3A-A03BF1D7FA01}"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0CB32E4-B745-4DD9-9355-34F036339312}" name="Table31" displayName="Table31" ref="A332:F333" totalsRowShown="0">
  <tableColumns count="6">
    <tableColumn id="1" xr3:uid="{54400F18-6853-42BC-B065-423721FEBE58}" name="CÓDIGO CATÁLOGO"/>
    <tableColumn id="2" xr3:uid="{822CDCD7-A858-4BED-9E97-BF8F1E362C00}" name="ARTÍCULO">
      <calculatedColumnFormula>IFERROR(INDEX(UNSPSCDes,MATCH(INDIRECT(ADDRESS(ROW(),COLUMN()-1,4)),UNSPSCCode,0)),IF(INDIRECT(ADDRESS(ROW(),COLUMN()-1,4))="90101802","Servicios de comidas a domicilio",""))</calculatedColumnFormula>
    </tableColumn>
    <tableColumn id="3" xr3:uid="{215E41C5-AAF9-4FB4-813D-4CD818DF0982}" name="UNIDAD DE MEDIDA">
      <calculatedColumnFormula>IFERROR(VLOOKUP("UD",'[1]Informacion '!P:Q,2,FALSE),"")</calculatedColumnFormula>
    </tableColumn>
    <tableColumn id="4" xr3:uid="{837E6730-61F7-4550-95DA-F81ABD558A69}" name="CANTIDAD TOTAL ESTIMADA"/>
    <tableColumn id="5" xr3:uid="{6996A24C-8D65-4B52-8BD4-67DB4A7B4788}" name="PRECIO UNITARIO ESTIMADO"/>
    <tableColumn id="6" xr3:uid="{872622B0-0041-4327-8E92-33A5CF186D6B}"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4CC7289-7899-47B9-9CD0-8EB446484EFE}" name="Table44" displayName="Table44" ref="A464:F468" totalsRowShown="0">
  <tableColumns count="6">
    <tableColumn id="1" xr3:uid="{8A27B570-978D-4AB6-8367-055B29569A2A}" name="CÓDIGO CATÁLOGO"/>
    <tableColumn id="2" xr3:uid="{EB28E2D1-8BB8-419B-930A-B94EA8D9CEC7}" name="ARTÍCULO"/>
    <tableColumn id="3" xr3:uid="{FE281793-0F1D-47A6-8503-7CF104592DC5}" name="UNIDAD DE MEDIDA">
      <calculatedColumnFormula>IFERROR(VLOOKUP("UD",'[1]Informacion '!P:Q,2,FALSE),"")</calculatedColumnFormula>
    </tableColumn>
    <tableColumn id="4" xr3:uid="{D5318215-E307-44F4-AE47-A6773CC5AE91}" name="CANTIDAD TOTAL ESTIMADA"/>
    <tableColumn id="5" xr3:uid="{F67269ED-2B3F-48BF-BC70-10021746B680}" name="PRECIO UNITARIO ESTIMADO"/>
    <tableColumn id="6" xr3:uid="{DFB844B9-404B-4E7C-A834-72DFAA912A3F}"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7E884CF-54FC-4FF0-8711-DAB95067C3D4}" name="Table98" displayName="Table98" ref="A1113:F1124" totalsRowShown="0">
  <tableColumns count="6">
    <tableColumn id="1" xr3:uid="{8F1048D7-B8AF-4F24-B9CE-280F1EA0D702}" name="CÓDIGO CATÁLOGO"/>
    <tableColumn id="2" xr3:uid="{8953DC6E-65EA-4578-B425-52014BAC05CB}" name="ARTÍCULO"/>
    <tableColumn id="3" xr3:uid="{81DC750A-45A3-4978-ABA9-0948A3A47ABE}" name="UNIDAD DE MEDIDA">
      <calculatedColumnFormula>IFERROR(VLOOKUP("UD",'[1]Informacion '!P:Q,2,FALSE),"")</calculatedColumnFormula>
    </tableColumn>
    <tableColumn id="4" xr3:uid="{5FDF6EC6-4ACF-4DAB-907C-E8AF7C8F5C39}" name="CANTIDAD TOTAL ESTIMADA"/>
    <tableColumn id="5" xr3:uid="{B6D80EC0-BC93-4505-A202-240102935080}" name="PRECIO UNITARIO ESTIMADO"/>
    <tableColumn id="6" xr3:uid="{F8A61794-87B1-40EC-918C-0F47BEE0D36F}"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A1B435C4-B19A-4701-97AE-78BBE384C6D0}" name="Table211" displayName="Table211" ref="A2579:F2580" totalsRowShown="0">
  <tableColumns count="6">
    <tableColumn id="1" xr3:uid="{0B18F6B7-9BE9-452B-9477-0A2AB1F28BAF}" name="CÓDIGO CATÁLOGO"/>
    <tableColumn id="2" xr3:uid="{1FBA0D18-8B0C-438F-A3DC-6631CF8358B0}" name="ARTÍCULO">
      <calculatedColumnFormula>IFERROR(INDEX(UNSPSCDes,MATCH(INDIRECT(ADDRESS(ROW(),COLUMN()-1,4)),UNSPSCCode,0)),IF(INDIRECT(ADDRESS(ROW(),COLUMN()-1,4))="72101501","Servicios de todero",""))</calculatedColumnFormula>
    </tableColumn>
    <tableColumn id="3" xr3:uid="{A46316CE-7441-4DF1-92F6-B588AC59EB2B}" name="UNIDAD DE MEDIDA">
      <calculatedColumnFormula>IFERROR(VLOOKUP("UD",'[1]Informacion '!P:Q,2,FALSE),"")</calculatedColumnFormula>
    </tableColumn>
    <tableColumn id="4" xr3:uid="{431F81BC-6423-490D-8AE9-E6CCB33AFC94}" name="CANTIDAD TOTAL ESTIMADA"/>
    <tableColumn id="5" xr3:uid="{8353D915-C49C-44FB-A2BA-6D30D4E2E7DC}" name="PRECIO UNITARIO ESTIMADO"/>
    <tableColumn id="6" xr3:uid="{3C2CB3F6-D4EF-4679-8C62-CAAE5512CEA2}"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7D03293-1196-44B1-A2C3-DEC500556D03}" name="Table87" displayName="Table87" ref="A974:F978" totalsRowShown="0">
  <tableColumns count="6">
    <tableColumn id="1" xr3:uid="{5479B2D7-BA68-4196-B98E-BCFB9B49E8EB}" name="CÓDIGO CATÁLOGO"/>
    <tableColumn id="2" xr3:uid="{93610045-14FA-4DE3-9D43-7DB7FD3D5323}" name="ARTÍCULO"/>
    <tableColumn id="3" xr3:uid="{5C177D5E-EE94-4597-8C3C-A2CFE7004AF7}" name="UNIDAD DE MEDIDA">
      <calculatedColumnFormula>IFERROR(VLOOKUP("UD",'[1]Informacion '!P:Q,2,FALSE),"")</calculatedColumnFormula>
    </tableColumn>
    <tableColumn id="4" xr3:uid="{460997A2-0C15-4ED2-810B-66F4AFB7FA53}" name="CANTIDAD TOTAL ESTIMADA"/>
    <tableColumn id="5" xr3:uid="{33A6107F-C452-407F-A830-1ED203026199}" name="PRECIO UNITARIO ESTIMADO"/>
    <tableColumn id="6" xr3:uid="{6F588655-A167-4575-925E-A2218EB85831}"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5974A1DB-AE2D-4C5E-8A00-453EBF3225E4}" name="Table266" displayName="Table266" ref="A3067:F3068" totalsRowShown="0">
  <tableColumns count="6">
    <tableColumn id="1" xr3:uid="{B7EFE0DF-770C-4614-82EE-028197E2D2E8}" name="CÓDIGO CATÁLOGO"/>
    <tableColumn id="2" xr3:uid="{C998CBE4-DE20-4EB0-9647-5D10484F79A0}" name="ARTÍCULO">
      <calculatedColumnFormula>IFERROR(INDEX(UNSPSCDes,MATCH(INDIRECT(ADDRESS(ROW(),COLUMN()-1,4)),UNSPSCCode,0)),IF(INDIRECT(ADDRESS(ROW(),COLUMN()-1,4))="72102602","Instalación de ventanas, puertas o dispositivos",""))</calculatedColumnFormula>
    </tableColumn>
    <tableColumn id="3" xr3:uid="{3E52F58A-6054-4F4A-A357-21EDF470E0C8}" name="UNIDAD DE MEDIDA">
      <calculatedColumnFormula>IFERROR(VLOOKUP("UD",'[1]Informacion '!P:Q,2,FALSE),"")</calculatedColumnFormula>
    </tableColumn>
    <tableColumn id="4" xr3:uid="{1E601962-6077-4685-8D74-8E0591AA8D15}" name="CANTIDAD TOTAL ESTIMADA"/>
    <tableColumn id="5" xr3:uid="{27DEC7A9-CD13-4C49-99AC-06DDF1791E3C}" name="PRECIO UNITARIO ESTIMADO"/>
    <tableColumn id="6" xr3:uid="{7D5CEA92-4187-4E22-8E75-500854B04CDD}"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3E438FA-765C-4AF8-9078-1DFCB17640BF}" name="Table14" displayName="Table14" ref="A137:F138" totalsRowShown="0">
  <tableColumns count="6">
    <tableColumn id="1" xr3:uid="{FC2F7287-218B-446A-BAC2-A0CA1D2D59C0}" name="CÓDIGO CATÁLOGO"/>
    <tableColumn id="2" xr3:uid="{E4B6D56A-2F63-4AF0-8B7B-E8EC08F5E651}" name="ARTÍCULO">
      <calculatedColumnFormula>IFERROR(INDEX(UNSPSCDes,MATCH(INDIRECT(ADDRESS(ROW(),COLUMN()-1,4)),UNSPSCCode,0)),IF(INDIRECT(ADDRESS(ROW(),COLUMN()-1,4))="90141502","Eventos competitivos",""))</calculatedColumnFormula>
    </tableColumn>
    <tableColumn id="3" xr3:uid="{AD692368-69A8-405F-A132-EE4563EC386E}" name="UNIDAD DE MEDIDA">
      <calculatedColumnFormula>IFERROR(VLOOKUP("UD",'[1]Informacion '!P:Q,2,FALSE),"")</calculatedColumnFormula>
    </tableColumn>
    <tableColumn id="4" xr3:uid="{251BD999-DDFC-4063-9EAD-14550EA75B36}" name="CANTIDAD TOTAL ESTIMADA"/>
    <tableColumn id="5" xr3:uid="{D52C00AC-46F6-45B3-9000-168255D5ABBD}" name="PRECIO UNITARIO ESTIMADO"/>
    <tableColumn id="6" xr3:uid="{8B5D461D-8E83-43C2-BC95-5F1DA621A9A5}"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DD8198C-B25C-40FB-8D63-730BA5C87E81}" name="Table16" displayName="Table16" ref="A160:F161" totalsRowShown="0">
  <tableColumns count="6">
    <tableColumn id="1" xr3:uid="{968B8FAA-C7AE-49A5-950E-39E5BC366078}" name="CÓDIGO CATÁLOGO"/>
    <tableColumn id="2" xr3:uid="{DAE30B4D-B3AA-4161-9385-2CFA18D3E997}" name="ARTÍCULO">
      <calculatedColumnFormula>IFERROR(INDEX(UNSPSCDes,MATCH(INDIRECT(ADDRESS(ROW(),COLUMN()-1,4)),UNSPSCCode,0)),IF(INDIRECT(ADDRESS(ROW(),COLUMN()-1,4))="80121704","Servicios legales sobre contratos",""))</calculatedColumnFormula>
    </tableColumn>
    <tableColumn id="3" xr3:uid="{AAC2018F-171B-4930-9CF4-6D58138B4CCB}" name="UNIDAD DE MEDIDA">
      <calculatedColumnFormula>IFERROR(VLOOKUP("UD",'[1]Informacion '!P:Q,2,FALSE),"")</calculatedColumnFormula>
    </tableColumn>
    <tableColumn id="4" xr3:uid="{B7F656A8-8460-4402-8A9B-4C82195E7FDB}" name="CANTIDAD TOTAL ESTIMADA"/>
    <tableColumn id="5" xr3:uid="{6B996287-E210-4AE2-9F95-144A344ED11C}" name="PRECIO UNITARIO ESTIMADO"/>
    <tableColumn id="6" xr3:uid="{529FDF78-03C1-4385-A1E9-DC9367B0E232}"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36403BF-C611-4214-87F7-5CEBE9DDC8FF}" name="Table188" displayName="Table188" ref="A2321:F2322" totalsRowShown="0">
  <tableColumns count="6">
    <tableColumn id="1" xr3:uid="{0AB8585C-337A-464C-B6D9-3D1058534735}" name="CÓDIGO CATÁLOGO"/>
    <tableColumn id="2" xr3:uid="{1A42B97F-1E06-4F96-B73B-76A28AA9ED6C}" name="ARTÍCULO">
      <calculatedColumnFormula>IFERROR(INDEX(UNSPSCDes,MATCH(INDIRECT(ADDRESS(ROW(),COLUMN()-1,4)),UNSPSCCode,0)),IF(INDIRECT(ADDRESS(ROW(),COLUMN()-1,4))="78131602","Almacenaje de archivos de carpetas",""))</calculatedColumnFormula>
    </tableColumn>
    <tableColumn id="3" xr3:uid="{F8B29F44-8146-4B85-8F26-F827DDB544A9}" name="UNIDAD DE MEDIDA"/>
    <tableColumn id="4" xr3:uid="{58388E95-675C-4C10-8987-F2111A355608}" name="CANTIDAD TOTAL ESTIMADA"/>
    <tableColumn id="5" xr3:uid="{AF971093-80F4-4D87-92AE-30CF2F63AB70}" name="PRECIO UNITARIO ESTIMADO"/>
    <tableColumn id="6" xr3:uid="{697B8D4B-C62F-4A31-8FFD-6AA29C74089F}"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53E2AC0-A5B2-49E6-ABE4-70C011EB047D}" name="Table89" displayName="Table89" ref="A1002:F1003" totalsRowShown="0">
  <tableColumns count="6">
    <tableColumn id="1" xr3:uid="{05B90967-35F0-40B2-BA85-7F5537A08DBA}" name="CÓDIGO CATÁLOGO"/>
    <tableColumn id="2" xr3:uid="{D3A9BF12-7C8F-42B2-B455-C870A527BC13}" name="ARTÍCULO">
      <calculatedColumnFormula>IFERROR(INDEX(UNSPSCDes,MATCH(INDIRECT(ADDRESS(ROW(),COLUMN()-1,4)),UNSPSCCode,0)),IF(INDIRECT(ADDRESS(ROW(),COLUMN()-1,4))="30111601","Cemento",""))</calculatedColumnFormula>
    </tableColumn>
    <tableColumn id="3" xr3:uid="{12C2BF4D-B999-43AD-B4F3-44DCB1B2B347}" name="UNIDAD DE MEDIDA">
      <calculatedColumnFormula>IFERROR(VLOOKUP("UD",'[1]Informacion '!P:Q,2,FALSE),"")</calculatedColumnFormula>
    </tableColumn>
    <tableColumn id="4" xr3:uid="{38979DF8-79E4-4244-945C-0CF0965009BD}" name="CANTIDAD TOTAL ESTIMADA"/>
    <tableColumn id="5" xr3:uid="{009716E7-4E30-4A6F-A800-DB480076F811}" name="PRECIO UNITARIO ESTIMADO"/>
    <tableColumn id="6" xr3:uid="{FD5D3856-83C3-40E1-A657-83D21D0F1241}"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51D42BBD-C986-44EA-8E45-028521B3B3F3}" name="Table7" displayName="Table7" ref="A55:F56" totalsRowShown="0">
  <tableColumns count="6">
    <tableColumn id="1" xr3:uid="{FCD5E6CB-AD83-4D5E-B2B2-1A311A305CA5}" name="CÓDIGO CATÁLOGO"/>
    <tableColumn id="2" xr3:uid="{1DA6A954-89E3-4C28-9A51-B7196788BAF7}" name="ARTÍCULO">
      <calculatedColumnFormula>IFERROR(INDEX(UNSPSCDes,MATCH(INDIRECT(ADDRESS(ROW(),COLUMN()-1,4)),UNSPSCCode,0)),IF(INDIRECT(ADDRESS(ROW(),COLUMN()-1,4))="76101502","Servicios de limpieza de baños",""))</calculatedColumnFormula>
    </tableColumn>
    <tableColumn id="3" xr3:uid="{2D4482B3-00F1-40DF-8ED8-EDA0820712CE}" name="UNIDAD DE MEDIDA">
      <calculatedColumnFormula>IFERROR(VLOOKUP("UD",'[1]Informacion '!P:Q,2,FALSE),"")</calculatedColumnFormula>
    </tableColumn>
    <tableColumn id="4" xr3:uid="{041C6419-FB4B-46CE-A661-64CDE6F079C5}" name="CANTIDAD TOTAL ESTIMADA"/>
    <tableColumn id="5" xr3:uid="{7A392B51-5948-4BCF-A783-0940FFA18FA5}" name="PRECIO UNITARIO ESTIMADO"/>
    <tableColumn id="6" xr3:uid="{BCC40F06-5BB9-4B26-9544-8D3BF6991D71}"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6044835-F44B-4270-8D17-34AB76FE57D0}" name="Table231" displayName="Table231" ref="A2757:F2758" totalsRowShown="0">
  <tableColumns count="6">
    <tableColumn id="1" xr3:uid="{2E777E4F-0DFF-46C5-AA42-B148A0537245}" name="CÓDIGO CATÁLOGO"/>
    <tableColumn id="2" xr3:uid="{7EECB89B-9A85-4BF4-88A0-563600770E8E}" name="ARTÍCULO">
      <calculatedColumnFormula>IFERROR(INDEX(UNSPSCDes,MATCH(INDIRECT(ADDRESS(ROW(),COLUMN()-1,4)),UNSPSCCode,0)),IF(INDIRECT(ADDRESS(ROW(),COLUMN()-1,4))="80161508","Servicios de destrucción de documentos",""))</calculatedColumnFormula>
    </tableColumn>
    <tableColumn id="3" xr3:uid="{44F19B34-D034-48BB-A2D0-16E92F1564D8}" name="UNIDAD DE MEDIDA">
      <calculatedColumnFormula>IFERROR(VLOOKUP("UD",'[1]Informacion '!P:Q,2,FALSE),"")</calculatedColumnFormula>
    </tableColumn>
    <tableColumn id="4" xr3:uid="{F83690A9-E2CE-496B-BE3C-6FDE4083535E}" name="CANTIDAD TOTAL ESTIMADA"/>
    <tableColumn id="5" xr3:uid="{B573F3F7-A42D-4B5E-9925-CFD060FA42A4}" name="PRECIO UNITARIO ESTIMADO"/>
    <tableColumn id="6" xr3:uid="{79E362DC-7EEC-4747-AAC3-4E190F98DBF4}"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45B5D5E-1427-4CD9-BEB8-E2D8B59F87CF}" name="Table164" displayName="Table164" ref="A2026:F2030" totalsRowShown="0">
  <tableColumns count="6">
    <tableColumn id="1" xr3:uid="{A6FA982D-B69E-4615-810D-A6DECE3F7EE8}" name="CÓDIGO CATÁLOGO"/>
    <tableColumn id="2" xr3:uid="{14B1001D-013D-49CE-AB9D-BF5F35D65726}" name="ARTÍCULO"/>
    <tableColumn id="3" xr3:uid="{CD123005-63EB-42ED-B2F8-F5FB8F3E2B7A}" name="UNIDAD DE MEDIDA">
      <calculatedColumnFormula>IFERROR(VLOOKUP("UD",'[1]Informacion '!P:Q,2,FALSE),"")</calculatedColumnFormula>
    </tableColumn>
    <tableColumn id="4" xr3:uid="{C4070574-C9F4-4727-B396-E1CEB8731469}" name="CANTIDAD TOTAL ESTIMADA"/>
    <tableColumn id="5" xr3:uid="{9F443ACA-0074-44F0-909E-D44C1A5CC8D3}" name="PRECIO UNITARIO ESTIMADO"/>
    <tableColumn id="6" xr3:uid="{A1083BEC-EC42-4868-AADC-68FF4FD65902}"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AB11BCFE-5E8B-49F1-AE4D-F78C93513614}" name="Table124" displayName="Table124" ref="A1463:F1485" totalsRowShown="0">
  <tableColumns count="6">
    <tableColumn id="1" xr3:uid="{B68B5ACD-CFA9-4BE2-AE89-1FCD3344D08D}" name="CÓDIGO CATÁLOGO"/>
    <tableColumn id="2" xr3:uid="{C4468CAA-2573-4B1F-B84E-3D3292A0AEC6}" name="ARTÍCULO"/>
    <tableColumn id="3" xr3:uid="{F1BA66DC-AE2E-40A7-A1FB-F8261BE407B6}" name="UNIDAD DE MEDIDA">
      <calculatedColumnFormula>IFERROR(VLOOKUP("UD",'[1]Informacion '!P:Q,2,FALSE),"")</calculatedColumnFormula>
    </tableColumn>
    <tableColumn id="4" xr3:uid="{3C08D0BD-1A9F-43AC-A407-1F87DEAE3061}" name="CANTIDAD TOTAL ESTIMADA"/>
    <tableColumn id="5" xr3:uid="{9DA8F820-E0EC-42F4-90F1-47AE818C0D04}" name="PRECIO UNITARIO ESTIMADO"/>
    <tableColumn id="6" xr3:uid="{DE573DAE-4CB1-4763-BC7C-9F887B462EC8}"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49BA277-1CB1-4964-98C4-DB54DB7703B2}" name="Table216" displayName="Table216" ref="A2607:F2611" totalsRowShown="0">
  <tableColumns count="6">
    <tableColumn id="1" xr3:uid="{8192A441-9C5B-4C95-AE12-5574066F7235}" name="CÓDIGO CATÁLOGO"/>
    <tableColumn id="2" xr3:uid="{EAA7BBD1-1F11-4A2A-8824-97FD067C37EF}" name="ARTÍCULO"/>
    <tableColumn id="3" xr3:uid="{5BC1C2C0-0FBE-4A9F-A3F6-393E4CE1E28B}" name="UNIDAD DE MEDIDA">
      <calculatedColumnFormula>IFERROR(VLOOKUP("UD",'[1]Informacion '!P:Q,2,FALSE),"")</calculatedColumnFormula>
    </tableColumn>
    <tableColumn id="4" xr3:uid="{E71F5B5B-8060-412A-BD53-5B5D0AE6D232}" name="CANTIDAD TOTAL ESTIMADA"/>
    <tableColumn id="5" xr3:uid="{8F94D3AF-68F7-4CAD-BC90-E85FD8BD40E0}" name="PRECIO UNITARIO ESTIMADO"/>
    <tableColumn id="6" xr3:uid="{BC43BB53-887D-4774-9892-61CEF8716B1A}"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D0D3785-1FC6-4982-B095-C8582E8D1630}" name="Table132" displayName="Table132" ref="A1618:F1623" totalsRowShown="0">
  <tableColumns count="6">
    <tableColumn id="1" xr3:uid="{734634A3-5967-4083-B84F-085BE9AF6867}" name="CÓDIGO CATÁLOGO"/>
    <tableColumn id="2" xr3:uid="{7B78FDA5-B276-4D1F-9BAA-D2B5BBD41790}" name="ARTÍCULO"/>
    <tableColumn id="3" xr3:uid="{2745CF40-E231-4EBB-A0D3-42374B54E858}" name="UNIDAD DE MEDIDA">
      <calculatedColumnFormula>IFERROR(VLOOKUP("UD",'[1]Informacion '!P:Q,2,FALSE),"")</calculatedColumnFormula>
    </tableColumn>
    <tableColumn id="4" xr3:uid="{4D4DCE30-4C35-4C49-B009-3AAB8C378285}" name="CANTIDAD TOTAL ESTIMADA"/>
    <tableColumn id="5" xr3:uid="{9B24D8B0-0FA3-495D-B0C6-CDBB40A4EB33}" name="PRECIO UNITARIO ESTIMADO"/>
    <tableColumn id="6" xr3:uid="{612CC0E0-D8B1-4182-A3D9-4D8AB8E18D54}"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CFA3E8F2-4377-4816-A8CF-F9CB9BF77678}" name="Table173" displayName="Table173" ref="A2135:F2143" totalsRowShown="0">
  <tableColumns count="6">
    <tableColumn id="1" xr3:uid="{E635B7E1-5A29-49E1-8358-65C668A7A21E}" name="CÓDIGO CATÁLOGO"/>
    <tableColumn id="2" xr3:uid="{BB1F0272-BEBA-4549-AE17-C30780495DB5}" name="ARTÍCULO"/>
    <tableColumn id="3" xr3:uid="{23830D0C-4697-46AD-9E1D-EF36073C5C5E}" name="UNIDAD DE MEDIDA">
      <calculatedColumnFormula>IFERROR(VLOOKUP("UD",'[1]Informacion '!P:Q,2,FALSE),"")</calculatedColumnFormula>
    </tableColumn>
    <tableColumn id="4" xr3:uid="{9D285DAE-F383-4FF2-83D1-0AA419D63DF8}" name="CANTIDAD TOTAL ESTIMADA"/>
    <tableColumn id="5" xr3:uid="{923F558E-02A2-4B33-8FD9-D8D0FF73A4D5}" name="PRECIO UNITARIO ESTIMADO"/>
    <tableColumn id="6" xr3:uid="{4239546D-D81D-430C-90F6-6ED45E5A52F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6060BC1A-BAD3-4B21-811A-CDF80A2E4A49}" name="Table195" displayName="Table195" ref="A2398:F2399" totalsRowShown="0">
  <tableColumns count="6">
    <tableColumn id="1" xr3:uid="{83BFAD5F-F6F3-447B-A344-515870400572}" name="CÓDIGO CATÁLOGO"/>
    <tableColumn id="2" xr3:uid="{E98D6ADD-4158-4D7A-B78B-C8107478C005}" name="ARTÍCULO">
      <calculatedColumnFormula>IFERROR(INDEX(UNSPSCDes,MATCH(INDIRECT(ADDRESS(ROW(),COLUMN()-1,4)),UNSPSCCode,0)),IF(INDIRECT(ADDRESS(ROW(),COLUMN()-1,4))="80131502","Arrendamiento de instalaciones comerciales o industriales",""))</calculatedColumnFormula>
    </tableColumn>
    <tableColumn id="3" xr3:uid="{E1D703AC-BFC6-427E-8B1A-6BC32E6C17DD}" name="UNIDAD DE MEDIDA">
      <calculatedColumnFormula>IFERROR(VLOOKUP("UD",'[1]Informacion '!P:Q,2,FALSE),"")</calculatedColumnFormula>
    </tableColumn>
    <tableColumn id="4" xr3:uid="{F8FDDD90-90B5-4DF5-B015-438AD0742A77}" name="CANTIDAD TOTAL ESTIMADA"/>
    <tableColumn id="5" xr3:uid="{3E943F9B-C03B-460D-9763-BF2A6F33F537}" name="PRECIO UNITARIO ESTIMADO"/>
    <tableColumn id="6" xr3:uid="{9C2EA0E6-F25A-4724-8385-9145790B0F4D}"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C3438A-C35E-46EC-BD4A-248695942894}" name="Table186" displayName="Table186" ref="A2295:F2297" totalsRowShown="0">
  <tableColumns count="6">
    <tableColumn id="1" xr3:uid="{EF418533-2074-4A71-9D2D-5C4431B6133B}" name="CÓDIGO CATÁLOGO"/>
    <tableColumn id="2" xr3:uid="{95B1F430-070E-422B-AD8C-8513356A06A7}" name="ARTÍCULO"/>
    <tableColumn id="3" xr3:uid="{56F7AD59-CCDC-47E1-8A4F-7B27C026DFAB}" name="UNIDAD DE MEDIDA">
      <calculatedColumnFormula>IFERROR(VLOOKUP("UD",'[1]Informacion '!P:Q,2,FALSE),"")</calculatedColumnFormula>
    </tableColumn>
    <tableColumn id="4" xr3:uid="{830177A7-03B8-4E76-93D4-5F1B5CFAC496}" name="CANTIDAD TOTAL ESTIMADA"/>
    <tableColumn id="5" xr3:uid="{85D512B0-58E6-4566-B6FA-B062E31DAAFF}" name="PRECIO UNITARIO ESTIMADO"/>
    <tableColumn id="6" xr3:uid="{610FDFD7-A011-426C-BFD9-5845A0B5AD2A}"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F898110-0D5E-47BB-81B0-0A73534BBC5C}" name="Table184" displayName="Table184" ref="A2271:F2273" totalsRowShown="0">
  <tableColumns count="6">
    <tableColumn id="1" xr3:uid="{E9AB8D68-A497-4499-A839-6A43D99674F4}" name="CÓDIGO CATÁLOGO"/>
    <tableColumn id="2" xr3:uid="{677F3FEA-DBC4-4E44-9F20-6DB8F15E9FA0}" name="ARTÍCULO">
      <calculatedColumnFormula>IFERROR(INDEX(UNSPSCDes,MATCH(INDIRECT(ADDRESS(ROW(),COLUMN()-1,4)),UNSPSCCode,0)),IF(INDIRECT(ADDRESS(ROW(),COLUMN()-1,4))="14111604","Tarjetas de presentación",""))</calculatedColumnFormula>
    </tableColumn>
    <tableColumn id="3" xr3:uid="{3D5AD692-647F-4B9C-B3E5-550F7A2A545D}" name="UNIDAD DE MEDIDA">
      <calculatedColumnFormula>IFERROR(VLOOKUP("UD",'[1]Informacion '!P:Q,2,FALSE),"")</calculatedColumnFormula>
    </tableColumn>
    <tableColumn id="4" xr3:uid="{116CB585-F63D-41FA-98BF-8AE78CB6D96E}" name="CANTIDAD TOTAL ESTIMADA"/>
    <tableColumn id="5" xr3:uid="{5E5726B2-62FA-4FD7-B78E-C79702E358E9}" name="PRECIO UNITARIO ESTIMADO"/>
    <tableColumn id="6" xr3:uid="{1199678B-EE5F-49C2-83F0-07E16778B1CB}"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376A364-5900-469B-B9B3-7329D0158CF4}" name="Table103" displayName="Table103" ref="A1185:F1186" totalsRowShown="0">
  <tableColumns count="6">
    <tableColumn id="1" xr3:uid="{1B5C4DC2-2EC8-4AFD-AC30-79269C85306E}" name="CÓDIGO CATÁLOGO"/>
    <tableColumn id="2" xr3:uid="{A16028C7-FD5F-4AB8-BB5C-9DD860C65CA9}" name="ARTÍCULO">
      <calculatedColumnFormula>IFERROR(INDEX(UNSPSCDes,MATCH(INDIRECT(ADDRESS(ROW(),COLUMN()-1,4)),UNSPSCCode,0)),IF(INDIRECT(ADDRESS(ROW(),COLUMN()-1,4))="15101506","Gasolina",""))</calculatedColumnFormula>
    </tableColumn>
    <tableColumn id="3" xr3:uid="{4F1DA1F0-3345-4227-A0AC-7EC0D4EE431F}" name="UNIDAD DE MEDIDA">
      <calculatedColumnFormula>IFERROR(VLOOKUP("UD",'[1]Informacion '!P:Q,2,FALSE),"")</calculatedColumnFormula>
    </tableColumn>
    <tableColumn id="4" xr3:uid="{4F83EC20-2C3C-4D56-B251-EB01BFE83909}" name="CANTIDAD TOTAL ESTIMADA"/>
    <tableColumn id="5" xr3:uid="{D8F5CDF5-75B5-4CBC-8689-67A3EC6889DE}" name="PRECIO UNITARIO ESTIMADO"/>
    <tableColumn id="6" xr3:uid="{CFA6C0A0-8C74-4B89-B758-6DCC06B1C1C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8726D29E-B152-4010-A113-81872C321A7B}" name="Table189" displayName="Table189" ref="A2332:F2333" totalsRowShown="0">
  <tableColumns count="6">
    <tableColumn id="1" xr3:uid="{775ECCEE-5C9B-4F6E-9D1C-ECB10549C512}" name="CÓDIGO CATÁLOGO"/>
    <tableColumn id="2" xr3:uid="{87890A35-E9FE-4B80-AB86-A62A504A995F}" name="ARTÍCULO">
      <calculatedColumnFormula>IFERROR(INDEX(UNSPSCDes,MATCH(INDIRECT(ADDRESS(ROW(),COLUMN()-1,4)),UNSPSCCode,0)),IF(INDIRECT(ADDRESS(ROW(),COLUMN()-1,4))="78131602","Almacenaje de archivos de carpetas",""))</calculatedColumnFormula>
    </tableColumn>
    <tableColumn id="3" xr3:uid="{59759BAF-A84C-4D8F-95A1-2EC308EE9DBB}" name="UNIDAD DE MEDIDA"/>
    <tableColumn id="4" xr3:uid="{F959E3FF-EFFE-4DBB-9766-E0ED7C22ECA1}" name="CANTIDAD TOTAL ESTIMADA"/>
    <tableColumn id="5" xr3:uid="{E646D003-359D-47EC-84E0-EB01C4E8B02B}" name="PRECIO UNITARIO ESTIMADO"/>
    <tableColumn id="6" xr3:uid="{2A325244-CCCA-4D9C-AA71-14D57935AF1A}"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F3BE489-6CFB-4F6E-B722-FC25238E4416}" name="Table135" displayName="Table135" ref="A1668:F1672" totalsRowShown="0">
  <tableColumns count="6">
    <tableColumn id="1" xr3:uid="{D75D7378-56D0-462B-949D-14B42859AB12}" name="CÓDIGO CATÁLOGO"/>
    <tableColumn id="2" xr3:uid="{CE8E6198-54F3-4BCF-9660-D44DB0BE62EA}" name="ARTÍCULO"/>
    <tableColumn id="3" xr3:uid="{2C6645A3-89EB-4F31-9768-B873B669C780}" name="UNIDAD DE MEDIDA">
      <calculatedColumnFormula>IFERROR(VLOOKUP("UD",'[1]Informacion '!P:Q,2,FALSE),"")</calculatedColumnFormula>
    </tableColumn>
    <tableColumn id="4" xr3:uid="{EF577A6C-18D7-43D8-8CDE-BA87E677C9E5}" name="CANTIDAD TOTAL ESTIMADA"/>
    <tableColumn id="5" xr3:uid="{632CBA6D-A7A1-4C01-9789-5CF5DDC5133B}" name="PRECIO UNITARIO ESTIMADO"/>
    <tableColumn id="6" xr3:uid="{20A0B251-9BA2-4CCF-9D9B-D34342DD17C7}"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5BD6421-4BE3-4234-B67B-91FDAFDD0425}" name="Table192" displayName="Table192" ref="A2365:F2366" totalsRowShown="0">
  <tableColumns count="6">
    <tableColumn id="1" xr3:uid="{2892C227-7682-41BB-A831-831765A657BB}" name="CÓDIGO CATÁLOGO"/>
    <tableColumn id="2" xr3:uid="{D97058E6-AE3B-46F5-9267-1DC74F0C7AFD}" name="ARTÍCULO">
      <calculatedColumnFormula>IFERROR(INDEX(UNSPSCDes,MATCH(INDIRECT(ADDRESS(ROW(),COLUMN()-1,4)),UNSPSCCode,0)),IF(INDIRECT(ADDRESS(ROW(),COLUMN()-1,4))="80131502","Arrendamiento de instalaciones comerciales o industriales",""))</calculatedColumnFormula>
    </tableColumn>
    <tableColumn id="3" xr3:uid="{9C83EC5F-F992-4E5E-BF62-312E07EAEAD1}" name="UNIDAD DE MEDIDA">
      <calculatedColumnFormula>IFERROR(VLOOKUP("UD",'[1]Informacion '!P:Q,2,FALSE),"")</calculatedColumnFormula>
    </tableColumn>
    <tableColumn id="4" xr3:uid="{D64E8809-7D2E-4456-A77C-1758A5E9B92B}" name="CANTIDAD TOTAL ESTIMADA"/>
    <tableColumn id="5" xr3:uid="{10AFF9E1-B908-4A77-8E51-0A29CD6525D0}" name="PRECIO UNITARIO ESTIMADO"/>
    <tableColumn id="6" xr3:uid="{7249086F-3022-431A-8330-0B3C218C1372}"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CC0CF5DF-3D85-4EA9-9E1B-1D2F918A8311}" name="Table24" displayName="Table24" ref="A249:F250" totalsRowShown="0">
  <tableColumns count="6">
    <tableColumn id="1" xr3:uid="{3746165F-A859-45B4-9E5A-CD36A04C4180}" name="CÓDIGO CATÁLOGO"/>
    <tableColumn id="2" xr3:uid="{9A81FC7D-C6B5-47D0-911D-0E37CE314175}" name="ARTÍCULO">
      <calculatedColumnFormula>IFERROR(INDEX(UNSPSCDes,MATCH(INDIRECT(ADDRESS(ROW(),COLUMN()-1,4)),UNSPSCCode,0)),IF(INDIRECT(ADDRESS(ROW(),COLUMN()-1,4))="81111510","Servicios de desarrollo de aplicaciones para servidores de internet / intranet",""))</calculatedColumnFormula>
    </tableColumn>
    <tableColumn id="3" xr3:uid="{5DE39E33-FDC7-4DDB-BF0D-144323AFAAA8}" name="UNIDAD DE MEDIDA">
      <calculatedColumnFormula>IFERROR(VLOOKUP("UD",'[1]Informacion '!P:Q,2,FALSE),"")</calculatedColumnFormula>
    </tableColumn>
    <tableColumn id="4" xr3:uid="{2B8B059D-E804-4530-9456-BECE2E8C66DB}" name="CANTIDAD TOTAL ESTIMADA"/>
    <tableColumn id="5" xr3:uid="{8923B2B4-CD57-4315-BB19-DF42E612840E}" name="PRECIO UNITARIO ESTIMADO"/>
    <tableColumn id="6" xr3:uid="{BBD0F557-4062-44D2-B1C5-D7F0439187FA}"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AAA3FDAC-4E0C-4885-9ECF-D26D02BC5F7B}" name="Table158" displayName="Table158" ref="A1946:F1948" totalsRowShown="0">
  <tableColumns count="6">
    <tableColumn id="1" xr3:uid="{FFE86C8F-49CF-42D7-AA03-1C64086E9097}" name="CÓDIGO CATÁLOGO"/>
    <tableColumn id="2" xr3:uid="{8C50BDA9-0650-4BA7-89A5-F034EBFA858E}" name="ARTÍCULO">
      <calculatedColumnFormula>IFERROR(INDEX(UNSPSCDes,MATCH(INDIRECT(ADDRESS(ROW(),COLUMN()-1,4)),UNSPSCCode,0)),IF(INDIRECT(ADDRESS(ROW(),COLUMN()-1,4))="24111808","Tanques de almacenaje de combustible",""))</calculatedColumnFormula>
    </tableColumn>
    <tableColumn id="3" xr3:uid="{496205B2-5D3A-4F66-9318-0A598C9023EA}" name="UNIDAD DE MEDIDA">
      <calculatedColumnFormula>IFERROR(VLOOKUP("UD",'[1]Informacion '!P:Q,2,FALSE),"")</calculatedColumnFormula>
    </tableColumn>
    <tableColumn id="4" xr3:uid="{4A29F5A2-9A74-4A8E-A89B-AB43299BBE11}" name="CANTIDAD TOTAL ESTIMADA"/>
    <tableColumn id="5" xr3:uid="{32BFC529-79C2-4A69-897A-16BACC0F095B}" name="PRECIO UNITARIO ESTIMADO"/>
    <tableColumn id="6" xr3:uid="{10466E82-5B5D-4FB1-8B84-A9862918D81C}"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A28ACCD-30FE-4641-9C61-338E3BD181C0}" name="Table168" displayName="Table168" ref="A2078:F2080" totalsRowShown="0">
  <tableColumns count="6">
    <tableColumn id="1" xr3:uid="{358D8556-EF73-4E23-942D-3424DDE3C5B7}" name="CÓDIGO CATÁLOGO"/>
    <tableColumn id="2" xr3:uid="{54DF2E43-2B34-4E5D-9FA9-2E7F0C318544}" name="ARTÍCULO"/>
    <tableColumn id="3" xr3:uid="{2637CEB4-FF63-450E-8092-61D57A15CDE7}" name="UNIDAD DE MEDIDA">
      <calculatedColumnFormula>IFERROR(VLOOKUP("UD",'[1]Informacion '!P:Q,2,FALSE),"")</calculatedColumnFormula>
    </tableColumn>
    <tableColumn id="4" xr3:uid="{E6A0D862-099D-49DC-A02E-59F6A6C60465}" name="CANTIDAD TOTAL ESTIMADA"/>
    <tableColumn id="5" xr3:uid="{9AFA98CB-CC1D-4FD6-BF07-F70BC511DF69}" name="PRECIO UNITARIO ESTIMADO"/>
    <tableColumn id="6" xr3:uid="{816E3E9A-4C8A-436E-89A7-B2F4777FF24A}"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5EB097C1-CE0D-42F4-8DFB-9A82CED3CD63}" name="Table99" displayName="Table99" ref="A1134:F1135" totalsRowShown="0">
  <tableColumns count="6">
    <tableColumn id="1" xr3:uid="{F19380D8-941B-48E4-9EC1-53C567E9ED09}" name="CÓDIGO CATÁLOGO"/>
    <tableColumn id="2" xr3:uid="{4A5050CB-49F8-4DA6-AB8D-C2D2EA3A793A}" name="ARTÍCULO">
      <calculatedColumnFormula>IFERROR(INDEX(UNSPSCDes,MATCH(INDIRECT(ADDRESS(ROW(),COLUMN()-1,4)),UNSPSCCode,0)),IF(INDIRECT(ADDRESS(ROW(),COLUMN()-1,4))="31162307","Placas de montaje",""))</calculatedColumnFormula>
    </tableColumn>
    <tableColumn id="3" xr3:uid="{17FCF00F-A6EF-4008-B75B-CFD254821FA4}" name="UNIDAD DE MEDIDA">
      <calculatedColumnFormula>IFERROR(VLOOKUP("UD",'[1]Informacion '!P:Q,2,FALSE),"")</calculatedColumnFormula>
    </tableColumn>
    <tableColumn id="4" xr3:uid="{548999E2-B6CD-4CB6-A492-0A07A85E0403}" name="CANTIDAD TOTAL ESTIMADA"/>
    <tableColumn id="5" xr3:uid="{89D499E0-41B0-4ABA-97C5-A6B9F39BE75F}" name="PRECIO UNITARIO ESTIMADO"/>
    <tableColumn id="6" xr3:uid="{F3469DB8-7FC1-4D6D-9A0B-156B968D911C}"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3214C94E-A9F8-4480-83BF-1B9D8C44FF10}" name="Table100" displayName="Table100" ref="A1145:F1153" totalsRowShown="0">
  <tableColumns count="6">
    <tableColumn id="1" xr3:uid="{A0BEC9E2-70FA-4767-838F-A4B8721C6D90}" name="CÓDIGO CATÁLOGO"/>
    <tableColumn id="2" xr3:uid="{F0EC7999-B178-4E70-BC1D-AC2D1A17616E}" name="ARTÍCULO"/>
    <tableColumn id="3" xr3:uid="{81BA65D8-B4BA-4133-BD16-7FDACF0718D7}" name="UNIDAD DE MEDIDA">
      <calculatedColumnFormula>IFERROR(VLOOKUP("UD",'[1]Informacion '!P:Q,2,FALSE),"")</calculatedColumnFormula>
    </tableColumn>
    <tableColumn id="4" xr3:uid="{5DF4176D-E308-43EA-9FFB-50F1C4B44C09}" name="CANTIDAD TOTAL ESTIMADA"/>
    <tableColumn id="5" xr3:uid="{A38D245B-530D-4D15-BFBA-8F3BA8D53499}" name="PRECIO UNITARIO ESTIMADO"/>
    <tableColumn id="6" xr3:uid="{272B8BB8-D024-4565-A9AC-454715B8DA67}"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CB42895-D6AD-4012-BF8B-31F9C7171914}" name="Table166" displayName="Table166" ref="A2052:F2055" totalsRowShown="0">
  <tableColumns count="6">
    <tableColumn id="1" xr3:uid="{9F63EDA8-7A88-43E7-8182-235A8D23C2C4}" name="CÓDIGO CATÁLOGO"/>
    <tableColumn id="2" xr3:uid="{23FCFFA8-4803-4A63-A97B-1F49A7C9BDEC}" name="ARTÍCULO"/>
    <tableColumn id="3" xr3:uid="{C3D110BF-516F-45BB-B5C6-2F2DEFC9199C}" name="UNIDAD DE MEDIDA">
      <calculatedColumnFormula>IFERROR(VLOOKUP("UD",'[1]Informacion '!P:Q,2,FALSE),"")</calculatedColumnFormula>
    </tableColumn>
    <tableColumn id="4" xr3:uid="{4C8B5680-1A1A-4B6F-A551-32D66650B47F}" name="CANTIDAD TOTAL ESTIMADA"/>
    <tableColumn id="5" xr3:uid="{738B0926-51EA-465E-A424-7C71B2DCEB1E}" name="PRECIO UNITARIO ESTIMADO"/>
    <tableColumn id="6" xr3:uid="{83A26B4B-BB66-4C82-8CB6-4BEB7C90DEC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86DE715C-BCC7-430C-A71E-740BD149568B}" name="Table181" displayName="Table181" ref="A2234:F2236" totalsRowShown="0">
  <tableColumns count="6">
    <tableColumn id="1" xr3:uid="{6EE01B8A-CB3B-4991-9E1A-D5409E1F28B6}" name="CÓDIGO CATÁLOGO"/>
    <tableColumn id="2" xr3:uid="{5B899F42-88C3-452F-91DF-AD7C0ADDCED3}" name="ARTÍCULO"/>
    <tableColumn id="3" xr3:uid="{BB4751D9-1443-48D5-8C16-187BA65974E5}" name="UNIDAD DE MEDIDA">
      <calculatedColumnFormula>IFERROR(VLOOKUP("UD",'[1]Informacion '!P:Q,2,FALSE),"")</calculatedColumnFormula>
    </tableColumn>
    <tableColumn id="4" xr3:uid="{408BE7EA-061D-4517-945B-3A6A6F76C7DD}" name="CANTIDAD TOTAL ESTIMADA"/>
    <tableColumn id="5" xr3:uid="{B5CDBF51-B2B6-40D6-8ED6-BE44957E5F84}" name="PRECIO UNITARIO ESTIMADO"/>
    <tableColumn id="6" xr3:uid="{8C120AE1-9D4F-4478-85D7-9382A306ECF9}"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3C7EA6EC-1209-49EA-B336-0F35CCA87689}" name="Table230" displayName="Table230" ref="A2746:F2747" totalsRowShown="0">
  <tableColumns count="6">
    <tableColumn id="1" xr3:uid="{EB16521E-55D4-44F6-9F2A-6A3CB563B8FD}" name="CÓDIGO CATÁLOGO"/>
    <tableColumn id="2" xr3:uid="{FFED941F-06D0-410E-AD53-5E1EC112AF01}" name="ARTÍCULO">
      <calculatedColumnFormula>IFERROR(INDEX(UNSPSCDes,MATCH(INDIRECT(ADDRESS(ROW(),COLUMN()-1,4)),UNSPSCCode,0)),IF(INDIRECT(ADDRESS(ROW(),COLUMN()-1,4))="30222701","Oficinas",""))</calculatedColumnFormula>
    </tableColumn>
    <tableColumn id="3" xr3:uid="{56FF9173-554D-4478-81E3-E562FAB5A9AB}" name="UNIDAD DE MEDIDA">
      <calculatedColumnFormula>IFERROR(VLOOKUP("UD",'[1]Informacion '!P:Q,2,FALSE),"")</calculatedColumnFormula>
    </tableColumn>
    <tableColumn id="4" xr3:uid="{D254068F-4763-4A82-A03C-75DC311958D8}" name="CANTIDAD TOTAL ESTIMADA"/>
    <tableColumn id="5" xr3:uid="{A29338D9-4873-4D47-94FD-CE30F41D249F}" name="PRECIO UNITARIO ESTIMADO"/>
    <tableColumn id="6" xr3:uid="{02945BF5-6B40-44E4-AB31-5CFA6EF9724A}"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99871679-42D1-4142-8FAD-34043C2DB104}" name="Table66" displayName="Table66" ref="A679:F683" totalsRowShown="0">
  <tableColumns count="6">
    <tableColumn id="1" xr3:uid="{8FEFB5E9-0F4A-4F17-81B4-7CB3389CE678}" name="CÓDIGO CATÁLOGO"/>
    <tableColumn id="2" xr3:uid="{2AEF8B51-3429-4A22-BCAD-E6B80872973C}" name="ARTÍCULO">
      <calculatedColumnFormula>IFERROR(INDEX(UNSPSCDes,MATCH(INDIRECT(ADDRESS(ROW(),COLUMN()-1,4)),UNSPSCCode,0)),IF(INDIRECT(ADDRESS(ROW(),COLUMN()-1,4))="60121008","Afiches",""))</calculatedColumnFormula>
    </tableColumn>
    <tableColumn id="3" xr3:uid="{F304B335-BC90-40A1-BC44-DBAA34B0D036}" name="UNIDAD DE MEDIDA">
      <calculatedColumnFormula>IFERROR(VLOOKUP("UD",'[1]Informacion '!P:Q,2,FALSE),"")</calculatedColumnFormula>
    </tableColumn>
    <tableColumn id="4" xr3:uid="{CDDB9C35-E634-44ED-865E-3011F96F4C5C}" name="CANTIDAD TOTAL ESTIMADA"/>
    <tableColumn id="5" xr3:uid="{4331C074-C833-4371-8339-7F8807164BC0}" name="PRECIO UNITARIO ESTIMADO"/>
    <tableColumn id="6" xr3:uid="{8E896342-B429-4150-9B4C-69713C2416C7}"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17A86934-7284-4724-9930-E81FAAA3CA34}" name="Table64" displayName="Table64" ref="A653:F655" totalsRowShown="0">
  <tableColumns count="6">
    <tableColumn id="1" xr3:uid="{9C332A9E-E0D2-4CCE-B05E-A4061B264001}" name="CÓDIGO CATÁLOGO"/>
    <tableColumn id="2" xr3:uid="{30DD4911-A6B3-4644-AB35-14C4C64CFDD5}" name="ARTÍCULO">
      <calculatedColumnFormula>IFERROR(INDEX(UNSPSCDes,MATCH(INDIRECT(ADDRESS(ROW(),COLUMN()-1,4)),UNSPSCCode,0)),IF(INDIRECT(ADDRESS(ROW(),COLUMN()-1,4))="14121503","Cartón",""))</calculatedColumnFormula>
    </tableColumn>
    <tableColumn id="3" xr3:uid="{E19DF11A-4788-4042-BD66-F3111AFADBA6}" name="UNIDAD DE MEDIDA">
      <calculatedColumnFormula>IFERROR(VLOOKUP("UD",'[1]Informacion '!P:Q,2,FALSE),"")</calculatedColumnFormula>
    </tableColumn>
    <tableColumn id="4" xr3:uid="{07546558-F9BB-491C-9A56-1EFB7322F8BA}" name="CANTIDAD TOTAL ESTIMADA"/>
    <tableColumn id="5" xr3:uid="{04EE093B-5D6D-49CE-A6C3-9CBCDD835FE1}" name="PRECIO UNITARIO ESTIMADO"/>
    <tableColumn id="6" xr3:uid="{0B13C69C-C723-4E2A-BEA1-58E2A99C7B7A}"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32AFD067-3B08-445E-A2A1-5ED85E89D2FD}" name="Table201" displayName="Table201" ref="A2465:F2466" totalsRowShown="0">
  <tableColumns count="6">
    <tableColumn id="1" xr3:uid="{7B3CA5CA-0E08-4786-BF88-81962C834A74}" name="CÓDIGO CATÁLOGO"/>
    <tableColumn id="2" xr3:uid="{F6AF4384-7895-4B0E-8468-44F8377D4D59}" name="ARTÍCULO">
      <calculatedColumnFormula>IFERROR(INDEX(UNSPSCDes,MATCH(INDIRECT(ADDRESS(ROW(),COLUMN()-1,4)),UNSPSCCode,0)),IF(INDIRECT(ADDRESS(ROW(),COLUMN()-1,4))="46171619","Sistemas de seguridad o de control de acceso",""))</calculatedColumnFormula>
    </tableColumn>
    <tableColumn id="3" xr3:uid="{A21FE921-0CA0-42D0-A8A4-56931E422908}" name="UNIDAD DE MEDIDA">
      <calculatedColumnFormula>IFERROR(VLOOKUP("UD",'[1]Informacion '!P:Q,2,FALSE),"")</calculatedColumnFormula>
    </tableColumn>
    <tableColumn id="4" xr3:uid="{EAA2C502-EF36-432F-80A8-137BDE69547A}" name="CANTIDAD TOTAL ESTIMADA"/>
    <tableColumn id="5" xr3:uid="{B2006D4C-9203-43D7-9015-5A04B6B038D3}" name="PRECIO UNITARIO ESTIMADO"/>
    <tableColumn id="6" xr3:uid="{D9ACBA92-0364-4E5F-8CC7-2E8175BCAAC2}"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F6C67F39-B303-4099-B5F7-36B7A943A1A4}" name="Table154" displayName="Table154" ref="A1898:F1899" totalsRowShown="0">
  <tableColumns count="6">
    <tableColumn id="1" xr3:uid="{8E8633C6-26B7-433E-8FC1-377FD9B4ABD4}" name="CÓDIGO CATÁLOGO"/>
    <tableColumn id="2" xr3:uid="{21AD08D0-638B-4C6C-8F6D-1F1309AA112A}" name="ARTÍCULO">
      <calculatedColumnFormula>IFERROR(INDEX(UNSPSCDes,MATCH(INDIRECT(ADDRESS(ROW(),COLUMN()-1,4)),UNSPSCCode,0)),IF(INDIRECT(ADDRESS(ROW(),COLUMN()-1,4))="43211507","Computadores de escritorio",""))</calculatedColumnFormula>
    </tableColumn>
    <tableColumn id="3" xr3:uid="{9C00786B-AEDD-438E-A3CC-A92484BAE2D6}" name="UNIDAD DE MEDIDA">
      <calculatedColumnFormula>IFERROR(VLOOKUP("UD",'[1]Informacion '!P:Q,2,FALSE),"")</calculatedColumnFormula>
    </tableColumn>
    <tableColumn id="4" xr3:uid="{9F30CFD4-76DC-40A0-9595-50822DCE0B3B}" name="CANTIDAD TOTAL ESTIMADA"/>
    <tableColumn id="5" xr3:uid="{1B20F475-86EE-4503-B577-958A29367AA5}" name="PRECIO UNITARIO ESTIMADO"/>
    <tableColumn id="6" xr3:uid="{0864CBF0-72EA-48CC-9BBF-938D52C9FF5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6C7DC0F-2A88-445E-B33A-B9617616845A}" name="Table46" displayName="Table46" ref="A489:F492" totalsRowShown="0">
  <tableColumns count="6">
    <tableColumn id="1" xr3:uid="{7C91ABBD-CD46-4BD2-8C0B-723C3C293B05}" name="CÓDIGO CATÁLOGO"/>
    <tableColumn id="2" xr3:uid="{42D5A1AC-C406-4F17-A90D-05987097D293}" name="ARTÍCULO"/>
    <tableColumn id="3" xr3:uid="{0D5A9305-6A13-456B-9E6B-96B661B37BF5}" name="UNIDAD DE MEDIDA">
      <calculatedColumnFormula>IFERROR(VLOOKUP("UD",'[1]Informacion '!P:Q,2,FALSE),"")</calculatedColumnFormula>
    </tableColumn>
    <tableColumn id="4" xr3:uid="{3D5CB4B4-7936-4A77-9D81-505B85AFBDEB}" name="CANTIDAD TOTAL ESTIMADA"/>
    <tableColumn id="5" xr3:uid="{8D241B8E-0462-4A3E-BC1A-E07D9A1EC3A5}" name="PRECIO UNITARIO ESTIMADO"/>
    <tableColumn id="6" xr3:uid="{9562EF65-E33F-4EB6-A9FC-118A7F2FB435}"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D347E94A-637A-4E23-9373-73F531FBCA8A}" name="Table26" displayName="Table26" ref="A272:F273" totalsRowShown="0">
  <tableColumns count="6">
    <tableColumn id="1" xr3:uid="{EECAAF38-DE3D-4167-9C66-EBEFBFB35848}" name="CÓDIGO CATÁLOGO"/>
    <tableColumn id="2" xr3:uid="{B04D12C0-9445-4475-B073-A7345BDE4DAC}" name="ARTÍCULO">
      <calculatedColumnFormula>IFERROR(INDEX(UNSPSCDes,MATCH(INDIRECT(ADDRESS(ROW(),COLUMN()-1,4)),UNSPSCCode,0)),IF(INDIRECT(ADDRESS(ROW(),COLUMN()-1,4))="81111510","Servicios de desarrollo de aplicaciones para servidores de internet / intranet",""))</calculatedColumnFormula>
    </tableColumn>
    <tableColumn id="3" xr3:uid="{5102E0ED-E1AC-4B0F-B317-E5277343608D}" name="UNIDAD DE MEDIDA">
      <calculatedColumnFormula>IFERROR(VLOOKUP("UD",'[1]Informacion '!P:Q,2,FALSE),"")</calculatedColumnFormula>
    </tableColumn>
    <tableColumn id="4" xr3:uid="{6072A52E-6C07-4704-8E67-E14DA526877F}" name="CANTIDAD TOTAL ESTIMADA"/>
    <tableColumn id="5" xr3:uid="{F0B86BBE-C7B2-41C3-A692-B02DAFBF0949}" name="PRECIO UNITARIO ESTIMADO"/>
    <tableColumn id="6" xr3:uid="{8BF838A1-B157-4A4A-89E9-3986C7D189E9}"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10815B48-D6B6-48FC-B08B-BCDEC6666E4B}" name="Table254" displayName="Table254" ref="A2934:F2935" totalsRowShown="0">
  <tableColumns count="6">
    <tableColumn id="1" xr3:uid="{F4A13DE4-AE1A-492C-B223-7C6CD6916E96}" name="CÓDIGO CATÁLOGO"/>
    <tableColumn id="2" xr3:uid="{8C4725F6-86A9-4D24-9893-67557403C5F6}" name="ARTÍCULO">
      <calculatedColumnFormula>IFERROR(INDEX(UNSPSCDes,MATCH(INDIRECT(ADDRESS(ROW(),COLUMN()-1,4)),UNSPSCCode,0)),IF(INDIRECT(ADDRESS(ROW(),COLUMN()-1,4))="72102103","Servicios de exterminación o fumigación",""))</calculatedColumnFormula>
    </tableColumn>
    <tableColumn id="3" xr3:uid="{571DA9AA-597D-4F3A-A5E1-3576D69396F5}" name="UNIDAD DE MEDIDA">
      <calculatedColumnFormula>IFERROR(VLOOKUP("UD",'[1]Informacion '!P:Q,2,FALSE),"")</calculatedColumnFormula>
    </tableColumn>
    <tableColumn id="4" xr3:uid="{8B1E1606-519B-4B80-BEDA-0A294459B291}" name="CANTIDAD TOTAL ESTIMADA"/>
    <tableColumn id="5" xr3:uid="{9CA50C5D-A362-447D-9149-BB9C2CFC64C1}" name="PRECIO UNITARIO ESTIMADO"/>
    <tableColumn id="6" xr3:uid="{A36E2B99-1EAF-4E8C-B9AA-BCBF18380B6D}"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DD530D48-54B0-4386-8E57-504B43E5D684}" name="Table91" displayName="Table91" ref="A1024:F1025" totalsRowShown="0">
  <tableColumns count="6">
    <tableColumn id="1" xr3:uid="{83F2F768-9DA8-42D6-9AAA-8AF8DF196AEC}" name="CÓDIGO CATÁLOGO"/>
    <tableColumn id="2" xr3:uid="{F9A7C3A7-BB44-41C1-B323-6C4690E51CC8}" name="ARTÍCULO">
      <calculatedColumnFormula>IFERROR(INDEX(UNSPSCDes,MATCH(INDIRECT(ADDRESS(ROW(),COLUMN()-1,4)),UNSPSCCode,0)),IF(INDIRECT(ADDRESS(ROW(),COLUMN()-1,4))="60124320","Compuestos de yeso",""))</calculatedColumnFormula>
    </tableColumn>
    <tableColumn id="3" xr3:uid="{45CCEE92-F975-4CCE-9827-B0BEB5C8F2F4}" name="UNIDAD DE MEDIDA">
      <calculatedColumnFormula>IFERROR(VLOOKUP("UD",'[1]Informacion '!P:Q,2,FALSE),"")</calculatedColumnFormula>
    </tableColumn>
    <tableColumn id="4" xr3:uid="{94F54AE5-49BC-436E-A2DA-918F9D475BAA}" name="CANTIDAD TOTAL ESTIMADA"/>
    <tableColumn id="5" xr3:uid="{45629009-6EB7-4488-AFF9-2A459DB7360F}" name="PRECIO UNITARIO ESTIMADO"/>
    <tableColumn id="6" xr3:uid="{33F23FB5-C484-43D6-86D8-EA6C6FFB1273}"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EC44B35-0442-4B18-BDC2-9112232B274C}" name="Table239" displayName="Table239" ref="A2827:F2828" totalsRowShown="0">
  <tableColumns count="6">
    <tableColumn id="1" xr3:uid="{622B97F1-2602-482E-8802-1B964078A8CA}" name="CÓDIGO CATÁLOGO"/>
    <tableColumn id="2" xr3:uid="{F4EC9563-A685-47C2-BA53-975024BA505D}" name="ARTÍCULO">
      <calculatedColumnFormula>IFERROR(INDEX(UNSPSCDes,MATCH(INDIRECT(ADDRESS(ROW(),COLUMN()-1,4)),UNSPSCCode,0)),IF(INDIRECT(ADDRESS(ROW(),COLUMN()-1,4))="81111812","Servicio de mantenimiento o soporte del hardware del computador",""))</calculatedColumnFormula>
    </tableColumn>
    <tableColumn id="3" xr3:uid="{514F4D06-13C6-40C8-95FE-1B3F7BD6AAE0}" name="UNIDAD DE MEDIDA"/>
    <tableColumn id="4" xr3:uid="{6319C488-4D4C-4725-A4D6-B969CACEAEC6}" name="CANTIDAD TOTAL ESTIMADA"/>
    <tableColumn id="5" xr3:uid="{C05C775F-0288-4C15-BF31-64AB56AAA8F8}" name="PRECIO UNITARIO ESTIMADO"/>
    <tableColumn id="6" xr3:uid="{28117BE4-1399-4D78-8E09-449B8C86B7DF}"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DA604A8-8899-4C39-A083-C49CDE1153EB}" name="Table17" displayName="Table17" ref="A171:F172" totalsRowShown="0">
  <tableColumns count="6">
    <tableColumn id="1" xr3:uid="{B87FD1DC-D38A-44F8-9467-9829489B86C4}" name="CÓDIGO CATÁLOGO"/>
    <tableColumn id="2" xr3:uid="{DB9764AC-DDA1-44D5-B5E5-A5A2DC3460FE}" name="ARTÍCULO">
      <calculatedColumnFormula>IFERROR(INDEX(UNSPSCDes,MATCH(INDIRECT(ADDRESS(ROW(),COLUMN()-1,4)),UNSPSCCode,0)),IF(INDIRECT(ADDRESS(ROW(),COLUMN()-1,4))="80121704","Servicios legales sobre contratos",""))</calculatedColumnFormula>
    </tableColumn>
    <tableColumn id="3" xr3:uid="{0F89714E-AA7C-47F8-9AA9-1709BFCFA165}" name="UNIDAD DE MEDIDA">
      <calculatedColumnFormula>IFERROR(VLOOKUP("UD",'[1]Informacion '!P:Q,2,FALSE),"")</calculatedColumnFormula>
    </tableColumn>
    <tableColumn id="4" xr3:uid="{95E8B408-830B-4165-8659-8AB117028AE1}" name="CANTIDAD TOTAL ESTIMADA"/>
    <tableColumn id="5" xr3:uid="{7D9B6360-387E-4D77-B7BD-9610B0DB284B}" name="PRECIO UNITARIO ESTIMADO"/>
    <tableColumn id="6" xr3:uid="{088E3B79-6432-4EAC-BC22-8BC4334CFAF7}"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194CBC36-D703-4822-A83E-19864EA193FD}" name="Table129" displayName="Table129" ref="A1575:F1576" totalsRowShown="0">
  <tableColumns count="6">
    <tableColumn id="1" xr3:uid="{C5D9F8E8-1ED7-4AA9-BC34-301F9C19BDDE}" name="CÓDIGO CATÁLOGO"/>
    <tableColumn id="2" xr3:uid="{7693A4DD-0A89-4E07-B1E7-952AA5898136}" name="ARTÍCULO">
      <calculatedColumnFormula>IFERROR(INDEX(UNSPSCDes,MATCH(INDIRECT(ADDRESS(ROW(),COLUMN()-1,4)),UNSPSCCode,0)),IF(INDIRECT(ADDRESS(ROW(),COLUMN()-1,4))="52151501","Utensilios de cocina desechables para uso doméstico",""))</calculatedColumnFormula>
    </tableColumn>
    <tableColumn id="3" xr3:uid="{42F6D9F4-284A-40C3-B55E-3C9991F43603}" name="UNIDAD DE MEDIDA"/>
    <tableColumn id="4" xr3:uid="{33BEBF87-F40A-4B5A-8AC7-D19A9065111C}" name="CANTIDAD TOTAL ESTIMADA"/>
    <tableColumn id="5" xr3:uid="{94C2A745-539D-429C-ABE1-CA280A42182F}" name="PRECIO UNITARIO ESTIMADO"/>
    <tableColumn id="6" xr3:uid="{5E607687-F2E7-4AED-A8E8-07123BE80472}"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4E6617D1-E833-4B8A-9E8F-D49330BDA895}" name="Table86" displayName="Table86" ref="A962:F964" totalsRowShown="0">
  <tableColumns count="6">
    <tableColumn id="1" xr3:uid="{C647425C-4113-40D6-8912-F535CFD98841}" name="CÓDIGO CATÁLOGO"/>
    <tableColumn id="2" xr3:uid="{CD483B13-885B-4741-8EF6-9E1BC97F09F5}" name="ARTÍCULO"/>
    <tableColumn id="3" xr3:uid="{960DC296-F979-4E9B-B71F-D06173893320}" name="UNIDAD DE MEDIDA">
      <calculatedColumnFormula>IFERROR(VLOOKUP("UD",'[1]Informacion '!P:Q,2,FALSE),"")</calculatedColumnFormula>
    </tableColumn>
    <tableColumn id="4" xr3:uid="{D6A59AB1-232B-4B14-B7E3-371FD1D0A330}" name="CANTIDAD TOTAL ESTIMADA"/>
    <tableColumn id="5" xr3:uid="{E97C7312-84A4-4170-8FA8-FFE5EAB51D79}" name="PRECIO UNITARIO ESTIMADO"/>
    <tableColumn id="6" xr3:uid="{4D284287-8D42-4BA1-B3F4-030B03E7F935}"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6F375046-C633-445E-98F1-36B110B0440C}" name="Table227" displayName="Table227" ref="A2735:F2736" totalsRowShown="0">
  <tableColumns count="6">
    <tableColumn id="1" xr3:uid="{761584E3-4E61-4F39-A420-407DD8125108}" name="CÓDIGO CATÁLOGO"/>
    <tableColumn id="2" xr3:uid="{98550C25-E4FE-47DF-898B-D65A914DCAF7}" name="ARTÍCULO">
      <calculatedColumnFormula>IFERROR(INDEX(UNSPSCDes,MATCH(INDIRECT(ADDRESS(ROW(),COLUMN()-1,4)),UNSPSCCode,0)),IF(INDIRECT(ADDRESS(ROW(),COLUMN()-1,4))="83101808","Monitoreo de la calidad de la energía",""))</calculatedColumnFormula>
    </tableColumn>
    <tableColumn id="3" xr3:uid="{0DFA881B-05E2-41BF-A818-27E9CFE99E7A}" name="UNIDAD DE MEDIDA">
      <calculatedColumnFormula>IFERROR(VLOOKUP("UD",'[1]Informacion '!P:Q,2,FALSE),"")</calculatedColumnFormula>
    </tableColumn>
    <tableColumn id="4" xr3:uid="{589E32EF-B842-4F87-B0ED-AFE3C0ED5285}" name="CANTIDAD TOTAL ESTIMADA"/>
    <tableColumn id="5" xr3:uid="{B7716CCA-C188-4372-86DB-39183E32843A}" name="PRECIO UNITARIO ESTIMADO"/>
    <tableColumn id="6" xr3:uid="{039FC942-11E1-4D3C-B519-05F7F26614E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7A978EA-51BF-414F-BC17-0999AC337C7E}" name="Table101" displayName="Table101" ref="A1163:F1164" totalsRowShown="0">
  <tableColumns count="6">
    <tableColumn id="1" xr3:uid="{6863C721-85B5-4EA5-BF1A-7289F257F928}" name="CÓDIGO CATÁLOGO"/>
    <tableColumn id="2" xr3:uid="{3EEA181B-C6ED-4BF8-B783-910613E64F3B}" name="ARTÍCULO">
      <calculatedColumnFormula>IFERROR(INDEX(UNSPSCDes,MATCH(INDIRECT(ADDRESS(ROW(),COLUMN()-1,4)),UNSPSCCode,0)),IF(INDIRECT(ADDRESS(ROW(),COLUMN()-1,4))="11111602","Travertino",""))</calculatedColumnFormula>
    </tableColumn>
    <tableColumn id="3" xr3:uid="{DAD961AE-AF79-4AE1-AEF6-6D326BB7EB8C}" name="UNIDAD DE MEDIDA">
      <calculatedColumnFormula>IFERROR(VLOOKUP("UD",'[1]Informacion '!P:Q,2,FALSE),"")</calculatedColumnFormula>
    </tableColumn>
    <tableColumn id="4" xr3:uid="{60E850A8-6491-4194-BBA5-6B67FA71667D}" name="CANTIDAD TOTAL ESTIMADA"/>
    <tableColumn id="5" xr3:uid="{DDF7806C-CB70-48F0-81D0-4857E216D7B5}" name="PRECIO UNITARIO ESTIMADO"/>
    <tableColumn id="6" xr3:uid="{BC28536E-52B7-425D-966D-3F13DACD2F54}"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4FE56BB5-2BD4-46B5-8129-CCD495264AE9}" name="Table40" displayName="Table40" ref="A417:F418" totalsRowShown="0">
  <tableColumns count="6">
    <tableColumn id="1" xr3:uid="{67DF04CD-8486-49EA-B1C3-E22D509D45AE}" name="CÓDIGO CATÁLOGO"/>
    <tableColumn id="2" xr3:uid="{F2AB87DE-8DD1-49D8-9EA7-C2EDD0F8FCE7}" name="ARTÍCULO">
      <calculatedColumnFormula>IFERROR(INDEX(UNSPSCDes,MATCH(INDIRECT(ADDRESS(ROW(),COLUMN()-1,4)),UNSPSCCode,0)),IF(INDIRECT(ADDRESS(ROW(),COLUMN()-1,4))="50201706","Café",""))</calculatedColumnFormula>
    </tableColumn>
    <tableColumn id="3" xr3:uid="{ED480C36-B937-4AA4-933A-F9DCF46B6366}" name="UNIDAD DE MEDIDA">
      <calculatedColumnFormula>IFERROR(VLOOKUP("UD",'[1]Informacion '!P:Q,2,FALSE),"")</calculatedColumnFormula>
    </tableColumn>
    <tableColumn id="4" xr3:uid="{C3A49F6B-EAE4-48F6-B5C0-5D4EE688A8DD}" name="CANTIDAD TOTAL ESTIMADA"/>
    <tableColumn id="5" xr3:uid="{3BC4D1CE-557E-4D6D-B877-7E1A3CA93EC3}" name="PRECIO UNITARIO ESTIMADO"/>
    <tableColumn id="6" xr3:uid="{4958D15A-7BED-4A56-BEF4-3224E2B997E5}"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158E45CD-784D-492C-A47E-070749A84A36}" name="Table5" displayName="Table5" ref="A33:F34" totalsRowShown="0">
  <tableColumns count="6">
    <tableColumn id="1" xr3:uid="{37A005E5-F05A-4022-8EEC-76ABA2529008}" name="CÓDIGO CATÁLOGO"/>
    <tableColumn id="2" xr3:uid="{6E0F80FD-524A-4AE3-B99B-9C9E16C0140E}" name="ARTÍCULO">
      <calculatedColumnFormula>IFERROR(INDEX(UNSPSCDes,MATCH(INDIRECT(ADDRESS(ROW(),COLUMN()-1,4)),UNSPSCCode,0)),IF(INDIRECT(ADDRESS(ROW(),COLUMN()-1,4))="76101502","Servicios de limpieza de baños",""))</calculatedColumnFormula>
    </tableColumn>
    <tableColumn id="3" xr3:uid="{E42007F1-363A-4AB4-9CF3-735232FC0A16}" name="UNIDAD DE MEDIDA">
      <calculatedColumnFormula>IFERROR(VLOOKUP("UD",'[1]Informacion '!P:Q,2,FALSE),"")</calculatedColumnFormula>
    </tableColumn>
    <tableColumn id="4" xr3:uid="{0E375917-313A-47AC-BC6D-BA6540F4E523}" name="CANTIDAD TOTAL ESTIMADA"/>
    <tableColumn id="5" xr3:uid="{1B6EB0F7-5D36-4E94-8347-4A57986B0290}" name="PRECIO UNITARIO ESTIMADO"/>
    <tableColumn id="6" xr3:uid="{54F65BAD-4845-4B75-ABB7-4BEC11BD75F4}"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12434D84-0B67-454B-A9DC-43F3F8C6447C}" name="Table208" displayName="Table208" ref="A2545:F2547" totalsRowShown="0">
  <tableColumns count="6">
    <tableColumn id="1" xr3:uid="{96961CC0-BE1E-4675-A70B-B1D37A4AA393}" name="CÓDIGO CATÁLOGO"/>
    <tableColumn id="2" xr3:uid="{19E10727-C173-4E8E-A4C8-117F81EFD9F6}" name="ARTÍCULO"/>
    <tableColumn id="3" xr3:uid="{787C4E40-EF3E-47F1-A7D9-37147F3E0DC3}" name="UNIDAD DE MEDIDA">
      <calculatedColumnFormula>IFERROR(VLOOKUP("UD",'[1]Informacion '!P:Q,2,FALSE),"")</calculatedColumnFormula>
    </tableColumn>
    <tableColumn id="4" xr3:uid="{CB43E8E9-99D1-4A99-AFC1-6DFDCE0EBC0E}" name="CANTIDAD TOTAL ESTIMADA"/>
    <tableColumn id="5" xr3:uid="{1FA0D7F2-190F-4E3B-ADA2-5AB0630CE907}" name="PRECIO UNITARIO ESTIMADO"/>
    <tableColumn id="6" xr3:uid="{50F8F314-CE1F-4D0A-A6FC-E7B0A39EC664}"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C16F405F-1647-4255-8B8B-66D988652FCF}" name="Table27" displayName="Table27" ref="A283:F285" totalsRowShown="0">
  <tableColumns count="6">
    <tableColumn id="1" xr3:uid="{016021AC-DCCA-4538-881C-123813C9E1E6}" name="CÓDIGO CATÁLOGO"/>
    <tableColumn id="2" xr3:uid="{496E1F99-9A74-4B51-AB20-D8D930AC3A53}" name="ARTÍCULO">
      <calculatedColumnFormula>IFERROR(INDEX(UNSPSCDes,MATCH(INDIRECT(ADDRESS(ROW(),COLUMN()-1,4)),UNSPSCCode,0)),IF(INDIRECT(ADDRESS(ROW(),COLUMN()-1,4))="77101801","Sistemas de información ambiental",""))</calculatedColumnFormula>
    </tableColumn>
    <tableColumn id="3" xr3:uid="{EDAD4811-54FE-413F-97A1-5C49F2D99325}" name="UNIDAD DE MEDIDA">
      <calculatedColumnFormula>IFERROR(VLOOKUP("UD",'[1]Informacion '!P:Q,2,FALSE),"")</calculatedColumnFormula>
    </tableColumn>
    <tableColumn id="4" xr3:uid="{2BE3F6BC-4AB3-47FB-8290-82D7B0BCCD02}" name="CANTIDAD TOTAL ESTIMADA"/>
    <tableColumn id="5" xr3:uid="{A21D6A38-657F-4E4B-BF15-2A630FF6870F}" name="PRECIO UNITARIO ESTIMADO"/>
    <tableColumn id="6" xr3:uid="{D1CF8E22-435D-4E49-B699-F0CC3F19A82F}"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9582214E-3555-4C76-AACB-3AC0C969162D}" name="Table152" displayName="Table152" ref="A1871:F1874" totalsRowShown="0">
  <tableColumns count="6">
    <tableColumn id="1" xr3:uid="{75BE99A6-E713-40FF-A231-323726924CC3}" name="CÓDIGO CATÁLOGO"/>
    <tableColumn id="2" xr3:uid="{23C6A8F5-C676-4975-ACE3-291DD64D092E}" name="ARTÍCULO"/>
    <tableColumn id="3" xr3:uid="{27443354-678E-446C-83F4-873BDF6890C2}" name="UNIDAD DE MEDIDA">
      <calculatedColumnFormula>IFERROR(VLOOKUP("UD",'[1]Informacion '!P:Q,2,FALSE),"")</calculatedColumnFormula>
    </tableColumn>
    <tableColumn id="4" xr3:uid="{307F4750-2716-4E83-B57F-36295B5724CD}" name="CANTIDAD TOTAL ESTIMADA"/>
    <tableColumn id="5" xr3:uid="{95413882-4642-4BC6-85CE-98230B44CA54}" name="PRECIO UNITARIO ESTIMADO"/>
    <tableColumn id="6" xr3:uid="{B5036296-F5AF-4FAC-9E1B-26291829E408}"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BAB99F8-0B2E-4E36-9DBD-3DA0D02CF631}" name="Table151" displayName="Table151" ref="A1856:F1861" totalsRowShown="0">
  <tableColumns count="6">
    <tableColumn id="1" xr3:uid="{9E98ECCA-5177-48FC-9E71-18F4115E13AE}" name="CÓDIGO CATÁLOGO"/>
    <tableColumn id="2" xr3:uid="{C5F99A45-4FAA-4CD3-A1CD-4B52CAA9034F}" name="ARTÍCULO">
      <calculatedColumnFormula>IFERROR(INDEX(UNSPSCDes,MATCH(INDIRECT(ADDRESS(ROW(),COLUMN()-1,4)),UNSPSCCode,0)),IF(INDIRECT(ADDRESS(ROW(),COLUMN()-1,4))="56101504","Asientos",""))</calculatedColumnFormula>
    </tableColumn>
    <tableColumn id="3" xr3:uid="{99EA5458-4E0F-431E-B1A7-032D1A89FC20}" name="UNIDAD DE MEDIDA"/>
    <tableColumn id="4" xr3:uid="{19ACA08F-72B9-45EB-8ABA-F25FEB800CE4}" name="CANTIDAD TOTAL ESTIMADA"/>
    <tableColumn id="5" xr3:uid="{4F229C80-33D7-4908-A2DC-6CCA4A0577C6}" name="PRECIO UNITARIO ESTIMADO"/>
    <tableColumn id="6" xr3:uid="{AC001772-658C-4BAD-9688-FE2B6F329BB2}"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86444820-4234-4FED-ADA8-5EC7B386A141}" name="Table185" displayName="Table185" ref="A2283:F2285" totalsRowShown="0">
  <tableColumns count="6">
    <tableColumn id="1" xr3:uid="{5D4784D0-94A2-49DB-AA1E-4491E04CDDDD}" name="CÓDIGO CATÁLOGO"/>
    <tableColumn id="2" xr3:uid="{8705C99F-ED36-4E1F-9264-D7824172FEE9}" name="ARTÍCULO"/>
    <tableColumn id="3" xr3:uid="{89FB683F-4943-45EC-A660-4129D7D5E01C}" name="UNIDAD DE MEDIDA">
      <calculatedColumnFormula>IFERROR(VLOOKUP("UD",'[1]Informacion '!P:Q,2,FALSE),"")</calculatedColumnFormula>
    </tableColumn>
    <tableColumn id="4" xr3:uid="{26E6464A-A406-4904-A747-FA2C822212C6}" name="CANTIDAD TOTAL ESTIMADA"/>
    <tableColumn id="5" xr3:uid="{54AAB99B-AE53-4FB6-A6F6-BF4DD43AF29A}" name="PRECIO UNITARIO ESTIMADO"/>
    <tableColumn id="6" xr3:uid="{5E4BA630-46B1-49CC-9C5C-A61C92431009}"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C6A4BC59-4F47-43CD-8550-BCDD73F80579}" name="Table19" displayName="Table19" ref="A193:F194" totalsRowShown="0">
  <tableColumns count="6">
    <tableColumn id="1" xr3:uid="{2142C9DD-0826-4CEE-ADD9-CEF261506F18}" name="CÓDIGO CATÁLOGO"/>
    <tableColumn id="2" xr3:uid="{B6F0A931-BDB4-461B-838A-AD3030C94B8E}" name="ARTÍCULO">
      <calculatedColumnFormula>IFERROR(INDEX(UNSPSCDes,MATCH(INDIRECT(ADDRESS(ROW(),COLUMN()-1,4)),UNSPSCCode,0)),IF(INDIRECT(ADDRESS(ROW(),COLUMN()-1,4))="84111601","Auditorias de cierre del ejercicio",""))</calculatedColumnFormula>
    </tableColumn>
    <tableColumn id="3" xr3:uid="{30BCE396-DBD2-43F0-BC21-F3CB83F40755}" name="UNIDAD DE MEDIDA">
      <calculatedColumnFormula>IFERROR(VLOOKUP("UD",'[1]Informacion '!P:Q,2,FALSE),"")</calculatedColumnFormula>
    </tableColumn>
    <tableColumn id="4" xr3:uid="{0AA4803A-DC6E-4C75-91EC-53FE8959A219}" name="CANTIDAD TOTAL ESTIMADA"/>
    <tableColumn id="5" xr3:uid="{6D306D28-A264-4286-BCD1-CDC5B32AF689}" name="PRECIO UNITARIO ESTIMADO"/>
    <tableColumn id="6" xr3:uid="{DE8C827F-08EA-4670-BD4E-C202AEA04B3F}"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9C902E40-76F3-4EEA-BF4C-A3C97D3AA16B}" name="Table222" displayName="Table222" ref="A2669:F2671" totalsRowShown="0">
  <tableColumns count="6">
    <tableColumn id="1" xr3:uid="{705BED0D-A12D-4E63-AE16-30A6F0A0940C}" name="CÓDIGO CATÁLOGO"/>
    <tableColumn id="2" xr3:uid="{5F9D1E2A-60D1-4C57-98F7-6EE2DB4B9E48}" name="ARTÍCULO"/>
    <tableColumn id="3" xr3:uid="{EFC96E23-6D32-438E-ACEF-69C3797F20F1}" name="UNIDAD DE MEDIDA">
      <calculatedColumnFormula>IFERROR(VLOOKUP("UD",'[1]Informacion '!P:Q,2,FALSE),"")</calculatedColumnFormula>
    </tableColumn>
    <tableColumn id="4" xr3:uid="{381513BF-5DCE-489C-8557-47B4E8F315A2}" name="CANTIDAD TOTAL ESTIMADA"/>
    <tableColumn id="5" xr3:uid="{96D5C546-1689-44DF-85EB-F1E3530D9567}" name="PRECIO UNITARIO ESTIMADO"/>
    <tableColumn id="6" xr3:uid="{5FF0DF92-742E-4CF2-A566-3B8D8DB7C81E}"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540EB9C5-586F-4C7A-AC57-139E5E3AA120}" name="Table42" displayName="Table42" ref="A439:F442" totalsRowShown="0">
  <tableColumns count="6">
    <tableColumn id="1" xr3:uid="{13DC5FAE-76C8-41AC-AAE5-F7FF90109212}" name="CÓDIGO CATÁLOGO"/>
    <tableColumn id="2" xr3:uid="{387A7B8E-6134-4B97-88F3-616FEE8C4BFE}" name="ARTÍCULO"/>
    <tableColumn id="3" xr3:uid="{C48BABA4-B851-44B3-A91F-36CA9F94E8A4}" name="UNIDAD DE MEDIDA">
      <calculatedColumnFormula>IFERROR(VLOOKUP("UD",'[1]Informacion '!P:Q,2,FALSE),"")</calculatedColumnFormula>
    </tableColumn>
    <tableColumn id="4" xr3:uid="{C7BE028C-4535-42EC-ACDB-A0BEB4B13B5D}" name="CANTIDAD TOTAL ESTIMADA"/>
    <tableColumn id="5" xr3:uid="{DC2CAC48-E90E-455D-9834-858FE1B2AF85}" name="PRECIO UNITARIO ESTIMADO"/>
    <tableColumn id="6" xr3:uid="{97C15A65-E5C7-4FAF-815D-80014E1F640F}"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D256D38B-4191-4B7A-AC90-AD376E68166A}" name="Table210" displayName="Table210" ref="A2568:F2569" totalsRowShown="0">
  <tableColumns count="6">
    <tableColumn id="1" xr3:uid="{CFB1B76C-1016-4B8F-9022-D5DF0545979C}" name="CÓDIGO CATÁLOGO"/>
    <tableColumn id="2" xr3:uid="{3E38581C-AAA6-44C6-A5D8-20CAD0FED6A0}" name="ARTÍCULO">
      <calculatedColumnFormula>IFERROR(INDEX(UNSPSCDes,MATCH(INDIRECT(ADDRESS(ROW(),COLUMN()-1,4)),UNSPSCCode,0)),IF(INDIRECT(ADDRESS(ROW(),COLUMN()-1,4))="86101705","Capacitación administrativa",""))</calculatedColumnFormula>
    </tableColumn>
    <tableColumn id="3" xr3:uid="{731F4B9E-7D45-4946-9984-E3C40740C4CE}" name="UNIDAD DE MEDIDA">
      <calculatedColumnFormula>IFERROR(VLOOKUP("UD",'[1]Informacion '!P:Q,2,FALSE),"")</calculatedColumnFormula>
    </tableColumn>
    <tableColumn id="4" xr3:uid="{D94F78D1-15F4-4668-8F6A-7B4D4A2D5FF2}" name="CANTIDAD TOTAL ESTIMADA"/>
    <tableColumn id="5" xr3:uid="{D0458B49-2BC5-4B85-A4F8-0ADFB337D27B}" name="PRECIO UNITARIO ESTIMADO"/>
    <tableColumn id="6" xr3:uid="{1EE0400D-D838-445B-BA5D-04FD0560F0AA}"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73205F63-A31D-4FC4-BC57-DE276B984CDF}" name="Table155" displayName="Table155" ref="A1909:F1911" totalsRowShown="0">
  <tableColumns count="6">
    <tableColumn id="1" xr3:uid="{C9743BE9-CFF6-4D1A-9B48-056BB4D9EAE4}" name="CÓDIGO CATÁLOGO"/>
    <tableColumn id="2" xr3:uid="{C680B3A1-48F2-40E1-B440-D2741EFDD9A0}" name="ARTÍCULO"/>
    <tableColumn id="3" xr3:uid="{E1FB8AEB-9964-42CC-9074-16F66C135070}" name="UNIDAD DE MEDIDA">
      <calculatedColumnFormula>IFERROR(VLOOKUP("UD",'[1]Informacion '!P:Q,2,FALSE),"")</calculatedColumnFormula>
    </tableColumn>
    <tableColumn id="4" xr3:uid="{4C534991-0BAB-4F14-80DE-60C81D858230}" name="CANTIDAD TOTAL ESTIMADA"/>
    <tableColumn id="5" xr3:uid="{3B5BD054-9A6B-4C52-AC40-79BCCE2C49D9}" name="PRECIO UNITARIO ESTIMADO"/>
    <tableColumn id="6" xr3:uid="{63AF3F33-1509-4C56-97DF-DC3C348716B9}"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7CA83B26-5999-452E-92A1-C6B3667A974B}" name="Table146" displayName="Table146" ref="A1780:F1781" totalsRowShown="0">
  <tableColumns count="6">
    <tableColumn id="1" xr3:uid="{8A1DC5E0-7D3D-4A1D-B48D-195C54DD0EED}" name="CÓDIGO CATÁLOGO"/>
    <tableColumn id="2" xr3:uid="{464B7E39-3D02-4321-A483-793B71C5E573}" name="ARTÍCULO">
      <calculatedColumnFormula>IFERROR(INDEX(UNSPSCDes,MATCH(INDIRECT(ADDRESS(ROW(),COLUMN()-1,4)),UNSPSCCode,0)),IF(INDIRECT(ADDRESS(ROW(),COLUMN()-1,4))="14111608","Certificados de regalo",""))</calculatedColumnFormula>
    </tableColumn>
    <tableColumn id="3" xr3:uid="{047D549B-46C6-465D-911B-F9B5FA6CFC11}" name="UNIDAD DE MEDIDA">
      <calculatedColumnFormula>IFERROR(VLOOKUP("UD",'[1]Informacion '!P:Q,2,FALSE),"")</calculatedColumnFormula>
    </tableColumn>
    <tableColumn id="4" xr3:uid="{AC220AF4-10D9-48A2-B06C-45056E43470C}" name="CANTIDAD TOTAL ESTIMADA"/>
    <tableColumn id="5" xr3:uid="{A5229B47-0822-424D-9949-7CBADCE05A28}" name="PRECIO UNITARIO ESTIMADO"/>
    <tableColumn id="6" xr3:uid="{3FB4C4FF-ACA3-4348-9A81-B8EA1D176844}"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D825B9AE-013E-4949-B78B-4EF015F10A18}" name="Table140" displayName="Table140" ref="A1743:F1746" totalsRowShown="0">
  <tableColumns count="6">
    <tableColumn id="1" xr3:uid="{DD5FDA8B-2E04-49D7-B7AB-3705DC5B5DFF}" name="CÓDIGO CATÁLOGO"/>
    <tableColumn id="2" xr3:uid="{4626F7F2-E9BD-4493-8880-89E0BDB471C5}" name="ARTÍCULO"/>
    <tableColumn id="3" xr3:uid="{6544D9AC-300A-42D5-9A16-408EAA152B30}" name="UNIDAD DE MEDIDA">
      <calculatedColumnFormula>IFERROR(VLOOKUP("UD",'[1]Informacion '!P:Q,2,FALSE),"")</calculatedColumnFormula>
    </tableColumn>
    <tableColumn id="4" xr3:uid="{6668B6B7-D4AD-4585-8A39-678B4209468F}" name="CANTIDAD TOTAL ESTIMADA"/>
    <tableColumn id="5" xr3:uid="{552260D2-86A8-4B75-976B-402F533AC843}" name="PRECIO UNITARIO ESTIMADO"/>
    <tableColumn id="6" xr3:uid="{4D92DF0F-9B4D-411C-AD1A-43DFE68B817B}"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E25AEED6-8C7D-4402-A9BD-9BDF120C4741}" name="Table167" displayName="Table167" ref="A2065:F2068" totalsRowShown="0">
  <tableColumns count="6">
    <tableColumn id="1" xr3:uid="{F388F3E0-9256-4EE5-863C-C0BDD084BCBF}" name="CÓDIGO CATÁLOGO"/>
    <tableColumn id="2" xr3:uid="{759D697F-8D2E-45BB-95E8-5EDE46EBE3CE}" name="ARTÍCULO"/>
    <tableColumn id="3" xr3:uid="{273D45A4-82D9-4676-A0EE-C308EA892861}" name="UNIDAD DE MEDIDA">
      <calculatedColumnFormula>IFERROR(VLOOKUP("UD",'[1]Informacion '!P:Q,2,FALSE),"")</calculatedColumnFormula>
    </tableColumn>
    <tableColumn id="4" xr3:uid="{4DF9428E-6F3A-466A-B8DA-9F94ABCB2A78}" name="CANTIDAD TOTAL ESTIMADA"/>
    <tableColumn id="5" xr3:uid="{F1CB96BE-0BC7-4596-9795-9737623F5A34}" name="PRECIO UNITARIO ESTIMADO"/>
    <tableColumn id="6" xr3:uid="{4319600A-C273-429C-8305-D85C9CEB9BEC}"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61D93E8-B390-4C9C-8F76-B3EE056B6948}" name="Table133" displayName="Table133" ref="A1633:F1647" totalsRowShown="0">
  <tableColumns count="6">
    <tableColumn id="1" xr3:uid="{EFA54C0A-4D2B-42E8-B501-CAC734DFBF40}" name="CÓDIGO CATÁLOGO"/>
    <tableColumn id="2" xr3:uid="{E972FFC3-7166-4457-8C4B-F7526E79314D}" name="ARTÍCULO"/>
    <tableColumn id="3" xr3:uid="{F09D18BB-73EE-4298-9ED2-99075979B602}" name="UNIDAD DE MEDIDA">
      <calculatedColumnFormula>IFERROR(VLOOKUP("UD",'[1]Informacion '!P:Q,2,FALSE),"")</calculatedColumnFormula>
    </tableColumn>
    <tableColumn id="4" xr3:uid="{5FD97FC1-71A6-48DA-AB4D-8C4D4A60652D}" name="CANTIDAD TOTAL ESTIMADA"/>
    <tableColumn id="5" xr3:uid="{7BC629B7-AF15-4575-8C9A-C79B2AFEBB48}" name="PRECIO UNITARIO ESTIMADO"/>
    <tableColumn id="6" xr3:uid="{D43C6282-F30C-456E-8CD5-03CB5F1DBE8B}"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C911BA4-A61B-4F06-8F3E-022A042D55BF}" name="Table8" displayName="Table8" ref="A66:F67" totalsRowShown="0">
  <tableColumns count="6">
    <tableColumn id="1" xr3:uid="{7BFFF741-6F53-4686-9275-150C341492C6}" name="CÓDIGO CATÁLOGO"/>
    <tableColumn id="2" xr3:uid="{1721C075-3D02-49AB-BF9D-D7BCA69FD7D1}" name="ARTÍCULO">
      <calculatedColumnFormula>IFERROR(INDEX(UNSPSCDes,MATCH(INDIRECT(ADDRESS(ROW(),COLUMN()-1,4)),UNSPSCCode,0)),IF(INDIRECT(ADDRESS(ROW(),COLUMN()-1,4))="80141607","Gestión de eventos",""))</calculatedColumnFormula>
    </tableColumn>
    <tableColumn id="3" xr3:uid="{36E4EE2D-0284-48D5-A52D-C8E7E3A93905}" name="UNIDAD DE MEDIDA">
      <calculatedColumnFormula>IFERROR(VLOOKUP("UD",'[1]Informacion '!P:Q,2,FALSE),"")</calculatedColumnFormula>
    </tableColumn>
    <tableColumn id="4" xr3:uid="{096E097D-F4FC-4A0C-993E-8E11DD2CED26}" name="CANTIDAD TOTAL ESTIMADA"/>
    <tableColumn id="5" xr3:uid="{5AF8E4E6-1F74-4755-81BA-DE7CD3413D21}" name="PRECIO UNITARIO ESTIMADO"/>
    <tableColumn id="6" xr3:uid="{12AF478B-BF4D-49EE-8E02-BF66E55723A3}"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E5DB6CA-9045-44A8-BE86-96C1B46A5F5B}" name="Table264" displayName="Table264" ref="A3044:F3046" totalsRowShown="0">
  <tableColumns count="6">
    <tableColumn id="1" xr3:uid="{E1891160-72C0-48E1-A4F8-FFB6BAA2B1EF}" name="CÓDIGO CATÁLOGO"/>
    <tableColumn id="2" xr3:uid="{BB02B07D-521C-49AF-88A2-E2F15FAE1750}" name="ARTÍCULO"/>
    <tableColumn id="3" xr3:uid="{6BEB2A44-9540-4F8F-AFC9-4D117A2123BC}" name="UNIDAD DE MEDIDA">
      <calculatedColumnFormula>IFERROR(VLOOKUP("UD",'[1]Informacion '!P:Q,2,FALSE),"")</calculatedColumnFormula>
    </tableColumn>
    <tableColumn id="4" xr3:uid="{73C32E6E-A053-4905-9D5B-6EB8A22C6F06}" name="CANTIDAD TOTAL ESTIMADA"/>
    <tableColumn id="5" xr3:uid="{7C35E765-4016-4C1D-8DCC-B60128356380}" name="PRECIO UNITARIO ESTIMADO"/>
    <tableColumn id="6" xr3:uid="{B5C76828-4A56-4A05-9C9D-F1C5DC5413DD}"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260B75D-9375-491E-A474-6FF77D852D3B}" name="Table172" displayName="Table172" ref="A2124:F2125" totalsRowShown="0">
  <tableColumns count="6">
    <tableColumn id="1" xr3:uid="{400A4CB3-730B-4B94-9F0F-7749BBE734CD}" name="CÓDIGO CATÁLOGO"/>
    <tableColumn id="2" xr3:uid="{9FC2EC53-5540-4534-93D7-0EF13DE7ED66}" name="ARTÍCULO">
      <calculatedColumnFormula>IFERROR(INDEX(UNSPSCDes,MATCH(INDIRECT(ADDRESS(ROW(),COLUMN()-1,4)),UNSPSCCode,0)),IF(INDIRECT(ADDRESS(ROW(),COLUMN()-1,4))="80141611","Servicios de personalización de obsequios o productos",""))</calculatedColumnFormula>
    </tableColumn>
    <tableColumn id="3" xr3:uid="{39A39435-E4D4-49A0-A9C1-0EB74147BAF2}" name="UNIDAD DE MEDIDA">
      <calculatedColumnFormula>IFERROR(VLOOKUP("UD",'[1]Informacion '!P:Q,2,FALSE),"")</calculatedColumnFormula>
    </tableColumn>
    <tableColumn id="4" xr3:uid="{C2D72FE8-5EB5-4F53-BCDF-C1F1DCA22273}" name="CANTIDAD TOTAL ESTIMADA"/>
    <tableColumn id="5" xr3:uid="{69F78877-241D-477E-85D3-2FAFF8E175F1}" name="PRECIO UNITARIO ESTIMADO"/>
    <tableColumn id="6" xr3:uid="{E9BF4625-6A81-4AEB-9612-48F3152831B7}"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4EA74BDB-79E0-4D07-9D08-821648F3BF4A}" name="Table136" displayName="Table136" ref="A1682:F1685" totalsRowShown="0">
  <tableColumns count="6">
    <tableColumn id="1" xr3:uid="{4E2D2813-7CD2-4958-A37E-4D6C83B089FD}" name="CÓDIGO CATÁLOGO"/>
    <tableColumn id="2" xr3:uid="{B05D131E-2FC8-41DB-AF09-4E13DF662061}" name="ARTÍCULO"/>
    <tableColumn id="3" xr3:uid="{CE888B30-381F-4D7D-9279-C0D96C55EC7D}" name="UNIDAD DE MEDIDA">
      <calculatedColumnFormula>IFERROR(VLOOKUP("UD",'[1]Informacion '!P:Q,2,FALSE),"")</calculatedColumnFormula>
    </tableColumn>
    <tableColumn id="4" xr3:uid="{EA9AD5F9-B128-473B-872B-189CE5F12F98}" name="CANTIDAD TOTAL ESTIMADA"/>
    <tableColumn id="5" xr3:uid="{353DCCB6-4AB6-4396-81A1-C7016CC1AF3A}" name="PRECIO UNITARIO ESTIMADO"/>
    <tableColumn id="6" xr3:uid="{0EAA9D30-1D0F-4A64-8EA1-C5E73364C670}"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EDEE1BBE-42CD-440E-8A6F-291C0F6A544F}" name="Table193" displayName="Table193" ref="A2376:F2377" totalsRowShown="0">
  <tableColumns count="6">
    <tableColumn id="1" xr3:uid="{406A26BC-E4AD-477A-A376-9E730B1E3143}" name="CÓDIGO CATÁLOGO"/>
    <tableColumn id="2" xr3:uid="{2EE9EC5B-7F13-4C87-9843-4B6F4D0D55B4}" name="ARTÍCULO">
      <calculatedColumnFormula>IFERROR(INDEX(UNSPSCDes,MATCH(INDIRECT(ADDRESS(ROW(),COLUMN()-1,4)),UNSPSCCode,0)),IF(INDIRECT(ADDRESS(ROW(),COLUMN()-1,4))="80131502","Arrendamiento de instalaciones comerciales o industriales",""))</calculatedColumnFormula>
    </tableColumn>
    <tableColumn id="3" xr3:uid="{351C9987-4239-4930-A9B0-38C3B8EE1487}" name="UNIDAD DE MEDIDA">
      <calculatedColumnFormula>IFERROR(VLOOKUP("UD",'[1]Informacion '!P:Q,2,FALSE),"")</calculatedColumnFormula>
    </tableColumn>
    <tableColumn id="4" xr3:uid="{B14871F7-6F39-49C3-B95D-CBAF19B69025}" name="CANTIDAD TOTAL ESTIMADA"/>
    <tableColumn id="5" xr3:uid="{B3A16B2D-BDFE-4202-8585-C2A533B570E8}" name="PRECIO UNITARIO ESTIMADO"/>
    <tableColumn id="6" xr3:uid="{CAD2D7EA-4BA0-4C99-A1C0-EB7506FA29BA}"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659BEB27-20E0-4975-A0AA-AF5B8A98C30E}" name="Table209" displayName="Table209" ref="A2557:F2558" totalsRowShown="0">
  <tableColumns count="6">
    <tableColumn id="1" xr3:uid="{9FC57DAE-CE5B-40A2-ACF2-5E65D7DB8DB8}" name="CÓDIGO CATÁLOGO"/>
    <tableColumn id="2" xr3:uid="{5829499E-0A56-40AD-81AB-245F3E78F372}" name="ARTÍCULO">
      <calculatedColumnFormula>IFERROR(INDEX(UNSPSCDes,MATCH(INDIRECT(ADDRESS(ROW(),COLUMN()-1,4)),UNSPSCCode,0)),IF(INDIRECT(ADDRESS(ROW(),COLUMN()-1,4))="78111808","Alquiler de vehículos",""))</calculatedColumnFormula>
    </tableColumn>
    <tableColumn id="3" xr3:uid="{600E3FF9-90F9-46DD-8D3A-D228644C08DF}" name="UNIDAD DE MEDIDA">
      <calculatedColumnFormula>IFERROR(VLOOKUP("UD",'[1]Informacion '!P:Q,2,FALSE),"")</calculatedColumnFormula>
    </tableColumn>
    <tableColumn id="4" xr3:uid="{4134411D-63D3-4F21-B5E3-922210F5DD50}" name="CANTIDAD TOTAL ESTIMADA"/>
    <tableColumn id="5" xr3:uid="{BBD12E08-AA9C-4EF7-83B8-D7B4C0E0B695}" name="PRECIO UNITARIO ESTIMADO"/>
    <tableColumn id="6" xr3:uid="{59EF72E2-013D-42A7-9560-05696DA53279}"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F9D93894-516B-4BC6-A959-C13BF004E3F4}" name="Table74" displayName="Table74" ref="A777:F778" totalsRowShown="0">
  <tableColumns count="6">
    <tableColumn id="1" xr3:uid="{5EFDCFB3-0DD9-4195-93F4-17189838FA8B}" name="CÓDIGO CATÁLOGO"/>
    <tableColumn id="2" xr3:uid="{78ACFA2B-C4A5-44DA-9B18-8B9DDC93D796}" name="ARTÍCULO">
      <calculatedColumnFormula>IFERROR(INDEX(UNSPSCDes,MATCH(INDIRECT(ADDRESS(ROW(),COLUMN()-1,4)),UNSPSCCode,0)),IF(INDIRECT(ADDRESS(ROW(),COLUMN()-1,4))="82121508","Impresión de envolturas, etiquetas, sellos o bolsas",""))</calculatedColumnFormula>
    </tableColumn>
    <tableColumn id="3" xr3:uid="{4C571A86-E6D6-4D0C-8F9D-1D4C77ECA81D}" name="UNIDAD DE MEDIDA">
      <calculatedColumnFormula>IFERROR(VLOOKUP("UD",'[1]Informacion '!P:Q,2,FALSE),"")</calculatedColumnFormula>
    </tableColumn>
    <tableColumn id="4" xr3:uid="{857C325E-265D-4D59-BCB2-ACE8BC7F3CCC}" name="CANTIDAD TOTAL ESTIMADA"/>
    <tableColumn id="5" xr3:uid="{5A37C5D8-B61B-401A-A43B-4DD0EE333AC4}" name="PRECIO UNITARIO ESTIMADO"/>
    <tableColumn id="6" xr3:uid="{34F46278-2DDD-4C9F-BDD7-B286A321D96F}"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3383418-8451-48EF-92F3-9719C3B202A8}" name="Table248" displayName="Table248" ref="A2895:F2896" totalsRowShown="0">
  <tableColumns count="6">
    <tableColumn id="1" xr3:uid="{2BE45666-F100-4EE8-8C15-19DE8884394B}" name="CÓDIGO CATÁLOGO"/>
    <tableColumn id="2" xr3:uid="{B5F1EF1E-051F-464E-8322-44832BA2C4C3}" name="ARTÍCULO">
      <calculatedColumnFormula>IFERROR(INDEX(UNSPSCDes,MATCH(INDIRECT(ADDRESS(ROW(),COLUMN()-1,4)),UNSPSCCode,0)),IF(INDIRECT(ADDRESS(ROW(),COLUMN()-1,4))="72102205","Asistencia o mantenimiento de servicio de telecomunicaciones",""))</calculatedColumnFormula>
    </tableColumn>
    <tableColumn id="3" xr3:uid="{30CE40DE-49F6-47E4-91AA-69E20D2FFECA}" name="UNIDAD DE MEDIDA">
      <calculatedColumnFormula>IFERROR(VLOOKUP("UD",'[1]Informacion '!P:Q,2,FALSE),"")</calculatedColumnFormula>
    </tableColumn>
    <tableColumn id="4" xr3:uid="{915E1793-4808-4D8F-8016-EFE87CB895F7}" name="CANTIDAD TOTAL ESTIMADA"/>
    <tableColumn id="5" xr3:uid="{0ACF4EA2-9CEB-4FB0-A0D5-E8304F462AA4}" name="PRECIO UNITARIO ESTIMADO"/>
    <tableColumn id="6" xr3:uid="{41059382-76AE-4699-BCEC-406169AE4EBB}"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84D6E8B-3047-46BB-A00B-06D3B056A5A0}" name="Table59" displayName="Table59" ref="A608:F609" totalsRowShown="0">
  <tableColumns count="6">
    <tableColumn id="1" xr3:uid="{95F3CE78-516A-4520-9D38-8746DAAA2D0C}" name="CÓDIGO CATÁLOGO"/>
    <tableColumn id="2" xr3:uid="{FDB5CDC6-DA46-45CF-A31F-AB1D8AE4BA4B}" name="ARTÍCULO">
      <calculatedColumnFormula>IFERROR(INDEX(UNSPSCDes,MATCH(INDIRECT(ADDRESS(ROW(),COLUMN()-1,4)),UNSPSCCode,0)),IF(INDIRECT(ADDRESS(ROW(),COLUMN()-1,4))="14111507","Papel para impresora o fotocopiadora",""))</calculatedColumnFormula>
    </tableColumn>
    <tableColumn id="3" xr3:uid="{151D9E99-E89B-4712-8C69-2EC2761FC88A}" name="UNIDAD DE MEDIDA">
      <calculatedColumnFormula>IFERROR(VLOOKUP("UD",'[1]Informacion '!P:Q,2,FALSE),"")</calculatedColumnFormula>
    </tableColumn>
    <tableColumn id="4" xr3:uid="{B4174958-79D0-4538-A5CA-24B279562F6F}" name="CANTIDAD TOTAL ESTIMADA"/>
    <tableColumn id="5" xr3:uid="{C7E60571-161F-4FBE-B8A9-5FCD711BD128}" name="PRECIO UNITARIO ESTIMADO"/>
    <tableColumn id="6" xr3:uid="{FD7853F4-D059-4C16-8A0A-544A1B9F35D8}"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8C06F181-50C3-4EF1-82EC-453DFDEB91CB}" name="Table121" displayName="Table121" ref="A1411:F1421" totalsRowShown="0">
  <tableColumns count="6">
    <tableColumn id="1" xr3:uid="{B52E5116-EE6C-421F-9D1B-2E06DDE68A48}" name="CÓDIGO CATÁLOGO"/>
    <tableColumn id="2" xr3:uid="{3E481A9F-E670-4A57-B061-EF819DAE91C0}" name="ARTÍCULO"/>
    <tableColumn id="3" xr3:uid="{49C55386-9460-4CEE-B1B0-11898C13D318}" name="UNIDAD DE MEDIDA">
      <calculatedColumnFormula>IFERROR(VLOOKUP("UD",'[1]Informacion '!P:Q,2,FALSE),"")</calculatedColumnFormula>
    </tableColumn>
    <tableColumn id="4" xr3:uid="{98FDC645-196A-413B-99D4-0B3C71C9C933}" name="CANTIDAD TOTAL ESTIMADA"/>
    <tableColumn id="5" xr3:uid="{5742A070-0BDD-490D-8B5F-9422B544008F}" name="PRECIO UNITARIO ESTIMADO"/>
    <tableColumn id="6" xr3:uid="{4F680C73-6E0E-4581-9BFD-4970670E7FB6}"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8357A5B8-132E-41ED-9561-2DB5815DCF67}" name="Table183" displayName="Table183" ref="A2259:F2261" totalsRowShown="0">
  <tableColumns count="6">
    <tableColumn id="1" xr3:uid="{E581FF78-9A67-4636-B7B7-A9FDC7C3F861}" name="CÓDIGO CATÁLOGO"/>
    <tableColumn id="2" xr3:uid="{87214357-B418-4019-A5BB-2F67A062D696}" name="ARTÍCULO"/>
    <tableColumn id="3" xr3:uid="{D153F370-2538-4D3F-9430-B2F489A2F354}" name="UNIDAD DE MEDIDA">
      <calculatedColumnFormula>IFERROR(VLOOKUP("UD",'[1]Informacion '!P:Q,2,FALSE),"")</calculatedColumnFormula>
    </tableColumn>
    <tableColumn id="4" xr3:uid="{707E6969-7904-45D4-9834-EE0C7653446B}" name="CANTIDAD TOTAL ESTIMADA"/>
    <tableColumn id="5" xr3:uid="{EAEB22AE-F761-4E97-8FE3-E58297BB9BEF}" name="PRECIO UNITARIO ESTIMADO"/>
    <tableColumn id="6" xr3:uid="{066AB72E-6A3E-4807-B949-883046910FF3}"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table" Target="../tables/table21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74.xml"/><Relationship Id="rId43" Type="http://schemas.openxmlformats.org/officeDocument/2006/relationships/ctrlProp" Target="../ctrlProps/ctrlProp40.xml"/><Relationship Id="rId1404" Type="http://schemas.openxmlformats.org/officeDocument/2006/relationships/table" Target="../tables/table141.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table" Target="../tables/table23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table" Target="../tables/table9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163.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20.xml"/><Relationship Id="rId1490" Type="http://schemas.openxmlformats.org/officeDocument/2006/relationships/table" Target="../tables/table22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87.xml"/><Relationship Id="rId1448" Type="http://schemas.openxmlformats.org/officeDocument/2006/relationships/table" Target="../tables/table18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45.xml"/><Relationship Id="rId1515" Type="http://schemas.openxmlformats.org/officeDocument/2006/relationships/table" Target="../tables/table25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10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13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table" Target="../tables/table19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58.xml"/><Relationship Id="rId58" Type="http://schemas.openxmlformats.org/officeDocument/2006/relationships/ctrlProp" Target="../ctrlProps/ctrlProp55.xml"/><Relationship Id="rId1419" Type="http://schemas.openxmlformats.org/officeDocument/2006/relationships/table" Target="../tables/table156.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13.xml"/><Relationship Id="rId1483" Type="http://schemas.openxmlformats.org/officeDocument/2006/relationships/table" Target="../tables/table22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80.xml"/><Relationship Id="rId1203" Type="http://schemas.openxmlformats.org/officeDocument/2006/relationships/ctrlProp" Target="../ctrlProps/ctrlProp1200.xml"/><Relationship Id="rId1410" Type="http://schemas.openxmlformats.org/officeDocument/2006/relationships/table" Target="../tables/table147.xml"/><Relationship Id="rId1508" Type="http://schemas.openxmlformats.org/officeDocument/2006/relationships/table" Target="../tables/table24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3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table" Target="../tables/table102.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table" Target="../tables/table16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table" Target="../tables/table124.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table" Target="../tables/table191.xml"/><Relationship Id="rId1107" Type="http://schemas.openxmlformats.org/officeDocument/2006/relationships/ctrlProp" Target="../ctrlProps/ctrlProp1104.xml"/><Relationship Id="rId1314" Type="http://schemas.openxmlformats.org/officeDocument/2006/relationships/table" Target="../tables/table51.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6.xml"/><Relationship Id="rId1476" Type="http://schemas.openxmlformats.org/officeDocument/2006/relationships/table" Target="../tables/table21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73.xml"/><Relationship Id="rId42" Type="http://schemas.openxmlformats.org/officeDocument/2006/relationships/ctrlProp" Target="../ctrlProps/ctrlProp39.xml"/><Relationship Id="rId1403" Type="http://schemas.openxmlformats.org/officeDocument/2006/relationships/table" Target="../tables/table140.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table" Target="../tables/table23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table" Target="../tables/table95.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162.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1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table" Target="../tables/table184.xml"/><Relationship Id="rId1307" Type="http://schemas.openxmlformats.org/officeDocument/2006/relationships/table" Target="../tables/table44.xml"/><Relationship Id="rId1514" Type="http://schemas.openxmlformats.org/officeDocument/2006/relationships/table" Target="../tables/table251.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108.xml"/><Relationship Id="rId1469" Type="http://schemas.openxmlformats.org/officeDocument/2006/relationships/table" Target="../tables/table20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table" Target="../tables/table66.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13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table" Target="../tables/table197.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table" Target="../tables/table57.xml"/><Relationship Id="rId1418" Type="http://schemas.openxmlformats.org/officeDocument/2006/relationships/table" Target="../tables/table155.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12.xml"/><Relationship Id="rId1482" Type="http://schemas.openxmlformats.org/officeDocument/2006/relationships/table" Target="../tables/table21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79.xml"/><Relationship Id="rId79" Type="http://schemas.openxmlformats.org/officeDocument/2006/relationships/ctrlProp" Target="../ctrlProps/ctrlProp76.xml"/><Relationship Id="rId1202" Type="http://schemas.openxmlformats.org/officeDocument/2006/relationships/ctrlProp" Target="../ctrlProps/ctrlProp1199.xml"/><Relationship Id="rId1507" Type="http://schemas.openxmlformats.org/officeDocument/2006/relationships/table" Target="../tables/table244.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table" Target="../tables/table3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table" Target="../tables/table101.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table" Target="../tables/table168.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123.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table" Target="../tables/table190.xml"/><Relationship Id="rId1106" Type="http://schemas.openxmlformats.org/officeDocument/2006/relationships/ctrlProp" Target="../ctrlProps/ctrlProp1103.xml"/><Relationship Id="rId1313" Type="http://schemas.openxmlformats.org/officeDocument/2006/relationships/table" Target="../tables/table50.xml"/><Relationship Id="rId1520" Type="http://schemas.openxmlformats.org/officeDocument/2006/relationships/comments" Target="../comments1.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5.xml"/><Relationship Id="rId1475" Type="http://schemas.openxmlformats.org/officeDocument/2006/relationships/table" Target="../tables/table212.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72.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table" Target="../tables/table139.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8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150.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table" Target="../tables/table23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table" Target="../tables/table9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161.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10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table" Target="../tables/table17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18.xml"/><Relationship Id="rId1379" Type="http://schemas.openxmlformats.org/officeDocument/2006/relationships/table" Target="../tables/table116.xml"/><Relationship Id="rId1502" Type="http://schemas.openxmlformats.org/officeDocument/2006/relationships/table" Target="../tables/table239.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18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29.xml"/><Relationship Id="rId1306" Type="http://schemas.openxmlformats.org/officeDocument/2006/relationships/table" Target="../tables/table43.xml"/><Relationship Id="rId1513" Type="http://schemas.openxmlformats.org/officeDocument/2006/relationships/table" Target="../tables/table250.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table" Target="../tables/table19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5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10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table" Target="../tables/table20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6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118.xml"/><Relationship Id="rId1479" Type="http://schemas.openxmlformats.org/officeDocument/2006/relationships/table" Target="../tables/table21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table" Target="../tables/table7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129.xml"/><Relationship Id="rId1406" Type="http://schemas.openxmlformats.org/officeDocument/2006/relationships/table" Target="../tables/table143.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15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table" Target="../tables/table207.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67.xml"/><Relationship Id="rId1428" Type="http://schemas.openxmlformats.org/officeDocument/2006/relationships/table" Target="../tables/table16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11.xml"/><Relationship Id="rId1481" Type="http://schemas.openxmlformats.org/officeDocument/2006/relationships/table" Target="../tables/table21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7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table" Target="../tables/table17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22.xml"/><Relationship Id="rId1492" Type="http://schemas.openxmlformats.org/officeDocument/2006/relationships/table" Target="../tables/table229.xml"/><Relationship Id="rId1506" Type="http://schemas.openxmlformats.org/officeDocument/2006/relationships/table" Target="../tables/table24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8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33.xml"/><Relationship Id="rId1517" Type="http://schemas.openxmlformats.org/officeDocument/2006/relationships/table" Target="../tables/table25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table" Target="../tables/table10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table" Target="../tables/table16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11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17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3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12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table" Target="../tables/table18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4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13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20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6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4.xml"/><Relationship Id="rId1474" Type="http://schemas.openxmlformats.org/officeDocument/2006/relationships/table" Target="../tables/table21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7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13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15.xml"/><Relationship Id="rId1485" Type="http://schemas.openxmlformats.org/officeDocument/2006/relationships/table" Target="../tables/table22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8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26.xml"/><Relationship Id="rId1412" Type="http://schemas.openxmlformats.org/officeDocument/2006/relationships/table" Target="../tables/table149.xml"/><Relationship Id="rId1496" Type="http://schemas.openxmlformats.org/officeDocument/2006/relationships/table" Target="../tables/table23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9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16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10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table" Target="../tables/table17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17.xml"/><Relationship Id="rId1501" Type="http://schemas.openxmlformats.org/officeDocument/2006/relationships/table" Target="../tables/table23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11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18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4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28.xml"/><Relationship Id="rId1389" Type="http://schemas.openxmlformats.org/officeDocument/2006/relationships/table" Target="../tables/table126.xml"/><Relationship Id="rId1512" Type="http://schemas.openxmlformats.org/officeDocument/2006/relationships/table" Target="../tables/table249.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table" Target="../tables/table19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5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table" Target="../tables/table20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6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117.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table" Target="../tables/table21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7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14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table" Target="../tables/table128.xml"/><Relationship Id="rId1489" Type="http://schemas.openxmlformats.org/officeDocument/2006/relationships/table" Target="../tables/table22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8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15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16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10.xml"/><Relationship Id="rId1480" Type="http://schemas.openxmlformats.org/officeDocument/2006/relationships/table" Target="../tables/table21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77.xml"/><Relationship Id="rId1438" Type="http://schemas.openxmlformats.org/officeDocument/2006/relationships/table" Target="../tables/table17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21.xml"/><Relationship Id="rId1491" Type="http://schemas.openxmlformats.org/officeDocument/2006/relationships/table" Target="../tables/table228.xml"/><Relationship Id="rId1505" Type="http://schemas.openxmlformats.org/officeDocument/2006/relationships/table" Target="../tables/table242.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88.xml"/><Relationship Id="rId1449" Type="http://schemas.openxmlformats.org/officeDocument/2006/relationships/table" Target="../tables/table18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32.xml"/><Relationship Id="rId1309" Type="http://schemas.openxmlformats.org/officeDocument/2006/relationships/table" Target="../tables/table46.xml"/><Relationship Id="rId1516" Type="http://schemas.openxmlformats.org/officeDocument/2006/relationships/table" Target="../tables/table25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9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11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table" Target="../tables/table177.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3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12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table" Target="../tables/table18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4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132.xml"/><Relationship Id="rId1409" Type="http://schemas.openxmlformats.org/officeDocument/2006/relationships/table" Target="../tables/table146.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table" Target="../tables/table19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5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3.xml"/><Relationship Id="rId1473" Type="http://schemas.openxmlformats.org/officeDocument/2006/relationships/table" Target="../tables/table210.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7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13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14.xml"/><Relationship Id="rId1484" Type="http://schemas.openxmlformats.org/officeDocument/2006/relationships/table" Target="../tables/table22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8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14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25.xml"/><Relationship Id="rId1495" Type="http://schemas.openxmlformats.org/officeDocument/2006/relationships/table" Target="../tables/table232.xml"/><Relationship Id="rId1509" Type="http://schemas.openxmlformats.org/officeDocument/2006/relationships/table" Target="../tables/table24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9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15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3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10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table" Target="../tables/table17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table" Target="../tables/table23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114.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table" Target="../tables/table18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27.xml"/><Relationship Id="rId1304" Type="http://schemas.openxmlformats.org/officeDocument/2006/relationships/table" Target="../tables/table41.xml"/><Relationship Id="rId1511" Type="http://schemas.openxmlformats.org/officeDocument/2006/relationships/table" Target="../tables/table24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table" Target="../tables/table125.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table" Target="../tables/table19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5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13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table" Target="../tables/table20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63.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table" Target="../tables/table12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table" Target="../tables/table22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table" Target="../tables/table8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152.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table" Target="../tables/table174.xml"/><Relationship Id="rId1504" Type="http://schemas.openxmlformats.org/officeDocument/2006/relationships/table" Target="../tables/table241.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3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table" Target="../tables/table98.xml"/><Relationship Id="rId1459" Type="http://schemas.openxmlformats.org/officeDocument/2006/relationships/table" Target="../tables/table19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56.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12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table" Target="../tables/table187.xml"/><Relationship Id="rId1103" Type="http://schemas.openxmlformats.org/officeDocument/2006/relationships/ctrlProp" Target="../ctrlProps/ctrlProp1100.xml"/><Relationship Id="rId1310" Type="http://schemas.openxmlformats.org/officeDocument/2006/relationships/table" Target="../tables/table47.xml"/><Relationship Id="rId1408" Type="http://schemas.openxmlformats.org/officeDocument/2006/relationships/table" Target="../tables/table145.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2.xml"/><Relationship Id="rId1472" Type="http://schemas.openxmlformats.org/officeDocument/2006/relationships/table" Target="../tables/table20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6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2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table" Target="../tables/table23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91.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158.xml"/><Relationship Id="rId1519" Type="http://schemas.openxmlformats.org/officeDocument/2006/relationships/table" Target="../tables/table25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113.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180.xml"/><Relationship Id="rId1303" Type="http://schemas.openxmlformats.org/officeDocument/2006/relationships/table" Target="../tables/table40.xml"/><Relationship Id="rId1510" Type="http://schemas.openxmlformats.org/officeDocument/2006/relationships/table" Target="../tables/table247.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13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table" Target="../tables/table202.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62.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table" Target="../tables/table22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84.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15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8.xml"/><Relationship Id="rId1369" Type="http://schemas.openxmlformats.org/officeDocument/2006/relationships/table" Target="../tables/table106.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table" Target="../tables/table173.xml"/><Relationship Id="rId1503" Type="http://schemas.openxmlformats.org/officeDocument/2006/relationships/table" Target="../tables/table240.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3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table" Target="../tables/table97.xml"/><Relationship Id="rId1458" Type="http://schemas.openxmlformats.org/officeDocument/2006/relationships/table" Target="../tables/table195.xml"/><Relationship Id="rId1220" Type="http://schemas.openxmlformats.org/officeDocument/2006/relationships/ctrlProp" Target="../ctrlProps/ctrlProp1217.xml"/><Relationship Id="rId1318" Type="http://schemas.openxmlformats.org/officeDocument/2006/relationships/table" Target="../tables/table55.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11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144.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1.xml"/><Relationship Id="rId1471" Type="http://schemas.openxmlformats.org/officeDocument/2006/relationships/table" Target="../tables/table208.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68.xml"/><Relationship Id="rId68" Type="http://schemas.openxmlformats.org/officeDocument/2006/relationships/ctrlProp" Target="../ctrlProps/ctrlProp65.xml"/><Relationship Id="rId1429" Type="http://schemas.openxmlformats.org/officeDocument/2006/relationships/table" Target="../tables/table166.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23.xml"/><Relationship Id="rId1493" Type="http://schemas.openxmlformats.org/officeDocument/2006/relationships/table" Target="../tables/table23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90.xml"/><Relationship Id="rId1213" Type="http://schemas.openxmlformats.org/officeDocument/2006/relationships/ctrlProp" Target="../ctrlProps/ctrlProp1210.xml"/><Relationship Id="rId1420" Type="http://schemas.openxmlformats.org/officeDocument/2006/relationships/table" Target="../tables/table157.xml"/><Relationship Id="rId1518" Type="http://schemas.openxmlformats.org/officeDocument/2006/relationships/table" Target="../tables/table25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112.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179.xml"/><Relationship Id="rId1302" Type="http://schemas.openxmlformats.org/officeDocument/2006/relationships/table" Target="../tables/table39.xml"/><Relationship Id="rId39" Type="http://schemas.openxmlformats.org/officeDocument/2006/relationships/ctrlProp" Target="../ctrlProps/ctrlProp36.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table" Target="../tables/table13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201.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61.xml"/><Relationship Id="rId30" Type="http://schemas.openxmlformats.org/officeDocument/2006/relationships/ctrlProp" Target="../ctrlProps/ctrlProp27.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table" Target="../tables/table16.xml"/><Relationship Id="rId1486" Type="http://schemas.openxmlformats.org/officeDocument/2006/relationships/table" Target="../tables/table2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5F113-25AA-4044-8F7C-923B6F45400C}">
  <dimension ref="B6:C39"/>
  <sheetViews>
    <sheetView workbookViewId="0">
      <selection activeCell="C44" sqref="C44"/>
    </sheetView>
  </sheetViews>
  <sheetFormatPr defaultRowHeight="15" x14ac:dyDescent="0.25"/>
  <cols>
    <col min="2" max="2" width="67.7109375" style="60" customWidth="1"/>
    <col min="3" max="3" width="44.5703125" style="61" customWidth="1"/>
  </cols>
  <sheetData>
    <row r="6" spans="2:3" ht="15.75" thickBot="1" x14ac:dyDescent="0.3">
      <c r="B6" s="50" t="s">
        <v>674</v>
      </c>
      <c r="C6" s="50"/>
    </row>
    <row r="7" spans="2:3" ht="16.5" thickTop="1" thickBot="1" x14ac:dyDescent="0.3">
      <c r="B7" s="51" t="s">
        <v>675</v>
      </c>
      <c r="C7" s="52">
        <f ca="1">[1]PACC!B10</f>
        <v>175899172</v>
      </c>
    </row>
    <row r="8" spans="2:3" ht="16.5" thickTop="1" thickBot="1" x14ac:dyDescent="0.3">
      <c r="B8" s="53" t="s">
        <v>676</v>
      </c>
      <c r="C8" s="54">
        <f ca="1">[1]PACC!B9</f>
        <v>256</v>
      </c>
    </row>
    <row r="9" spans="2:3" ht="16.5" thickTop="1" thickBot="1" x14ac:dyDescent="0.3">
      <c r="B9" s="53" t="s">
        <v>677</v>
      </c>
      <c r="C9" s="55" t="str">
        <f>IF([1]PACC!E6="","",[1]PACC!E6)</f>
        <v>0205</v>
      </c>
    </row>
    <row r="10" spans="2:3" ht="16.5" thickTop="1" thickBot="1" x14ac:dyDescent="0.3">
      <c r="B10" s="53" t="s">
        <v>678</v>
      </c>
      <c r="C10" s="55" t="str">
        <f>IF([1]PACC!E7="","",[1]PACC!E7)</f>
        <v>01</v>
      </c>
    </row>
    <row r="11" spans="2:3" ht="16.5" thickTop="1" thickBot="1" x14ac:dyDescent="0.3">
      <c r="B11" s="53" t="s">
        <v>679</v>
      </c>
      <c r="C11" s="55" t="str">
        <f>IF([1]PACC!E8="","",[1]PACC!E8)</f>
        <v>0008</v>
      </c>
    </row>
    <row r="12" spans="2:3" ht="16.5" thickTop="1" thickBot="1" x14ac:dyDescent="0.3">
      <c r="B12" s="53" t="s">
        <v>680</v>
      </c>
      <c r="C12" s="55" t="str">
        <f>IF([1]PACC!E9="","",[1]PACC!E9)</f>
        <v>Tesorería Nacional</v>
      </c>
    </row>
    <row r="13" spans="2:3" ht="16.5" thickTop="1" thickBot="1" x14ac:dyDescent="0.3">
      <c r="B13" s="53" t="s">
        <v>681</v>
      </c>
      <c r="C13" s="56">
        <f>IF([1]PACC!E11="","",[1]PACC!E11)</f>
        <v>2023</v>
      </c>
    </row>
    <row r="14" spans="2:3" ht="16.5" thickTop="1" thickBot="1" x14ac:dyDescent="0.3">
      <c r="B14" s="53" t="s">
        <v>682</v>
      </c>
      <c r="C14" s="57" t="str">
        <f>IF([1]PACC!E12="","",[1]PACC!E12)</f>
        <v/>
      </c>
    </row>
    <row r="15" spans="2:3" ht="16.5" thickTop="1" thickBot="1" x14ac:dyDescent="0.3">
      <c r="B15" s="58" t="s">
        <v>683</v>
      </c>
      <c r="C15" s="58"/>
    </row>
    <row r="16" spans="2:3" ht="16.5" thickTop="1" thickBot="1" x14ac:dyDescent="0.3">
      <c r="B16" s="59" t="s">
        <v>684</v>
      </c>
      <c r="C16" s="52">
        <f ca="1">SUMIF(ObjetoContratacionOculto,"="&amp;Bienes,TotalEstColumnValue)</f>
        <v>55218102</v>
      </c>
    </row>
    <row r="17" spans="2:3" ht="16.5" thickTop="1" thickBot="1" x14ac:dyDescent="0.3">
      <c r="B17" s="59" t="s">
        <v>685</v>
      </c>
      <c r="C17" s="52">
        <f ca="1">SUMIF(ObjetoContratacionOculto,"="&amp;Obras,TotalEstColumnValue)</f>
        <v>18000002</v>
      </c>
    </row>
    <row r="18" spans="2:3" ht="16.5" thickTop="1" thickBot="1" x14ac:dyDescent="0.3">
      <c r="B18" s="59" t="s">
        <v>686</v>
      </c>
      <c r="C18" s="52">
        <f ca="1">SUMIF(ObjetoContratacionOculto,"="&amp;Servicios,TotalEstColumnValue)</f>
        <v>102681068</v>
      </c>
    </row>
    <row r="19" spans="2:3" ht="16.5" thickTop="1" thickBot="1" x14ac:dyDescent="0.3">
      <c r="B19" s="59" t="s">
        <v>687</v>
      </c>
      <c r="C19" s="52">
        <f>SUMIF(ObjetoContratacionOculto,"="&amp;ServiciosConsultoria,TotalEstColumnValue)</f>
        <v>0</v>
      </c>
    </row>
    <row r="20" spans="2:3" ht="16.5" thickTop="1" thickBot="1" x14ac:dyDescent="0.3">
      <c r="B20" s="59" t="s">
        <v>688</v>
      </c>
      <c r="C20" s="52">
        <f>SUMIF(ObjetoContratacionOculto,"="&amp;ConsultoriaServicios,TotalEstColumnValue)</f>
        <v>0</v>
      </c>
    </row>
    <row r="21" spans="2:3" ht="16.5" thickTop="1" thickBot="1" x14ac:dyDescent="0.3">
      <c r="B21" s="58" t="s">
        <v>689</v>
      </c>
      <c r="C21" s="58"/>
    </row>
    <row r="22" spans="2:3" ht="16.5" thickTop="1" thickBot="1" x14ac:dyDescent="0.3">
      <c r="B22" s="59" t="s">
        <v>690</v>
      </c>
      <c r="C22" s="52">
        <f ca="1">SUMIF(MIPYMEOculto,"="&amp;MIPYMESí,TotalEstColumnValue)</f>
        <v>77191161</v>
      </c>
    </row>
    <row r="23" spans="2:3" ht="16.5" thickTop="1" thickBot="1" x14ac:dyDescent="0.3">
      <c r="B23" s="59" t="s">
        <v>691</v>
      </c>
      <c r="C23" s="52">
        <f ca="1">SUMIF(MIPYMEOculto,"="&amp;MIPYMEMujer,TotalEstColumnValue)</f>
        <v>11690006</v>
      </c>
    </row>
    <row r="24" spans="2:3" ht="16.5" thickTop="1" thickBot="1" x14ac:dyDescent="0.3">
      <c r="B24" s="59" t="s">
        <v>692</v>
      </c>
      <c r="C24" s="52">
        <f ca="1">SUMIF(MIPYMEOculto,"="&amp;MIPYMENo,TotalEstColumnValue)</f>
        <v>87018005</v>
      </c>
    </row>
    <row r="25" spans="2:3" ht="16.5" thickTop="1" thickBot="1" x14ac:dyDescent="0.3">
      <c r="B25" s="50" t="s">
        <v>693</v>
      </c>
      <c r="C25" s="50"/>
    </row>
    <row r="26" spans="2:3" ht="16.5" thickTop="1" thickBot="1" x14ac:dyDescent="0.3">
      <c r="B26" s="59" t="s">
        <v>694</v>
      </c>
      <c r="C26" s="52">
        <f ca="1">SUMIF(ProcedimientoOculto,"="&amp;ModCU,TotalEstColumnValue)</f>
        <v>14396057</v>
      </c>
    </row>
    <row r="27" spans="2:3" ht="16.5" thickTop="1" thickBot="1" x14ac:dyDescent="0.3">
      <c r="B27" s="59" t="s">
        <v>695</v>
      </c>
      <c r="C27" s="52">
        <f ca="1">SUMIF(ProcedimientoOculto,"="&amp;ModCM,TotalEstColumnValue)</f>
        <v>28402606</v>
      </c>
    </row>
    <row r="28" spans="2:3" ht="16.5" thickTop="1" thickBot="1" x14ac:dyDescent="0.3">
      <c r="B28" s="59" t="s">
        <v>696</v>
      </c>
      <c r="C28" s="52">
        <f ca="1">SUMIF(ProcedimientoOculto,"="&amp;ModCP,TotalEstColumnValue)</f>
        <v>54072509</v>
      </c>
    </row>
    <row r="29" spans="2:3" ht="16.5" thickTop="1" thickBot="1" x14ac:dyDescent="0.3">
      <c r="B29" s="59" t="s">
        <v>697</v>
      </c>
      <c r="C29" s="52">
        <f ca="1">SUMIF(ProcedimientoOculto,"="&amp;ModLP,TotalEstColumnValue)</f>
        <v>72000000</v>
      </c>
    </row>
    <row r="30" spans="2:3" ht="16.5" thickTop="1" thickBot="1" x14ac:dyDescent="0.3">
      <c r="B30" s="59" t="s">
        <v>698</v>
      </c>
      <c r="C30" s="52">
        <f>SUMIF(ProcedimientoOculto,"="&amp;ModLI,TotalEstColumnValue)</f>
        <v>0</v>
      </c>
    </row>
    <row r="31" spans="2:3" ht="16.5" thickTop="1" thickBot="1" x14ac:dyDescent="0.3">
      <c r="B31" s="59" t="s">
        <v>699</v>
      </c>
      <c r="C31" s="52">
        <f>SUMIF(ProcedimientoOculto,"="&amp;ModLR,TotalEstColumnValue)</f>
        <v>0</v>
      </c>
    </row>
    <row r="32" spans="2:3" ht="16.5" thickTop="1" thickBot="1" x14ac:dyDescent="0.3">
      <c r="B32" s="59" t="s">
        <v>700</v>
      </c>
      <c r="C32" s="52">
        <f>SUMIF(ProcedimientoOculto,"="&amp;ModSO,TotalEstColumnValue)</f>
        <v>0</v>
      </c>
    </row>
    <row r="33" spans="2:3" ht="16.5" thickTop="1" thickBot="1" x14ac:dyDescent="0.3">
      <c r="B33" s="51" t="s">
        <v>701</v>
      </c>
      <c r="C33" s="52">
        <f>SUMIF(ProcedimientoOculto,"="&amp;ModEBienes,TotalEstColumnValue)</f>
        <v>0</v>
      </c>
    </row>
    <row r="34" spans="2:3" ht="31.5" thickTop="1" thickBot="1" x14ac:dyDescent="0.3">
      <c r="B34" s="53" t="s">
        <v>702</v>
      </c>
      <c r="C34" s="52">
        <f>SUMIF(ProcedimientoOculto,"="&amp;ModEConstruccion,TotalEstColumnValue)</f>
        <v>0</v>
      </c>
    </row>
    <row r="35" spans="2:3" ht="31.5" thickTop="1" thickBot="1" x14ac:dyDescent="0.3">
      <c r="B35" s="53" t="s">
        <v>703</v>
      </c>
      <c r="C35" s="52">
        <f>SUMIF(ProcedimientoOculto,"="&amp;ModEPublicidad,TotalEstColumnValue)</f>
        <v>0</v>
      </c>
    </row>
    <row r="36" spans="2:3" ht="31.5" thickTop="1" thickBot="1" x14ac:dyDescent="0.3">
      <c r="B36" s="53" t="s">
        <v>704</v>
      </c>
      <c r="C36" s="52">
        <f>SUMIF(ProcedimientoOculto,"="&amp;ModEObras,TotalEstColumnValue)</f>
        <v>0</v>
      </c>
    </row>
    <row r="37" spans="2:3" ht="16.5" thickTop="1" thickBot="1" x14ac:dyDescent="0.3">
      <c r="B37" s="53" t="s">
        <v>705</v>
      </c>
      <c r="C37" s="52">
        <f>SUMIF(ProcedimientoOculto,"="&amp;ModEProveedor,TotalEstColumnValue)</f>
        <v>0</v>
      </c>
    </row>
    <row r="38" spans="2:3" ht="31.5" thickTop="1" thickBot="1" x14ac:dyDescent="0.3">
      <c r="B38" s="53" t="s">
        <v>706</v>
      </c>
      <c r="C38" s="52">
        <f>SUMIF(ProcedimientoOculto,"="&amp;ModE40,TotalEstColumnValue)</f>
        <v>0</v>
      </c>
    </row>
    <row r="39" spans="2:3" ht="31.5" thickTop="1" thickBot="1" x14ac:dyDescent="0.3">
      <c r="B39" s="53" t="s">
        <v>707</v>
      </c>
      <c r="C39" s="52">
        <f>SUMIF(ProcedimientoOculto,"="&amp;ModE1508,TotalEstColumnValue)</f>
        <v>0</v>
      </c>
    </row>
  </sheetData>
  <mergeCells count="4">
    <mergeCell ref="B6:C6"/>
    <mergeCell ref="B15:C15"/>
    <mergeCell ref="B21:C21"/>
    <mergeCell ref="B25:C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48DC3-FC18-43F3-B95E-27C07B04DDD5}">
  <dimension ref="A1:G3320"/>
  <sheetViews>
    <sheetView tabSelected="1" topLeftCell="A3" zoomScaleNormal="100" workbookViewId="0">
      <selection activeCell="H19" sqref="H19"/>
    </sheetView>
  </sheetViews>
  <sheetFormatPr defaultRowHeight="16.5" x14ac:dyDescent="0.25"/>
  <cols>
    <col min="1" max="1" width="24.28515625" style="29" customWidth="1"/>
    <col min="2" max="2" width="46.42578125" style="29" customWidth="1"/>
    <col min="3" max="3" width="19" style="29" customWidth="1"/>
    <col min="4" max="4" width="32.5703125" style="29" customWidth="1"/>
    <col min="5" max="5" width="26.42578125" style="29" customWidth="1"/>
    <col min="6" max="6" width="30.5703125" style="29" customWidth="1"/>
    <col min="7" max="7" width="13.42578125" style="29" customWidth="1"/>
  </cols>
  <sheetData>
    <row r="1" spans="1:7" ht="18.75" thickTop="1" x14ac:dyDescent="0.25">
      <c r="A1" s="1"/>
      <c r="B1" s="2"/>
      <c r="C1" s="3"/>
      <c r="D1" s="3"/>
      <c r="E1" s="4"/>
      <c r="F1" s="2"/>
      <c r="G1" s="2"/>
    </row>
    <row r="2" spans="1:7" ht="18" x14ac:dyDescent="0.25">
      <c r="A2" s="1"/>
      <c r="B2" s="5" t="s">
        <v>0</v>
      </c>
      <c r="C2" s="5"/>
      <c r="D2" s="5"/>
      <c r="E2" s="5"/>
      <c r="F2" s="6"/>
      <c r="G2" s="2"/>
    </row>
    <row r="3" spans="1:7" ht="18" x14ac:dyDescent="0.25">
      <c r="A3" s="1"/>
      <c r="B3" s="7" t="str">
        <f>"AÑO "&amp;E11</f>
        <v>AÑO 2023</v>
      </c>
      <c r="C3" s="7"/>
      <c r="D3" s="7"/>
      <c r="E3" s="7"/>
      <c r="F3" s="8"/>
      <c r="G3" s="2"/>
    </row>
    <row r="4" spans="1:7" ht="18" x14ac:dyDescent="0.25">
      <c r="A4" s="1"/>
      <c r="B4" s="2"/>
      <c r="C4" s="2"/>
      <c r="D4" s="2"/>
      <c r="E4" s="9"/>
      <c r="F4" s="2"/>
      <c r="G4" s="2"/>
    </row>
    <row r="5" spans="1:7" ht="45" customHeight="1" thickBot="1" x14ac:dyDescent="0.3">
      <c r="A5" s="10"/>
      <c r="B5" s="10"/>
      <c r="C5" s="11"/>
      <c r="D5" s="11"/>
      <c r="E5" s="11"/>
      <c r="F5" s="11"/>
      <c r="G5" s="12"/>
    </row>
    <row r="6" spans="1:7" ht="15.75" thickBot="1" x14ac:dyDescent="0.3">
      <c r="A6" s="13" t="s">
        <v>1</v>
      </c>
      <c r="B6" s="12"/>
      <c r="C6" s="14"/>
      <c r="D6" s="15" t="s">
        <v>2</v>
      </c>
      <c r="E6" s="16" t="s">
        <v>3</v>
      </c>
      <c r="F6" s="17"/>
      <c r="G6" s="18"/>
    </row>
    <row r="7" spans="1:7" ht="15.75" thickBot="1" x14ac:dyDescent="0.3">
      <c r="A7" s="19" t="s">
        <v>4</v>
      </c>
      <c r="B7" s="12"/>
      <c r="C7" s="12"/>
      <c r="D7" s="15" t="s">
        <v>5</v>
      </c>
      <c r="E7" s="16" t="s">
        <v>6</v>
      </c>
      <c r="F7" s="17"/>
      <c r="G7" s="18"/>
    </row>
    <row r="8" spans="1:7" ht="15.75" thickBot="1" x14ac:dyDescent="0.3">
      <c r="A8" s="12"/>
      <c r="B8" s="12"/>
      <c r="C8" s="12"/>
      <c r="D8" s="15" t="s">
        <v>7</v>
      </c>
      <c r="E8" s="16" t="s">
        <v>8</v>
      </c>
      <c r="F8" s="17"/>
      <c r="G8" s="18"/>
    </row>
    <row r="9" spans="1:7" ht="15.75" thickBot="1" x14ac:dyDescent="0.3">
      <c r="A9" s="20" t="s">
        <v>9</v>
      </c>
      <c r="B9" s="21">
        <f ca="1">COUNTIFS(TotalEstColumnName,"="&amp;TotalEstLabel,TotalEstColumnValue,"&gt;0")</f>
        <v>256</v>
      </c>
      <c r="C9" s="12"/>
      <c r="D9" s="15" t="s">
        <v>10</v>
      </c>
      <c r="E9" s="16" t="s">
        <v>11</v>
      </c>
      <c r="F9" s="17"/>
      <c r="G9" s="18"/>
    </row>
    <row r="10" spans="1:7" ht="15.75" thickBot="1" x14ac:dyDescent="0.3">
      <c r="A10" s="22" t="s">
        <v>12</v>
      </c>
      <c r="B10" s="23">
        <f ca="1">SUMIF(TotalEstColumnName,"="&amp;TotalEstLabel,TotalEstColumnValue)</f>
        <v>175899172</v>
      </c>
      <c r="C10" s="12"/>
      <c r="D10" s="15" t="s">
        <v>13</v>
      </c>
      <c r="E10" s="16" t="s">
        <v>14</v>
      </c>
      <c r="F10" s="17"/>
      <c r="G10" s="18"/>
    </row>
    <row r="11" spans="1:7" ht="15.75" thickBot="1" x14ac:dyDescent="0.3">
      <c r="A11" s="12"/>
      <c r="B11" s="12"/>
      <c r="C11" s="12"/>
      <c r="D11" s="15" t="s">
        <v>15</v>
      </c>
      <c r="E11" s="24">
        <v>2023</v>
      </c>
      <c r="F11" s="25"/>
      <c r="G11" s="18"/>
    </row>
    <row r="12" spans="1:7" ht="15.75" thickBot="1" x14ac:dyDescent="0.3">
      <c r="A12" s="26"/>
      <c r="B12" s="26"/>
      <c r="C12" s="26"/>
      <c r="D12" s="15" t="s">
        <v>16</v>
      </c>
      <c r="E12" s="27" t="s">
        <v>17</v>
      </c>
      <c r="F12" s="28"/>
      <c r="G12" s="18"/>
    </row>
    <row r="14" spans="1:7" ht="17.25" thickBot="1" x14ac:dyDescent="0.3"/>
    <row r="15" spans="1:7" ht="23.25" thickBot="1" x14ac:dyDescent="0.3">
      <c r="A15" s="30" t="s">
        <v>18</v>
      </c>
      <c r="B15" s="30" t="s">
        <v>19</v>
      </c>
      <c r="C15" s="30" t="s">
        <v>20</v>
      </c>
      <c r="D15" s="30" t="s">
        <v>21</v>
      </c>
      <c r="E15" s="30" t="s">
        <v>22</v>
      </c>
      <c r="F15" s="30" t="s">
        <v>23</v>
      </c>
    </row>
    <row r="16" spans="1:7" ht="17.25" thickBot="1" x14ac:dyDescent="0.3">
      <c r="A16" s="31" t="s">
        <v>24</v>
      </c>
      <c r="B16" s="31" t="s">
        <v>25</v>
      </c>
      <c r="C16" s="31" t="s">
        <v>26</v>
      </c>
      <c r="D16" s="31" t="s">
        <v>27</v>
      </c>
      <c r="E16" s="31" t="s">
        <v>28</v>
      </c>
      <c r="F16" s="31"/>
    </row>
    <row r="17" spans="1:6" ht="17.25" thickBot="1" x14ac:dyDescent="0.3">
      <c r="A17" s="32" t="s">
        <v>29</v>
      </c>
      <c r="B17" s="33" t="s">
        <v>30</v>
      </c>
      <c r="C17" s="34">
        <v>44958</v>
      </c>
      <c r="D17" s="32" t="s">
        <v>31</v>
      </c>
      <c r="E17" s="35" t="s">
        <v>32</v>
      </c>
      <c r="F17" s="36" t="s">
        <v>33</v>
      </c>
    </row>
    <row r="18" spans="1:6" ht="17.25" thickBot="1" x14ac:dyDescent="0.3">
      <c r="A18" s="37"/>
      <c r="B18" s="33" t="s">
        <v>34</v>
      </c>
      <c r="C18" s="38">
        <f>IF(C17="","",IF(AND(MONTH(C17)&gt;=1,MONTH(C17)&lt;=3),1,IF(AND(MONTH(C17)&gt;=4,MONTH(C17)&lt;=6),2,IF(AND(MONTH(C17)&gt;=7,MONTH(C17)&lt;=9),3,4))))</f>
        <v>1</v>
      </c>
      <c r="D18" s="37"/>
      <c r="E18" s="35" t="s">
        <v>35</v>
      </c>
      <c r="F18" s="36" t="s">
        <v>36</v>
      </c>
    </row>
    <row r="19" spans="1:6" ht="17.25" thickBot="1" x14ac:dyDescent="0.3">
      <c r="A19" s="37"/>
      <c r="B19" s="33" t="s">
        <v>37</v>
      </c>
      <c r="C19" s="34">
        <v>45015</v>
      </c>
      <c r="D19" s="37"/>
      <c r="E19" s="35" t="s">
        <v>38</v>
      </c>
      <c r="F19" s="36" t="s">
        <v>36</v>
      </c>
    </row>
    <row r="20" spans="1:6" ht="17.25" thickBot="1" x14ac:dyDescent="0.3">
      <c r="A20" s="37"/>
      <c r="B20" s="33" t="s">
        <v>34</v>
      </c>
      <c r="C20" s="38">
        <f>IF(C19="","",IF(AND(MONTH(C19)&gt;=1,MONTH(C19)&lt;=3),1,IF(AND(MONTH(C19)&gt;=4,MONTH(C19)&lt;=6),2,IF(AND(MONTH(C19)&gt;=7,MONTH(C19)&lt;=9),3,4))))</f>
        <v>1</v>
      </c>
      <c r="D20" s="37"/>
      <c r="E20" s="35" t="s">
        <v>39</v>
      </c>
      <c r="F20" s="36"/>
    </row>
    <row r="21" spans="1:6" ht="17.25" thickBot="1" x14ac:dyDescent="0.3"/>
    <row r="22" spans="1:6" ht="17.25" thickBot="1" x14ac:dyDescent="0.3">
      <c r="A22" s="39" t="s">
        <v>40</v>
      </c>
      <c r="B22" s="39" t="s">
        <v>41</v>
      </c>
      <c r="C22" s="39" t="s">
        <v>42</v>
      </c>
      <c r="D22" s="39" t="s">
        <v>43</v>
      </c>
      <c r="E22" s="39" t="s">
        <v>44</v>
      </c>
      <c r="F22" s="39" t="s">
        <v>45</v>
      </c>
    </row>
    <row r="23" spans="1:6" x14ac:dyDescent="0.25">
      <c r="A23" s="40" t="s">
        <v>46</v>
      </c>
      <c r="B23" s="41" t="str">
        <f ca="1">IFERROR(INDEX(UNSPSCDes,MATCH(INDIRECT(ADDRESS(ROW(),COLUMN()-1,4)),UNSPSCCode,0)),IF(INDIRECT(ADDRESS(ROW(),COLUMN()-1,4))="76101502","Servicios de limpieza de baños",""))</f>
        <v>Servicios de limpieza de baños</v>
      </c>
      <c r="C23" s="42" t="str">
        <f>IFERROR(VLOOKUP("UD",'[1]Informacion '!P:Q,2,FALSE),"")</f>
        <v>Unidad</v>
      </c>
      <c r="D23" s="40">
        <v>1</v>
      </c>
      <c r="E23" s="43">
        <v>1</v>
      </c>
      <c r="F23" s="44">
        <f ca="1">INDIRECT(ADDRESS(ROW(),COLUMN()-2,4))*INDIRECT(ADDRESS(ROW(),COLUMN()-1,4))</f>
        <v>1</v>
      </c>
    </row>
    <row r="24" spans="1:6" x14ac:dyDescent="0.25">
      <c r="E24" s="45" t="s">
        <v>47</v>
      </c>
      <c r="F24" s="46">
        <f ca="1">SUM(Table4[MONTO TOTAL ESTIMADO])</f>
        <v>1</v>
      </c>
    </row>
    <row r="25" spans="1:6" ht="17.25" thickBot="1" x14ac:dyDescent="0.3"/>
    <row r="26" spans="1:6" ht="23.25" thickBot="1" x14ac:dyDescent="0.3">
      <c r="A26" s="30" t="s">
        <v>18</v>
      </c>
      <c r="B26" s="30" t="s">
        <v>19</v>
      </c>
      <c r="C26" s="30" t="s">
        <v>20</v>
      </c>
      <c r="D26" s="30" t="s">
        <v>21</v>
      </c>
      <c r="E26" s="30" t="s">
        <v>22</v>
      </c>
      <c r="F26" s="30" t="s">
        <v>23</v>
      </c>
    </row>
    <row r="27" spans="1:6" ht="17.25" thickBot="1" x14ac:dyDescent="0.3">
      <c r="A27" s="31" t="s">
        <v>24</v>
      </c>
      <c r="B27" s="31" t="s">
        <v>25</v>
      </c>
      <c r="C27" s="31" t="s">
        <v>26</v>
      </c>
      <c r="D27" s="31" t="s">
        <v>27</v>
      </c>
      <c r="E27" s="31" t="s">
        <v>28</v>
      </c>
      <c r="F27" s="31"/>
    </row>
    <row r="28" spans="1:6" ht="17.25" thickBot="1" x14ac:dyDescent="0.3">
      <c r="A28" s="32" t="s">
        <v>29</v>
      </c>
      <c r="B28" s="33" t="s">
        <v>30</v>
      </c>
      <c r="C28" s="34">
        <v>45016</v>
      </c>
      <c r="D28" s="32" t="s">
        <v>31</v>
      </c>
      <c r="E28" s="35" t="s">
        <v>32</v>
      </c>
      <c r="F28" s="36" t="s">
        <v>33</v>
      </c>
    </row>
    <row r="29" spans="1:6" ht="17.25" thickBot="1" x14ac:dyDescent="0.3">
      <c r="A29" s="37"/>
      <c r="B29" s="33" t="s">
        <v>34</v>
      </c>
      <c r="C29" s="38">
        <f>IF(C28="","",IF(AND(MONTH(C28)&gt;=1,MONTH(C28)&lt;=3),1,IF(AND(MONTH(C28)&gt;=4,MONTH(C28)&lt;=6),2,IF(AND(MONTH(C28)&gt;=7,MONTH(C28)&lt;=9),3,4))))</f>
        <v>1</v>
      </c>
      <c r="D29" s="37"/>
      <c r="E29" s="35" t="s">
        <v>35</v>
      </c>
      <c r="F29" s="36" t="s">
        <v>36</v>
      </c>
    </row>
    <row r="30" spans="1:6" ht="17.25" thickBot="1" x14ac:dyDescent="0.3">
      <c r="A30" s="37"/>
      <c r="B30" s="33" t="s">
        <v>37</v>
      </c>
      <c r="C30" s="34">
        <v>45106</v>
      </c>
      <c r="D30" s="37"/>
      <c r="E30" s="35" t="s">
        <v>38</v>
      </c>
      <c r="F30" s="36" t="s">
        <v>36</v>
      </c>
    </row>
    <row r="31" spans="1:6" ht="17.25" thickBot="1" x14ac:dyDescent="0.3">
      <c r="A31" s="37"/>
      <c r="B31" s="33" t="s">
        <v>34</v>
      </c>
      <c r="C31" s="38">
        <f>IF(C30="","",IF(AND(MONTH(C30)&gt;=1,MONTH(C30)&lt;=3),1,IF(AND(MONTH(C30)&gt;=4,MONTH(C30)&lt;=6),2,IF(AND(MONTH(C30)&gt;=7,MONTH(C30)&lt;=9),3,4))))</f>
        <v>2</v>
      </c>
      <c r="D31" s="37"/>
      <c r="E31" s="35" t="s">
        <v>39</v>
      </c>
      <c r="F31" s="36"/>
    </row>
    <row r="32" spans="1:6" ht="17.25" thickBot="1" x14ac:dyDescent="0.3"/>
    <row r="33" spans="1:6" ht="17.25" thickBot="1" x14ac:dyDescent="0.3">
      <c r="A33" s="39" t="s">
        <v>40</v>
      </c>
      <c r="B33" s="39" t="s">
        <v>41</v>
      </c>
      <c r="C33" s="39" t="s">
        <v>42</v>
      </c>
      <c r="D33" s="39" t="s">
        <v>43</v>
      </c>
      <c r="E33" s="39" t="s">
        <v>44</v>
      </c>
      <c r="F33" s="39" t="s">
        <v>45</v>
      </c>
    </row>
    <row r="34" spans="1:6" x14ac:dyDescent="0.25">
      <c r="A34" s="40" t="s">
        <v>46</v>
      </c>
      <c r="B34" s="41" t="str">
        <f ca="1">IFERROR(INDEX(UNSPSCDes,MATCH(INDIRECT(ADDRESS(ROW(),COLUMN()-1,4)),UNSPSCCode,0)),IF(INDIRECT(ADDRESS(ROW(),COLUMN()-1,4))="76101502","Servicios de limpieza de baños",""))</f>
        <v>Servicios de limpieza de baños</v>
      </c>
      <c r="C34" s="42" t="str">
        <f>IFERROR(VLOOKUP("UD",'[1]Informacion '!P:Q,2,FALSE),"")</f>
        <v>Unidad</v>
      </c>
      <c r="D34" s="40">
        <v>1</v>
      </c>
      <c r="E34" s="43">
        <v>1</v>
      </c>
      <c r="F34" s="44">
        <f ca="1">INDIRECT(ADDRESS(ROW(),COLUMN()-2,4))*INDIRECT(ADDRESS(ROW(),COLUMN()-1,4))</f>
        <v>1</v>
      </c>
    </row>
    <row r="35" spans="1:6" x14ac:dyDescent="0.25">
      <c r="E35" s="45" t="s">
        <v>47</v>
      </c>
      <c r="F35" s="46">
        <f ca="1">SUM(Table5[MONTO TOTAL ESTIMADO])</f>
        <v>1</v>
      </c>
    </row>
    <row r="36" spans="1:6" ht="17.25" thickBot="1" x14ac:dyDescent="0.3"/>
    <row r="37" spans="1:6" ht="23.25" thickBot="1" x14ac:dyDescent="0.3">
      <c r="A37" s="30" t="s">
        <v>18</v>
      </c>
      <c r="B37" s="30" t="s">
        <v>19</v>
      </c>
      <c r="C37" s="30" t="s">
        <v>20</v>
      </c>
      <c r="D37" s="30" t="s">
        <v>21</v>
      </c>
      <c r="E37" s="30" t="s">
        <v>22</v>
      </c>
      <c r="F37" s="30" t="s">
        <v>23</v>
      </c>
    </row>
    <row r="38" spans="1:6" ht="17.25" thickBot="1" x14ac:dyDescent="0.3">
      <c r="A38" s="31" t="s">
        <v>24</v>
      </c>
      <c r="B38" s="31" t="s">
        <v>25</v>
      </c>
      <c r="C38" s="31" t="s">
        <v>26</v>
      </c>
      <c r="D38" s="31" t="s">
        <v>27</v>
      </c>
      <c r="E38" s="31" t="s">
        <v>28</v>
      </c>
      <c r="F38" s="31"/>
    </row>
    <row r="39" spans="1:6" ht="17.25" thickBot="1" x14ac:dyDescent="0.3">
      <c r="A39" s="32" t="s">
        <v>29</v>
      </c>
      <c r="B39" s="33" t="s">
        <v>30</v>
      </c>
      <c r="C39" s="34">
        <v>45107</v>
      </c>
      <c r="D39" s="32" t="s">
        <v>31</v>
      </c>
      <c r="E39" s="35" t="s">
        <v>32</v>
      </c>
      <c r="F39" s="36" t="s">
        <v>33</v>
      </c>
    </row>
    <row r="40" spans="1:6" ht="17.25" thickBot="1" x14ac:dyDescent="0.3">
      <c r="A40" s="37"/>
      <c r="B40" s="33" t="s">
        <v>34</v>
      </c>
      <c r="C40" s="38">
        <f>IF(C39="","",IF(AND(MONTH(C39)&gt;=1,MONTH(C39)&lt;=3),1,IF(AND(MONTH(C39)&gt;=4,MONTH(C39)&lt;=6),2,IF(AND(MONTH(C39)&gt;=7,MONTH(C39)&lt;=9),3,4))))</f>
        <v>2</v>
      </c>
      <c r="D40" s="37"/>
      <c r="E40" s="35" t="s">
        <v>35</v>
      </c>
      <c r="F40" s="36" t="s">
        <v>36</v>
      </c>
    </row>
    <row r="41" spans="1:6" ht="17.25" thickBot="1" x14ac:dyDescent="0.3">
      <c r="A41" s="37"/>
      <c r="B41" s="33" t="s">
        <v>37</v>
      </c>
      <c r="C41" s="34">
        <v>45198</v>
      </c>
      <c r="D41" s="37"/>
      <c r="E41" s="35" t="s">
        <v>38</v>
      </c>
      <c r="F41" s="36" t="s">
        <v>36</v>
      </c>
    </row>
    <row r="42" spans="1:6" ht="17.25" thickBot="1" x14ac:dyDescent="0.3">
      <c r="A42" s="37"/>
      <c r="B42" s="33" t="s">
        <v>34</v>
      </c>
      <c r="C42" s="38">
        <f>IF(C41="","",IF(AND(MONTH(C41)&gt;=1,MONTH(C41)&lt;=3),1,IF(AND(MONTH(C41)&gt;=4,MONTH(C41)&lt;=6),2,IF(AND(MONTH(C41)&gt;=7,MONTH(C41)&lt;=9),3,4))))</f>
        <v>3</v>
      </c>
      <c r="D42" s="37"/>
      <c r="E42" s="35" t="s">
        <v>39</v>
      </c>
      <c r="F42" s="36"/>
    </row>
    <row r="43" spans="1:6" ht="17.25" thickBot="1" x14ac:dyDescent="0.3"/>
    <row r="44" spans="1:6" ht="17.25" thickBot="1" x14ac:dyDescent="0.3">
      <c r="A44" s="39" t="s">
        <v>40</v>
      </c>
      <c r="B44" s="39" t="s">
        <v>41</v>
      </c>
      <c r="C44" s="39" t="s">
        <v>42</v>
      </c>
      <c r="D44" s="39" t="s">
        <v>43</v>
      </c>
      <c r="E44" s="39" t="s">
        <v>44</v>
      </c>
      <c r="F44" s="39" t="s">
        <v>45</v>
      </c>
    </row>
    <row r="45" spans="1:6" x14ac:dyDescent="0.25">
      <c r="A45" s="40" t="s">
        <v>46</v>
      </c>
      <c r="B45" s="41" t="str">
        <f ca="1">IFERROR(INDEX(UNSPSCDes,MATCH(INDIRECT(ADDRESS(ROW(),COLUMN()-1,4)),UNSPSCCode,0)),IF(INDIRECT(ADDRESS(ROW(),COLUMN()-1,4))="76101502","Servicios de limpieza de baños",""))</f>
        <v>Servicios de limpieza de baños</v>
      </c>
      <c r="C45" s="42" t="str">
        <f>IFERROR(VLOOKUP("UD",'[1]Informacion '!P:Q,2,FALSE),"")</f>
        <v>Unidad</v>
      </c>
      <c r="D45" s="40">
        <v>1</v>
      </c>
      <c r="E45" s="43">
        <v>1</v>
      </c>
      <c r="F45" s="44">
        <f ca="1">INDIRECT(ADDRESS(ROW(),COLUMN()-2,4))*INDIRECT(ADDRESS(ROW(),COLUMN()-1,4))</f>
        <v>1</v>
      </c>
    </row>
    <row r="46" spans="1:6" x14ac:dyDescent="0.25">
      <c r="E46" s="45" t="s">
        <v>47</v>
      </c>
      <c r="F46" s="46">
        <f ca="1">SUM(Table6[MONTO TOTAL ESTIMADO])</f>
        <v>1</v>
      </c>
    </row>
    <row r="47" spans="1:6" ht="17.25" thickBot="1" x14ac:dyDescent="0.3"/>
    <row r="48" spans="1:6" ht="23.25" thickBot="1" x14ac:dyDescent="0.3">
      <c r="A48" s="30" t="s">
        <v>18</v>
      </c>
      <c r="B48" s="30" t="s">
        <v>19</v>
      </c>
      <c r="C48" s="30" t="s">
        <v>20</v>
      </c>
      <c r="D48" s="30" t="s">
        <v>21</v>
      </c>
      <c r="E48" s="30" t="s">
        <v>22</v>
      </c>
      <c r="F48" s="30" t="s">
        <v>23</v>
      </c>
    </row>
    <row r="49" spans="1:6" ht="17.25" thickBot="1" x14ac:dyDescent="0.3">
      <c r="A49" s="31" t="s">
        <v>24</v>
      </c>
      <c r="B49" s="31" t="s">
        <v>25</v>
      </c>
      <c r="C49" s="31" t="s">
        <v>26</v>
      </c>
      <c r="D49" s="31" t="s">
        <v>27</v>
      </c>
      <c r="E49" s="31" t="s">
        <v>28</v>
      </c>
      <c r="F49" s="31"/>
    </row>
    <row r="50" spans="1:6" ht="17.25" thickBot="1" x14ac:dyDescent="0.3">
      <c r="A50" s="32" t="s">
        <v>29</v>
      </c>
      <c r="B50" s="33" t="s">
        <v>30</v>
      </c>
      <c r="C50" s="34">
        <v>45199</v>
      </c>
      <c r="D50" s="32" t="s">
        <v>31</v>
      </c>
      <c r="E50" s="35" t="s">
        <v>32</v>
      </c>
      <c r="F50" s="36" t="s">
        <v>33</v>
      </c>
    </row>
    <row r="51" spans="1:6" ht="17.25" thickBot="1" x14ac:dyDescent="0.3">
      <c r="A51" s="37"/>
      <c r="B51" s="33" t="s">
        <v>34</v>
      </c>
      <c r="C51" s="38">
        <f>IF(C50="","",IF(AND(MONTH(C50)&gt;=1,MONTH(C50)&lt;=3),1,IF(AND(MONTH(C50)&gt;=4,MONTH(C50)&lt;=6),2,IF(AND(MONTH(C50)&gt;=7,MONTH(C50)&lt;=9),3,4))))</f>
        <v>3</v>
      </c>
      <c r="D51" s="37"/>
      <c r="E51" s="35" t="s">
        <v>35</v>
      </c>
      <c r="F51" s="36" t="s">
        <v>36</v>
      </c>
    </row>
    <row r="52" spans="1:6" ht="17.25" thickBot="1" x14ac:dyDescent="0.3">
      <c r="A52" s="37"/>
      <c r="B52" s="33" t="s">
        <v>37</v>
      </c>
      <c r="C52" s="34">
        <v>45290</v>
      </c>
      <c r="D52" s="37"/>
      <c r="E52" s="35" t="s">
        <v>38</v>
      </c>
      <c r="F52" s="36" t="s">
        <v>36</v>
      </c>
    </row>
    <row r="53" spans="1:6" ht="17.25" thickBot="1" x14ac:dyDescent="0.3">
      <c r="A53" s="37"/>
      <c r="B53" s="33" t="s">
        <v>34</v>
      </c>
      <c r="C53" s="38">
        <f>IF(C52="","",IF(AND(MONTH(C52)&gt;=1,MONTH(C52)&lt;=3),1,IF(AND(MONTH(C52)&gt;=4,MONTH(C52)&lt;=6),2,IF(AND(MONTH(C52)&gt;=7,MONTH(C52)&lt;=9),3,4))))</f>
        <v>4</v>
      </c>
      <c r="D53" s="37"/>
      <c r="E53" s="35" t="s">
        <v>39</v>
      </c>
      <c r="F53" s="36"/>
    </row>
    <row r="54" spans="1:6" ht="17.25" thickBot="1" x14ac:dyDescent="0.3"/>
    <row r="55" spans="1:6" ht="17.25" thickBot="1" x14ac:dyDescent="0.3">
      <c r="A55" s="39" t="s">
        <v>40</v>
      </c>
      <c r="B55" s="39" t="s">
        <v>41</v>
      </c>
      <c r="C55" s="39" t="s">
        <v>42</v>
      </c>
      <c r="D55" s="39" t="s">
        <v>43</v>
      </c>
      <c r="E55" s="39" t="s">
        <v>44</v>
      </c>
      <c r="F55" s="39" t="s">
        <v>45</v>
      </c>
    </row>
    <row r="56" spans="1:6" x14ac:dyDescent="0.25">
      <c r="A56" s="40" t="s">
        <v>46</v>
      </c>
      <c r="B56" s="41" t="str">
        <f ca="1">IFERROR(INDEX(UNSPSCDes,MATCH(INDIRECT(ADDRESS(ROW(),COLUMN()-1,4)),UNSPSCCode,0)),IF(INDIRECT(ADDRESS(ROW(),COLUMN()-1,4))="76101502","Servicios de limpieza de baños",""))</f>
        <v>Servicios de limpieza de baños</v>
      </c>
      <c r="C56" s="42" t="str">
        <f>IFERROR(VLOOKUP("UD",'[1]Informacion '!P:Q,2,FALSE),"")</f>
        <v>Unidad</v>
      </c>
      <c r="D56" s="40">
        <v>1</v>
      </c>
      <c r="E56" s="43">
        <v>1</v>
      </c>
      <c r="F56" s="44">
        <f ca="1">INDIRECT(ADDRESS(ROW(),COLUMN()-2,4))*INDIRECT(ADDRESS(ROW(),COLUMN()-1,4))</f>
        <v>1</v>
      </c>
    </row>
    <row r="57" spans="1:6" x14ac:dyDescent="0.25">
      <c r="E57" s="45" t="s">
        <v>47</v>
      </c>
      <c r="F57" s="46">
        <f ca="1">SUM(Table7[MONTO TOTAL ESTIMADO])</f>
        <v>1</v>
      </c>
    </row>
    <row r="58" spans="1:6" ht="17.25" thickBot="1" x14ac:dyDescent="0.3"/>
    <row r="59" spans="1:6" ht="23.25" thickBot="1" x14ac:dyDescent="0.3">
      <c r="A59" s="30" t="s">
        <v>18</v>
      </c>
      <c r="B59" s="30" t="s">
        <v>19</v>
      </c>
      <c r="C59" s="30" t="s">
        <v>20</v>
      </c>
      <c r="D59" s="30" t="s">
        <v>21</v>
      </c>
      <c r="E59" s="30" t="s">
        <v>22</v>
      </c>
      <c r="F59" s="30" t="s">
        <v>23</v>
      </c>
    </row>
    <row r="60" spans="1:6" ht="17.25" thickBot="1" x14ac:dyDescent="0.3">
      <c r="A60" s="31" t="s">
        <v>48</v>
      </c>
      <c r="B60" s="31" t="s">
        <v>49</v>
      </c>
      <c r="C60" s="31" t="s">
        <v>26</v>
      </c>
      <c r="D60" s="31" t="s">
        <v>50</v>
      </c>
      <c r="E60" s="31" t="s">
        <v>28</v>
      </c>
      <c r="F60" s="31"/>
    </row>
    <row r="61" spans="1:6" ht="17.25" thickBot="1" x14ac:dyDescent="0.3">
      <c r="A61" s="32" t="s">
        <v>29</v>
      </c>
      <c r="B61" s="33" t="s">
        <v>30</v>
      </c>
      <c r="C61" s="34">
        <v>44976</v>
      </c>
      <c r="D61" s="32" t="s">
        <v>31</v>
      </c>
      <c r="E61" s="35" t="s">
        <v>32</v>
      </c>
      <c r="F61" s="36" t="s">
        <v>33</v>
      </c>
    </row>
    <row r="62" spans="1:6" ht="17.25" thickBot="1" x14ac:dyDescent="0.3">
      <c r="A62" s="37"/>
      <c r="B62" s="33" t="s">
        <v>34</v>
      </c>
      <c r="C62" s="38">
        <f>IF(C61="","",IF(AND(MONTH(C61)&gt;=1,MONTH(C61)&lt;=3),1,IF(AND(MONTH(C61)&gt;=4,MONTH(C61)&lt;=6),2,IF(AND(MONTH(C61)&gt;=7,MONTH(C61)&lt;=9),3,4))))</f>
        <v>1</v>
      </c>
      <c r="D62" s="37"/>
      <c r="E62" s="35" t="s">
        <v>35</v>
      </c>
      <c r="F62" s="36" t="s">
        <v>36</v>
      </c>
    </row>
    <row r="63" spans="1:6" ht="17.25" thickBot="1" x14ac:dyDescent="0.3">
      <c r="A63" s="37"/>
      <c r="B63" s="33" t="s">
        <v>37</v>
      </c>
      <c r="C63" s="34">
        <v>45015</v>
      </c>
      <c r="D63" s="37"/>
      <c r="E63" s="35" t="s">
        <v>38</v>
      </c>
      <c r="F63" s="36" t="s">
        <v>36</v>
      </c>
    </row>
    <row r="64" spans="1:6" ht="17.25" thickBot="1" x14ac:dyDescent="0.3">
      <c r="A64" s="37"/>
      <c r="B64" s="33" t="s">
        <v>34</v>
      </c>
      <c r="C64" s="38">
        <f>IF(C63="","",IF(AND(MONTH(C63)&gt;=1,MONTH(C63)&lt;=3),1,IF(AND(MONTH(C63)&gt;=4,MONTH(C63)&lt;=6),2,IF(AND(MONTH(C63)&gt;=7,MONTH(C63)&lt;=9),3,4))))</f>
        <v>1</v>
      </c>
      <c r="D64" s="37"/>
      <c r="E64" s="35" t="s">
        <v>39</v>
      </c>
      <c r="F64" s="36"/>
    </row>
    <row r="65" spans="1:6" ht="17.25" thickBot="1" x14ac:dyDescent="0.3"/>
    <row r="66" spans="1:6" ht="17.25" thickBot="1" x14ac:dyDescent="0.3">
      <c r="A66" s="39" t="s">
        <v>40</v>
      </c>
      <c r="B66" s="39" t="s">
        <v>41</v>
      </c>
      <c r="C66" s="39" t="s">
        <v>42</v>
      </c>
      <c r="D66" s="39" t="s">
        <v>43</v>
      </c>
      <c r="E66" s="39" t="s">
        <v>44</v>
      </c>
      <c r="F66" s="39" t="s">
        <v>45</v>
      </c>
    </row>
    <row r="67" spans="1:6" x14ac:dyDescent="0.25">
      <c r="A67" s="40" t="s">
        <v>51</v>
      </c>
      <c r="B67" s="41" t="str">
        <f ca="1">IFERROR(INDEX(UNSPSCDes,MATCH(INDIRECT(ADDRESS(ROW(),COLUMN()-1,4)),UNSPSCCode,0)),IF(INDIRECT(ADDRESS(ROW(),COLUMN()-1,4))="80141607","Gestión de eventos",""))</f>
        <v>Gestión de eventos</v>
      </c>
      <c r="C67" s="42" t="str">
        <f>IFERROR(VLOOKUP("UD",'[1]Informacion '!P:Q,2,FALSE),"")</f>
        <v>Unidad</v>
      </c>
      <c r="D67" s="40">
        <v>1</v>
      </c>
      <c r="E67" s="43">
        <v>1</v>
      </c>
      <c r="F67" s="44">
        <f ca="1">INDIRECT(ADDRESS(ROW(),COLUMN()-2,4))*INDIRECT(ADDRESS(ROW(),COLUMN()-1,4))</f>
        <v>1</v>
      </c>
    </row>
    <row r="68" spans="1:6" x14ac:dyDescent="0.25">
      <c r="E68" s="45" t="s">
        <v>47</v>
      </c>
      <c r="F68" s="46">
        <f ca="1">SUM(Table8[MONTO TOTAL ESTIMADO])</f>
        <v>1</v>
      </c>
    </row>
    <row r="69" spans="1:6" ht="17.25" thickBot="1" x14ac:dyDescent="0.3"/>
    <row r="70" spans="1:6" ht="23.25" thickBot="1" x14ac:dyDescent="0.3">
      <c r="A70" s="30" t="s">
        <v>18</v>
      </c>
      <c r="B70" s="30" t="s">
        <v>19</v>
      </c>
      <c r="C70" s="30" t="s">
        <v>20</v>
      </c>
      <c r="D70" s="30" t="s">
        <v>21</v>
      </c>
      <c r="E70" s="30" t="s">
        <v>22</v>
      </c>
      <c r="F70" s="30" t="s">
        <v>23</v>
      </c>
    </row>
    <row r="71" spans="1:6" ht="17.25" thickBot="1" x14ac:dyDescent="0.3">
      <c r="A71" s="31" t="s">
        <v>48</v>
      </c>
      <c r="B71" s="31" t="s">
        <v>49</v>
      </c>
      <c r="C71" s="31" t="s">
        <v>26</v>
      </c>
      <c r="D71" s="31" t="s">
        <v>52</v>
      </c>
      <c r="E71" s="31" t="s">
        <v>28</v>
      </c>
      <c r="F71" s="31"/>
    </row>
    <row r="72" spans="1:6" ht="17.25" thickBot="1" x14ac:dyDescent="0.3">
      <c r="A72" s="32" t="s">
        <v>29</v>
      </c>
      <c r="B72" s="33" t="s">
        <v>30</v>
      </c>
      <c r="C72" s="34">
        <v>45017</v>
      </c>
      <c r="D72" s="32" t="s">
        <v>31</v>
      </c>
      <c r="E72" s="35" t="s">
        <v>32</v>
      </c>
      <c r="F72" s="36" t="s">
        <v>33</v>
      </c>
    </row>
    <row r="73" spans="1:6" ht="17.25" thickBot="1" x14ac:dyDescent="0.3">
      <c r="A73" s="37"/>
      <c r="B73" s="33" t="s">
        <v>34</v>
      </c>
      <c r="C73" s="38">
        <f>IF(C72="","",IF(AND(MONTH(C72)&gt;=1,MONTH(C72)&lt;=3),1,IF(AND(MONTH(C72)&gt;=4,MONTH(C72)&lt;=6),2,IF(AND(MONTH(C72)&gt;=7,MONTH(C72)&lt;=9),3,4))))</f>
        <v>2</v>
      </c>
      <c r="D73" s="37"/>
      <c r="E73" s="35" t="s">
        <v>35</v>
      </c>
      <c r="F73" s="36" t="s">
        <v>36</v>
      </c>
    </row>
    <row r="74" spans="1:6" ht="17.25" thickBot="1" x14ac:dyDescent="0.3">
      <c r="A74" s="37"/>
      <c r="B74" s="33" t="s">
        <v>37</v>
      </c>
      <c r="C74" s="34">
        <v>45106</v>
      </c>
      <c r="D74" s="37"/>
      <c r="E74" s="35" t="s">
        <v>38</v>
      </c>
      <c r="F74" s="36" t="s">
        <v>36</v>
      </c>
    </row>
    <row r="75" spans="1:6" ht="17.25" thickBot="1" x14ac:dyDescent="0.3">
      <c r="A75" s="37"/>
      <c r="B75" s="33" t="s">
        <v>34</v>
      </c>
      <c r="C75" s="38">
        <f>IF(C74="","",IF(AND(MONTH(C74)&gt;=1,MONTH(C74)&lt;=3),1,IF(AND(MONTH(C74)&gt;=4,MONTH(C74)&lt;=6),2,IF(AND(MONTH(C74)&gt;=7,MONTH(C74)&lt;=9),3,4))))</f>
        <v>2</v>
      </c>
      <c r="D75" s="37"/>
      <c r="E75" s="35" t="s">
        <v>39</v>
      </c>
      <c r="F75" s="36" t="s">
        <v>36</v>
      </c>
    </row>
    <row r="76" spans="1:6" ht="17.25" thickBot="1" x14ac:dyDescent="0.3"/>
    <row r="77" spans="1:6" ht="17.25" thickBot="1" x14ac:dyDescent="0.3">
      <c r="A77" s="39" t="s">
        <v>40</v>
      </c>
      <c r="B77" s="39" t="s">
        <v>41</v>
      </c>
      <c r="C77" s="39" t="s">
        <v>42</v>
      </c>
      <c r="D77" s="39" t="s">
        <v>43</v>
      </c>
      <c r="E77" s="39" t="s">
        <v>44</v>
      </c>
      <c r="F77" s="39" t="s">
        <v>45</v>
      </c>
    </row>
    <row r="78" spans="1:6" x14ac:dyDescent="0.25">
      <c r="A78" s="40" t="s">
        <v>51</v>
      </c>
      <c r="B78" s="41" t="str">
        <f ca="1">IFERROR(INDEX(UNSPSCDes,MATCH(INDIRECT(ADDRESS(ROW(),COLUMN()-1,4)),UNSPSCCode,0)),IF(INDIRECT(ADDRESS(ROW(),COLUMN()-1,4))="80141607","Gestión de eventos",""))</f>
        <v>Gestión de eventos</v>
      </c>
      <c r="C78" s="42" t="str">
        <f>IFERROR(VLOOKUP("UD",'[1]Informacion '!P:Q,2,FALSE),"")</f>
        <v>Unidad</v>
      </c>
      <c r="D78" s="40">
        <v>1</v>
      </c>
      <c r="E78" s="43">
        <v>2630000</v>
      </c>
      <c r="F78" s="44">
        <f ca="1">INDIRECT(ADDRESS(ROW(),COLUMN()-2,4))*INDIRECT(ADDRESS(ROW(),COLUMN()-1,4))</f>
        <v>2630000</v>
      </c>
    </row>
    <row r="79" spans="1:6" x14ac:dyDescent="0.25">
      <c r="E79" s="45" t="s">
        <v>47</v>
      </c>
      <c r="F79" s="46">
        <f ca="1">SUM(Table9[MONTO TOTAL ESTIMADO])</f>
        <v>2630000</v>
      </c>
    </row>
    <row r="80" spans="1:6" ht="17.25" thickBot="1" x14ac:dyDescent="0.3"/>
    <row r="81" spans="1:6" ht="23.25" thickBot="1" x14ac:dyDescent="0.3">
      <c r="A81" s="30" t="s">
        <v>18</v>
      </c>
      <c r="B81" s="30" t="s">
        <v>19</v>
      </c>
      <c r="C81" s="30" t="s">
        <v>20</v>
      </c>
      <c r="D81" s="30" t="s">
        <v>21</v>
      </c>
      <c r="E81" s="30" t="s">
        <v>22</v>
      </c>
      <c r="F81" s="30" t="s">
        <v>23</v>
      </c>
    </row>
    <row r="82" spans="1:6" ht="17.25" thickBot="1" x14ac:dyDescent="0.3">
      <c r="A82" s="31" t="s">
        <v>48</v>
      </c>
      <c r="B82" s="31" t="s">
        <v>49</v>
      </c>
      <c r="C82" s="31" t="s">
        <v>26</v>
      </c>
      <c r="D82" s="31" t="s">
        <v>50</v>
      </c>
      <c r="E82" s="31" t="s">
        <v>28</v>
      </c>
      <c r="F82" s="31"/>
    </row>
    <row r="83" spans="1:6" ht="17.25" thickBot="1" x14ac:dyDescent="0.3">
      <c r="A83" s="32" t="s">
        <v>29</v>
      </c>
      <c r="B83" s="33" t="s">
        <v>30</v>
      </c>
      <c r="C83" s="34">
        <v>45108</v>
      </c>
      <c r="D83" s="32" t="s">
        <v>31</v>
      </c>
      <c r="E83" s="35" t="s">
        <v>32</v>
      </c>
      <c r="F83" s="36" t="s">
        <v>33</v>
      </c>
    </row>
    <row r="84" spans="1:6" ht="17.25" thickBot="1" x14ac:dyDescent="0.3">
      <c r="A84" s="37"/>
      <c r="B84" s="33" t="s">
        <v>34</v>
      </c>
      <c r="C84" s="38">
        <f>IF(C83="","",IF(AND(MONTH(C83)&gt;=1,MONTH(C83)&lt;=3),1,IF(AND(MONTH(C83)&gt;=4,MONTH(C83)&lt;=6),2,IF(AND(MONTH(C83)&gt;=7,MONTH(C83)&lt;=9),3,4))))</f>
        <v>3</v>
      </c>
      <c r="D84" s="37"/>
      <c r="E84" s="35" t="s">
        <v>35</v>
      </c>
      <c r="F84" s="36" t="s">
        <v>36</v>
      </c>
    </row>
    <row r="85" spans="1:6" ht="17.25" thickBot="1" x14ac:dyDescent="0.3">
      <c r="A85" s="37"/>
      <c r="B85" s="33" t="s">
        <v>37</v>
      </c>
      <c r="C85" s="34">
        <v>45198</v>
      </c>
      <c r="D85" s="37"/>
      <c r="E85" s="35" t="s">
        <v>38</v>
      </c>
      <c r="F85" s="36" t="s">
        <v>36</v>
      </c>
    </row>
    <row r="86" spans="1:6" ht="17.25" thickBot="1" x14ac:dyDescent="0.3">
      <c r="A86" s="37"/>
      <c r="B86" s="33" t="s">
        <v>34</v>
      </c>
      <c r="C86" s="38">
        <f>IF(C85="","",IF(AND(MONTH(C85)&gt;=1,MONTH(C85)&lt;=3),1,IF(AND(MONTH(C85)&gt;=4,MONTH(C85)&lt;=6),2,IF(AND(MONTH(C85)&gt;=7,MONTH(C85)&lt;=9),3,4))))</f>
        <v>3</v>
      </c>
      <c r="D86" s="37"/>
      <c r="E86" s="35" t="s">
        <v>39</v>
      </c>
      <c r="F86" s="36" t="s">
        <v>36</v>
      </c>
    </row>
    <row r="87" spans="1:6" ht="17.25" thickBot="1" x14ac:dyDescent="0.3"/>
    <row r="88" spans="1:6" ht="17.25" thickBot="1" x14ac:dyDescent="0.3">
      <c r="A88" s="39" t="s">
        <v>40</v>
      </c>
      <c r="B88" s="39" t="s">
        <v>41</v>
      </c>
      <c r="C88" s="39" t="s">
        <v>42</v>
      </c>
      <c r="D88" s="39" t="s">
        <v>43</v>
      </c>
      <c r="E88" s="39" t="s">
        <v>44</v>
      </c>
      <c r="F88" s="39" t="s">
        <v>45</v>
      </c>
    </row>
    <row r="89" spans="1:6" x14ac:dyDescent="0.25">
      <c r="A89" s="40" t="s">
        <v>51</v>
      </c>
      <c r="B89" s="41" t="str">
        <f ca="1">IFERROR(INDEX(UNSPSCDes,MATCH(INDIRECT(ADDRESS(ROW(),COLUMN()-1,4)),UNSPSCCode,0)),IF(INDIRECT(ADDRESS(ROW(),COLUMN()-1,4))="80141607","Gestión de eventos",""))</f>
        <v>Gestión de eventos</v>
      </c>
      <c r="C89" s="42" t="str">
        <f>IFERROR(VLOOKUP("UD",'[1]Informacion '!P:Q,2,FALSE),"")</f>
        <v>Unidad</v>
      </c>
      <c r="D89" s="40">
        <v>1</v>
      </c>
      <c r="E89" s="43">
        <v>1</v>
      </c>
      <c r="F89" s="44">
        <f ca="1">INDIRECT(ADDRESS(ROW(),COLUMN()-2,4))*INDIRECT(ADDRESS(ROW(),COLUMN()-1,4))</f>
        <v>1</v>
      </c>
    </row>
    <row r="90" spans="1:6" x14ac:dyDescent="0.25">
      <c r="E90" s="45" t="s">
        <v>47</v>
      </c>
      <c r="F90" s="46">
        <f ca="1">SUM(Table10[MONTO TOTAL ESTIMADO])</f>
        <v>1</v>
      </c>
    </row>
    <row r="91" spans="1:6" ht="17.25" thickBot="1" x14ac:dyDescent="0.3"/>
    <row r="92" spans="1:6" ht="23.25" thickBot="1" x14ac:dyDescent="0.3">
      <c r="A92" s="30" t="s">
        <v>18</v>
      </c>
      <c r="B92" s="30" t="s">
        <v>19</v>
      </c>
      <c r="C92" s="30" t="s">
        <v>20</v>
      </c>
      <c r="D92" s="30" t="s">
        <v>21</v>
      </c>
      <c r="E92" s="30" t="s">
        <v>22</v>
      </c>
      <c r="F92" s="30" t="s">
        <v>23</v>
      </c>
    </row>
    <row r="93" spans="1:6" ht="17.25" thickBot="1" x14ac:dyDescent="0.3">
      <c r="A93" s="31" t="s">
        <v>48</v>
      </c>
      <c r="B93" s="31" t="s">
        <v>49</v>
      </c>
      <c r="C93" s="31" t="s">
        <v>26</v>
      </c>
      <c r="D93" s="31" t="s">
        <v>52</v>
      </c>
      <c r="E93" s="31" t="s">
        <v>28</v>
      </c>
      <c r="F93" s="31"/>
    </row>
    <row r="94" spans="1:6" ht="17.25" thickBot="1" x14ac:dyDescent="0.3">
      <c r="A94" s="32" t="s">
        <v>29</v>
      </c>
      <c r="B94" s="33" t="s">
        <v>30</v>
      </c>
      <c r="C94" s="34">
        <v>45200</v>
      </c>
      <c r="D94" s="32" t="s">
        <v>31</v>
      </c>
      <c r="E94" s="35" t="s">
        <v>32</v>
      </c>
      <c r="F94" s="36" t="s">
        <v>33</v>
      </c>
    </row>
    <row r="95" spans="1:6" ht="17.25" thickBot="1" x14ac:dyDescent="0.3">
      <c r="A95" s="37"/>
      <c r="B95" s="33" t="s">
        <v>34</v>
      </c>
      <c r="C95" s="38">
        <f>IF(C94="","",IF(AND(MONTH(C94)&gt;=1,MONTH(C94)&lt;=3),1,IF(AND(MONTH(C94)&gt;=4,MONTH(C94)&lt;=6),2,IF(AND(MONTH(C94)&gt;=7,MONTH(C94)&lt;=9),3,4))))</f>
        <v>4</v>
      </c>
      <c r="D95" s="37"/>
      <c r="E95" s="35" t="s">
        <v>35</v>
      </c>
      <c r="F95" s="36" t="s">
        <v>36</v>
      </c>
    </row>
    <row r="96" spans="1:6" ht="17.25" thickBot="1" x14ac:dyDescent="0.3">
      <c r="A96" s="37"/>
      <c r="B96" s="33" t="s">
        <v>37</v>
      </c>
      <c r="C96" s="34">
        <v>45290</v>
      </c>
      <c r="D96" s="37"/>
      <c r="E96" s="35" t="s">
        <v>38</v>
      </c>
      <c r="F96" s="36" t="s">
        <v>36</v>
      </c>
    </row>
    <row r="97" spans="1:6" ht="17.25" thickBot="1" x14ac:dyDescent="0.3">
      <c r="A97" s="37"/>
      <c r="B97" s="33" t="s">
        <v>34</v>
      </c>
      <c r="C97" s="38">
        <f>IF(C96="","",IF(AND(MONTH(C96)&gt;=1,MONTH(C96)&lt;=3),1,IF(AND(MONTH(C96)&gt;=4,MONTH(C96)&lt;=6),2,IF(AND(MONTH(C96)&gt;=7,MONTH(C96)&lt;=9),3,4))))</f>
        <v>4</v>
      </c>
      <c r="D97" s="37"/>
      <c r="E97" s="35" t="s">
        <v>39</v>
      </c>
      <c r="F97" s="36" t="s">
        <v>36</v>
      </c>
    </row>
    <row r="98" spans="1:6" ht="17.25" thickBot="1" x14ac:dyDescent="0.3"/>
    <row r="99" spans="1:6" ht="17.25" thickBot="1" x14ac:dyDescent="0.3">
      <c r="A99" s="39" t="s">
        <v>40</v>
      </c>
      <c r="B99" s="39" t="s">
        <v>41</v>
      </c>
      <c r="C99" s="39" t="s">
        <v>42</v>
      </c>
      <c r="D99" s="39" t="s">
        <v>43</v>
      </c>
      <c r="E99" s="39" t="s">
        <v>44</v>
      </c>
      <c r="F99" s="39" t="s">
        <v>45</v>
      </c>
    </row>
    <row r="100" spans="1:6" x14ac:dyDescent="0.25">
      <c r="A100" s="40" t="s">
        <v>51</v>
      </c>
      <c r="B100" s="41" t="str">
        <f ca="1">IFERROR(INDEX(UNSPSCDes,MATCH(INDIRECT(ADDRESS(ROW(),COLUMN()-1,4)),UNSPSCCode,0)),IF(INDIRECT(ADDRESS(ROW(),COLUMN()-1,4))="80141607","Gestión de eventos",""))</f>
        <v>Gestión de eventos</v>
      </c>
      <c r="C100" s="42" t="str">
        <f>IFERROR(VLOOKUP("UD",'[1]Informacion '!P:Q,2,FALSE),"")</f>
        <v>Unidad</v>
      </c>
      <c r="D100" s="40">
        <v>1</v>
      </c>
      <c r="E100" s="43">
        <v>100000</v>
      </c>
      <c r="F100" s="44">
        <f t="shared" ref="F100:F105" ca="1" si="0">INDIRECT(ADDRESS(ROW(),COLUMN()-2,4))*INDIRECT(ADDRESS(ROW(),COLUMN()-1,4))</f>
        <v>100000</v>
      </c>
    </row>
    <row r="101" spans="1:6" x14ac:dyDescent="0.25">
      <c r="A101" s="40" t="s">
        <v>53</v>
      </c>
      <c r="B101" s="41" t="str">
        <f ca="1">IFERROR(INDEX(UNSPSCDes,MATCH(INDIRECT(ADDRESS(ROW(),COLUMN()-1,4)),UNSPSCCode,0)),IF(INDIRECT(ADDRESS(ROW(),COLUMN()-1,4))="80141902","Reuniones y eventos",""))</f>
        <v>Reuniones y eventos</v>
      </c>
      <c r="C101" s="42" t="str">
        <f>IFERROR(VLOOKUP("UD",'[1]Informacion '!P:Q,2,FALSE),"")</f>
        <v>Unidad</v>
      </c>
      <c r="D101" s="40">
        <v>1</v>
      </c>
      <c r="E101" s="43">
        <v>100000</v>
      </c>
      <c r="F101" s="44">
        <f t="shared" ca="1" si="0"/>
        <v>100000</v>
      </c>
    </row>
    <row r="102" spans="1:6" x14ac:dyDescent="0.25">
      <c r="A102" s="40" t="s">
        <v>51</v>
      </c>
      <c r="B102" s="41" t="str">
        <f ca="1">IFERROR(INDEX(UNSPSCDes,MATCH(INDIRECT(ADDRESS(ROW(),COLUMN()-1,4)),UNSPSCCode,0)),IF(INDIRECT(ADDRESS(ROW(),COLUMN()-1,4))="80141607","Gestión de eventos",""))</f>
        <v>Gestión de eventos</v>
      </c>
      <c r="C102" s="42" t="str">
        <f>IFERROR(VLOOKUP("UD",'[1]Informacion '!P:Q,2,FALSE),"")</f>
        <v>Unidad</v>
      </c>
      <c r="D102" s="40">
        <v>1</v>
      </c>
      <c r="E102" s="43">
        <v>100000</v>
      </c>
      <c r="F102" s="44">
        <f t="shared" ca="1" si="0"/>
        <v>100000</v>
      </c>
    </row>
    <row r="103" spans="1:6" x14ac:dyDescent="0.25">
      <c r="A103" s="40" t="s">
        <v>53</v>
      </c>
      <c r="B103" s="41" t="str">
        <f ca="1">IFERROR(INDEX(UNSPSCDes,MATCH(INDIRECT(ADDRESS(ROW(),COLUMN()-1,4)),UNSPSCCode,0)),IF(INDIRECT(ADDRESS(ROW(),COLUMN()-1,4))="80141902","Reuniones y eventos",""))</f>
        <v>Reuniones y eventos</v>
      </c>
      <c r="C103" s="42" t="str">
        <f>IFERROR(VLOOKUP("UD",'[1]Informacion '!P:Q,2,FALSE),"")</f>
        <v>Unidad</v>
      </c>
      <c r="D103" s="40">
        <v>1</v>
      </c>
      <c r="E103" s="43">
        <v>100000</v>
      </c>
      <c r="F103" s="44">
        <f t="shared" ca="1" si="0"/>
        <v>100000</v>
      </c>
    </row>
    <row r="104" spans="1:6" x14ac:dyDescent="0.25">
      <c r="A104" s="40" t="s">
        <v>54</v>
      </c>
      <c r="B104" s="41" t="str">
        <f ca="1">IFERROR(INDEX(UNSPSCDes,MATCH(INDIRECT(ADDRESS(ROW(),COLUMN()-1,4)),UNSPSCCode,0)),IF(INDIRECT(ADDRESS(ROW(),COLUMN()-1,4))="93141701","Organizaciones de eventos culturales",""))</f>
        <v>Organizaciones de eventos culturales</v>
      </c>
      <c r="C104" s="42" t="str">
        <f>IFERROR(VLOOKUP("UD",'[1]Informacion '!P:Q,2,FALSE),"")</f>
        <v>Unidad</v>
      </c>
      <c r="D104" s="40">
        <v>1</v>
      </c>
      <c r="E104" s="43">
        <v>100000</v>
      </c>
      <c r="F104" s="44">
        <f t="shared" ca="1" si="0"/>
        <v>100000</v>
      </c>
    </row>
    <row r="105" spans="1:6" x14ac:dyDescent="0.25">
      <c r="A105" s="40" t="s">
        <v>55</v>
      </c>
      <c r="B105" s="41" t="str">
        <f ca="1">IFERROR(INDEX(UNSPSCDes,MATCH(INDIRECT(ADDRESS(ROW(),COLUMN()-1,4)),UNSPSCCode,0)),IF(INDIRECT(ADDRESS(ROW(),COLUMN()-1,4))="30222304","Sala de conferencias",""))</f>
        <v>Sala de conferencias</v>
      </c>
      <c r="C105" s="42" t="str">
        <f>IFERROR(VLOOKUP("UD",'[1]Informacion '!P:Q,2,FALSE),"")</f>
        <v>Unidad</v>
      </c>
      <c r="D105" s="40">
        <v>1</v>
      </c>
      <c r="E105" s="43">
        <v>200000</v>
      </c>
      <c r="F105" s="44">
        <f t="shared" ca="1" si="0"/>
        <v>200000</v>
      </c>
    </row>
    <row r="106" spans="1:6" x14ac:dyDescent="0.25">
      <c r="E106" s="45" t="s">
        <v>47</v>
      </c>
      <c r="F106" s="46">
        <f ca="1">SUM(Table11[MONTO TOTAL ESTIMADO])</f>
        <v>700000</v>
      </c>
    </row>
    <row r="107" spans="1:6" ht="17.25" thickBot="1" x14ac:dyDescent="0.3"/>
    <row r="108" spans="1:6" ht="23.25" thickBot="1" x14ac:dyDescent="0.3">
      <c r="A108" s="30" t="s">
        <v>18</v>
      </c>
      <c r="B108" s="30" t="s">
        <v>19</v>
      </c>
      <c r="C108" s="30" t="s">
        <v>20</v>
      </c>
      <c r="D108" s="30" t="s">
        <v>21</v>
      </c>
      <c r="E108" s="30" t="s">
        <v>22</v>
      </c>
      <c r="F108" s="30" t="s">
        <v>23</v>
      </c>
    </row>
    <row r="109" spans="1:6" ht="17.25" thickBot="1" x14ac:dyDescent="0.3">
      <c r="A109" s="31" t="s">
        <v>56</v>
      </c>
      <c r="B109" s="31" t="s">
        <v>57</v>
      </c>
      <c r="C109" s="31" t="s">
        <v>26</v>
      </c>
      <c r="D109" s="31" t="s">
        <v>52</v>
      </c>
      <c r="E109" s="31" t="s">
        <v>58</v>
      </c>
      <c r="F109" s="31"/>
    </row>
    <row r="110" spans="1:6" ht="17.25" thickBot="1" x14ac:dyDescent="0.3">
      <c r="A110" s="32" t="s">
        <v>29</v>
      </c>
      <c r="B110" s="33" t="s">
        <v>30</v>
      </c>
      <c r="C110" s="34">
        <v>45016</v>
      </c>
      <c r="D110" s="32" t="s">
        <v>31</v>
      </c>
      <c r="E110" s="35" t="s">
        <v>32</v>
      </c>
      <c r="F110" s="36" t="s">
        <v>33</v>
      </c>
    </row>
    <row r="111" spans="1:6" ht="17.25" thickBot="1" x14ac:dyDescent="0.3">
      <c r="A111" s="37"/>
      <c r="B111" s="33" t="s">
        <v>34</v>
      </c>
      <c r="C111" s="38">
        <f>IF(C110="","",IF(AND(MONTH(C110)&gt;=1,MONTH(C110)&lt;=3),1,IF(AND(MONTH(C110)&gt;=4,MONTH(C110)&lt;=6),2,IF(AND(MONTH(C110)&gt;=7,MONTH(C110)&lt;=9),3,4))))</f>
        <v>1</v>
      </c>
      <c r="D111" s="37"/>
      <c r="E111" s="35" t="s">
        <v>35</v>
      </c>
      <c r="F111" s="36" t="s">
        <v>36</v>
      </c>
    </row>
    <row r="112" spans="1:6" ht="17.25" thickBot="1" x14ac:dyDescent="0.3">
      <c r="A112" s="37"/>
      <c r="B112" s="33" t="s">
        <v>37</v>
      </c>
      <c r="C112" s="34">
        <v>45106</v>
      </c>
      <c r="D112" s="37"/>
      <c r="E112" s="35" t="s">
        <v>38</v>
      </c>
      <c r="F112" s="36" t="s">
        <v>36</v>
      </c>
    </row>
    <row r="113" spans="1:6" ht="17.25" thickBot="1" x14ac:dyDescent="0.3">
      <c r="A113" s="37"/>
      <c r="B113" s="33" t="s">
        <v>34</v>
      </c>
      <c r="C113" s="38">
        <f>IF(C112="","",IF(AND(MONTH(C112)&gt;=1,MONTH(C112)&lt;=3),1,IF(AND(MONTH(C112)&gt;=4,MONTH(C112)&lt;=6),2,IF(AND(MONTH(C112)&gt;=7,MONTH(C112)&lt;=9),3,4))))</f>
        <v>2</v>
      </c>
      <c r="D113" s="37"/>
      <c r="E113" s="35" t="s">
        <v>39</v>
      </c>
      <c r="F113" s="36"/>
    </row>
    <row r="114" spans="1:6" ht="17.25" thickBot="1" x14ac:dyDescent="0.3"/>
    <row r="115" spans="1:6" ht="17.25" thickBot="1" x14ac:dyDescent="0.3">
      <c r="A115" s="39" t="s">
        <v>40</v>
      </c>
      <c r="B115" s="39" t="s">
        <v>41</v>
      </c>
      <c r="C115" s="39" t="s">
        <v>42</v>
      </c>
      <c r="D115" s="39" t="s">
        <v>43</v>
      </c>
      <c r="E115" s="39" t="s">
        <v>44</v>
      </c>
      <c r="F115" s="39" t="s">
        <v>45</v>
      </c>
    </row>
    <row r="116" spans="1:6" x14ac:dyDescent="0.25">
      <c r="A116" s="40">
        <v>90151801</v>
      </c>
      <c r="B116" s="41" t="str">
        <f ca="1">IFERROR(INDEX(UNSPSCDes,MATCH(INDIRECT(ADDRESS(ROW(),COLUMN()-1,4)),UNSPSCCode,0)),IF(INDIRECT(ADDRESS(ROW(),COLUMN()-1,4))="90151801","Carnavales ambulantes",""))</f>
        <v>Carnavales ambulantes</v>
      </c>
      <c r="C116" s="42" t="str">
        <f>IFERROR(VLOOKUP("UD",'[1]Informacion '!P:Q,2,FALSE),"")</f>
        <v>Unidad</v>
      </c>
      <c r="D116" s="40">
        <v>1</v>
      </c>
      <c r="E116" s="43">
        <v>1</v>
      </c>
      <c r="F116" s="44">
        <f ca="1">INDIRECT(ADDRESS(ROW(),COLUMN()-2,4))*INDIRECT(ADDRESS(ROW(),COLUMN()-1,4))</f>
        <v>1</v>
      </c>
    </row>
    <row r="117" spans="1:6" x14ac:dyDescent="0.25">
      <c r="E117" s="45" t="s">
        <v>47</v>
      </c>
      <c r="F117" s="46">
        <f ca="1">SUM(Table12[MONTO TOTAL ESTIMADO])</f>
        <v>1</v>
      </c>
    </row>
    <row r="118" spans="1:6" ht="17.25" thickBot="1" x14ac:dyDescent="0.3"/>
    <row r="119" spans="1:6" ht="23.25" thickBot="1" x14ac:dyDescent="0.3">
      <c r="A119" s="30" t="s">
        <v>18</v>
      </c>
      <c r="B119" s="30" t="s">
        <v>19</v>
      </c>
      <c r="C119" s="30" t="s">
        <v>20</v>
      </c>
      <c r="D119" s="30" t="s">
        <v>21</v>
      </c>
      <c r="E119" s="30" t="s">
        <v>22</v>
      </c>
      <c r="F119" s="30" t="s">
        <v>23</v>
      </c>
    </row>
    <row r="120" spans="1:6" ht="17.25" thickBot="1" x14ac:dyDescent="0.3">
      <c r="A120" s="31" t="s">
        <v>56</v>
      </c>
      <c r="B120" s="31" t="s">
        <v>57</v>
      </c>
      <c r="C120" s="31" t="s">
        <v>26</v>
      </c>
      <c r="D120" s="31" t="s">
        <v>52</v>
      </c>
      <c r="E120" s="31" t="s">
        <v>58</v>
      </c>
      <c r="F120" s="31"/>
    </row>
    <row r="121" spans="1:6" ht="17.25" thickBot="1" x14ac:dyDescent="0.3">
      <c r="A121" s="32" t="s">
        <v>29</v>
      </c>
      <c r="B121" s="33" t="s">
        <v>30</v>
      </c>
      <c r="C121" s="34">
        <v>45199</v>
      </c>
      <c r="D121" s="32" t="s">
        <v>31</v>
      </c>
      <c r="E121" s="35" t="s">
        <v>32</v>
      </c>
      <c r="F121" s="36" t="s">
        <v>33</v>
      </c>
    </row>
    <row r="122" spans="1:6" ht="17.25" thickBot="1" x14ac:dyDescent="0.3">
      <c r="A122" s="37"/>
      <c r="B122" s="33" t="s">
        <v>34</v>
      </c>
      <c r="C122" s="38">
        <f>IF(C121="","",IF(AND(MONTH(C121)&gt;=1,MONTH(C121)&lt;=3),1,IF(AND(MONTH(C121)&gt;=4,MONTH(C121)&lt;=6),2,IF(AND(MONTH(C121)&gt;=7,MONTH(C121)&lt;=9),3,4))))</f>
        <v>3</v>
      </c>
      <c r="D122" s="37"/>
      <c r="E122" s="35" t="s">
        <v>35</v>
      </c>
      <c r="F122" s="36" t="s">
        <v>36</v>
      </c>
    </row>
    <row r="123" spans="1:6" ht="17.25" thickBot="1" x14ac:dyDescent="0.3">
      <c r="A123" s="37"/>
      <c r="B123" s="33" t="s">
        <v>37</v>
      </c>
      <c r="C123" s="34">
        <v>45290</v>
      </c>
      <c r="D123" s="37"/>
      <c r="E123" s="35" t="s">
        <v>38</v>
      </c>
      <c r="F123" s="36" t="s">
        <v>36</v>
      </c>
    </row>
    <row r="124" spans="1:6" ht="17.25" thickBot="1" x14ac:dyDescent="0.3">
      <c r="A124" s="37"/>
      <c r="B124" s="33" t="s">
        <v>34</v>
      </c>
      <c r="C124" s="38">
        <f>IF(C123="","",IF(AND(MONTH(C123)&gt;=1,MONTH(C123)&lt;=3),1,IF(AND(MONTH(C123)&gt;=4,MONTH(C123)&lt;=6),2,IF(AND(MONTH(C123)&gt;=7,MONTH(C123)&lt;=9),3,4))))</f>
        <v>4</v>
      </c>
      <c r="D124" s="37"/>
      <c r="E124" s="35" t="s">
        <v>39</v>
      </c>
      <c r="F124" s="36"/>
    </row>
    <row r="125" spans="1:6" ht="17.25" thickBot="1" x14ac:dyDescent="0.3"/>
    <row r="126" spans="1:6" ht="17.25" thickBot="1" x14ac:dyDescent="0.3">
      <c r="A126" s="39" t="s">
        <v>40</v>
      </c>
      <c r="B126" s="39" t="s">
        <v>41</v>
      </c>
      <c r="C126" s="39" t="s">
        <v>42</v>
      </c>
      <c r="D126" s="39" t="s">
        <v>43</v>
      </c>
      <c r="E126" s="39" t="s">
        <v>44</v>
      </c>
      <c r="F126" s="39" t="s">
        <v>45</v>
      </c>
    </row>
    <row r="127" spans="1:6" x14ac:dyDescent="0.25">
      <c r="A127" s="40" t="s">
        <v>59</v>
      </c>
      <c r="B127" s="41" t="str">
        <f ca="1">IFERROR(INDEX(UNSPSCDes,MATCH(INDIRECT(ADDRESS(ROW(),COLUMN()-1,4)),UNSPSCCode,0)),IF(INDIRECT(ADDRESS(ROW(),COLUMN()-1,4))="90151801","Carnavales ambulantes",""))</f>
        <v>Carnavales ambulantes</v>
      </c>
      <c r="C127" s="42" t="str">
        <f>IFERROR(VLOOKUP("UD",'[1]Informacion '!P:Q,2,FALSE),"")</f>
        <v>Unidad</v>
      </c>
      <c r="D127" s="40">
        <v>1</v>
      </c>
      <c r="E127" s="43">
        <v>1</v>
      </c>
      <c r="F127" s="44">
        <f ca="1">INDIRECT(ADDRESS(ROW(),COLUMN()-2,4))*INDIRECT(ADDRESS(ROW(),COLUMN()-1,4))</f>
        <v>1</v>
      </c>
    </row>
    <row r="128" spans="1:6" x14ac:dyDescent="0.25">
      <c r="E128" s="45" t="s">
        <v>47</v>
      </c>
      <c r="F128" s="46">
        <f ca="1">SUM(Table13[MONTO TOTAL ESTIMADO])</f>
        <v>1</v>
      </c>
    </row>
    <row r="129" spans="1:6" ht="17.25" thickBot="1" x14ac:dyDescent="0.3"/>
    <row r="130" spans="1:6" ht="23.25" thickBot="1" x14ac:dyDescent="0.3">
      <c r="A130" s="30" t="s">
        <v>18</v>
      </c>
      <c r="B130" s="30" t="s">
        <v>19</v>
      </c>
      <c r="C130" s="30" t="s">
        <v>20</v>
      </c>
      <c r="D130" s="30" t="s">
        <v>21</v>
      </c>
      <c r="E130" s="30" t="s">
        <v>22</v>
      </c>
      <c r="F130" s="30" t="s">
        <v>23</v>
      </c>
    </row>
    <row r="131" spans="1:6" ht="17.25" thickBot="1" x14ac:dyDescent="0.3">
      <c r="A131" s="31" t="s">
        <v>60</v>
      </c>
      <c r="B131" s="31" t="s">
        <v>61</v>
      </c>
      <c r="C131" s="31" t="s">
        <v>26</v>
      </c>
      <c r="D131" s="31" t="s">
        <v>27</v>
      </c>
      <c r="E131" s="31" t="s">
        <v>58</v>
      </c>
      <c r="F131" s="31"/>
    </row>
    <row r="132" spans="1:6" ht="17.25" thickBot="1" x14ac:dyDescent="0.3">
      <c r="A132" s="32" t="s">
        <v>29</v>
      </c>
      <c r="B132" s="33" t="s">
        <v>30</v>
      </c>
      <c r="C132" s="34">
        <v>45107</v>
      </c>
      <c r="D132" s="32" t="s">
        <v>31</v>
      </c>
      <c r="E132" s="35" t="s">
        <v>32</v>
      </c>
      <c r="F132" s="36" t="s">
        <v>33</v>
      </c>
    </row>
    <row r="133" spans="1:6" ht="17.25" thickBot="1" x14ac:dyDescent="0.3">
      <c r="A133" s="37"/>
      <c r="B133" s="33" t="s">
        <v>34</v>
      </c>
      <c r="C133" s="38">
        <f>IF(C132="","",IF(AND(MONTH(C132)&gt;=1,MONTH(C132)&lt;=3),1,IF(AND(MONTH(C132)&gt;=4,MONTH(C132)&lt;=6),2,IF(AND(MONTH(C132)&gt;=7,MONTH(C132)&lt;=9),3,4))))</f>
        <v>2</v>
      </c>
      <c r="D133" s="37"/>
      <c r="E133" s="35" t="s">
        <v>35</v>
      </c>
      <c r="F133" s="36" t="s">
        <v>36</v>
      </c>
    </row>
    <row r="134" spans="1:6" ht="17.25" thickBot="1" x14ac:dyDescent="0.3">
      <c r="A134" s="37"/>
      <c r="B134" s="33" t="s">
        <v>37</v>
      </c>
      <c r="C134" s="34">
        <v>45198</v>
      </c>
      <c r="D134" s="37"/>
      <c r="E134" s="35" t="s">
        <v>38</v>
      </c>
      <c r="F134" s="36" t="s">
        <v>36</v>
      </c>
    </row>
    <row r="135" spans="1:6" ht="17.25" thickBot="1" x14ac:dyDescent="0.3">
      <c r="A135" s="37"/>
      <c r="B135" s="33" t="s">
        <v>34</v>
      </c>
      <c r="C135" s="38">
        <f>IF(C134="","",IF(AND(MONTH(C134)&gt;=1,MONTH(C134)&lt;=3),1,IF(AND(MONTH(C134)&gt;=4,MONTH(C134)&lt;=6),2,IF(AND(MONTH(C134)&gt;=7,MONTH(C134)&lt;=9),3,4))))</f>
        <v>3</v>
      </c>
      <c r="D135" s="37"/>
      <c r="E135" s="35" t="s">
        <v>39</v>
      </c>
      <c r="F135" s="36"/>
    </row>
    <row r="136" spans="1:6" ht="17.25" thickBot="1" x14ac:dyDescent="0.3"/>
    <row r="137" spans="1:6" ht="17.25" thickBot="1" x14ac:dyDescent="0.3">
      <c r="A137" s="39" t="s">
        <v>40</v>
      </c>
      <c r="B137" s="39" t="s">
        <v>41</v>
      </c>
      <c r="C137" s="39" t="s">
        <v>42</v>
      </c>
      <c r="D137" s="39" t="s">
        <v>43</v>
      </c>
      <c r="E137" s="39" t="s">
        <v>44</v>
      </c>
      <c r="F137" s="39" t="s">
        <v>45</v>
      </c>
    </row>
    <row r="138" spans="1:6" x14ac:dyDescent="0.25">
      <c r="A138" s="40" t="s">
        <v>62</v>
      </c>
      <c r="B138" s="41" t="str">
        <f ca="1">IFERROR(INDEX(UNSPSCDes,MATCH(INDIRECT(ADDRESS(ROW(),COLUMN()-1,4)),UNSPSCCode,0)),IF(INDIRECT(ADDRESS(ROW(),COLUMN()-1,4))="90141502","Eventos competitivos",""))</f>
        <v>Eventos competitivos</v>
      </c>
      <c r="C138" s="42" t="str">
        <f>IFERROR(VLOOKUP("UD",'[1]Informacion '!P:Q,2,FALSE),"")</f>
        <v>Unidad</v>
      </c>
      <c r="D138" s="40">
        <v>1</v>
      </c>
      <c r="E138" s="43">
        <v>1</v>
      </c>
      <c r="F138" s="44">
        <f ca="1">INDIRECT(ADDRESS(ROW(),COLUMN()-2,4))*INDIRECT(ADDRESS(ROW(),COLUMN()-1,4))</f>
        <v>1</v>
      </c>
    </row>
    <row r="139" spans="1:6" x14ac:dyDescent="0.25">
      <c r="E139" s="45" t="s">
        <v>47</v>
      </c>
      <c r="F139" s="46">
        <f ca="1">SUM(Table14[MONTO TOTAL ESTIMADO])</f>
        <v>1</v>
      </c>
    </row>
    <row r="140" spans="1:6" ht="17.25" thickBot="1" x14ac:dyDescent="0.3"/>
    <row r="141" spans="1:6" ht="23.25" thickBot="1" x14ac:dyDescent="0.3">
      <c r="A141" s="30" t="s">
        <v>18</v>
      </c>
      <c r="B141" s="30" t="s">
        <v>19</v>
      </c>
      <c r="C141" s="30" t="s">
        <v>20</v>
      </c>
      <c r="D141" s="30" t="s">
        <v>21</v>
      </c>
      <c r="E141" s="30" t="s">
        <v>22</v>
      </c>
      <c r="F141" s="30" t="s">
        <v>23</v>
      </c>
    </row>
    <row r="142" spans="1:6" ht="17.25" thickBot="1" x14ac:dyDescent="0.3">
      <c r="A142" s="31" t="s">
        <v>63</v>
      </c>
      <c r="B142" s="31" t="s">
        <v>64</v>
      </c>
      <c r="C142" s="31" t="s">
        <v>26</v>
      </c>
      <c r="D142" s="31" t="s">
        <v>50</v>
      </c>
      <c r="E142" s="31" t="s">
        <v>58</v>
      </c>
      <c r="F142" s="31" t="s">
        <v>17</v>
      </c>
    </row>
    <row r="143" spans="1:6" ht="17.25" thickBot="1" x14ac:dyDescent="0.3">
      <c r="A143" s="32" t="s">
        <v>29</v>
      </c>
      <c r="B143" s="33" t="s">
        <v>30</v>
      </c>
      <c r="C143" s="34">
        <v>44958</v>
      </c>
      <c r="D143" s="32" t="s">
        <v>31</v>
      </c>
      <c r="E143" s="35" t="s">
        <v>32</v>
      </c>
      <c r="F143" s="36" t="s">
        <v>33</v>
      </c>
    </row>
    <row r="144" spans="1:6" ht="17.25" thickBot="1" x14ac:dyDescent="0.3">
      <c r="A144" s="37"/>
      <c r="B144" s="33" t="s">
        <v>34</v>
      </c>
      <c r="C144" s="38">
        <f>IF(C143="","",IF(AND(MONTH(C143)&gt;=1,MONTH(C143)&lt;=3),1,IF(AND(MONTH(C143)&gt;=4,MONTH(C143)&lt;=6),2,IF(AND(MONTH(C143)&gt;=7,MONTH(C143)&lt;=9),3,4))))</f>
        <v>1</v>
      </c>
      <c r="D144" s="37"/>
      <c r="E144" s="35" t="s">
        <v>35</v>
      </c>
      <c r="F144" s="36" t="s">
        <v>36</v>
      </c>
    </row>
    <row r="145" spans="1:6" ht="17.25" thickBot="1" x14ac:dyDescent="0.3">
      <c r="A145" s="37"/>
      <c r="B145" s="33" t="s">
        <v>37</v>
      </c>
      <c r="C145" s="34">
        <v>45016</v>
      </c>
      <c r="D145" s="37"/>
      <c r="E145" s="35" t="s">
        <v>38</v>
      </c>
      <c r="F145" s="36" t="s">
        <v>36</v>
      </c>
    </row>
    <row r="146" spans="1:6" ht="17.25" thickBot="1" x14ac:dyDescent="0.3">
      <c r="A146" s="37"/>
      <c r="B146" s="33" t="s">
        <v>34</v>
      </c>
      <c r="C146" s="38">
        <f>IF(C145="","",IF(AND(MONTH(C145)&gt;=1,MONTH(C145)&lt;=3),1,IF(AND(MONTH(C145)&gt;=4,MONTH(C145)&lt;=6),2,IF(AND(MONTH(C145)&gt;=7,MONTH(C145)&lt;=9),3,4))))</f>
        <v>1</v>
      </c>
      <c r="D146" s="37"/>
      <c r="E146" s="35" t="s">
        <v>39</v>
      </c>
      <c r="F146" s="36"/>
    </row>
    <row r="147" spans="1:6" ht="17.25" thickBot="1" x14ac:dyDescent="0.3"/>
    <row r="148" spans="1:6" ht="17.25" thickBot="1" x14ac:dyDescent="0.3">
      <c r="A148" s="39" t="s">
        <v>40</v>
      </c>
      <c r="B148" s="39" t="s">
        <v>41</v>
      </c>
      <c r="C148" s="39" t="s">
        <v>42</v>
      </c>
      <c r="D148" s="39" t="s">
        <v>43</v>
      </c>
      <c r="E148" s="39" t="s">
        <v>44</v>
      </c>
      <c r="F148" s="39" t="s">
        <v>45</v>
      </c>
    </row>
    <row r="149" spans="1:6" x14ac:dyDescent="0.25">
      <c r="A149" s="40" t="s">
        <v>65</v>
      </c>
      <c r="B149" s="41" t="str">
        <f ca="1">IFERROR(INDEX(UNSPSCDes,MATCH(INDIRECT(ADDRESS(ROW(),COLUMN()-1,4)),UNSPSCCode,0)),IF(INDIRECT(ADDRESS(ROW(),COLUMN()-1,4))="80121704","Servicios legales sobre contratos",""))</f>
        <v>Servicios legales sobre contratos</v>
      </c>
      <c r="C149" s="42" t="s">
        <v>66</v>
      </c>
      <c r="D149" s="40">
        <v>1</v>
      </c>
      <c r="E149" s="43">
        <v>1</v>
      </c>
      <c r="F149" s="44">
        <f ca="1">INDIRECT(ADDRESS(ROW(),COLUMN()-2,4))*INDIRECT(ADDRESS(ROW(),COLUMN()-1,4))</f>
        <v>1</v>
      </c>
    </row>
    <row r="150" spans="1:6" x14ac:dyDescent="0.25">
      <c r="A150" s="40">
        <v>94131603</v>
      </c>
      <c r="B150" s="41" t="str">
        <f ca="1">IFERROR(INDEX(UNSPSCDes,MATCH(INDIRECT(ADDRESS(ROW(),COLUMN()-1,4)),UNSPSCCode,0)),IF(INDIRECT(ADDRESS(ROW(),COLUMN()-1,4))="80121704","Servicios legales sobre contratos",""))</f>
        <v>Servicios de asistencia legal</v>
      </c>
      <c r="C150" s="42" t="s">
        <v>66</v>
      </c>
      <c r="D150" s="40">
        <v>1</v>
      </c>
      <c r="E150" s="43">
        <v>1</v>
      </c>
      <c r="F150" s="44">
        <f ca="1">INDIRECT(ADDRESS(ROW(),COLUMN()-2,4))*INDIRECT(ADDRESS(ROW(),COLUMN()-1,4))</f>
        <v>1</v>
      </c>
    </row>
    <row r="151" spans="1:6" x14ac:dyDescent="0.25">
      <c r="E151" s="45" t="s">
        <v>47</v>
      </c>
      <c r="F151" s="46">
        <f ca="1">SUM(Table15[MONTO TOTAL ESTIMADO])</f>
        <v>2</v>
      </c>
    </row>
    <row r="152" spans="1:6" ht="17.25" thickBot="1" x14ac:dyDescent="0.3"/>
    <row r="153" spans="1:6" ht="23.25" thickBot="1" x14ac:dyDescent="0.3">
      <c r="A153" s="30" t="s">
        <v>18</v>
      </c>
      <c r="B153" s="30" t="s">
        <v>19</v>
      </c>
      <c r="C153" s="30" t="s">
        <v>20</v>
      </c>
      <c r="D153" s="30" t="s">
        <v>21</v>
      </c>
      <c r="E153" s="30" t="s">
        <v>22</v>
      </c>
      <c r="F153" s="30" t="s">
        <v>23</v>
      </c>
    </row>
    <row r="154" spans="1:6" ht="17.25" thickBot="1" x14ac:dyDescent="0.3">
      <c r="A154" s="31" t="s">
        <v>63</v>
      </c>
      <c r="B154" s="31" t="s">
        <v>64</v>
      </c>
      <c r="C154" s="31" t="s">
        <v>26</v>
      </c>
      <c r="D154" s="31" t="s">
        <v>50</v>
      </c>
      <c r="E154" s="31" t="s">
        <v>58</v>
      </c>
      <c r="F154" s="31"/>
    </row>
    <row r="155" spans="1:6" ht="17.25" thickBot="1" x14ac:dyDescent="0.3">
      <c r="A155" s="32" t="s">
        <v>29</v>
      </c>
      <c r="B155" s="33" t="s">
        <v>30</v>
      </c>
      <c r="C155" s="34">
        <v>45016</v>
      </c>
      <c r="D155" s="32" t="s">
        <v>31</v>
      </c>
      <c r="E155" s="35" t="s">
        <v>32</v>
      </c>
      <c r="F155" s="36" t="s">
        <v>33</v>
      </c>
    </row>
    <row r="156" spans="1:6" ht="17.25" thickBot="1" x14ac:dyDescent="0.3">
      <c r="A156" s="37"/>
      <c r="B156" s="33" t="s">
        <v>34</v>
      </c>
      <c r="C156" s="38">
        <f>IF(C155="","",IF(AND(MONTH(C155)&gt;=1,MONTH(C155)&lt;=3),1,IF(AND(MONTH(C155)&gt;=4,MONTH(C155)&lt;=6),2,IF(AND(MONTH(C155)&gt;=7,MONTH(C155)&lt;=9),3,4))))</f>
        <v>1</v>
      </c>
      <c r="D156" s="37"/>
      <c r="E156" s="35" t="s">
        <v>35</v>
      </c>
      <c r="F156" s="36" t="s">
        <v>36</v>
      </c>
    </row>
    <row r="157" spans="1:6" ht="17.25" thickBot="1" x14ac:dyDescent="0.3">
      <c r="A157" s="37"/>
      <c r="B157" s="33" t="s">
        <v>37</v>
      </c>
      <c r="C157" s="34">
        <v>45106</v>
      </c>
      <c r="D157" s="37"/>
      <c r="E157" s="35" t="s">
        <v>38</v>
      </c>
      <c r="F157" s="36" t="s">
        <v>36</v>
      </c>
    </row>
    <row r="158" spans="1:6" ht="17.25" thickBot="1" x14ac:dyDescent="0.3">
      <c r="A158" s="37"/>
      <c r="B158" s="33" t="s">
        <v>34</v>
      </c>
      <c r="C158" s="38">
        <f>IF(C157="","",IF(AND(MONTH(C157)&gt;=1,MONTH(C157)&lt;=3),1,IF(AND(MONTH(C157)&gt;=4,MONTH(C157)&lt;=6),2,IF(AND(MONTH(C157)&gt;=7,MONTH(C157)&lt;=9),3,4))))</f>
        <v>2</v>
      </c>
      <c r="D158" s="37"/>
      <c r="E158" s="35" t="s">
        <v>39</v>
      </c>
      <c r="F158" s="36"/>
    </row>
    <row r="159" spans="1:6" ht="17.25" thickBot="1" x14ac:dyDescent="0.3"/>
    <row r="160" spans="1:6" ht="17.25" thickBot="1" x14ac:dyDescent="0.3">
      <c r="A160" s="39" t="s">
        <v>40</v>
      </c>
      <c r="B160" s="39" t="s">
        <v>41</v>
      </c>
      <c r="C160" s="39" t="s">
        <v>42</v>
      </c>
      <c r="D160" s="39" t="s">
        <v>43</v>
      </c>
      <c r="E160" s="39" t="s">
        <v>44</v>
      </c>
      <c r="F160" s="39" t="s">
        <v>45</v>
      </c>
    </row>
    <row r="161" spans="1:6" x14ac:dyDescent="0.25">
      <c r="A161" s="40" t="s">
        <v>65</v>
      </c>
      <c r="B161" s="41" t="str">
        <f ca="1">IFERROR(INDEX(UNSPSCDes,MATCH(INDIRECT(ADDRESS(ROW(),COLUMN()-1,4)),UNSPSCCode,0)),IF(INDIRECT(ADDRESS(ROW(),COLUMN()-1,4))="80121704","Servicios legales sobre contratos",""))</f>
        <v>Servicios legales sobre contratos</v>
      </c>
      <c r="C161" s="42" t="str">
        <f>IFERROR(VLOOKUP("UD",'[1]Informacion '!P:Q,2,FALSE),"")</f>
        <v>Unidad</v>
      </c>
      <c r="D161" s="40">
        <v>3</v>
      </c>
      <c r="E161" s="43">
        <v>1</v>
      </c>
      <c r="F161" s="44">
        <f ca="1">INDIRECT(ADDRESS(ROW(),COLUMN()-2,4))*INDIRECT(ADDRESS(ROW(),COLUMN()-1,4))</f>
        <v>3</v>
      </c>
    </row>
    <row r="162" spans="1:6" x14ac:dyDescent="0.25">
      <c r="E162" s="45" t="s">
        <v>47</v>
      </c>
      <c r="F162" s="46">
        <f ca="1">SUM(Table16[MONTO TOTAL ESTIMADO])</f>
        <v>3</v>
      </c>
    </row>
    <row r="163" spans="1:6" ht="17.25" thickBot="1" x14ac:dyDescent="0.3"/>
    <row r="164" spans="1:6" ht="23.25" thickBot="1" x14ac:dyDescent="0.3">
      <c r="A164" s="30" t="s">
        <v>18</v>
      </c>
      <c r="B164" s="30" t="s">
        <v>19</v>
      </c>
      <c r="C164" s="30" t="s">
        <v>20</v>
      </c>
      <c r="D164" s="30" t="s">
        <v>21</v>
      </c>
      <c r="E164" s="30" t="s">
        <v>22</v>
      </c>
      <c r="F164" s="30" t="s">
        <v>23</v>
      </c>
    </row>
    <row r="165" spans="1:6" ht="17.25" thickBot="1" x14ac:dyDescent="0.3">
      <c r="A165" s="31" t="s">
        <v>63</v>
      </c>
      <c r="B165" s="31" t="s">
        <v>64</v>
      </c>
      <c r="C165" s="31" t="s">
        <v>26</v>
      </c>
      <c r="D165" s="31" t="s">
        <v>50</v>
      </c>
      <c r="E165" s="31" t="s">
        <v>58</v>
      </c>
      <c r="F165" s="31"/>
    </row>
    <row r="166" spans="1:6" ht="17.25" thickBot="1" x14ac:dyDescent="0.3">
      <c r="A166" s="32" t="s">
        <v>29</v>
      </c>
      <c r="B166" s="33" t="s">
        <v>30</v>
      </c>
      <c r="C166" s="34">
        <v>45107</v>
      </c>
      <c r="D166" s="32" t="s">
        <v>31</v>
      </c>
      <c r="E166" s="35" t="s">
        <v>32</v>
      </c>
      <c r="F166" s="36" t="s">
        <v>33</v>
      </c>
    </row>
    <row r="167" spans="1:6" ht="17.25" thickBot="1" x14ac:dyDescent="0.3">
      <c r="A167" s="37"/>
      <c r="B167" s="33" t="s">
        <v>34</v>
      </c>
      <c r="C167" s="38">
        <f>IF(C166="","",IF(AND(MONTH(C166)&gt;=1,MONTH(C166)&lt;=3),1,IF(AND(MONTH(C166)&gt;=4,MONTH(C166)&lt;=6),2,IF(AND(MONTH(C166)&gt;=7,MONTH(C166)&lt;=9),3,4))))</f>
        <v>2</v>
      </c>
      <c r="D167" s="37"/>
      <c r="E167" s="35" t="s">
        <v>35</v>
      </c>
      <c r="F167" s="36" t="s">
        <v>36</v>
      </c>
    </row>
    <row r="168" spans="1:6" ht="17.25" thickBot="1" x14ac:dyDescent="0.3">
      <c r="A168" s="37"/>
      <c r="B168" s="33" t="s">
        <v>37</v>
      </c>
      <c r="C168" s="34">
        <v>45198</v>
      </c>
      <c r="D168" s="37"/>
      <c r="E168" s="35" t="s">
        <v>38</v>
      </c>
      <c r="F168" s="36" t="s">
        <v>36</v>
      </c>
    </row>
    <row r="169" spans="1:6" ht="17.25" thickBot="1" x14ac:dyDescent="0.3">
      <c r="A169" s="37"/>
      <c r="B169" s="33" t="s">
        <v>34</v>
      </c>
      <c r="C169" s="38">
        <f>IF(C168="","",IF(AND(MONTH(C168)&gt;=1,MONTH(C168)&lt;=3),1,IF(AND(MONTH(C168)&gt;=4,MONTH(C168)&lt;=6),2,IF(AND(MONTH(C168)&gt;=7,MONTH(C168)&lt;=9),3,4))))</f>
        <v>3</v>
      </c>
      <c r="D169" s="37"/>
      <c r="E169" s="35" t="s">
        <v>39</v>
      </c>
      <c r="F169" s="36"/>
    </row>
    <row r="170" spans="1:6" ht="17.25" thickBot="1" x14ac:dyDescent="0.3"/>
    <row r="171" spans="1:6" ht="17.25" thickBot="1" x14ac:dyDescent="0.3">
      <c r="A171" s="39" t="s">
        <v>40</v>
      </c>
      <c r="B171" s="39" t="s">
        <v>41</v>
      </c>
      <c r="C171" s="39" t="s">
        <v>42</v>
      </c>
      <c r="D171" s="39" t="s">
        <v>43</v>
      </c>
      <c r="E171" s="39" t="s">
        <v>44</v>
      </c>
      <c r="F171" s="39" t="s">
        <v>45</v>
      </c>
    </row>
    <row r="172" spans="1:6" x14ac:dyDescent="0.25">
      <c r="A172" s="40" t="s">
        <v>65</v>
      </c>
      <c r="B172" s="41" t="str">
        <f ca="1">IFERROR(INDEX(UNSPSCDes,MATCH(INDIRECT(ADDRESS(ROW(),COLUMN()-1,4)),UNSPSCCode,0)),IF(INDIRECT(ADDRESS(ROW(),COLUMN()-1,4))="80121704","Servicios legales sobre contratos",""))</f>
        <v>Servicios legales sobre contratos</v>
      </c>
      <c r="C172" s="42" t="str">
        <f>IFERROR(VLOOKUP("UD",'[1]Informacion '!P:Q,2,FALSE),"")</f>
        <v>Unidad</v>
      </c>
      <c r="D172" s="40">
        <v>3</v>
      </c>
      <c r="E172" s="43">
        <v>1</v>
      </c>
      <c r="F172" s="44">
        <f ca="1">INDIRECT(ADDRESS(ROW(),COLUMN()-2,4))*INDIRECT(ADDRESS(ROW(),COLUMN()-1,4))</f>
        <v>3</v>
      </c>
    </row>
    <row r="173" spans="1:6" x14ac:dyDescent="0.25">
      <c r="E173" s="45" t="s">
        <v>47</v>
      </c>
      <c r="F173" s="46">
        <f ca="1">SUM(Table17[MONTO TOTAL ESTIMADO])</f>
        <v>3</v>
      </c>
    </row>
    <row r="174" spans="1:6" ht="17.25" thickBot="1" x14ac:dyDescent="0.3"/>
    <row r="175" spans="1:6" ht="23.25" thickBot="1" x14ac:dyDescent="0.3">
      <c r="A175" s="30" t="s">
        <v>18</v>
      </c>
      <c r="B175" s="30" t="s">
        <v>19</v>
      </c>
      <c r="C175" s="30" t="s">
        <v>20</v>
      </c>
      <c r="D175" s="30" t="s">
        <v>21</v>
      </c>
      <c r="E175" s="30" t="s">
        <v>22</v>
      </c>
      <c r="F175" s="30" t="s">
        <v>23</v>
      </c>
    </row>
    <row r="176" spans="1:6" ht="17.25" thickBot="1" x14ac:dyDescent="0.3">
      <c r="A176" s="31" t="s">
        <v>63</v>
      </c>
      <c r="B176" s="31" t="s">
        <v>64</v>
      </c>
      <c r="C176" s="31" t="s">
        <v>26</v>
      </c>
      <c r="D176" s="31" t="s">
        <v>50</v>
      </c>
      <c r="E176" s="31" t="s">
        <v>58</v>
      </c>
      <c r="F176" s="31"/>
    </row>
    <row r="177" spans="1:6" ht="17.25" thickBot="1" x14ac:dyDescent="0.3">
      <c r="A177" s="32" t="s">
        <v>29</v>
      </c>
      <c r="B177" s="33" t="s">
        <v>30</v>
      </c>
      <c r="C177" s="34">
        <v>45199</v>
      </c>
      <c r="D177" s="32" t="s">
        <v>31</v>
      </c>
      <c r="E177" s="35" t="s">
        <v>32</v>
      </c>
      <c r="F177" s="36" t="s">
        <v>33</v>
      </c>
    </row>
    <row r="178" spans="1:6" ht="17.25" thickBot="1" x14ac:dyDescent="0.3">
      <c r="A178" s="37"/>
      <c r="B178" s="33" t="s">
        <v>34</v>
      </c>
      <c r="C178" s="38">
        <f>IF(C177="","",IF(AND(MONTH(C177)&gt;=1,MONTH(C177)&lt;=3),1,IF(AND(MONTH(C177)&gt;=4,MONTH(C177)&lt;=6),2,IF(AND(MONTH(C177)&gt;=7,MONTH(C177)&lt;=9),3,4))))</f>
        <v>3</v>
      </c>
      <c r="D178" s="37"/>
      <c r="E178" s="35" t="s">
        <v>35</v>
      </c>
      <c r="F178" s="36" t="s">
        <v>36</v>
      </c>
    </row>
    <row r="179" spans="1:6" ht="17.25" thickBot="1" x14ac:dyDescent="0.3">
      <c r="A179" s="37"/>
      <c r="B179" s="33" t="s">
        <v>37</v>
      </c>
      <c r="C179" s="34">
        <v>45290</v>
      </c>
      <c r="D179" s="37"/>
      <c r="E179" s="35" t="s">
        <v>38</v>
      </c>
      <c r="F179" s="36" t="s">
        <v>36</v>
      </c>
    </row>
    <row r="180" spans="1:6" ht="17.25" thickBot="1" x14ac:dyDescent="0.3">
      <c r="A180" s="37"/>
      <c r="B180" s="33" t="s">
        <v>34</v>
      </c>
      <c r="C180" s="38">
        <f>IF(C179="","",IF(AND(MONTH(C179)&gt;=1,MONTH(C179)&lt;=3),1,IF(AND(MONTH(C179)&gt;=4,MONTH(C179)&lt;=6),2,IF(AND(MONTH(C179)&gt;=7,MONTH(C179)&lt;=9),3,4))))</f>
        <v>4</v>
      </c>
      <c r="D180" s="37"/>
      <c r="E180" s="35" t="s">
        <v>39</v>
      </c>
      <c r="F180" s="36"/>
    </row>
    <row r="181" spans="1:6" ht="17.25" thickBot="1" x14ac:dyDescent="0.3"/>
    <row r="182" spans="1:6" ht="17.25" thickBot="1" x14ac:dyDescent="0.3">
      <c r="A182" s="39" t="s">
        <v>40</v>
      </c>
      <c r="B182" s="39" t="s">
        <v>41</v>
      </c>
      <c r="C182" s="39" t="s">
        <v>42</v>
      </c>
      <c r="D182" s="39" t="s">
        <v>43</v>
      </c>
      <c r="E182" s="39" t="s">
        <v>44</v>
      </c>
      <c r="F182" s="39" t="s">
        <v>45</v>
      </c>
    </row>
    <row r="183" spans="1:6" x14ac:dyDescent="0.25">
      <c r="A183" s="40" t="s">
        <v>65</v>
      </c>
      <c r="B183" s="41" t="str">
        <f ca="1">IFERROR(INDEX(UNSPSCDes,MATCH(INDIRECT(ADDRESS(ROW(),COLUMN()-1,4)),UNSPSCCode,0)),IF(INDIRECT(ADDRESS(ROW(),COLUMN()-1,4))="80121704","Servicios legales sobre contratos",""))</f>
        <v>Servicios legales sobre contratos</v>
      </c>
      <c r="C183" s="42" t="str">
        <f>IFERROR(VLOOKUP("UD",'[1]Informacion '!P:Q,2,FALSE),"")</f>
        <v>Unidad</v>
      </c>
      <c r="D183" s="40">
        <v>3</v>
      </c>
      <c r="E183" s="43">
        <v>1</v>
      </c>
      <c r="F183" s="44">
        <f ca="1">INDIRECT(ADDRESS(ROW(),COLUMN()-2,4))*INDIRECT(ADDRESS(ROW(),COLUMN()-1,4))</f>
        <v>3</v>
      </c>
    </row>
    <row r="184" spans="1:6" x14ac:dyDescent="0.25">
      <c r="E184" s="45" t="s">
        <v>47</v>
      </c>
      <c r="F184" s="46">
        <f ca="1">SUM(Table18[MONTO TOTAL ESTIMADO])</f>
        <v>3</v>
      </c>
    </row>
    <row r="185" spans="1:6" ht="17.25" thickBot="1" x14ac:dyDescent="0.3"/>
    <row r="186" spans="1:6" ht="23.25" thickBot="1" x14ac:dyDescent="0.3">
      <c r="A186" s="30" t="s">
        <v>18</v>
      </c>
      <c r="B186" s="30" t="s">
        <v>19</v>
      </c>
      <c r="C186" s="30" t="s">
        <v>20</v>
      </c>
      <c r="D186" s="30" t="s">
        <v>21</v>
      </c>
      <c r="E186" s="30" t="s">
        <v>22</v>
      </c>
      <c r="F186" s="30" t="s">
        <v>23</v>
      </c>
    </row>
    <row r="187" spans="1:6" ht="17.25" thickBot="1" x14ac:dyDescent="0.3">
      <c r="A187" s="31" t="s">
        <v>67</v>
      </c>
      <c r="B187" s="31" t="s">
        <v>68</v>
      </c>
      <c r="C187" s="31" t="s">
        <v>26</v>
      </c>
      <c r="D187" s="31" t="s">
        <v>52</v>
      </c>
      <c r="E187" s="31" t="s">
        <v>58</v>
      </c>
      <c r="F187" s="31"/>
    </row>
    <row r="188" spans="1:6" ht="17.25" thickBot="1" x14ac:dyDescent="0.3">
      <c r="A188" s="32" t="s">
        <v>29</v>
      </c>
      <c r="B188" s="33" t="s">
        <v>30</v>
      </c>
      <c r="C188" s="34">
        <v>45016</v>
      </c>
      <c r="D188" s="32" t="s">
        <v>31</v>
      </c>
      <c r="E188" s="35" t="s">
        <v>32</v>
      </c>
      <c r="F188" s="36" t="s">
        <v>33</v>
      </c>
    </row>
    <row r="189" spans="1:6" ht="17.25" thickBot="1" x14ac:dyDescent="0.3">
      <c r="A189" s="37"/>
      <c r="B189" s="33" t="s">
        <v>34</v>
      </c>
      <c r="C189" s="38">
        <f>IF(C188="","",IF(AND(MONTH(C188)&gt;=1,MONTH(C188)&lt;=3),1,IF(AND(MONTH(C188)&gt;=4,MONTH(C188)&lt;=6),2,IF(AND(MONTH(C188)&gt;=7,MONTH(C188)&lt;=9),3,4))))</f>
        <v>1</v>
      </c>
      <c r="D189" s="37"/>
      <c r="E189" s="35" t="s">
        <v>35</v>
      </c>
      <c r="F189" s="36" t="s">
        <v>36</v>
      </c>
    </row>
    <row r="190" spans="1:6" ht="17.25" thickBot="1" x14ac:dyDescent="0.3">
      <c r="A190" s="37"/>
      <c r="B190" s="33" t="s">
        <v>37</v>
      </c>
      <c r="C190" s="34">
        <v>45106</v>
      </c>
      <c r="D190" s="37"/>
      <c r="E190" s="35" t="s">
        <v>38</v>
      </c>
      <c r="F190" s="36" t="s">
        <v>36</v>
      </c>
    </row>
    <row r="191" spans="1:6" ht="17.25" thickBot="1" x14ac:dyDescent="0.3">
      <c r="A191" s="37"/>
      <c r="B191" s="33" t="s">
        <v>34</v>
      </c>
      <c r="C191" s="38">
        <f>IF(C190="","",IF(AND(MONTH(C190)&gt;=1,MONTH(C190)&lt;=3),1,IF(AND(MONTH(C190)&gt;=4,MONTH(C190)&lt;=6),2,IF(AND(MONTH(C190)&gt;=7,MONTH(C190)&lt;=9),3,4))))</f>
        <v>2</v>
      </c>
      <c r="D191" s="37"/>
      <c r="E191" s="35" t="s">
        <v>39</v>
      </c>
      <c r="F191" s="36"/>
    </row>
    <row r="192" spans="1:6" ht="17.25" thickBot="1" x14ac:dyDescent="0.3"/>
    <row r="193" spans="1:6" ht="17.25" thickBot="1" x14ac:dyDescent="0.3">
      <c r="A193" s="39" t="s">
        <v>40</v>
      </c>
      <c r="B193" s="39" t="s">
        <v>41</v>
      </c>
      <c r="C193" s="39" t="s">
        <v>42</v>
      </c>
      <c r="D193" s="39" t="s">
        <v>43</v>
      </c>
      <c r="E193" s="39" t="s">
        <v>44</v>
      </c>
      <c r="F193" s="39" t="s">
        <v>45</v>
      </c>
    </row>
    <row r="194" spans="1:6" x14ac:dyDescent="0.25">
      <c r="A194" s="40" t="s">
        <v>69</v>
      </c>
      <c r="B194" s="41" t="str">
        <f ca="1">IFERROR(INDEX(UNSPSCDes,MATCH(INDIRECT(ADDRESS(ROW(),COLUMN()-1,4)),UNSPSCCode,0)),IF(INDIRECT(ADDRESS(ROW(),COLUMN()-1,4))="84111601","Auditorias de cierre del ejercicio",""))</f>
        <v>Auditorias de cierre del ejercicio</v>
      </c>
      <c r="C194" s="42" t="str">
        <f>IFERROR(VLOOKUP("UD",'[1]Informacion '!P:Q,2,FALSE),"")</f>
        <v>Unidad</v>
      </c>
      <c r="D194" s="40">
        <v>1</v>
      </c>
      <c r="E194" s="43">
        <v>1</v>
      </c>
      <c r="F194" s="44">
        <f ca="1">INDIRECT(ADDRESS(ROW(),COLUMN()-2,4))*INDIRECT(ADDRESS(ROW(),COLUMN()-1,4))</f>
        <v>1</v>
      </c>
    </row>
    <row r="195" spans="1:6" x14ac:dyDescent="0.25">
      <c r="E195" s="45" t="s">
        <v>47</v>
      </c>
      <c r="F195" s="46">
        <f ca="1">SUM(Table19[MONTO TOTAL ESTIMADO])</f>
        <v>1</v>
      </c>
    </row>
    <row r="196" spans="1:6" ht="17.25" thickBot="1" x14ac:dyDescent="0.3"/>
    <row r="197" spans="1:6" ht="23.25" thickBot="1" x14ac:dyDescent="0.3">
      <c r="A197" s="30" t="s">
        <v>18</v>
      </c>
      <c r="B197" s="30" t="s">
        <v>19</v>
      </c>
      <c r="C197" s="30" t="s">
        <v>20</v>
      </c>
      <c r="D197" s="30" t="s">
        <v>21</v>
      </c>
      <c r="E197" s="30" t="s">
        <v>22</v>
      </c>
      <c r="F197" s="30" t="s">
        <v>23</v>
      </c>
    </row>
    <row r="198" spans="1:6" ht="17.25" thickBot="1" x14ac:dyDescent="0.3">
      <c r="A198" s="31" t="s">
        <v>67</v>
      </c>
      <c r="B198" s="31" t="s">
        <v>68</v>
      </c>
      <c r="C198" s="31" t="s">
        <v>26</v>
      </c>
      <c r="D198" s="31" t="s">
        <v>52</v>
      </c>
      <c r="E198" s="31" t="s">
        <v>58</v>
      </c>
      <c r="F198" s="31"/>
    </row>
    <row r="199" spans="1:6" ht="17.25" thickBot="1" x14ac:dyDescent="0.3">
      <c r="A199" s="32" t="s">
        <v>29</v>
      </c>
      <c r="B199" s="33" t="s">
        <v>30</v>
      </c>
      <c r="C199" s="34">
        <v>45199</v>
      </c>
      <c r="D199" s="32" t="s">
        <v>31</v>
      </c>
      <c r="E199" s="35" t="s">
        <v>32</v>
      </c>
      <c r="F199" s="36" t="s">
        <v>33</v>
      </c>
    </row>
    <row r="200" spans="1:6" ht="17.25" thickBot="1" x14ac:dyDescent="0.3">
      <c r="A200" s="37"/>
      <c r="B200" s="33" t="s">
        <v>34</v>
      </c>
      <c r="C200" s="38">
        <f>IF(C199="","",IF(AND(MONTH(C199)&gt;=1,MONTH(C199)&lt;=3),1,IF(AND(MONTH(C199)&gt;=4,MONTH(C199)&lt;=6),2,IF(AND(MONTH(C199)&gt;=7,MONTH(C199)&lt;=9),3,4))))</f>
        <v>3</v>
      </c>
      <c r="D200" s="37"/>
      <c r="E200" s="35" t="s">
        <v>35</v>
      </c>
      <c r="F200" s="36" t="s">
        <v>36</v>
      </c>
    </row>
    <row r="201" spans="1:6" ht="17.25" thickBot="1" x14ac:dyDescent="0.3">
      <c r="A201" s="37"/>
      <c r="B201" s="33" t="s">
        <v>37</v>
      </c>
      <c r="C201" s="34">
        <v>45290</v>
      </c>
      <c r="D201" s="37"/>
      <c r="E201" s="35" t="s">
        <v>38</v>
      </c>
      <c r="F201" s="36" t="s">
        <v>36</v>
      </c>
    </row>
    <row r="202" spans="1:6" ht="17.25" thickBot="1" x14ac:dyDescent="0.3">
      <c r="A202" s="37"/>
      <c r="B202" s="33" t="s">
        <v>34</v>
      </c>
      <c r="C202" s="38">
        <f>IF(C201="","",IF(AND(MONTH(C201)&gt;=1,MONTH(C201)&lt;=3),1,IF(AND(MONTH(C201)&gt;=4,MONTH(C201)&lt;=6),2,IF(AND(MONTH(C201)&gt;=7,MONTH(C201)&lt;=9),3,4))))</f>
        <v>4</v>
      </c>
      <c r="D202" s="37"/>
      <c r="E202" s="35" t="s">
        <v>39</v>
      </c>
      <c r="F202" s="36"/>
    </row>
    <row r="203" spans="1:6" ht="17.25" thickBot="1" x14ac:dyDescent="0.3"/>
    <row r="204" spans="1:6" ht="17.25" thickBot="1" x14ac:dyDescent="0.3">
      <c r="A204" s="39" t="s">
        <v>40</v>
      </c>
      <c r="B204" s="39" t="s">
        <v>41</v>
      </c>
      <c r="C204" s="39" t="s">
        <v>42</v>
      </c>
      <c r="D204" s="39" t="s">
        <v>43</v>
      </c>
      <c r="E204" s="39" t="s">
        <v>44</v>
      </c>
      <c r="F204" s="39" t="s">
        <v>45</v>
      </c>
    </row>
    <row r="205" spans="1:6" x14ac:dyDescent="0.25">
      <c r="A205" s="40" t="s">
        <v>69</v>
      </c>
      <c r="B205" s="41" t="str">
        <f ca="1">IFERROR(INDEX(UNSPSCDes,MATCH(INDIRECT(ADDRESS(ROW(),COLUMN()-1,4)),UNSPSCCode,0)),IF(INDIRECT(ADDRESS(ROW(),COLUMN()-1,4))="84111601","Auditorias de cierre del ejercicio",""))</f>
        <v>Auditorias de cierre del ejercicio</v>
      </c>
      <c r="C205" s="42" t="str">
        <f>IFERROR(VLOOKUP("UD",'[1]Informacion '!P:Q,2,FALSE),"")</f>
        <v>Unidad</v>
      </c>
      <c r="D205" s="40">
        <v>1</v>
      </c>
      <c r="E205" s="43">
        <v>1</v>
      </c>
      <c r="F205" s="44">
        <f ca="1">INDIRECT(ADDRESS(ROW(),COLUMN()-2,4))*INDIRECT(ADDRESS(ROW(),COLUMN()-1,4))</f>
        <v>1</v>
      </c>
    </row>
    <row r="206" spans="1:6" x14ac:dyDescent="0.25">
      <c r="E206" s="45" t="s">
        <v>47</v>
      </c>
      <c r="F206" s="46">
        <f ca="1">SUM(Table20[MONTO TOTAL ESTIMADO])</f>
        <v>1</v>
      </c>
    </row>
    <row r="207" spans="1:6" ht="17.25" thickBot="1" x14ac:dyDescent="0.3"/>
    <row r="208" spans="1:6" ht="23.25" thickBot="1" x14ac:dyDescent="0.3">
      <c r="A208" s="30" t="s">
        <v>18</v>
      </c>
      <c r="B208" s="30" t="s">
        <v>19</v>
      </c>
      <c r="C208" s="30" t="s">
        <v>20</v>
      </c>
      <c r="D208" s="30" t="s">
        <v>21</v>
      </c>
      <c r="E208" s="30" t="s">
        <v>22</v>
      </c>
      <c r="F208" s="30" t="s">
        <v>23</v>
      </c>
    </row>
    <row r="209" spans="1:6" ht="17.25" thickBot="1" x14ac:dyDescent="0.3">
      <c r="A209" s="31" t="s">
        <v>70</v>
      </c>
      <c r="B209" s="31" t="s">
        <v>71</v>
      </c>
      <c r="C209" s="31" t="s">
        <v>26</v>
      </c>
      <c r="D209" s="31" t="s">
        <v>50</v>
      </c>
      <c r="E209" s="31" t="s">
        <v>28</v>
      </c>
      <c r="F209" s="31" t="s">
        <v>17</v>
      </c>
    </row>
    <row r="210" spans="1:6" ht="17.25" thickBot="1" x14ac:dyDescent="0.3">
      <c r="A210" s="32" t="s">
        <v>29</v>
      </c>
      <c r="B210" s="33" t="s">
        <v>30</v>
      </c>
      <c r="C210" s="34">
        <v>45017</v>
      </c>
      <c r="D210" s="32" t="s">
        <v>31</v>
      </c>
      <c r="E210" s="35" t="s">
        <v>32</v>
      </c>
      <c r="F210" s="36" t="s">
        <v>33</v>
      </c>
    </row>
    <row r="211" spans="1:6" ht="17.25" thickBot="1" x14ac:dyDescent="0.3">
      <c r="A211" s="37"/>
      <c r="B211" s="33" t="s">
        <v>34</v>
      </c>
      <c r="C211" s="38">
        <f>IF(C210="","",IF(AND(MONTH(C210)&gt;=1,MONTH(C210)&lt;=3),1,IF(AND(MONTH(C210)&gt;=4,MONTH(C210)&lt;=6),2,IF(AND(MONTH(C210)&gt;=7,MONTH(C210)&lt;=9),3,4))))</f>
        <v>2</v>
      </c>
      <c r="D211" s="37"/>
      <c r="E211" s="35" t="s">
        <v>35</v>
      </c>
      <c r="F211" s="36" t="s">
        <v>36</v>
      </c>
    </row>
    <row r="212" spans="1:6" ht="17.25" thickBot="1" x14ac:dyDescent="0.3">
      <c r="A212" s="37"/>
      <c r="B212" s="33" t="s">
        <v>37</v>
      </c>
      <c r="C212" s="34">
        <v>45107</v>
      </c>
      <c r="D212" s="37"/>
      <c r="E212" s="35" t="s">
        <v>38</v>
      </c>
      <c r="F212" s="36" t="s">
        <v>36</v>
      </c>
    </row>
    <row r="213" spans="1:6" ht="17.25" thickBot="1" x14ac:dyDescent="0.3">
      <c r="A213" s="37"/>
      <c r="B213" s="33" t="s">
        <v>34</v>
      </c>
      <c r="C213" s="38">
        <f>IF(C212="","",IF(AND(MONTH(C212)&gt;=1,MONTH(C212)&lt;=3),1,IF(AND(MONTH(C212)&gt;=4,MONTH(C212)&lt;=6),2,IF(AND(MONTH(C212)&gt;=7,MONTH(C212)&lt;=9),3,4))))</f>
        <v>2</v>
      </c>
      <c r="D213" s="37"/>
      <c r="E213" s="35" t="s">
        <v>39</v>
      </c>
      <c r="F213" s="36"/>
    </row>
    <row r="214" spans="1:6" ht="17.25" thickBot="1" x14ac:dyDescent="0.3"/>
    <row r="215" spans="1:6" ht="17.25" thickBot="1" x14ac:dyDescent="0.3">
      <c r="A215" s="39" t="s">
        <v>40</v>
      </c>
      <c r="B215" s="39" t="s">
        <v>41</v>
      </c>
      <c r="C215" s="39" t="s">
        <v>42</v>
      </c>
      <c r="D215" s="39" t="s">
        <v>43</v>
      </c>
      <c r="E215" s="39" t="s">
        <v>44</v>
      </c>
      <c r="F215" s="39" t="s">
        <v>45</v>
      </c>
    </row>
    <row r="216" spans="1:6" x14ac:dyDescent="0.25">
      <c r="A216" s="40" t="s">
        <v>72</v>
      </c>
      <c r="B216" s="41" t="str">
        <f ca="1">IFERROR(INDEX(UNSPSCDes,MATCH(INDIRECT(ADDRESS(ROW(),COLUMN()-1,4)),UNSPSCCode,0)),IF(INDIRECT(ADDRESS(ROW(),COLUMN()-1,4))="86101705","Capacitación administrativa",""))</f>
        <v>Capacitación administrativa</v>
      </c>
      <c r="C216" s="42" t="str">
        <f>IFERROR(VLOOKUP("UD",'[1]Informacion '!P:Q,2,FALSE),"")</f>
        <v>Unidad</v>
      </c>
      <c r="D216" s="40">
        <v>1</v>
      </c>
      <c r="E216" s="43">
        <v>300000</v>
      </c>
      <c r="F216" s="44">
        <f ca="1">INDIRECT(ADDRESS(ROW(),COLUMN()-2,4))*INDIRECT(ADDRESS(ROW(),COLUMN()-1,4))</f>
        <v>300000</v>
      </c>
    </row>
    <row r="217" spans="1:6" x14ac:dyDescent="0.25">
      <c r="A217" s="40">
        <v>80111504</v>
      </c>
      <c r="B217" s="41" t="str">
        <f ca="1">IFERROR(INDEX(UNSPSCDes,MATCH(INDIRECT(ADDRESS(ROW(),COLUMN()-1,4)),UNSPSCCode,0)),IF(INDIRECT(ADDRESS(ROW(),COLUMN()-1,4))="86101705","Capacitación administrativa",""))</f>
        <v>Formación o desarrollo laboral</v>
      </c>
      <c r="C217" s="42" t="str">
        <f>IFERROR(VLOOKUP("UD",'[1]Informacion '!P:Q,2,FALSE),"")</f>
        <v>Unidad</v>
      </c>
      <c r="D217" s="40">
        <v>1</v>
      </c>
      <c r="E217" s="43">
        <v>300000</v>
      </c>
      <c r="F217" s="44">
        <f ca="1">INDIRECT(ADDRESS(ROW(),COLUMN()-2,4))*INDIRECT(ADDRESS(ROW(),COLUMN()-1,4))</f>
        <v>300000</v>
      </c>
    </row>
    <row r="218" spans="1:6" x14ac:dyDescent="0.25">
      <c r="E218" s="45" t="s">
        <v>47</v>
      </c>
      <c r="F218" s="46">
        <f ca="1">SUM(Table21[MONTO TOTAL ESTIMADO])</f>
        <v>600000</v>
      </c>
    </row>
    <row r="219" spans="1:6" ht="17.25" thickBot="1" x14ac:dyDescent="0.3"/>
    <row r="220" spans="1:6" ht="23.25" thickBot="1" x14ac:dyDescent="0.3">
      <c r="A220" s="30" t="s">
        <v>18</v>
      </c>
      <c r="B220" s="30" t="s">
        <v>19</v>
      </c>
      <c r="C220" s="30" t="s">
        <v>20</v>
      </c>
      <c r="D220" s="30" t="s">
        <v>21</v>
      </c>
      <c r="E220" s="30" t="s">
        <v>22</v>
      </c>
      <c r="F220" s="30" t="s">
        <v>23</v>
      </c>
    </row>
    <row r="221" spans="1:6" ht="17.25" thickBot="1" x14ac:dyDescent="0.3">
      <c r="A221" s="31" t="s">
        <v>70</v>
      </c>
      <c r="B221" s="31" t="s">
        <v>71</v>
      </c>
      <c r="C221" s="31" t="s">
        <v>26</v>
      </c>
      <c r="D221" s="31" t="s">
        <v>50</v>
      </c>
      <c r="E221" s="31" t="s">
        <v>58</v>
      </c>
      <c r="F221" s="31" t="s">
        <v>17</v>
      </c>
    </row>
    <row r="222" spans="1:6" ht="17.25" thickBot="1" x14ac:dyDescent="0.3">
      <c r="A222" s="32" t="s">
        <v>29</v>
      </c>
      <c r="B222" s="33" t="s">
        <v>30</v>
      </c>
      <c r="C222" s="34">
        <v>45200</v>
      </c>
      <c r="D222" s="32" t="s">
        <v>31</v>
      </c>
      <c r="E222" s="35" t="s">
        <v>32</v>
      </c>
      <c r="F222" s="36" t="s">
        <v>33</v>
      </c>
    </row>
    <row r="223" spans="1:6" ht="17.25" thickBot="1" x14ac:dyDescent="0.3">
      <c r="A223" s="37"/>
      <c r="B223" s="33" t="s">
        <v>34</v>
      </c>
      <c r="C223" s="38">
        <f>IF(C222="","",IF(AND(MONTH(C222)&gt;=1,MONTH(C222)&lt;=3),1,IF(AND(MONTH(C222)&gt;=4,MONTH(C222)&lt;=6),2,IF(AND(MONTH(C222)&gt;=7,MONTH(C222)&lt;=9),3,4))))</f>
        <v>4</v>
      </c>
      <c r="D223" s="37"/>
      <c r="E223" s="35" t="s">
        <v>35</v>
      </c>
      <c r="F223" s="36" t="s">
        <v>36</v>
      </c>
    </row>
    <row r="224" spans="1:6" ht="17.25" thickBot="1" x14ac:dyDescent="0.3">
      <c r="A224" s="37"/>
      <c r="B224" s="33" t="s">
        <v>37</v>
      </c>
      <c r="C224" s="34">
        <v>45291</v>
      </c>
      <c r="D224" s="37"/>
      <c r="E224" s="35" t="s">
        <v>38</v>
      </c>
      <c r="F224" s="36" t="s">
        <v>36</v>
      </c>
    </row>
    <row r="225" spans="1:6" ht="17.25" thickBot="1" x14ac:dyDescent="0.3">
      <c r="A225" s="37"/>
      <c r="B225" s="33" t="s">
        <v>34</v>
      </c>
      <c r="C225" s="38">
        <f>IF(C224="","",IF(AND(MONTH(C224)&gt;=1,MONTH(C224)&lt;=3),1,IF(AND(MONTH(C224)&gt;=4,MONTH(C224)&lt;=6),2,IF(AND(MONTH(C224)&gt;=7,MONTH(C224)&lt;=9),3,4))))</f>
        <v>4</v>
      </c>
      <c r="D225" s="37"/>
      <c r="E225" s="35" t="s">
        <v>39</v>
      </c>
      <c r="F225" s="36"/>
    </row>
    <row r="226" spans="1:6" ht="17.25" thickBot="1" x14ac:dyDescent="0.3"/>
    <row r="227" spans="1:6" ht="17.25" thickBot="1" x14ac:dyDescent="0.3">
      <c r="A227" s="39" t="s">
        <v>40</v>
      </c>
      <c r="B227" s="39" t="s">
        <v>41</v>
      </c>
      <c r="C227" s="39" t="s">
        <v>42</v>
      </c>
      <c r="D227" s="39" t="s">
        <v>43</v>
      </c>
      <c r="E227" s="39" t="s">
        <v>44</v>
      </c>
      <c r="F227" s="39" t="s">
        <v>45</v>
      </c>
    </row>
    <row r="228" spans="1:6" x14ac:dyDescent="0.25">
      <c r="A228" s="40" t="s">
        <v>72</v>
      </c>
      <c r="B228" s="41" t="str">
        <f ca="1">IFERROR(INDEX(UNSPSCDes,MATCH(INDIRECT(ADDRESS(ROW(),COLUMN()-1,4)),UNSPSCCode,0)),IF(INDIRECT(ADDRESS(ROW(),COLUMN()-1,4))="86101705","Capacitación administrativa",""))</f>
        <v>Capacitación administrativa</v>
      </c>
      <c r="C228" s="42" t="str">
        <f>IFERROR(VLOOKUP("UD",'[1]Informacion '!P:Q,2,FALSE),"")</f>
        <v>Unidad</v>
      </c>
      <c r="D228" s="40">
        <v>1</v>
      </c>
      <c r="E228" s="43">
        <v>500000</v>
      </c>
      <c r="F228" s="44">
        <f ca="1">INDIRECT(ADDRESS(ROW(),COLUMN()-2,4))*INDIRECT(ADDRESS(ROW(),COLUMN()-1,4))</f>
        <v>500000</v>
      </c>
    </row>
    <row r="229" spans="1:6" x14ac:dyDescent="0.25">
      <c r="E229" s="45" t="s">
        <v>47</v>
      </c>
      <c r="F229" s="46">
        <f ca="1">SUM(Table22[MONTO TOTAL ESTIMADO])</f>
        <v>500000</v>
      </c>
    </row>
    <row r="230" spans="1:6" ht="17.25" thickBot="1" x14ac:dyDescent="0.3"/>
    <row r="231" spans="1:6" ht="23.25" thickBot="1" x14ac:dyDescent="0.3">
      <c r="A231" s="30" t="s">
        <v>18</v>
      </c>
      <c r="B231" s="30" t="s">
        <v>19</v>
      </c>
      <c r="C231" s="30" t="s">
        <v>20</v>
      </c>
      <c r="D231" s="30" t="s">
        <v>21</v>
      </c>
      <c r="E231" s="30" t="s">
        <v>22</v>
      </c>
      <c r="F231" s="30" t="s">
        <v>23</v>
      </c>
    </row>
    <row r="232" spans="1:6" ht="17.25" thickBot="1" x14ac:dyDescent="0.3">
      <c r="A232" s="31" t="s">
        <v>73</v>
      </c>
      <c r="B232" s="31" t="s">
        <v>74</v>
      </c>
      <c r="C232" s="31" t="s">
        <v>26</v>
      </c>
      <c r="D232" s="31" t="s">
        <v>27</v>
      </c>
      <c r="E232" s="31" t="s">
        <v>75</v>
      </c>
      <c r="F232" s="31"/>
    </row>
    <row r="233" spans="1:6" ht="17.25" thickBot="1" x14ac:dyDescent="0.3">
      <c r="A233" s="32" t="s">
        <v>29</v>
      </c>
      <c r="B233" s="33" t="s">
        <v>30</v>
      </c>
      <c r="C233" s="34">
        <v>44958</v>
      </c>
      <c r="D233" s="32" t="s">
        <v>31</v>
      </c>
      <c r="E233" s="35" t="s">
        <v>32</v>
      </c>
      <c r="F233" s="36" t="s">
        <v>33</v>
      </c>
    </row>
    <row r="234" spans="1:6" ht="17.25" thickBot="1" x14ac:dyDescent="0.3">
      <c r="A234" s="37"/>
      <c r="B234" s="33" t="s">
        <v>34</v>
      </c>
      <c r="C234" s="38">
        <f>IF(C233="","",IF(AND(MONTH(C233)&gt;=1,MONTH(C233)&lt;=3),1,IF(AND(MONTH(C233)&gt;=4,MONTH(C233)&lt;=6),2,IF(AND(MONTH(C233)&gt;=7,MONTH(C233)&lt;=9),3,4))))</f>
        <v>1</v>
      </c>
      <c r="D234" s="37"/>
      <c r="E234" s="35" t="s">
        <v>35</v>
      </c>
      <c r="F234" s="36" t="s">
        <v>36</v>
      </c>
    </row>
    <row r="235" spans="1:6" ht="17.25" thickBot="1" x14ac:dyDescent="0.3">
      <c r="A235" s="37"/>
      <c r="B235" s="33" t="s">
        <v>37</v>
      </c>
      <c r="C235" s="34">
        <v>45015</v>
      </c>
      <c r="D235" s="37"/>
      <c r="E235" s="35" t="s">
        <v>38</v>
      </c>
      <c r="F235" s="36" t="s">
        <v>36</v>
      </c>
    </row>
    <row r="236" spans="1:6" ht="17.25" thickBot="1" x14ac:dyDescent="0.3">
      <c r="A236" s="37"/>
      <c r="B236" s="33" t="s">
        <v>34</v>
      </c>
      <c r="C236" s="38">
        <f>IF(C235="","",IF(AND(MONTH(C235)&gt;=1,MONTH(C235)&lt;=3),1,IF(AND(MONTH(C235)&gt;=4,MONTH(C235)&lt;=6),2,IF(AND(MONTH(C235)&gt;=7,MONTH(C235)&lt;=9),3,4))))</f>
        <v>1</v>
      </c>
      <c r="D236" s="37"/>
      <c r="E236" s="35" t="s">
        <v>39</v>
      </c>
      <c r="F236" s="36" t="s">
        <v>36</v>
      </c>
    </row>
    <row r="237" spans="1:6" ht="17.25" thickBot="1" x14ac:dyDescent="0.3"/>
    <row r="238" spans="1:6" ht="17.25" thickBot="1" x14ac:dyDescent="0.3">
      <c r="A238" s="39" t="s">
        <v>40</v>
      </c>
      <c r="B238" s="39" t="s">
        <v>41</v>
      </c>
      <c r="C238" s="39" t="s">
        <v>42</v>
      </c>
      <c r="D238" s="39" t="s">
        <v>43</v>
      </c>
      <c r="E238" s="39" t="s">
        <v>44</v>
      </c>
      <c r="F238" s="39" t="s">
        <v>45</v>
      </c>
    </row>
    <row r="239" spans="1:6" ht="22.5" x14ac:dyDescent="0.25">
      <c r="A239" s="40" t="s">
        <v>76</v>
      </c>
      <c r="B239" s="41" t="str">
        <f ca="1">IFERROR(INDEX(UNSPSCDes,MATCH(INDIRECT(ADDRESS(ROW(),COLUMN()-1,4)),UNSPSCCode,0)),IF(INDIRECT(ADDRESS(ROW(),COLUMN()-1,4))="81111510","Servicios de desarrollo de aplicaciones para servidores de internet / intranet",""))</f>
        <v>Servicios de desarrollo de aplicaciones para servidores de internet / intranet</v>
      </c>
      <c r="C239" s="42" t="str">
        <f>IFERROR(VLOOKUP("UD",'[1]Informacion '!P:Q,2,FALSE),"")</f>
        <v>Unidad</v>
      </c>
      <c r="D239" s="40">
        <v>1</v>
      </c>
      <c r="E239" s="43">
        <v>1</v>
      </c>
      <c r="F239" s="44">
        <f ca="1">INDIRECT(ADDRESS(ROW(),COLUMN()-2,4))*INDIRECT(ADDRESS(ROW(),COLUMN()-1,4))</f>
        <v>1</v>
      </c>
    </row>
    <row r="240" spans="1:6" x14ac:dyDescent="0.25">
      <c r="E240" s="45" t="s">
        <v>47</v>
      </c>
      <c r="F240" s="46">
        <f ca="1">SUM(Table23[MONTO TOTAL ESTIMADO])</f>
        <v>1</v>
      </c>
    </row>
    <row r="241" spans="1:6" ht="17.25" thickBot="1" x14ac:dyDescent="0.3"/>
    <row r="242" spans="1:6" ht="23.25" thickBot="1" x14ac:dyDescent="0.3">
      <c r="A242" s="30" t="s">
        <v>18</v>
      </c>
      <c r="B242" s="30" t="s">
        <v>19</v>
      </c>
      <c r="C242" s="30" t="s">
        <v>20</v>
      </c>
      <c r="D242" s="30" t="s">
        <v>21</v>
      </c>
      <c r="E242" s="30" t="s">
        <v>22</v>
      </c>
      <c r="F242" s="30" t="s">
        <v>23</v>
      </c>
    </row>
    <row r="243" spans="1:6" ht="17.25" thickBot="1" x14ac:dyDescent="0.3">
      <c r="A243" s="31" t="s">
        <v>73</v>
      </c>
      <c r="B243" s="31" t="s">
        <v>74</v>
      </c>
      <c r="C243" s="31" t="s">
        <v>26</v>
      </c>
      <c r="D243" s="31" t="s">
        <v>27</v>
      </c>
      <c r="E243" s="31" t="s">
        <v>75</v>
      </c>
      <c r="F243" s="31"/>
    </row>
    <row r="244" spans="1:6" ht="17.25" thickBot="1" x14ac:dyDescent="0.3">
      <c r="A244" s="32" t="s">
        <v>29</v>
      </c>
      <c r="B244" s="33" t="s">
        <v>30</v>
      </c>
      <c r="C244" s="34">
        <v>45017</v>
      </c>
      <c r="D244" s="32" t="s">
        <v>31</v>
      </c>
      <c r="E244" s="35" t="s">
        <v>32</v>
      </c>
      <c r="F244" s="36" t="s">
        <v>33</v>
      </c>
    </row>
    <row r="245" spans="1:6" ht="17.25" thickBot="1" x14ac:dyDescent="0.3">
      <c r="A245" s="37"/>
      <c r="B245" s="33" t="s">
        <v>34</v>
      </c>
      <c r="C245" s="38">
        <f>IF(C244="","",IF(AND(MONTH(C244)&gt;=1,MONTH(C244)&lt;=3),1,IF(AND(MONTH(C244)&gt;=4,MONTH(C244)&lt;=6),2,IF(AND(MONTH(C244)&gt;=7,MONTH(C244)&lt;=9),3,4))))</f>
        <v>2</v>
      </c>
      <c r="D245" s="37"/>
      <c r="E245" s="35" t="s">
        <v>35</v>
      </c>
      <c r="F245" s="36" t="s">
        <v>36</v>
      </c>
    </row>
    <row r="246" spans="1:6" ht="17.25" thickBot="1" x14ac:dyDescent="0.3">
      <c r="A246" s="37"/>
      <c r="B246" s="33" t="s">
        <v>37</v>
      </c>
      <c r="C246" s="34">
        <v>45107</v>
      </c>
      <c r="D246" s="37"/>
      <c r="E246" s="35" t="s">
        <v>38</v>
      </c>
      <c r="F246" s="36" t="s">
        <v>36</v>
      </c>
    </row>
    <row r="247" spans="1:6" ht="17.25" thickBot="1" x14ac:dyDescent="0.3">
      <c r="A247" s="37"/>
      <c r="B247" s="33" t="s">
        <v>34</v>
      </c>
      <c r="C247" s="38">
        <f>IF(C246="","",IF(AND(MONTH(C246)&gt;=1,MONTH(C246)&lt;=3),1,IF(AND(MONTH(C246)&gt;=4,MONTH(C246)&lt;=6),2,IF(AND(MONTH(C246)&gt;=7,MONTH(C246)&lt;=9),3,4))))</f>
        <v>2</v>
      </c>
      <c r="D247" s="37"/>
      <c r="E247" s="35" t="s">
        <v>39</v>
      </c>
      <c r="F247" s="36" t="s">
        <v>36</v>
      </c>
    </row>
    <row r="248" spans="1:6" ht="17.25" thickBot="1" x14ac:dyDescent="0.3"/>
    <row r="249" spans="1:6" ht="17.25" thickBot="1" x14ac:dyDescent="0.3">
      <c r="A249" s="39" t="s">
        <v>40</v>
      </c>
      <c r="B249" s="39" t="s">
        <v>41</v>
      </c>
      <c r="C249" s="39" t="s">
        <v>42</v>
      </c>
      <c r="D249" s="39" t="s">
        <v>43</v>
      </c>
      <c r="E249" s="39" t="s">
        <v>44</v>
      </c>
      <c r="F249" s="39" t="s">
        <v>45</v>
      </c>
    </row>
    <row r="250" spans="1:6" ht="22.5" x14ac:dyDescent="0.25">
      <c r="A250" s="40" t="s">
        <v>76</v>
      </c>
      <c r="B250" s="41" t="str">
        <f ca="1">IFERROR(INDEX(UNSPSCDes,MATCH(INDIRECT(ADDRESS(ROW(),COLUMN()-1,4)),UNSPSCCode,0)),IF(INDIRECT(ADDRESS(ROW(),COLUMN()-1,4))="81111510","Servicios de desarrollo de aplicaciones para servidores de internet / intranet",""))</f>
        <v>Servicios de desarrollo de aplicaciones para servidores de internet / intranet</v>
      </c>
      <c r="C250" s="42" t="str">
        <f>IFERROR(VLOOKUP("UD",'[1]Informacion '!P:Q,2,FALSE),"")</f>
        <v>Unidad</v>
      </c>
      <c r="D250" s="40">
        <v>1</v>
      </c>
      <c r="E250" s="43">
        <v>5000000</v>
      </c>
      <c r="F250" s="44">
        <f ca="1">INDIRECT(ADDRESS(ROW(),COLUMN()-2,4))*INDIRECT(ADDRESS(ROW(),COLUMN()-1,4))</f>
        <v>5000000</v>
      </c>
    </row>
    <row r="251" spans="1:6" x14ac:dyDescent="0.25">
      <c r="E251" s="45" t="s">
        <v>47</v>
      </c>
      <c r="F251" s="46">
        <f ca="1">SUM(Table24[MONTO TOTAL ESTIMADO])</f>
        <v>5000000</v>
      </c>
    </row>
    <row r="252" spans="1:6" ht="17.25" thickBot="1" x14ac:dyDescent="0.3"/>
    <row r="253" spans="1:6" ht="23.25" thickBot="1" x14ac:dyDescent="0.3">
      <c r="A253" s="30" t="s">
        <v>18</v>
      </c>
      <c r="B253" s="30" t="s">
        <v>19</v>
      </c>
      <c r="C253" s="30" t="s">
        <v>20</v>
      </c>
      <c r="D253" s="30" t="s">
        <v>21</v>
      </c>
      <c r="E253" s="30" t="s">
        <v>22</v>
      </c>
      <c r="F253" s="30" t="s">
        <v>23</v>
      </c>
    </row>
    <row r="254" spans="1:6" ht="17.25" thickBot="1" x14ac:dyDescent="0.3">
      <c r="A254" s="31" t="s">
        <v>73</v>
      </c>
      <c r="B254" s="31" t="s">
        <v>74</v>
      </c>
      <c r="C254" s="31" t="s">
        <v>26</v>
      </c>
      <c r="D254" s="31" t="s">
        <v>27</v>
      </c>
      <c r="E254" s="31" t="s">
        <v>58</v>
      </c>
      <c r="F254" s="31"/>
    </row>
    <row r="255" spans="1:6" ht="17.25" thickBot="1" x14ac:dyDescent="0.3">
      <c r="A255" s="32" t="s">
        <v>29</v>
      </c>
      <c r="B255" s="33" t="s">
        <v>30</v>
      </c>
      <c r="C255" s="34">
        <v>45107</v>
      </c>
      <c r="D255" s="32" t="s">
        <v>31</v>
      </c>
      <c r="E255" s="35" t="s">
        <v>32</v>
      </c>
      <c r="F255" s="36" t="s">
        <v>33</v>
      </c>
    </row>
    <row r="256" spans="1:6" ht="17.25" thickBot="1" x14ac:dyDescent="0.3">
      <c r="A256" s="37"/>
      <c r="B256" s="33" t="s">
        <v>34</v>
      </c>
      <c r="C256" s="38">
        <f>IF(C255="","",IF(AND(MONTH(C255)&gt;=1,MONTH(C255)&lt;=3),1,IF(AND(MONTH(C255)&gt;=4,MONTH(C255)&lt;=6),2,IF(AND(MONTH(C255)&gt;=7,MONTH(C255)&lt;=9),3,4))))</f>
        <v>2</v>
      </c>
      <c r="D256" s="37"/>
      <c r="E256" s="35" t="s">
        <v>35</v>
      </c>
      <c r="F256" s="36" t="s">
        <v>36</v>
      </c>
    </row>
    <row r="257" spans="1:6" ht="17.25" thickBot="1" x14ac:dyDescent="0.3">
      <c r="A257" s="37"/>
      <c r="B257" s="33" t="s">
        <v>37</v>
      </c>
      <c r="C257" s="34">
        <v>45198</v>
      </c>
      <c r="D257" s="37"/>
      <c r="E257" s="35" t="s">
        <v>38</v>
      </c>
      <c r="F257" s="36" t="s">
        <v>36</v>
      </c>
    </row>
    <row r="258" spans="1:6" ht="17.25" thickBot="1" x14ac:dyDescent="0.3">
      <c r="A258" s="37"/>
      <c r="B258" s="33" t="s">
        <v>34</v>
      </c>
      <c r="C258" s="38">
        <f>IF(C257="","",IF(AND(MONTH(C257)&gt;=1,MONTH(C257)&lt;=3),1,IF(AND(MONTH(C257)&gt;=4,MONTH(C257)&lt;=6),2,IF(AND(MONTH(C257)&gt;=7,MONTH(C257)&lt;=9),3,4))))</f>
        <v>3</v>
      </c>
      <c r="D258" s="37"/>
      <c r="E258" s="35" t="s">
        <v>39</v>
      </c>
      <c r="F258" s="36" t="s">
        <v>36</v>
      </c>
    </row>
    <row r="259" spans="1:6" ht="17.25" thickBot="1" x14ac:dyDescent="0.3"/>
    <row r="260" spans="1:6" ht="17.25" thickBot="1" x14ac:dyDescent="0.3">
      <c r="A260" s="39" t="s">
        <v>40</v>
      </c>
      <c r="B260" s="39" t="s">
        <v>41</v>
      </c>
      <c r="C260" s="39" t="s">
        <v>42</v>
      </c>
      <c r="D260" s="39" t="s">
        <v>43</v>
      </c>
      <c r="E260" s="39" t="s">
        <v>44</v>
      </c>
      <c r="F260" s="39" t="s">
        <v>45</v>
      </c>
    </row>
    <row r="261" spans="1:6" ht="22.5" x14ac:dyDescent="0.25">
      <c r="A261" s="40" t="s">
        <v>76</v>
      </c>
      <c r="B261" s="41" t="str">
        <f ca="1">IFERROR(INDEX(UNSPSCDes,MATCH(INDIRECT(ADDRESS(ROW(),COLUMN()-1,4)),UNSPSCCode,0)),IF(INDIRECT(ADDRESS(ROW(),COLUMN()-1,4))="81111510","Servicios de desarrollo de aplicaciones para servidores de internet / intranet",""))</f>
        <v>Servicios de desarrollo de aplicaciones para servidores de internet / intranet</v>
      </c>
      <c r="C261" s="42" t="str">
        <f>IFERROR(VLOOKUP("UD",'[1]Informacion '!P:Q,2,FALSE),"")</f>
        <v>Unidad</v>
      </c>
      <c r="D261" s="40">
        <v>1</v>
      </c>
      <c r="E261" s="43">
        <v>1</v>
      </c>
      <c r="F261" s="44">
        <f ca="1">INDIRECT(ADDRESS(ROW(),COLUMN()-2,4))*INDIRECT(ADDRESS(ROW(),COLUMN()-1,4))</f>
        <v>1</v>
      </c>
    </row>
    <row r="262" spans="1:6" x14ac:dyDescent="0.25">
      <c r="A262" s="40">
        <v>86141702</v>
      </c>
      <c r="B262" s="41" t="str">
        <f ca="1">IFERROR(INDEX(UNSPSCDes,MATCH(INDIRECT(ADDRESS(ROW(),COLUMN()-1,4)),UNSPSCCode,0)),IF(INDIRECT(ADDRESS(ROW(),COLUMN()-1,4))="81111510","Servicios de desarrollo de aplicaciones para servidores de internet / intranet",""))</f>
        <v>Tecnología audiovisual</v>
      </c>
      <c r="C262" s="42" t="str">
        <f>IFERROR(VLOOKUP("UD",'[1]Informacion '!P:Q,2,FALSE),"")</f>
        <v>Unidad</v>
      </c>
      <c r="D262" s="40">
        <v>1</v>
      </c>
      <c r="E262" s="43">
        <v>1</v>
      </c>
      <c r="F262" s="44">
        <f ca="1">INDIRECT(ADDRESS(ROW(),COLUMN()-2,4))*INDIRECT(ADDRESS(ROW(),COLUMN()-1,4))</f>
        <v>1</v>
      </c>
    </row>
    <row r="263" spans="1:6" x14ac:dyDescent="0.25">
      <c r="E263" s="45" t="s">
        <v>47</v>
      </c>
      <c r="F263" s="46">
        <f ca="1">SUM(Table25[MONTO TOTAL ESTIMADO])</f>
        <v>2</v>
      </c>
    </row>
    <row r="264" spans="1:6" ht="17.25" thickBot="1" x14ac:dyDescent="0.3"/>
    <row r="265" spans="1:6" ht="23.25" thickBot="1" x14ac:dyDescent="0.3">
      <c r="A265" s="30" t="s">
        <v>18</v>
      </c>
      <c r="B265" s="30" t="s">
        <v>19</v>
      </c>
      <c r="C265" s="30" t="s">
        <v>20</v>
      </c>
      <c r="D265" s="30" t="s">
        <v>21</v>
      </c>
      <c r="E265" s="30" t="s">
        <v>22</v>
      </c>
      <c r="F265" s="30" t="s">
        <v>23</v>
      </c>
    </row>
    <row r="266" spans="1:6" ht="17.25" thickBot="1" x14ac:dyDescent="0.3">
      <c r="A266" s="31" t="s">
        <v>73</v>
      </c>
      <c r="B266" s="31" t="s">
        <v>74</v>
      </c>
      <c r="C266" s="31" t="s">
        <v>26</v>
      </c>
      <c r="D266" s="31" t="s">
        <v>27</v>
      </c>
      <c r="E266" s="31" t="s">
        <v>75</v>
      </c>
      <c r="F266" s="31"/>
    </row>
    <row r="267" spans="1:6" ht="17.25" thickBot="1" x14ac:dyDescent="0.3">
      <c r="A267" s="32" t="s">
        <v>29</v>
      </c>
      <c r="B267" s="33" t="s">
        <v>30</v>
      </c>
      <c r="C267" s="34">
        <v>45199</v>
      </c>
      <c r="D267" s="32" t="s">
        <v>31</v>
      </c>
      <c r="E267" s="35" t="s">
        <v>32</v>
      </c>
      <c r="F267" s="36" t="s">
        <v>33</v>
      </c>
    </row>
    <row r="268" spans="1:6" ht="17.25" thickBot="1" x14ac:dyDescent="0.3">
      <c r="A268" s="37"/>
      <c r="B268" s="33" t="s">
        <v>34</v>
      </c>
      <c r="C268" s="38">
        <f>IF(C267="","",IF(AND(MONTH(C267)&gt;=1,MONTH(C267)&lt;=3),1,IF(AND(MONTH(C267)&gt;=4,MONTH(C267)&lt;=6),2,IF(AND(MONTH(C267)&gt;=7,MONTH(C267)&lt;=9),3,4))))</f>
        <v>3</v>
      </c>
      <c r="D268" s="37"/>
      <c r="E268" s="35" t="s">
        <v>35</v>
      </c>
      <c r="F268" s="36" t="s">
        <v>36</v>
      </c>
    </row>
    <row r="269" spans="1:6" ht="17.25" thickBot="1" x14ac:dyDescent="0.3">
      <c r="A269" s="37"/>
      <c r="B269" s="33" t="s">
        <v>37</v>
      </c>
      <c r="C269" s="34">
        <v>45290</v>
      </c>
      <c r="D269" s="37"/>
      <c r="E269" s="35" t="s">
        <v>38</v>
      </c>
      <c r="F269" s="36" t="s">
        <v>36</v>
      </c>
    </row>
    <row r="270" spans="1:6" ht="17.25" thickBot="1" x14ac:dyDescent="0.3">
      <c r="A270" s="37"/>
      <c r="B270" s="33" t="s">
        <v>34</v>
      </c>
      <c r="C270" s="38">
        <f>IF(C269="","",IF(AND(MONTH(C269)&gt;=1,MONTH(C269)&lt;=3),1,IF(AND(MONTH(C269)&gt;=4,MONTH(C269)&lt;=6),2,IF(AND(MONTH(C269)&gt;=7,MONTH(C269)&lt;=9),3,4))))</f>
        <v>4</v>
      </c>
      <c r="D270" s="37"/>
      <c r="E270" s="35" t="s">
        <v>39</v>
      </c>
      <c r="F270" s="36" t="s">
        <v>36</v>
      </c>
    </row>
    <row r="271" spans="1:6" ht="17.25" thickBot="1" x14ac:dyDescent="0.3"/>
    <row r="272" spans="1:6" ht="17.25" thickBot="1" x14ac:dyDescent="0.3">
      <c r="A272" s="39" t="s">
        <v>40</v>
      </c>
      <c r="B272" s="39" t="s">
        <v>41</v>
      </c>
      <c r="C272" s="39" t="s">
        <v>42</v>
      </c>
      <c r="D272" s="39" t="s">
        <v>43</v>
      </c>
      <c r="E272" s="39" t="s">
        <v>44</v>
      </c>
      <c r="F272" s="39" t="s">
        <v>45</v>
      </c>
    </row>
    <row r="273" spans="1:6" ht="22.5" x14ac:dyDescent="0.25">
      <c r="A273" s="40" t="s">
        <v>76</v>
      </c>
      <c r="B273" s="41" t="str">
        <f ca="1">IFERROR(INDEX(UNSPSCDes,MATCH(INDIRECT(ADDRESS(ROW(),COLUMN()-1,4)),UNSPSCCode,0)),IF(INDIRECT(ADDRESS(ROW(),COLUMN()-1,4))="81111510","Servicios de desarrollo de aplicaciones para servidores de internet / intranet",""))</f>
        <v>Servicios de desarrollo de aplicaciones para servidores de internet / intranet</v>
      </c>
      <c r="C273" s="42" t="str">
        <f>IFERROR(VLOOKUP("UD",'[1]Informacion '!P:Q,2,FALSE),"")</f>
        <v>Unidad</v>
      </c>
      <c r="D273" s="40">
        <v>1</v>
      </c>
      <c r="E273" s="43">
        <v>1</v>
      </c>
      <c r="F273" s="44">
        <f ca="1">INDIRECT(ADDRESS(ROW(),COLUMN()-2,4))*INDIRECT(ADDRESS(ROW(),COLUMN()-1,4))</f>
        <v>1</v>
      </c>
    </row>
    <row r="274" spans="1:6" x14ac:dyDescent="0.25">
      <c r="E274" s="45" t="s">
        <v>47</v>
      </c>
      <c r="F274" s="46">
        <f ca="1">SUM(Table26[MONTO TOTAL ESTIMADO])</f>
        <v>1</v>
      </c>
    </row>
    <row r="275" spans="1:6" ht="17.25" thickBot="1" x14ac:dyDescent="0.3"/>
    <row r="276" spans="1:6" ht="23.25" thickBot="1" x14ac:dyDescent="0.3">
      <c r="A276" s="30" t="s">
        <v>18</v>
      </c>
      <c r="B276" s="30" t="s">
        <v>19</v>
      </c>
      <c r="C276" s="30" t="s">
        <v>20</v>
      </c>
      <c r="D276" s="30" t="s">
        <v>21</v>
      </c>
      <c r="E276" s="30" t="s">
        <v>22</v>
      </c>
      <c r="F276" s="30" t="s">
        <v>23</v>
      </c>
    </row>
    <row r="277" spans="1:6" ht="17.25" thickBot="1" x14ac:dyDescent="0.3">
      <c r="A277" s="31" t="s">
        <v>77</v>
      </c>
      <c r="B277" s="31" t="s">
        <v>78</v>
      </c>
      <c r="C277" s="31" t="s">
        <v>26</v>
      </c>
      <c r="D277" s="31" t="s">
        <v>27</v>
      </c>
      <c r="E277" s="31" t="s">
        <v>75</v>
      </c>
      <c r="F277" s="31"/>
    </row>
    <row r="278" spans="1:6" ht="17.25" thickBot="1" x14ac:dyDescent="0.3">
      <c r="A278" s="32" t="s">
        <v>29</v>
      </c>
      <c r="B278" s="33" t="s">
        <v>30</v>
      </c>
      <c r="C278" s="34">
        <v>44958</v>
      </c>
      <c r="D278" s="32" t="s">
        <v>31</v>
      </c>
      <c r="E278" s="35" t="s">
        <v>32</v>
      </c>
      <c r="F278" s="36" t="s">
        <v>33</v>
      </c>
    </row>
    <row r="279" spans="1:6" ht="17.25" thickBot="1" x14ac:dyDescent="0.3">
      <c r="A279" s="37"/>
      <c r="B279" s="33" t="s">
        <v>34</v>
      </c>
      <c r="C279" s="38">
        <f>IF(C278="","",IF(AND(MONTH(C278)&gt;=1,MONTH(C278)&lt;=3),1,IF(AND(MONTH(C278)&gt;=4,MONTH(C278)&lt;=6),2,IF(AND(MONTH(C278)&gt;=7,MONTH(C278)&lt;=9),3,4))))</f>
        <v>1</v>
      </c>
      <c r="D279" s="37"/>
      <c r="E279" s="35" t="s">
        <v>35</v>
      </c>
      <c r="F279" s="36" t="s">
        <v>36</v>
      </c>
    </row>
    <row r="280" spans="1:6" ht="17.25" thickBot="1" x14ac:dyDescent="0.3">
      <c r="A280" s="37"/>
      <c r="B280" s="33" t="s">
        <v>37</v>
      </c>
      <c r="C280" s="34">
        <v>45015</v>
      </c>
      <c r="D280" s="37"/>
      <c r="E280" s="35" t="s">
        <v>38</v>
      </c>
      <c r="F280" s="36" t="s">
        <v>36</v>
      </c>
    </row>
    <row r="281" spans="1:6" ht="17.25" thickBot="1" x14ac:dyDescent="0.3">
      <c r="A281" s="37"/>
      <c r="B281" s="33" t="s">
        <v>34</v>
      </c>
      <c r="C281" s="38">
        <f>IF(C280="","",IF(AND(MONTH(C280)&gt;=1,MONTH(C280)&lt;=3),1,IF(AND(MONTH(C280)&gt;=4,MONTH(C280)&lt;=6),2,IF(AND(MONTH(C280)&gt;=7,MONTH(C280)&lt;=9),3,4))))</f>
        <v>1</v>
      </c>
      <c r="D281" s="37"/>
      <c r="E281" s="35" t="s">
        <v>39</v>
      </c>
      <c r="F281" s="36" t="s">
        <v>36</v>
      </c>
    </row>
    <row r="282" spans="1:6" ht="17.25" thickBot="1" x14ac:dyDescent="0.3"/>
    <row r="283" spans="1:6" ht="17.25" thickBot="1" x14ac:dyDescent="0.3">
      <c r="A283" s="39" t="s">
        <v>40</v>
      </c>
      <c r="B283" s="39" t="s">
        <v>41</v>
      </c>
      <c r="C283" s="39" t="s">
        <v>42</v>
      </c>
      <c r="D283" s="39" t="s">
        <v>43</v>
      </c>
      <c r="E283" s="39" t="s">
        <v>44</v>
      </c>
      <c r="F283" s="39" t="s">
        <v>45</v>
      </c>
    </row>
    <row r="284" spans="1:6" x14ac:dyDescent="0.25">
      <c r="A284" s="40" t="s">
        <v>79</v>
      </c>
      <c r="B284" s="41" t="str">
        <f ca="1">IFERROR(INDEX(UNSPSCDes,MATCH(INDIRECT(ADDRESS(ROW(),COLUMN()-1,4)),UNSPSCCode,0)),IF(INDIRECT(ADDRESS(ROW(),COLUMN()-1,4))="77101801","Sistemas de información ambiental",""))</f>
        <v>Sistemas de información ambiental</v>
      </c>
      <c r="C284" s="42" t="str">
        <f>IFERROR(VLOOKUP("UD",'[1]Informacion '!P:Q,2,FALSE),"")</f>
        <v>Unidad</v>
      </c>
      <c r="D284" s="40">
        <v>1</v>
      </c>
      <c r="E284" s="43">
        <v>525000</v>
      </c>
      <c r="F284" s="44">
        <f ca="1">INDIRECT(ADDRESS(ROW(),COLUMN()-2,4))*INDIRECT(ADDRESS(ROW(),COLUMN()-1,4))</f>
        <v>525000</v>
      </c>
    </row>
    <row r="285" spans="1:6" x14ac:dyDescent="0.25">
      <c r="A285" s="40">
        <v>80101706</v>
      </c>
      <c r="B285" s="41" t="str">
        <f ca="1">IFERROR(INDEX(UNSPSCDes,MATCH(INDIRECT(ADDRESS(ROW(),COLUMN()-1,4)),UNSPSCCode,0)),IF(INDIRECT(ADDRESS(ROW(),COLUMN()-1,4))="77101801","Sistemas de información ambiental",""))</f>
        <v>Servicios profesionales de adquisiciones</v>
      </c>
      <c r="C285" s="42" t="str">
        <f>IFERROR(VLOOKUP("UD",'[1]Informacion '!P:Q,2,FALSE),"")</f>
        <v>Unidad</v>
      </c>
      <c r="D285" s="40">
        <v>1</v>
      </c>
      <c r="E285" s="43">
        <v>525000</v>
      </c>
      <c r="F285" s="44">
        <f ca="1">INDIRECT(ADDRESS(ROW(),COLUMN()-2,4))*INDIRECT(ADDRESS(ROW(),COLUMN()-1,4))</f>
        <v>525000</v>
      </c>
    </row>
    <row r="286" spans="1:6" x14ac:dyDescent="0.25">
      <c r="E286" s="45" t="s">
        <v>47</v>
      </c>
      <c r="F286" s="46">
        <f ca="1">SUM(Table27[MONTO TOTAL ESTIMADO])</f>
        <v>1050000</v>
      </c>
    </row>
    <row r="287" spans="1:6" ht="17.25" thickBot="1" x14ac:dyDescent="0.3"/>
    <row r="288" spans="1:6" ht="23.25" thickBot="1" x14ac:dyDescent="0.3">
      <c r="A288" s="30" t="s">
        <v>18</v>
      </c>
      <c r="B288" s="30" t="s">
        <v>19</v>
      </c>
      <c r="C288" s="30" t="s">
        <v>20</v>
      </c>
      <c r="D288" s="30" t="s">
        <v>21</v>
      </c>
      <c r="E288" s="30" t="s">
        <v>22</v>
      </c>
      <c r="F288" s="30" t="s">
        <v>23</v>
      </c>
    </row>
    <row r="289" spans="1:6" ht="17.25" thickBot="1" x14ac:dyDescent="0.3">
      <c r="A289" s="31" t="s">
        <v>77</v>
      </c>
      <c r="B289" s="31" t="s">
        <v>78</v>
      </c>
      <c r="C289" s="31" t="s">
        <v>26</v>
      </c>
      <c r="D289" s="31" t="s">
        <v>50</v>
      </c>
      <c r="E289" s="31" t="s">
        <v>58</v>
      </c>
      <c r="F289" s="31"/>
    </row>
    <row r="290" spans="1:6" ht="17.25" thickBot="1" x14ac:dyDescent="0.3">
      <c r="A290" s="32" t="s">
        <v>29</v>
      </c>
      <c r="B290" s="33" t="s">
        <v>30</v>
      </c>
      <c r="C290" s="34">
        <v>45017</v>
      </c>
      <c r="D290" s="32" t="s">
        <v>31</v>
      </c>
      <c r="E290" s="35" t="s">
        <v>32</v>
      </c>
      <c r="F290" s="36" t="s">
        <v>33</v>
      </c>
    </row>
    <row r="291" spans="1:6" ht="17.25" thickBot="1" x14ac:dyDescent="0.3">
      <c r="A291" s="37"/>
      <c r="B291" s="33" t="s">
        <v>34</v>
      </c>
      <c r="C291" s="38">
        <f>IF(C290="","",IF(AND(MONTH(C290)&gt;=1,MONTH(C290)&lt;=3),1,IF(AND(MONTH(C290)&gt;=4,MONTH(C290)&lt;=6),2,IF(AND(MONTH(C290)&gt;=7,MONTH(C290)&lt;=9),3,4))))</f>
        <v>2</v>
      </c>
      <c r="D291" s="37"/>
      <c r="E291" s="35" t="s">
        <v>35</v>
      </c>
      <c r="F291" s="36" t="s">
        <v>36</v>
      </c>
    </row>
    <row r="292" spans="1:6" ht="17.25" thickBot="1" x14ac:dyDescent="0.3">
      <c r="A292" s="37"/>
      <c r="B292" s="33" t="s">
        <v>37</v>
      </c>
      <c r="C292" s="34">
        <v>45106</v>
      </c>
      <c r="D292" s="37"/>
      <c r="E292" s="35" t="s">
        <v>38</v>
      </c>
      <c r="F292" s="36" t="s">
        <v>36</v>
      </c>
    </row>
    <row r="293" spans="1:6" ht="17.25" thickBot="1" x14ac:dyDescent="0.3">
      <c r="A293" s="37"/>
      <c r="B293" s="33" t="s">
        <v>34</v>
      </c>
      <c r="C293" s="38">
        <f>IF(C292="","",IF(AND(MONTH(C292)&gt;=1,MONTH(C292)&lt;=3),1,IF(AND(MONTH(C292)&gt;=4,MONTH(C292)&lt;=6),2,IF(AND(MONTH(C292)&gt;=7,MONTH(C292)&lt;=9),3,4))))</f>
        <v>2</v>
      </c>
      <c r="D293" s="37"/>
      <c r="E293" s="35" t="s">
        <v>39</v>
      </c>
      <c r="F293" s="36" t="s">
        <v>36</v>
      </c>
    </row>
    <row r="294" spans="1:6" ht="17.25" thickBot="1" x14ac:dyDescent="0.3"/>
    <row r="295" spans="1:6" ht="17.25" thickBot="1" x14ac:dyDescent="0.3">
      <c r="A295" s="39" t="s">
        <v>40</v>
      </c>
      <c r="B295" s="39" t="s">
        <v>41</v>
      </c>
      <c r="C295" s="39" t="s">
        <v>42</v>
      </c>
      <c r="D295" s="39" t="s">
        <v>43</v>
      </c>
      <c r="E295" s="39" t="s">
        <v>44</v>
      </c>
      <c r="F295" s="39" t="s">
        <v>45</v>
      </c>
    </row>
    <row r="296" spans="1:6" ht="22.5" x14ac:dyDescent="0.25">
      <c r="A296" s="40" t="s">
        <v>80</v>
      </c>
      <c r="B296" s="41" t="str">
        <f ca="1">IFERROR(INDEX(UNSPSCDes,MATCH(INDIRECT(ADDRESS(ROW(),COLUMN()-1,4)),UNSPSCCode,0)),IF(INDIRECT(ADDRESS(ROW(),COLUMN()-1,4))="60106004","Recursos o guías de proyectos o actividades de economía doméstica",""))</f>
        <v>Recursos o guías de proyectos o actividades de economía doméstica</v>
      </c>
      <c r="C296" s="42" t="str">
        <f>IFERROR(VLOOKUP("UD",'[1]Informacion '!P:Q,2,FALSE),"")</f>
        <v>Unidad</v>
      </c>
      <c r="D296" s="40">
        <v>1</v>
      </c>
      <c r="E296" s="43">
        <v>547500</v>
      </c>
      <c r="F296" s="44">
        <f ca="1">INDIRECT(ADDRESS(ROW(),COLUMN()-2,4))*INDIRECT(ADDRESS(ROW(),COLUMN()-1,4))</f>
        <v>547500</v>
      </c>
    </row>
    <row r="297" spans="1:6" x14ac:dyDescent="0.25">
      <c r="A297" s="40">
        <v>80161603</v>
      </c>
      <c r="B297" s="41" t="str">
        <f ca="1">IFERROR(INDEX(UNSPSCDes,MATCH(INDIRECT(ADDRESS(ROW(),COLUMN()-1,4)),UNSPSCCode,0)),IF(INDIRECT(ADDRESS(ROW(),COLUMN()-1,4))="60106004","Recursos o guías de proyectos o actividades de economía doméstica",""))</f>
        <v>Gestión o administración de proyectos de mobiliario</v>
      </c>
      <c r="C297" s="42" t="str">
        <f>IFERROR(VLOOKUP("UD",'[1]Informacion '!P:Q,2,FALSE),"")</f>
        <v>Unidad</v>
      </c>
      <c r="D297" s="40">
        <v>1</v>
      </c>
      <c r="E297" s="43">
        <v>547500</v>
      </c>
      <c r="F297" s="44">
        <f ca="1">INDIRECT(ADDRESS(ROW(),COLUMN()-2,4))*INDIRECT(ADDRESS(ROW(),COLUMN()-1,4))</f>
        <v>547500</v>
      </c>
    </row>
    <row r="298" spans="1:6" x14ac:dyDescent="0.25">
      <c r="E298" s="45" t="s">
        <v>47</v>
      </c>
      <c r="F298" s="46">
        <f ca="1">SUM(Table28[MONTO TOTAL ESTIMADO])</f>
        <v>1095000</v>
      </c>
    </row>
    <row r="299" spans="1:6" ht="17.25" thickBot="1" x14ac:dyDescent="0.3"/>
    <row r="300" spans="1:6" ht="23.25" thickBot="1" x14ac:dyDescent="0.3">
      <c r="A300" s="30" t="s">
        <v>18</v>
      </c>
      <c r="B300" s="30" t="s">
        <v>19</v>
      </c>
      <c r="C300" s="30" t="s">
        <v>20</v>
      </c>
      <c r="D300" s="30" t="s">
        <v>21</v>
      </c>
      <c r="E300" s="30" t="s">
        <v>22</v>
      </c>
      <c r="F300" s="30" t="s">
        <v>23</v>
      </c>
    </row>
    <row r="301" spans="1:6" ht="17.25" thickBot="1" x14ac:dyDescent="0.3">
      <c r="A301" s="31" t="s">
        <v>77</v>
      </c>
      <c r="B301" s="31" t="s">
        <v>78</v>
      </c>
      <c r="C301" s="31" t="s">
        <v>26</v>
      </c>
      <c r="D301" s="31" t="s">
        <v>50</v>
      </c>
      <c r="E301" s="31" t="s">
        <v>58</v>
      </c>
      <c r="F301" s="31"/>
    </row>
    <row r="302" spans="1:6" ht="17.25" thickBot="1" x14ac:dyDescent="0.3">
      <c r="A302" s="32" t="s">
        <v>29</v>
      </c>
      <c r="B302" s="33" t="s">
        <v>30</v>
      </c>
      <c r="C302" s="34">
        <v>45139</v>
      </c>
      <c r="D302" s="32" t="s">
        <v>31</v>
      </c>
      <c r="E302" s="35" t="s">
        <v>32</v>
      </c>
      <c r="F302" s="36" t="s">
        <v>33</v>
      </c>
    </row>
    <row r="303" spans="1:6" ht="17.25" thickBot="1" x14ac:dyDescent="0.3">
      <c r="A303" s="37"/>
      <c r="B303" s="33" t="s">
        <v>34</v>
      </c>
      <c r="C303" s="38">
        <f>IF(C302="","",IF(AND(MONTH(C302)&gt;=1,MONTH(C302)&lt;=3),1,IF(AND(MONTH(C302)&gt;=4,MONTH(C302)&lt;=6),2,IF(AND(MONTH(C302)&gt;=7,MONTH(C302)&lt;=9),3,4))))</f>
        <v>3</v>
      </c>
      <c r="D303" s="37"/>
      <c r="E303" s="35" t="s">
        <v>35</v>
      </c>
      <c r="F303" s="36" t="s">
        <v>36</v>
      </c>
    </row>
    <row r="304" spans="1:6" ht="17.25" thickBot="1" x14ac:dyDescent="0.3">
      <c r="A304" s="37"/>
      <c r="B304" s="33" t="s">
        <v>37</v>
      </c>
      <c r="C304" s="34">
        <v>45198</v>
      </c>
      <c r="D304" s="37"/>
      <c r="E304" s="35" t="s">
        <v>38</v>
      </c>
      <c r="F304" s="36" t="s">
        <v>36</v>
      </c>
    </row>
    <row r="305" spans="1:6" ht="17.25" thickBot="1" x14ac:dyDescent="0.3">
      <c r="A305" s="37"/>
      <c r="B305" s="33" t="s">
        <v>34</v>
      </c>
      <c r="C305" s="38">
        <f>IF(C304="","",IF(AND(MONTH(C304)&gt;=1,MONTH(C304)&lt;=3),1,IF(AND(MONTH(C304)&gt;=4,MONTH(C304)&lt;=6),2,IF(AND(MONTH(C304)&gt;=7,MONTH(C304)&lt;=9),3,4))))</f>
        <v>3</v>
      </c>
      <c r="D305" s="37"/>
      <c r="E305" s="35" t="s">
        <v>39</v>
      </c>
      <c r="F305" s="36"/>
    </row>
    <row r="306" spans="1:6" ht="17.25" thickBot="1" x14ac:dyDescent="0.3"/>
    <row r="307" spans="1:6" ht="17.25" thickBot="1" x14ac:dyDescent="0.3">
      <c r="A307" s="39" t="s">
        <v>40</v>
      </c>
      <c r="B307" s="39" t="s">
        <v>41</v>
      </c>
      <c r="C307" s="39" t="s">
        <v>42</v>
      </c>
      <c r="D307" s="39" t="s">
        <v>43</v>
      </c>
      <c r="E307" s="39" t="s">
        <v>44</v>
      </c>
      <c r="F307" s="39" t="s">
        <v>45</v>
      </c>
    </row>
    <row r="308" spans="1:6" ht="22.5" x14ac:dyDescent="0.25">
      <c r="A308" s="40" t="s">
        <v>80</v>
      </c>
      <c r="B308" s="41" t="str">
        <f ca="1">IFERROR(INDEX(UNSPSCDes,MATCH(INDIRECT(ADDRESS(ROW(),COLUMN()-1,4)),UNSPSCCode,0)),IF(INDIRECT(ADDRESS(ROW(),COLUMN()-1,4))="60106004","Recursos o guías de proyectos o actividades de economía doméstica",""))</f>
        <v>Recursos o guías de proyectos o actividades de economía doméstica</v>
      </c>
      <c r="C308" s="42" t="str">
        <f>IFERROR(VLOOKUP("UD",'[1]Informacion '!P:Q,2,FALSE),"")</f>
        <v>Unidad</v>
      </c>
      <c r="D308" s="40">
        <v>1</v>
      </c>
      <c r="E308" s="43">
        <v>1000000</v>
      </c>
      <c r="F308" s="44">
        <f ca="1">INDIRECT(ADDRESS(ROW(),COLUMN()-2,4))*INDIRECT(ADDRESS(ROW(),COLUMN()-1,4))</f>
        <v>1000000</v>
      </c>
    </row>
    <row r="309" spans="1:6" x14ac:dyDescent="0.25">
      <c r="A309" s="40" t="s">
        <v>81</v>
      </c>
      <c r="B309" s="41" t="str">
        <f ca="1">IFERROR(INDEX(UNSPSCDes,MATCH(INDIRECT(ADDRESS(ROW(),COLUMN()-1,4)),UNSPSCCode,0)),IF(INDIRECT(ADDRESS(ROW(),COLUMN()-1,4))="82141504","Servicios de diseño de gráficos o gráficas",""))</f>
        <v>Servicios de diseño de gráficos o gráficas</v>
      </c>
      <c r="C309" s="42" t="str">
        <f>IFERROR(VLOOKUP("UD",'[1]Informacion '!P:Q,2,FALSE),"")</f>
        <v>Unidad</v>
      </c>
      <c r="D309" s="40">
        <v>1</v>
      </c>
      <c r="E309" s="43">
        <v>1000000</v>
      </c>
      <c r="F309" s="44">
        <f ca="1">INDIRECT(ADDRESS(ROW(),COLUMN()-2,4))*INDIRECT(ADDRESS(ROW(),COLUMN()-1,4))</f>
        <v>1000000</v>
      </c>
    </row>
    <row r="310" spans="1:6" x14ac:dyDescent="0.25">
      <c r="E310" s="45" t="s">
        <v>47</v>
      </c>
      <c r="F310" s="46">
        <f ca="1">SUM(Table29[MONTO TOTAL ESTIMADO])</f>
        <v>2000000</v>
      </c>
    </row>
    <row r="311" spans="1:6" ht="17.25" thickBot="1" x14ac:dyDescent="0.3"/>
    <row r="312" spans="1:6" ht="23.25" thickBot="1" x14ac:dyDescent="0.3">
      <c r="A312" s="30" t="s">
        <v>18</v>
      </c>
      <c r="B312" s="30" t="s">
        <v>19</v>
      </c>
      <c r="C312" s="30" t="s">
        <v>20</v>
      </c>
      <c r="D312" s="30" t="s">
        <v>21</v>
      </c>
      <c r="E312" s="30" t="s">
        <v>22</v>
      </c>
      <c r="F312" s="30" t="s">
        <v>23</v>
      </c>
    </row>
    <row r="313" spans="1:6" ht="17.25" thickBot="1" x14ac:dyDescent="0.3">
      <c r="A313" s="31" t="s">
        <v>77</v>
      </c>
      <c r="B313" s="31" t="s">
        <v>78</v>
      </c>
      <c r="C313" s="31" t="s">
        <v>26</v>
      </c>
      <c r="D313" s="31" t="s">
        <v>27</v>
      </c>
      <c r="E313" s="31" t="s">
        <v>58</v>
      </c>
      <c r="F313" s="31"/>
    </row>
    <row r="314" spans="1:6" ht="17.25" thickBot="1" x14ac:dyDescent="0.3">
      <c r="A314" s="32" t="s">
        <v>29</v>
      </c>
      <c r="B314" s="33" t="s">
        <v>30</v>
      </c>
      <c r="C314" s="34">
        <v>41183</v>
      </c>
      <c r="D314" s="32" t="s">
        <v>31</v>
      </c>
      <c r="E314" s="35" t="s">
        <v>32</v>
      </c>
      <c r="F314" s="36" t="s">
        <v>33</v>
      </c>
    </row>
    <row r="315" spans="1:6" ht="17.25" thickBot="1" x14ac:dyDescent="0.3">
      <c r="A315" s="37"/>
      <c r="B315" s="33" t="s">
        <v>34</v>
      </c>
      <c r="C315" s="38">
        <f>IF(C314="","",IF(AND(MONTH(C314)&gt;=1,MONTH(C314)&lt;=3),1,IF(AND(MONTH(C314)&gt;=4,MONTH(C314)&lt;=6),2,IF(AND(MONTH(C314)&gt;=7,MONTH(C314)&lt;=9),3,4))))</f>
        <v>4</v>
      </c>
      <c r="D315" s="37"/>
      <c r="E315" s="35" t="s">
        <v>35</v>
      </c>
      <c r="F315" s="36" t="s">
        <v>36</v>
      </c>
    </row>
    <row r="316" spans="1:6" ht="17.25" thickBot="1" x14ac:dyDescent="0.3">
      <c r="A316" s="37"/>
      <c r="B316" s="33" t="s">
        <v>37</v>
      </c>
      <c r="C316" s="34">
        <v>45290</v>
      </c>
      <c r="D316" s="37"/>
      <c r="E316" s="35" t="s">
        <v>38</v>
      </c>
      <c r="F316" s="36" t="s">
        <v>36</v>
      </c>
    </row>
    <row r="317" spans="1:6" ht="17.25" thickBot="1" x14ac:dyDescent="0.3">
      <c r="A317" s="37"/>
      <c r="B317" s="33" t="s">
        <v>34</v>
      </c>
      <c r="C317" s="38">
        <f>IF(C316="","",IF(AND(MONTH(C316)&gt;=1,MONTH(C316)&lt;=3),1,IF(AND(MONTH(C316)&gt;=4,MONTH(C316)&lt;=6),2,IF(AND(MONTH(C316)&gt;=7,MONTH(C316)&lt;=9),3,4))))</f>
        <v>4</v>
      </c>
      <c r="D317" s="37"/>
      <c r="E317" s="35" t="s">
        <v>39</v>
      </c>
      <c r="F317" s="36"/>
    </row>
    <row r="318" spans="1:6" ht="17.25" thickBot="1" x14ac:dyDescent="0.3"/>
    <row r="319" spans="1:6" ht="17.25" thickBot="1" x14ac:dyDescent="0.3">
      <c r="A319" s="39" t="s">
        <v>40</v>
      </c>
      <c r="B319" s="39" t="s">
        <v>41</v>
      </c>
      <c r="C319" s="39" t="s">
        <v>42</v>
      </c>
      <c r="D319" s="39" t="s">
        <v>43</v>
      </c>
      <c r="E319" s="39" t="s">
        <v>44</v>
      </c>
      <c r="F319" s="39" t="s">
        <v>45</v>
      </c>
    </row>
    <row r="320" spans="1:6" ht="22.5" x14ac:dyDescent="0.25">
      <c r="A320" s="40" t="s">
        <v>80</v>
      </c>
      <c r="B320" s="41" t="str">
        <f ca="1">IFERROR(INDEX(UNSPSCDes,MATCH(INDIRECT(ADDRESS(ROW(),COLUMN()-1,4)),UNSPSCCode,0)),IF(INDIRECT(ADDRESS(ROW(),COLUMN()-1,4))="60106004","Recursos o guías de proyectos o actividades de economía doméstica",""))</f>
        <v>Recursos o guías de proyectos o actividades de economía doméstica</v>
      </c>
      <c r="C320" s="42" t="str">
        <f>IFERROR(VLOOKUP("UD",'[1]Informacion '!P:Q,2,FALSE),"")</f>
        <v>Unidad</v>
      </c>
      <c r="D320" s="40">
        <v>1</v>
      </c>
      <c r="E320" s="43">
        <v>600000</v>
      </c>
      <c r="F320" s="44">
        <f ca="1">INDIRECT(ADDRESS(ROW(),COLUMN()-2,4))*INDIRECT(ADDRESS(ROW(),COLUMN()-1,4))</f>
        <v>600000</v>
      </c>
    </row>
    <row r="321" spans="1:6" x14ac:dyDescent="0.25">
      <c r="A321" s="40" t="s">
        <v>81</v>
      </c>
      <c r="B321" s="41" t="str">
        <f ca="1">IFERROR(INDEX(UNSPSCDes,MATCH(INDIRECT(ADDRESS(ROW(),COLUMN()-1,4)),UNSPSCCode,0)),IF(INDIRECT(ADDRESS(ROW(),COLUMN()-1,4))="82141504","Servicios de diseño de gráficos o gráficas",""))</f>
        <v>Servicios de diseño de gráficos o gráficas</v>
      </c>
      <c r="C321" s="42" t="str">
        <f>IFERROR(VLOOKUP("UD",'[1]Informacion '!P:Q,2,FALSE),"")</f>
        <v>Unidad</v>
      </c>
      <c r="D321" s="40">
        <v>1</v>
      </c>
      <c r="E321" s="43">
        <v>600000</v>
      </c>
      <c r="F321" s="44">
        <f ca="1">INDIRECT(ADDRESS(ROW(),COLUMN()-2,4))*INDIRECT(ADDRESS(ROW(),COLUMN()-1,4))</f>
        <v>600000</v>
      </c>
    </row>
    <row r="322" spans="1:6" x14ac:dyDescent="0.25">
      <c r="A322" s="40" t="s">
        <v>82</v>
      </c>
      <c r="B322" s="41" t="str">
        <f ca="1">IFERROR(INDEX(UNSPSCDes,MATCH(INDIRECT(ADDRESS(ROW(),COLUMN()-1,4)),UNSPSCCode,0)),IF(INDIRECT(ADDRESS(ROW(),COLUMN()-1,4))="80141602","Servicios de relaciones públicas",""))</f>
        <v>Servicios de relaciones públicas</v>
      </c>
      <c r="C322" s="42" t="str">
        <f>IFERROR(VLOOKUP("UD",'[1]Informacion '!P:Q,2,FALSE),"")</f>
        <v>Unidad</v>
      </c>
      <c r="D322" s="40">
        <v>1</v>
      </c>
      <c r="E322" s="43">
        <v>600000</v>
      </c>
      <c r="F322" s="44">
        <f ca="1">INDIRECT(ADDRESS(ROW(),COLUMN()-2,4))*INDIRECT(ADDRESS(ROW(),COLUMN()-1,4))</f>
        <v>600000</v>
      </c>
    </row>
    <row r="323" spans="1:6" x14ac:dyDescent="0.25">
      <c r="E323" s="45" t="s">
        <v>47</v>
      </c>
      <c r="F323" s="46">
        <f ca="1">SUM(Table30[MONTO TOTAL ESTIMADO])</f>
        <v>1800000</v>
      </c>
    </row>
    <row r="324" spans="1:6" ht="17.25" thickBot="1" x14ac:dyDescent="0.3"/>
    <row r="325" spans="1:6" ht="23.25" thickBot="1" x14ac:dyDescent="0.3">
      <c r="A325" s="30" t="s">
        <v>18</v>
      </c>
      <c r="B325" s="30" t="s">
        <v>19</v>
      </c>
      <c r="C325" s="30" t="s">
        <v>20</v>
      </c>
      <c r="D325" s="30" t="s">
        <v>21</v>
      </c>
      <c r="E325" s="30" t="s">
        <v>22</v>
      </c>
      <c r="F325" s="30" t="s">
        <v>23</v>
      </c>
    </row>
    <row r="326" spans="1:6" ht="17.25" thickBot="1" x14ac:dyDescent="0.3">
      <c r="A326" s="31" t="s">
        <v>83</v>
      </c>
      <c r="B326" s="31" t="s">
        <v>84</v>
      </c>
      <c r="C326" s="31" t="s">
        <v>26</v>
      </c>
      <c r="D326" s="31" t="s">
        <v>52</v>
      </c>
      <c r="E326" s="31" t="s">
        <v>58</v>
      </c>
      <c r="F326" s="31"/>
    </row>
    <row r="327" spans="1:6" ht="17.25" thickBot="1" x14ac:dyDescent="0.3">
      <c r="A327" s="32" t="s">
        <v>29</v>
      </c>
      <c r="B327" s="33" t="s">
        <v>30</v>
      </c>
      <c r="C327" s="34">
        <v>44958</v>
      </c>
      <c r="D327" s="32" t="s">
        <v>31</v>
      </c>
      <c r="E327" s="35" t="s">
        <v>32</v>
      </c>
      <c r="F327" s="36" t="s">
        <v>33</v>
      </c>
    </row>
    <row r="328" spans="1:6" ht="17.25" thickBot="1" x14ac:dyDescent="0.3">
      <c r="A328" s="37"/>
      <c r="B328" s="33" t="s">
        <v>34</v>
      </c>
      <c r="C328" s="38">
        <f>IF(C327="","",IF(AND(MONTH(C327)&gt;=1,MONTH(C327)&lt;=3),1,IF(AND(MONTH(C327)&gt;=4,MONTH(C327)&lt;=6),2,IF(AND(MONTH(C327)&gt;=7,MONTH(C327)&lt;=9),3,4))))</f>
        <v>1</v>
      </c>
      <c r="D328" s="37"/>
      <c r="E328" s="35" t="s">
        <v>35</v>
      </c>
      <c r="F328" s="36" t="s">
        <v>36</v>
      </c>
    </row>
    <row r="329" spans="1:6" ht="17.25" thickBot="1" x14ac:dyDescent="0.3">
      <c r="A329" s="37"/>
      <c r="B329" s="33" t="s">
        <v>37</v>
      </c>
      <c r="C329" s="34">
        <v>45015</v>
      </c>
      <c r="D329" s="37"/>
      <c r="E329" s="35" t="s">
        <v>38</v>
      </c>
      <c r="F329" s="36" t="s">
        <v>36</v>
      </c>
    </row>
    <row r="330" spans="1:6" ht="17.25" thickBot="1" x14ac:dyDescent="0.3">
      <c r="A330" s="37"/>
      <c r="B330" s="33" t="s">
        <v>34</v>
      </c>
      <c r="C330" s="38">
        <f>IF(C329="","",IF(AND(MONTH(C329)&gt;=1,MONTH(C329)&lt;=3),1,IF(AND(MONTH(C329)&gt;=4,MONTH(C329)&lt;=6),2,IF(AND(MONTH(C329)&gt;=7,MONTH(C329)&lt;=9),3,4))))</f>
        <v>1</v>
      </c>
      <c r="D330" s="37"/>
      <c r="E330" s="35" t="s">
        <v>39</v>
      </c>
      <c r="F330" s="36" t="s">
        <v>36</v>
      </c>
    </row>
    <row r="331" spans="1:6" ht="17.25" thickBot="1" x14ac:dyDescent="0.3"/>
    <row r="332" spans="1:6" ht="17.25" thickBot="1" x14ac:dyDescent="0.3">
      <c r="A332" s="39" t="s">
        <v>40</v>
      </c>
      <c r="B332" s="39" t="s">
        <v>41</v>
      </c>
      <c r="C332" s="39" t="s">
        <v>42</v>
      </c>
      <c r="D332" s="39" t="s">
        <v>43</v>
      </c>
      <c r="E332" s="39" t="s">
        <v>44</v>
      </c>
      <c r="F332" s="39" t="s">
        <v>45</v>
      </c>
    </row>
    <row r="333" spans="1:6" x14ac:dyDescent="0.25">
      <c r="A333" s="40" t="s">
        <v>85</v>
      </c>
      <c r="B333" s="41" t="str">
        <f ca="1">IFERROR(INDEX(UNSPSCDes,MATCH(INDIRECT(ADDRESS(ROW(),COLUMN()-1,4)),UNSPSCCode,0)),IF(INDIRECT(ADDRESS(ROW(),COLUMN()-1,4))="90101802","Servicios de comidas a domicilio",""))</f>
        <v>Servicios de comidas a domicilio</v>
      </c>
      <c r="C333" s="42" t="str">
        <f>IFERROR(VLOOKUP("UD",'[1]Informacion '!P:Q,2,FALSE),"")</f>
        <v>Unidad</v>
      </c>
      <c r="D333" s="40">
        <v>1</v>
      </c>
      <c r="E333" s="43">
        <v>5000000</v>
      </c>
      <c r="F333" s="44">
        <f ca="1">INDIRECT(ADDRESS(ROW(),COLUMN()-2,4))*INDIRECT(ADDRESS(ROW(),COLUMN()-1,4))</f>
        <v>5000000</v>
      </c>
    </row>
    <row r="334" spans="1:6" x14ac:dyDescent="0.25">
      <c r="E334" s="45" t="s">
        <v>47</v>
      </c>
      <c r="F334" s="46">
        <f ca="1">SUM(Table31[MONTO TOTAL ESTIMADO])</f>
        <v>5000000</v>
      </c>
    </row>
    <row r="335" spans="1:6" ht="17.25" thickBot="1" x14ac:dyDescent="0.3"/>
    <row r="336" spans="1:6" ht="23.25" thickBot="1" x14ac:dyDescent="0.3">
      <c r="A336" s="30" t="s">
        <v>18</v>
      </c>
      <c r="B336" s="30" t="s">
        <v>19</v>
      </c>
      <c r="C336" s="30" t="s">
        <v>20</v>
      </c>
      <c r="D336" s="30" t="s">
        <v>21</v>
      </c>
      <c r="E336" s="30" t="s">
        <v>22</v>
      </c>
      <c r="F336" s="30" t="s">
        <v>23</v>
      </c>
    </row>
    <row r="337" spans="1:6" ht="17.25" thickBot="1" x14ac:dyDescent="0.3">
      <c r="A337" s="31" t="s">
        <v>83</v>
      </c>
      <c r="B337" s="31" t="s">
        <v>84</v>
      </c>
      <c r="C337" s="31" t="s">
        <v>26</v>
      </c>
      <c r="D337" s="31" t="s">
        <v>52</v>
      </c>
      <c r="E337" s="31" t="s">
        <v>58</v>
      </c>
      <c r="F337" s="31"/>
    </row>
    <row r="338" spans="1:6" ht="17.25" thickBot="1" x14ac:dyDescent="0.3">
      <c r="A338" s="32" t="s">
        <v>29</v>
      </c>
      <c r="B338" s="33" t="s">
        <v>30</v>
      </c>
      <c r="C338" s="34">
        <v>45017</v>
      </c>
      <c r="D338" s="32" t="s">
        <v>31</v>
      </c>
      <c r="E338" s="35" t="s">
        <v>32</v>
      </c>
      <c r="F338" s="36" t="s">
        <v>33</v>
      </c>
    </row>
    <row r="339" spans="1:6" ht="17.25" thickBot="1" x14ac:dyDescent="0.3">
      <c r="A339" s="37"/>
      <c r="B339" s="33" t="s">
        <v>34</v>
      </c>
      <c r="C339" s="38">
        <f>IF(C338="","",IF(AND(MONTH(C338)&gt;=1,MONTH(C338)&lt;=3),1,IF(AND(MONTH(C338)&gt;=4,MONTH(C338)&lt;=6),2,IF(AND(MONTH(C338)&gt;=7,MONTH(C338)&lt;=9),3,4))))</f>
        <v>2</v>
      </c>
      <c r="D339" s="37"/>
      <c r="E339" s="35" t="s">
        <v>35</v>
      </c>
      <c r="F339" s="36" t="s">
        <v>36</v>
      </c>
    </row>
    <row r="340" spans="1:6" ht="17.25" thickBot="1" x14ac:dyDescent="0.3">
      <c r="A340" s="37"/>
      <c r="B340" s="33" t="s">
        <v>37</v>
      </c>
      <c r="C340" s="34">
        <v>45107</v>
      </c>
      <c r="D340" s="37"/>
      <c r="E340" s="35" t="s">
        <v>38</v>
      </c>
      <c r="F340" s="36" t="s">
        <v>36</v>
      </c>
    </row>
    <row r="341" spans="1:6" ht="17.25" thickBot="1" x14ac:dyDescent="0.3">
      <c r="A341" s="37"/>
      <c r="B341" s="33" t="s">
        <v>34</v>
      </c>
      <c r="C341" s="38">
        <f>IF(C340="","",IF(AND(MONTH(C340)&gt;=1,MONTH(C340)&lt;=3),1,IF(AND(MONTH(C340)&gt;=4,MONTH(C340)&lt;=6),2,IF(AND(MONTH(C340)&gt;=7,MONTH(C340)&lt;=9),3,4))))</f>
        <v>2</v>
      </c>
      <c r="D341" s="37"/>
      <c r="E341" s="35" t="s">
        <v>39</v>
      </c>
      <c r="F341" s="36" t="s">
        <v>36</v>
      </c>
    </row>
    <row r="342" spans="1:6" ht="17.25" thickBot="1" x14ac:dyDescent="0.3"/>
    <row r="343" spans="1:6" ht="17.25" thickBot="1" x14ac:dyDescent="0.3">
      <c r="A343" s="39" t="s">
        <v>40</v>
      </c>
      <c r="B343" s="39" t="s">
        <v>41</v>
      </c>
      <c r="C343" s="39" t="s">
        <v>42</v>
      </c>
      <c r="D343" s="39" t="s">
        <v>43</v>
      </c>
      <c r="E343" s="39" t="s">
        <v>44</v>
      </c>
      <c r="F343" s="39" t="s">
        <v>45</v>
      </c>
    </row>
    <row r="344" spans="1:6" x14ac:dyDescent="0.25">
      <c r="A344" s="40" t="s">
        <v>85</v>
      </c>
      <c r="B344" s="41" t="str">
        <f ca="1">IFERROR(INDEX(UNSPSCDes,MATCH(INDIRECT(ADDRESS(ROW(),COLUMN()-1,4)),UNSPSCCode,0)),IF(INDIRECT(ADDRESS(ROW(),COLUMN()-1,4))="90101802","Servicios de comidas a domicilio",""))</f>
        <v>Servicios de comidas a domicilio</v>
      </c>
      <c r="C344" s="42" t="str">
        <f>IFERROR(VLOOKUP("UD",'[1]Informacion '!P:Q,2,FALSE),"")</f>
        <v>Unidad</v>
      </c>
      <c r="D344" s="40">
        <v>1</v>
      </c>
      <c r="E344" s="43">
        <v>5000000</v>
      </c>
      <c r="F344" s="44">
        <f ca="1">INDIRECT(ADDRESS(ROW(),COLUMN()-2,4))*INDIRECT(ADDRESS(ROW(),COLUMN()-1,4))</f>
        <v>5000000</v>
      </c>
    </row>
    <row r="345" spans="1:6" x14ac:dyDescent="0.25">
      <c r="E345" s="45" t="s">
        <v>47</v>
      </c>
      <c r="F345" s="46">
        <f ca="1">SUM(Table32[MONTO TOTAL ESTIMADO])</f>
        <v>5000000</v>
      </c>
    </row>
    <row r="346" spans="1:6" ht="17.25" thickBot="1" x14ac:dyDescent="0.3"/>
    <row r="347" spans="1:6" ht="23.25" thickBot="1" x14ac:dyDescent="0.3">
      <c r="A347" s="30" t="s">
        <v>18</v>
      </c>
      <c r="B347" s="30" t="s">
        <v>19</v>
      </c>
      <c r="C347" s="30" t="s">
        <v>20</v>
      </c>
      <c r="D347" s="30" t="s">
        <v>21</v>
      </c>
      <c r="E347" s="30" t="s">
        <v>22</v>
      </c>
      <c r="F347" s="30" t="s">
        <v>23</v>
      </c>
    </row>
    <row r="348" spans="1:6" ht="17.25" thickBot="1" x14ac:dyDescent="0.3">
      <c r="A348" s="31" t="s">
        <v>86</v>
      </c>
      <c r="B348" s="31" t="s">
        <v>87</v>
      </c>
      <c r="C348" s="31" t="s">
        <v>26</v>
      </c>
      <c r="D348" s="31" t="s">
        <v>50</v>
      </c>
      <c r="E348" s="31" t="s">
        <v>28</v>
      </c>
      <c r="F348" s="31"/>
    </row>
    <row r="349" spans="1:6" ht="17.25" thickBot="1" x14ac:dyDescent="0.3">
      <c r="A349" s="32" t="s">
        <v>29</v>
      </c>
      <c r="B349" s="33" t="s">
        <v>30</v>
      </c>
      <c r="C349" s="34">
        <v>44958</v>
      </c>
      <c r="D349" s="32" t="s">
        <v>31</v>
      </c>
      <c r="E349" s="35" t="s">
        <v>32</v>
      </c>
      <c r="F349" s="36" t="s">
        <v>33</v>
      </c>
    </row>
    <row r="350" spans="1:6" ht="17.25" thickBot="1" x14ac:dyDescent="0.3">
      <c r="A350" s="37"/>
      <c r="B350" s="33" t="s">
        <v>34</v>
      </c>
      <c r="C350" s="38">
        <f>IF(C349="","",IF(AND(MONTH(C349)&gt;=1,MONTH(C349)&lt;=3),1,IF(AND(MONTH(C349)&gt;=4,MONTH(C349)&lt;=6),2,IF(AND(MONTH(C349)&gt;=7,MONTH(C349)&lt;=9),3,4))))</f>
        <v>1</v>
      </c>
      <c r="D350" s="37"/>
      <c r="E350" s="35" t="s">
        <v>35</v>
      </c>
      <c r="F350" s="36" t="s">
        <v>36</v>
      </c>
    </row>
    <row r="351" spans="1:6" ht="17.25" thickBot="1" x14ac:dyDescent="0.3">
      <c r="A351" s="37"/>
      <c r="B351" s="33" t="s">
        <v>37</v>
      </c>
      <c r="C351" s="34">
        <v>45015</v>
      </c>
      <c r="D351" s="37"/>
      <c r="E351" s="35" t="s">
        <v>38</v>
      </c>
      <c r="F351" s="36" t="s">
        <v>36</v>
      </c>
    </row>
    <row r="352" spans="1:6" ht="17.25" thickBot="1" x14ac:dyDescent="0.3">
      <c r="A352" s="37"/>
      <c r="B352" s="33" t="s">
        <v>34</v>
      </c>
      <c r="C352" s="38">
        <f>IF(C351="","",IF(AND(MONTH(C351)&gt;=1,MONTH(C351)&lt;=3),1,IF(AND(MONTH(C351)&gt;=4,MONTH(C351)&lt;=6),2,IF(AND(MONTH(C351)&gt;=7,MONTH(C351)&lt;=9),3,4))))</f>
        <v>1</v>
      </c>
      <c r="D352" s="37"/>
      <c r="E352" s="35" t="s">
        <v>39</v>
      </c>
      <c r="F352" s="36" t="s">
        <v>36</v>
      </c>
    </row>
    <row r="353" spans="1:6" ht="17.25" thickBot="1" x14ac:dyDescent="0.3"/>
    <row r="354" spans="1:6" ht="17.25" thickBot="1" x14ac:dyDescent="0.3">
      <c r="A354" s="39" t="s">
        <v>40</v>
      </c>
      <c r="B354" s="39" t="s">
        <v>41</v>
      </c>
      <c r="C354" s="39" t="s">
        <v>42</v>
      </c>
      <c r="D354" s="39" t="s">
        <v>43</v>
      </c>
      <c r="E354" s="39" t="s">
        <v>44</v>
      </c>
      <c r="F354" s="39" t="s">
        <v>45</v>
      </c>
    </row>
    <row r="355" spans="1:6" x14ac:dyDescent="0.25">
      <c r="A355" s="40" t="s">
        <v>88</v>
      </c>
      <c r="B355" s="41" t="str">
        <f ca="1">IFERROR(INDEX(UNSPSCDes,MATCH(INDIRECT(ADDRESS(ROW(),COLUMN()-1,4)),UNSPSCCode,0)),IF(INDIRECT(ADDRESS(ROW(),COLUMN()-1,4))="90101604","Servicios de cáterin en la obra o lugar de trabajo",""))</f>
        <v>Servicios de cáterin en la obra o lugar de trabajo</v>
      </c>
      <c r="C355" s="42" t="str">
        <f>IFERROR(VLOOKUP("UD",'[1]Informacion '!P:Q,2,FALSE),"")</f>
        <v>Unidad</v>
      </c>
      <c r="D355" s="40">
        <v>1</v>
      </c>
      <c r="E355" s="43">
        <v>300000</v>
      </c>
      <c r="F355" s="44">
        <f ca="1">INDIRECT(ADDRESS(ROW(),COLUMN()-2,4))*INDIRECT(ADDRESS(ROW(),COLUMN()-1,4))</f>
        <v>300000</v>
      </c>
    </row>
    <row r="356" spans="1:6" x14ac:dyDescent="0.25">
      <c r="A356" s="40">
        <v>90101603</v>
      </c>
      <c r="B356" s="41" t="str">
        <f ca="1">IFERROR(INDEX(UNSPSCDes,MATCH(INDIRECT(ADDRESS(ROW(),COLUMN()-1,4)),UNSPSCCode,0)),IF(INDIRECT(ADDRESS(ROW(),COLUMN()-1,4))="90101604","Servicios de cáterin en la obra o lugar de trabajo",""))</f>
        <v>Servicios de cáterin</v>
      </c>
      <c r="C356" s="42" t="str">
        <f>IFERROR(VLOOKUP("UD",'[1]Informacion '!P:Q,2,FALSE),"")</f>
        <v>Unidad</v>
      </c>
      <c r="D356" s="40">
        <v>1</v>
      </c>
      <c r="E356" s="43">
        <v>450000</v>
      </c>
      <c r="F356" s="44">
        <f ca="1">INDIRECT(ADDRESS(ROW(),COLUMN()-2,4))*INDIRECT(ADDRESS(ROW(),COLUMN()-1,4))</f>
        <v>450000</v>
      </c>
    </row>
    <row r="357" spans="1:6" x14ac:dyDescent="0.25">
      <c r="E357" s="45" t="s">
        <v>47</v>
      </c>
      <c r="F357" s="46">
        <f ca="1">SUM(Table33[MONTO TOTAL ESTIMADO])</f>
        <v>750000</v>
      </c>
    </row>
    <row r="358" spans="1:6" ht="17.25" thickBot="1" x14ac:dyDescent="0.3"/>
    <row r="359" spans="1:6" ht="23.25" thickBot="1" x14ac:dyDescent="0.3">
      <c r="A359" s="30" t="s">
        <v>18</v>
      </c>
      <c r="B359" s="30" t="s">
        <v>19</v>
      </c>
      <c r="C359" s="30" t="s">
        <v>20</v>
      </c>
      <c r="D359" s="30" t="s">
        <v>21</v>
      </c>
      <c r="E359" s="30" t="s">
        <v>22</v>
      </c>
      <c r="F359" s="30" t="s">
        <v>23</v>
      </c>
    </row>
    <row r="360" spans="1:6" ht="17.25" thickBot="1" x14ac:dyDescent="0.3">
      <c r="A360" s="31" t="s">
        <v>86</v>
      </c>
      <c r="B360" s="31" t="s">
        <v>87</v>
      </c>
      <c r="C360" s="31" t="s">
        <v>26</v>
      </c>
      <c r="D360" s="31" t="s">
        <v>50</v>
      </c>
      <c r="E360" s="31" t="s">
        <v>28</v>
      </c>
      <c r="F360" s="31"/>
    </row>
    <row r="361" spans="1:6" ht="17.25" thickBot="1" x14ac:dyDescent="0.3">
      <c r="A361" s="32" t="s">
        <v>29</v>
      </c>
      <c r="B361" s="33" t="s">
        <v>30</v>
      </c>
      <c r="C361" s="34">
        <v>45108</v>
      </c>
      <c r="D361" s="32" t="s">
        <v>31</v>
      </c>
      <c r="E361" s="35" t="s">
        <v>32</v>
      </c>
      <c r="F361" s="36" t="s">
        <v>33</v>
      </c>
    </row>
    <row r="362" spans="1:6" ht="17.25" thickBot="1" x14ac:dyDescent="0.3">
      <c r="A362" s="37"/>
      <c r="B362" s="33" t="s">
        <v>34</v>
      </c>
      <c r="C362" s="38">
        <f>IF(C361="","",IF(AND(MONTH(C361)&gt;=1,MONTH(C361)&lt;=3),1,IF(AND(MONTH(C361)&gt;=4,MONTH(C361)&lt;=6),2,IF(AND(MONTH(C361)&gt;=7,MONTH(C361)&lt;=9),3,4))))</f>
        <v>3</v>
      </c>
      <c r="D362" s="37"/>
      <c r="E362" s="35" t="s">
        <v>35</v>
      </c>
      <c r="F362" s="36" t="s">
        <v>36</v>
      </c>
    </row>
    <row r="363" spans="1:6" ht="17.25" thickBot="1" x14ac:dyDescent="0.3">
      <c r="A363" s="37"/>
      <c r="B363" s="33" t="s">
        <v>37</v>
      </c>
      <c r="C363" s="34">
        <v>45199</v>
      </c>
      <c r="D363" s="37"/>
      <c r="E363" s="35" t="s">
        <v>38</v>
      </c>
      <c r="F363" s="36" t="s">
        <v>36</v>
      </c>
    </row>
    <row r="364" spans="1:6" ht="17.25" thickBot="1" x14ac:dyDescent="0.3">
      <c r="A364" s="37"/>
      <c r="B364" s="33" t="s">
        <v>34</v>
      </c>
      <c r="C364" s="38">
        <f>IF(C363="","",IF(AND(MONTH(C363)&gt;=1,MONTH(C363)&lt;=3),1,IF(AND(MONTH(C363)&gt;=4,MONTH(C363)&lt;=6),2,IF(AND(MONTH(C363)&gt;=7,MONTH(C363)&lt;=9),3,4))))</f>
        <v>3</v>
      </c>
      <c r="D364" s="37"/>
      <c r="E364" s="35" t="s">
        <v>39</v>
      </c>
      <c r="F364" s="36" t="s">
        <v>36</v>
      </c>
    </row>
    <row r="365" spans="1:6" ht="17.25" thickBot="1" x14ac:dyDescent="0.3"/>
    <row r="366" spans="1:6" ht="17.25" thickBot="1" x14ac:dyDescent="0.3">
      <c r="A366" s="39" t="s">
        <v>40</v>
      </c>
      <c r="B366" s="39" t="s">
        <v>41</v>
      </c>
      <c r="C366" s="39" t="s">
        <v>42</v>
      </c>
      <c r="D366" s="39" t="s">
        <v>43</v>
      </c>
      <c r="E366" s="39" t="s">
        <v>44</v>
      </c>
      <c r="F366" s="39" t="s">
        <v>45</v>
      </c>
    </row>
    <row r="367" spans="1:6" x14ac:dyDescent="0.25">
      <c r="A367" s="40" t="s">
        <v>88</v>
      </c>
      <c r="B367" s="41" t="str">
        <f ca="1">IFERROR(INDEX(UNSPSCDes,MATCH(INDIRECT(ADDRESS(ROW(),COLUMN()-1,4)),UNSPSCCode,0)),IF(INDIRECT(ADDRESS(ROW(),COLUMN()-1,4))="90101604","Servicios de cáterin en la obra o lugar de trabajo",""))</f>
        <v>Servicios de cáterin en la obra o lugar de trabajo</v>
      </c>
      <c r="C367" s="42" t="str">
        <f>IFERROR(VLOOKUP("UD",'[1]Informacion '!P:Q,2,FALSE),"")</f>
        <v>Unidad</v>
      </c>
      <c r="D367" s="40">
        <v>1</v>
      </c>
      <c r="E367" s="43">
        <v>300000</v>
      </c>
      <c r="F367" s="44">
        <f ca="1">INDIRECT(ADDRESS(ROW(),COLUMN()-2,4))*INDIRECT(ADDRESS(ROW(),COLUMN()-1,4))</f>
        <v>300000</v>
      </c>
    </row>
    <row r="368" spans="1:6" x14ac:dyDescent="0.25">
      <c r="A368" s="40" t="s">
        <v>89</v>
      </c>
      <c r="B368" s="41" t="str">
        <f ca="1">IFERROR(INDEX(UNSPSCDes,MATCH(INDIRECT(ADDRESS(ROW(),COLUMN()-1,4)),UNSPSCCode,0)),IF(INDIRECT(ADDRESS(ROW(),COLUMN()-1,4))="90101603","Servicios de cáterin",""))</f>
        <v>Servicios de cáterin</v>
      </c>
      <c r="C368" s="42" t="str">
        <f>IFERROR(VLOOKUP("UD",'[1]Informacion '!P:Q,2,FALSE),"")</f>
        <v>Unidad</v>
      </c>
      <c r="D368" s="40">
        <v>1</v>
      </c>
      <c r="E368" s="43">
        <v>450000</v>
      </c>
      <c r="F368" s="44">
        <f ca="1">INDIRECT(ADDRESS(ROW(),COLUMN()-2,4))*INDIRECT(ADDRESS(ROW(),COLUMN()-1,4))</f>
        <v>450000</v>
      </c>
    </row>
    <row r="369" spans="1:6" x14ac:dyDescent="0.25">
      <c r="E369" s="45" t="s">
        <v>47</v>
      </c>
      <c r="F369" s="46">
        <f ca="1">SUM(Table34[MONTO TOTAL ESTIMADO])</f>
        <v>750000</v>
      </c>
    </row>
    <row r="370" spans="1:6" ht="17.25" thickBot="1" x14ac:dyDescent="0.3"/>
    <row r="371" spans="1:6" ht="23.25" thickBot="1" x14ac:dyDescent="0.3">
      <c r="A371" s="30" t="s">
        <v>18</v>
      </c>
      <c r="B371" s="30" t="s">
        <v>19</v>
      </c>
      <c r="C371" s="30" t="s">
        <v>20</v>
      </c>
      <c r="D371" s="30" t="s">
        <v>21</v>
      </c>
      <c r="E371" s="30" t="s">
        <v>22</v>
      </c>
      <c r="F371" s="30" t="s">
        <v>23</v>
      </c>
    </row>
    <row r="372" spans="1:6" ht="17.25" thickBot="1" x14ac:dyDescent="0.3">
      <c r="A372" s="31" t="s">
        <v>90</v>
      </c>
      <c r="B372" s="31" t="s">
        <v>91</v>
      </c>
      <c r="C372" s="31" t="s">
        <v>92</v>
      </c>
      <c r="D372" s="31" t="s">
        <v>27</v>
      </c>
      <c r="E372" s="31" t="s">
        <v>58</v>
      </c>
      <c r="F372" s="31" t="s">
        <v>17</v>
      </c>
    </row>
    <row r="373" spans="1:6" ht="17.25" thickBot="1" x14ac:dyDescent="0.3">
      <c r="A373" s="32" t="s">
        <v>29</v>
      </c>
      <c r="B373" s="33" t="s">
        <v>30</v>
      </c>
      <c r="C373" s="34">
        <v>44958</v>
      </c>
      <c r="D373" s="32" t="s">
        <v>31</v>
      </c>
      <c r="E373" s="35" t="s">
        <v>32</v>
      </c>
      <c r="F373" s="36" t="s">
        <v>33</v>
      </c>
    </row>
    <row r="374" spans="1:6" ht="17.25" thickBot="1" x14ac:dyDescent="0.3">
      <c r="A374" s="37"/>
      <c r="B374" s="33" t="s">
        <v>34</v>
      </c>
      <c r="C374" s="38">
        <f>IF(C373="","",IF(AND(MONTH(C373)&gt;=1,MONTH(C373)&lt;=3),1,IF(AND(MONTH(C373)&gt;=4,MONTH(C373)&lt;=6),2,IF(AND(MONTH(C373)&gt;=7,MONTH(C373)&lt;=9),3,4))))</f>
        <v>1</v>
      </c>
      <c r="D374" s="37"/>
      <c r="E374" s="35" t="s">
        <v>35</v>
      </c>
      <c r="F374" s="36" t="s">
        <v>36</v>
      </c>
    </row>
    <row r="375" spans="1:6" ht="17.25" thickBot="1" x14ac:dyDescent="0.3">
      <c r="A375" s="37"/>
      <c r="B375" s="33" t="s">
        <v>37</v>
      </c>
      <c r="C375" s="34">
        <v>45016</v>
      </c>
      <c r="D375" s="37"/>
      <c r="E375" s="35" t="s">
        <v>38</v>
      </c>
      <c r="F375" s="36" t="s">
        <v>36</v>
      </c>
    </row>
    <row r="376" spans="1:6" ht="17.25" thickBot="1" x14ac:dyDescent="0.3">
      <c r="A376" s="37"/>
      <c r="B376" s="33" t="s">
        <v>34</v>
      </c>
      <c r="C376" s="38">
        <f>IF(C375="","",IF(AND(MONTH(C375)&gt;=1,MONTH(C375)&lt;=3),1,IF(AND(MONTH(C375)&gt;=4,MONTH(C375)&lt;=6),2,IF(AND(MONTH(C375)&gt;=7,MONTH(C375)&lt;=9),3,4))))</f>
        <v>1</v>
      </c>
      <c r="D376" s="37"/>
      <c r="E376" s="35" t="s">
        <v>39</v>
      </c>
      <c r="F376" s="36" t="s">
        <v>36</v>
      </c>
    </row>
    <row r="377" spans="1:6" ht="17.25" thickBot="1" x14ac:dyDescent="0.3"/>
    <row r="378" spans="1:6" ht="17.25" thickBot="1" x14ac:dyDescent="0.3">
      <c r="A378" s="39" t="s">
        <v>40</v>
      </c>
      <c r="B378" s="39" t="s">
        <v>41</v>
      </c>
      <c r="C378" s="39" t="s">
        <v>42</v>
      </c>
      <c r="D378" s="39" t="s">
        <v>43</v>
      </c>
      <c r="E378" s="39" t="s">
        <v>44</v>
      </c>
      <c r="F378" s="39" t="s">
        <v>45</v>
      </c>
    </row>
    <row r="379" spans="1:6" x14ac:dyDescent="0.25">
      <c r="A379" s="40" t="s">
        <v>93</v>
      </c>
      <c r="B379" s="41" t="str">
        <f ca="1">IFERROR(INDEX(UNSPSCDes,MATCH(INDIRECT(ADDRESS(ROW(),COLUMN()-1,4)),UNSPSCCode,0)),IF(INDIRECT(ADDRESS(ROW(),COLUMN()-1,4))="50201706","Café",""))</f>
        <v>Café</v>
      </c>
      <c r="C379" s="42" t="s">
        <v>66</v>
      </c>
      <c r="D379" s="40">
        <v>1</v>
      </c>
      <c r="E379" s="43">
        <v>1</v>
      </c>
      <c r="F379" s="44">
        <f ca="1">INDIRECT(ADDRESS(ROW(),COLUMN()-2,4))*INDIRECT(ADDRESS(ROW(),COLUMN()-1,4))</f>
        <v>1</v>
      </c>
    </row>
    <row r="380" spans="1:6" x14ac:dyDescent="0.25">
      <c r="E380" s="45" t="s">
        <v>47</v>
      </c>
      <c r="F380" s="46">
        <f ca="1">SUM(Table37[MONTO TOTAL ESTIMADO])</f>
        <v>1</v>
      </c>
    </row>
    <row r="381" spans="1:6" ht="17.25" thickBot="1" x14ac:dyDescent="0.3"/>
    <row r="382" spans="1:6" ht="23.25" thickBot="1" x14ac:dyDescent="0.3">
      <c r="A382" s="30" t="s">
        <v>18</v>
      </c>
      <c r="B382" s="30" t="s">
        <v>19</v>
      </c>
      <c r="C382" s="30" t="s">
        <v>20</v>
      </c>
      <c r="D382" s="30" t="s">
        <v>21</v>
      </c>
      <c r="E382" s="30" t="s">
        <v>22</v>
      </c>
      <c r="F382" s="30" t="s">
        <v>23</v>
      </c>
    </row>
    <row r="383" spans="1:6" ht="17.25" thickBot="1" x14ac:dyDescent="0.3">
      <c r="A383" s="31" t="s">
        <v>90</v>
      </c>
      <c r="B383" s="31" t="s">
        <v>91</v>
      </c>
      <c r="C383" s="31" t="s">
        <v>92</v>
      </c>
      <c r="D383" s="31" t="s">
        <v>27</v>
      </c>
      <c r="E383" s="31" t="s">
        <v>58</v>
      </c>
      <c r="F383" s="31"/>
    </row>
    <row r="384" spans="1:6" ht="17.25" thickBot="1" x14ac:dyDescent="0.3">
      <c r="A384" s="32" t="s">
        <v>29</v>
      </c>
      <c r="B384" s="33" t="s">
        <v>30</v>
      </c>
      <c r="C384" s="34">
        <v>45016</v>
      </c>
      <c r="D384" s="32" t="s">
        <v>31</v>
      </c>
      <c r="E384" s="35" t="s">
        <v>32</v>
      </c>
      <c r="F384" s="36" t="s">
        <v>33</v>
      </c>
    </row>
    <row r="385" spans="1:6" ht="17.25" thickBot="1" x14ac:dyDescent="0.3">
      <c r="A385" s="37"/>
      <c r="B385" s="33" t="s">
        <v>34</v>
      </c>
      <c r="C385" s="38">
        <f>IF(C384="","",IF(AND(MONTH(C384)&gt;=1,MONTH(C384)&lt;=3),1,IF(AND(MONTH(C384)&gt;=4,MONTH(C384)&lt;=6),2,IF(AND(MONTH(C384)&gt;=7,MONTH(C384)&lt;=9),3,4))))</f>
        <v>1</v>
      </c>
      <c r="D385" s="37"/>
      <c r="E385" s="35" t="s">
        <v>35</v>
      </c>
      <c r="F385" s="36" t="s">
        <v>36</v>
      </c>
    </row>
    <row r="386" spans="1:6" ht="17.25" thickBot="1" x14ac:dyDescent="0.3">
      <c r="A386" s="37"/>
      <c r="B386" s="33" t="s">
        <v>37</v>
      </c>
      <c r="C386" s="34">
        <v>45106</v>
      </c>
      <c r="D386" s="37"/>
      <c r="E386" s="35" t="s">
        <v>38</v>
      </c>
      <c r="F386" s="36" t="s">
        <v>36</v>
      </c>
    </row>
    <row r="387" spans="1:6" ht="17.25" thickBot="1" x14ac:dyDescent="0.3">
      <c r="A387" s="37"/>
      <c r="B387" s="33" t="s">
        <v>34</v>
      </c>
      <c r="C387" s="38">
        <f>IF(C386="","",IF(AND(MONTH(C386)&gt;=1,MONTH(C386)&lt;=3),1,IF(AND(MONTH(C386)&gt;=4,MONTH(C386)&lt;=6),2,IF(AND(MONTH(C386)&gt;=7,MONTH(C386)&lt;=9),3,4))))</f>
        <v>2</v>
      </c>
      <c r="D387" s="37"/>
      <c r="E387" s="35" t="s">
        <v>39</v>
      </c>
      <c r="F387" s="36" t="s">
        <v>36</v>
      </c>
    </row>
    <row r="388" spans="1:6" ht="17.25" thickBot="1" x14ac:dyDescent="0.3"/>
    <row r="389" spans="1:6" ht="17.25" thickBot="1" x14ac:dyDescent="0.3">
      <c r="A389" s="39" t="s">
        <v>40</v>
      </c>
      <c r="B389" s="39" t="s">
        <v>41</v>
      </c>
      <c r="C389" s="39" t="s">
        <v>42</v>
      </c>
      <c r="D389" s="39" t="s">
        <v>43</v>
      </c>
      <c r="E389" s="39" t="s">
        <v>44</v>
      </c>
      <c r="F389" s="39" t="s">
        <v>45</v>
      </c>
    </row>
    <row r="390" spans="1:6" x14ac:dyDescent="0.25">
      <c r="A390" s="40" t="s">
        <v>93</v>
      </c>
      <c r="B390" s="41" t="str">
        <f ca="1">IFERROR(INDEX(UNSPSCDes,MATCH(INDIRECT(ADDRESS(ROW(),COLUMN()-1,4)),UNSPSCCode,0)),IF(INDIRECT(ADDRESS(ROW(),COLUMN()-1,4))="50201706","Café",""))</f>
        <v>Café</v>
      </c>
      <c r="C390" s="42" t="str">
        <f>IFERROR(VLOOKUP("UD",'[1]Informacion '!P:Q,2,FALSE),"")</f>
        <v>Unidad</v>
      </c>
      <c r="D390" s="40">
        <v>1</v>
      </c>
      <c r="E390" s="43">
        <v>1</v>
      </c>
      <c r="F390" s="44">
        <f ca="1">INDIRECT(ADDRESS(ROW(),COLUMN()-2,4))*INDIRECT(ADDRESS(ROW(),COLUMN()-1,4))</f>
        <v>1</v>
      </c>
    </row>
    <row r="391" spans="1:6" x14ac:dyDescent="0.25">
      <c r="E391" s="45" t="s">
        <v>47</v>
      </c>
      <c r="F391" s="46">
        <f ca="1">SUM(Table38[MONTO TOTAL ESTIMADO])</f>
        <v>1</v>
      </c>
    </row>
    <row r="392" spans="1:6" ht="17.25" thickBot="1" x14ac:dyDescent="0.3"/>
    <row r="393" spans="1:6" ht="23.25" thickBot="1" x14ac:dyDescent="0.3">
      <c r="A393" s="30" t="s">
        <v>18</v>
      </c>
      <c r="B393" s="30" t="s">
        <v>19</v>
      </c>
      <c r="C393" s="30" t="s">
        <v>20</v>
      </c>
      <c r="D393" s="30" t="s">
        <v>21</v>
      </c>
      <c r="E393" s="30" t="s">
        <v>22</v>
      </c>
      <c r="F393" s="30" t="s">
        <v>23</v>
      </c>
    </row>
    <row r="394" spans="1:6" ht="17.25" thickBot="1" x14ac:dyDescent="0.3">
      <c r="A394" s="31" t="s">
        <v>90</v>
      </c>
      <c r="B394" s="31" t="s">
        <v>91</v>
      </c>
      <c r="C394" s="31" t="s">
        <v>92</v>
      </c>
      <c r="D394" s="31" t="s">
        <v>27</v>
      </c>
      <c r="E394" s="31" t="s">
        <v>58</v>
      </c>
      <c r="F394" s="31"/>
    </row>
    <row r="395" spans="1:6" ht="17.25" thickBot="1" x14ac:dyDescent="0.3">
      <c r="A395" s="32" t="s">
        <v>29</v>
      </c>
      <c r="B395" s="33" t="s">
        <v>30</v>
      </c>
      <c r="C395" s="34">
        <v>45107</v>
      </c>
      <c r="D395" s="32" t="s">
        <v>31</v>
      </c>
      <c r="E395" s="35" t="s">
        <v>32</v>
      </c>
      <c r="F395" s="36" t="s">
        <v>33</v>
      </c>
    </row>
    <row r="396" spans="1:6" ht="17.25" thickBot="1" x14ac:dyDescent="0.3">
      <c r="A396" s="37"/>
      <c r="B396" s="33" t="s">
        <v>34</v>
      </c>
      <c r="C396" s="38">
        <f>IF(C395="","",IF(AND(MONTH(C395)&gt;=1,MONTH(C395)&lt;=3),1,IF(AND(MONTH(C395)&gt;=4,MONTH(C395)&lt;=6),2,IF(AND(MONTH(C395)&gt;=7,MONTH(C395)&lt;=9),3,4))))</f>
        <v>2</v>
      </c>
      <c r="D396" s="37"/>
      <c r="E396" s="35" t="s">
        <v>35</v>
      </c>
      <c r="F396" s="36" t="s">
        <v>36</v>
      </c>
    </row>
    <row r="397" spans="1:6" ht="17.25" thickBot="1" x14ac:dyDescent="0.3">
      <c r="A397" s="37"/>
      <c r="B397" s="33" t="s">
        <v>37</v>
      </c>
      <c r="C397" s="34">
        <v>45198</v>
      </c>
      <c r="D397" s="37"/>
      <c r="E397" s="35" t="s">
        <v>38</v>
      </c>
      <c r="F397" s="36" t="s">
        <v>36</v>
      </c>
    </row>
    <row r="398" spans="1:6" ht="17.25" thickBot="1" x14ac:dyDescent="0.3">
      <c r="A398" s="37"/>
      <c r="B398" s="33" t="s">
        <v>34</v>
      </c>
      <c r="C398" s="38">
        <f>IF(C397="","",IF(AND(MONTH(C397)&gt;=1,MONTH(C397)&lt;=3),1,IF(AND(MONTH(C397)&gt;=4,MONTH(C397)&lt;=6),2,IF(AND(MONTH(C397)&gt;=7,MONTH(C397)&lt;=9),3,4))))</f>
        <v>3</v>
      </c>
      <c r="D398" s="37"/>
      <c r="E398" s="35" t="s">
        <v>39</v>
      </c>
      <c r="F398" s="36" t="s">
        <v>36</v>
      </c>
    </row>
    <row r="399" spans="1:6" ht="17.25" thickBot="1" x14ac:dyDescent="0.3"/>
    <row r="400" spans="1:6" ht="17.25" thickBot="1" x14ac:dyDescent="0.3">
      <c r="A400" s="39" t="s">
        <v>40</v>
      </c>
      <c r="B400" s="39" t="s">
        <v>41</v>
      </c>
      <c r="C400" s="39" t="s">
        <v>42</v>
      </c>
      <c r="D400" s="39" t="s">
        <v>43</v>
      </c>
      <c r="E400" s="39" t="s">
        <v>44</v>
      </c>
      <c r="F400" s="39" t="s">
        <v>45</v>
      </c>
    </row>
    <row r="401" spans="1:6" x14ac:dyDescent="0.25">
      <c r="A401" s="40" t="s">
        <v>93</v>
      </c>
      <c r="B401" s="41" t="str">
        <f ca="1">IFERROR(INDEX(UNSPSCDes,MATCH(INDIRECT(ADDRESS(ROW(),COLUMN()-1,4)),UNSPSCCode,0)),IF(INDIRECT(ADDRESS(ROW(),COLUMN()-1,4))="50201706","Café",""))</f>
        <v>Café</v>
      </c>
      <c r="C401" s="42" t="str">
        <f>IFERROR(VLOOKUP("UD",'[1]Informacion '!P:Q,2,FALSE),"")</f>
        <v>Unidad</v>
      </c>
      <c r="D401" s="40">
        <v>1</v>
      </c>
      <c r="E401" s="43">
        <v>1</v>
      </c>
      <c r="F401" s="44">
        <f t="shared" ref="F401:F407" ca="1" si="1">INDIRECT(ADDRESS(ROW(),COLUMN()-2,4))*INDIRECT(ADDRESS(ROW(),COLUMN()-1,4))</f>
        <v>1</v>
      </c>
    </row>
    <row r="402" spans="1:6" x14ac:dyDescent="0.25">
      <c r="A402" s="40" t="s">
        <v>94</v>
      </c>
      <c r="B402" s="41" t="str">
        <f ca="1">IFERROR(INDEX(UNSPSCDes,MATCH(INDIRECT(ADDRESS(ROW(),COLUMN()-1,4)),UNSPSCCode,0)),IF(INDIRECT(ADDRESS(ROW(),COLUMN()-1,4))="50181905","Galletas de dulce",""))</f>
        <v>Galletas de dulce</v>
      </c>
      <c r="C402" s="42" t="str">
        <f>IFERROR(VLOOKUP("UD",'[1]Informacion '!P:Q,2,FALSE),"")</f>
        <v>Unidad</v>
      </c>
      <c r="D402" s="40">
        <v>1</v>
      </c>
      <c r="E402" s="43">
        <v>1</v>
      </c>
      <c r="F402" s="44">
        <f t="shared" ca="1" si="1"/>
        <v>1</v>
      </c>
    </row>
    <row r="403" spans="1:6" x14ac:dyDescent="0.25">
      <c r="A403" s="40" t="s">
        <v>95</v>
      </c>
      <c r="B403" s="41" t="str">
        <f ca="1">IFERROR(INDEX(UNSPSCDes,MATCH(INDIRECT(ADDRESS(ROW(),COLUMN()-1,4)),UNSPSCCode,0)),IF(INDIRECT(ADDRESS(ROW(),COLUMN()-1,4))="50101538","Verduras frescas",""))</f>
        <v>Verduras frescas</v>
      </c>
      <c r="C403" s="42" t="str">
        <f>IFERROR(VLOOKUP("UD",'[1]Informacion '!P:Q,2,FALSE),"")</f>
        <v>Unidad</v>
      </c>
      <c r="D403" s="40">
        <v>1</v>
      </c>
      <c r="E403" s="43">
        <v>1</v>
      </c>
      <c r="F403" s="44">
        <f t="shared" ca="1" si="1"/>
        <v>1</v>
      </c>
    </row>
    <row r="404" spans="1:6" x14ac:dyDescent="0.25">
      <c r="A404" s="40" t="s">
        <v>96</v>
      </c>
      <c r="B404" s="41" t="str">
        <f ca="1">IFERROR(INDEX(UNSPSCDes,MATCH(INDIRECT(ADDRESS(ROW(),COLUMN()-1,4)),UNSPSCCode,0)),IF(INDIRECT(ADDRESS(ROW(),COLUMN()-1,4))="50131801","Queso natural",""))</f>
        <v>Queso natural</v>
      </c>
      <c r="C404" s="42" t="str">
        <f>IFERROR(VLOOKUP("UD",'[1]Informacion '!P:Q,2,FALSE),"")</f>
        <v>Unidad</v>
      </c>
      <c r="D404" s="40">
        <v>1</v>
      </c>
      <c r="E404" s="43">
        <v>1</v>
      </c>
      <c r="F404" s="44">
        <f t="shared" ca="1" si="1"/>
        <v>1</v>
      </c>
    </row>
    <row r="405" spans="1:6" x14ac:dyDescent="0.25">
      <c r="A405" s="40" t="s">
        <v>97</v>
      </c>
      <c r="B405" s="41" t="str">
        <f ca="1">IFERROR(INDEX(UNSPSCDes,MATCH(INDIRECT(ADDRESS(ROW(),COLUMN()-1,4)),UNSPSCCode,0)),IF(INDIRECT(ADDRESS(ROW(),COLUMN()-1,4))="50171903","Aceitunas",""))</f>
        <v>Aceitunas</v>
      </c>
      <c r="C405" s="42" t="str">
        <f>IFERROR(VLOOKUP("UD",'[1]Informacion '!P:Q,2,FALSE),"")</f>
        <v>Unidad</v>
      </c>
      <c r="D405" s="40">
        <v>1</v>
      </c>
      <c r="E405" s="43">
        <v>1</v>
      </c>
      <c r="F405" s="44">
        <f t="shared" ca="1" si="1"/>
        <v>1</v>
      </c>
    </row>
    <row r="406" spans="1:6" x14ac:dyDescent="0.25">
      <c r="A406" s="40" t="s">
        <v>98</v>
      </c>
      <c r="B406" s="41" t="str">
        <f ca="1">IFERROR(INDEX(UNSPSCDes,MATCH(INDIRECT(ADDRESS(ROW(),COLUMN()-1,4)),UNSPSCCode,0)),IF(INDIRECT(ADDRESS(ROW(),COLUMN()-1,4))="50181901","Pan fresco",""))</f>
        <v>Pan fresco</v>
      </c>
      <c r="C406" s="42" t="str">
        <f>IFERROR(VLOOKUP("UD",'[1]Informacion '!P:Q,2,FALSE),"")</f>
        <v>Unidad</v>
      </c>
      <c r="D406" s="40">
        <v>1</v>
      </c>
      <c r="E406" s="43">
        <v>1</v>
      </c>
      <c r="F406" s="44">
        <f t="shared" ca="1" si="1"/>
        <v>1</v>
      </c>
    </row>
    <row r="407" spans="1:6" x14ac:dyDescent="0.25">
      <c r="A407" s="40" t="s">
        <v>99</v>
      </c>
      <c r="B407" s="41" t="str">
        <f ca="1">IFERROR(INDEX(UNSPSCDes,MATCH(INDIRECT(ADDRESS(ROW(),COLUMN()-1,4)),UNSPSCCode,0)),IF(INDIRECT(ADDRESS(ROW(),COLUMN()-1,4))="50101634","Fruta fresca",""))</f>
        <v>Fruta fresca</v>
      </c>
      <c r="C407" s="42" t="str">
        <f>IFERROR(VLOOKUP("UD",'[1]Informacion '!P:Q,2,FALSE),"")</f>
        <v>Unidad</v>
      </c>
      <c r="D407" s="40">
        <v>1</v>
      </c>
      <c r="E407" s="43">
        <v>1</v>
      </c>
      <c r="F407" s="44">
        <f t="shared" ca="1" si="1"/>
        <v>1</v>
      </c>
    </row>
    <row r="408" spans="1:6" x14ac:dyDescent="0.25">
      <c r="E408" s="45" t="s">
        <v>47</v>
      </c>
      <c r="F408" s="46">
        <f ca="1">SUM(Table39[MONTO TOTAL ESTIMADO])</f>
        <v>7</v>
      </c>
    </row>
    <row r="409" spans="1:6" ht="17.25" thickBot="1" x14ac:dyDescent="0.3"/>
    <row r="410" spans="1:6" ht="23.25" thickBot="1" x14ac:dyDescent="0.3">
      <c r="A410" s="30" t="s">
        <v>18</v>
      </c>
      <c r="B410" s="30" t="s">
        <v>19</v>
      </c>
      <c r="C410" s="30" t="s">
        <v>20</v>
      </c>
      <c r="D410" s="30" t="s">
        <v>21</v>
      </c>
      <c r="E410" s="30" t="s">
        <v>22</v>
      </c>
      <c r="F410" s="30" t="s">
        <v>23</v>
      </c>
    </row>
    <row r="411" spans="1:6" ht="17.25" thickBot="1" x14ac:dyDescent="0.3">
      <c r="A411" s="31" t="s">
        <v>90</v>
      </c>
      <c r="B411" s="31" t="s">
        <v>91</v>
      </c>
      <c r="C411" s="31" t="s">
        <v>92</v>
      </c>
      <c r="D411" s="31" t="s">
        <v>27</v>
      </c>
      <c r="E411" s="31" t="s">
        <v>58</v>
      </c>
      <c r="F411" s="31"/>
    </row>
    <row r="412" spans="1:6" ht="17.25" thickBot="1" x14ac:dyDescent="0.3">
      <c r="A412" s="32" t="s">
        <v>29</v>
      </c>
      <c r="B412" s="33" t="s">
        <v>30</v>
      </c>
      <c r="C412" s="34">
        <v>45199</v>
      </c>
      <c r="D412" s="32" t="s">
        <v>31</v>
      </c>
      <c r="E412" s="35" t="s">
        <v>32</v>
      </c>
      <c r="F412" s="36" t="s">
        <v>33</v>
      </c>
    </row>
    <row r="413" spans="1:6" ht="17.25" thickBot="1" x14ac:dyDescent="0.3">
      <c r="A413" s="37"/>
      <c r="B413" s="33" t="s">
        <v>34</v>
      </c>
      <c r="C413" s="38">
        <f>IF(C412="","",IF(AND(MONTH(C412)&gt;=1,MONTH(C412)&lt;=3),1,IF(AND(MONTH(C412)&gt;=4,MONTH(C412)&lt;=6),2,IF(AND(MONTH(C412)&gt;=7,MONTH(C412)&lt;=9),3,4))))</f>
        <v>3</v>
      </c>
      <c r="D413" s="37"/>
      <c r="E413" s="35" t="s">
        <v>35</v>
      </c>
      <c r="F413" s="36" t="s">
        <v>36</v>
      </c>
    </row>
    <row r="414" spans="1:6" ht="17.25" thickBot="1" x14ac:dyDescent="0.3">
      <c r="A414" s="37"/>
      <c r="B414" s="33" t="s">
        <v>37</v>
      </c>
      <c r="C414" s="34">
        <v>45290</v>
      </c>
      <c r="D414" s="37"/>
      <c r="E414" s="35" t="s">
        <v>38</v>
      </c>
      <c r="F414" s="36" t="s">
        <v>36</v>
      </c>
    </row>
    <row r="415" spans="1:6" ht="17.25" thickBot="1" x14ac:dyDescent="0.3">
      <c r="A415" s="37"/>
      <c r="B415" s="33" t="s">
        <v>34</v>
      </c>
      <c r="C415" s="38">
        <f>IF(C414="","",IF(AND(MONTH(C414)&gt;=1,MONTH(C414)&lt;=3),1,IF(AND(MONTH(C414)&gt;=4,MONTH(C414)&lt;=6),2,IF(AND(MONTH(C414)&gt;=7,MONTH(C414)&lt;=9),3,4))))</f>
        <v>4</v>
      </c>
      <c r="D415" s="37"/>
      <c r="E415" s="35" t="s">
        <v>39</v>
      </c>
      <c r="F415" s="36" t="s">
        <v>36</v>
      </c>
    </row>
    <row r="416" spans="1:6" ht="17.25" thickBot="1" x14ac:dyDescent="0.3"/>
    <row r="417" spans="1:6" ht="17.25" thickBot="1" x14ac:dyDescent="0.3">
      <c r="A417" s="39" t="s">
        <v>40</v>
      </c>
      <c r="B417" s="39" t="s">
        <v>41</v>
      </c>
      <c r="C417" s="39" t="s">
        <v>42</v>
      </c>
      <c r="D417" s="39" t="s">
        <v>43</v>
      </c>
      <c r="E417" s="39" t="s">
        <v>44</v>
      </c>
      <c r="F417" s="39" t="s">
        <v>45</v>
      </c>
    </row>
    <row r="418" spans="1:6" x14ac:dyDescent="0.25">
      <c r="A418" s="40" t="s">
        <v>93</v>
      </c>
      <c r="B418" s="41" t="str">
        <f ca="1">IFERROR(INDEX(UNSPSCDes,MATCH(INDIRECT(ADDRESS(ROW(),COLUMN()-1,4)),UNSPSCCode,0)),IF(INDIRECT(ADDRESS(ROW(),COLUMN()-1,4))="50201706","Café",""))</f>
        <v>Café</v>
      </c>
      <c r="C418" s="42" t="str">
        <f>IFERROR(VLOOKUP("UD",'[1]Informacion '!P:Q,2,FALSE),"")</f>
        <v>Unidad</v>
      </c>
      <c r="D418" s="40">
        <v>1</v>
      </c>
      <c r="E418" s="43">
        <v>1</v>
      </c>
      <c r="F418" s="44">
        <f ca="1">INDIRECT(ADDRESS(ROW(),COLUMN()-2,4))*INDIRECT(ADDRESS(ROW(),COLUMN()-1,4))</f>
        <v>1</v>
      </c>
    </row>
    <row r="419" spans="1:6" x14ac:dyDescent="0.25">
      <c r="E419" s="45" t="s">
        <v>47</v>
      </c>
      <c r="F419" s="46">
        <f ca="1">SUM(Table40[MONTO TOTAL ESTIMADO])</f>
        <v>1</v>
      </c>
    </row>
    <row r="420" spans="1:6" ht="17.25" thickBot="1" x14ac:dyDescent="0.3"/>
    <row r="421" spans="1:6" ht="23.25" thickBot="1" x14ac:dyDescent="0.3">
      <c r="A421" s="30" t="s">
        <v>18</v>
      </c>
      <c r="B421" s="30" t="s">
        <v>19</v>
      </c>
      <c r="C421" s="30" t="s">
        <v>20</v>
      </c>
      <c r="D421" s="30" t="s">
        <v>21</v>
      </c>
      <c r="E421" s="30" t="s">
        <v>22</v>
      </c>
      <c r="F421" s="30" t="s">
        <v>23</v>
      </c>
    </row>
    <row r="422" spans="1:6" ht="17.25" thickBot="1" x14ac:dyDescent="0.3">
      <c r="A422" s="31" t="s">
        <v>90</v>
      </c>
      <c r="B422" s="31" t="s">
        <v>91</v>
      </c>
      <c r="C422" s="31" t="s">
        <v>92</v>
      </c>
      <c r="D422" s="31" t="s">
        <v>27</v>
      </c>
      <c r="E422" s="31" t="s">
        <v>58</v>
      </c>
      <c r="F422" s="31"/>
    </row>
    <row r="423" spans="1:6" ht="17.25" thickBot="1" x14ac:dyDescent="0.3">
      <c r="A423" s="32" t="s">
        <v>29</v>
      </c>
      <c r="B423" s="33" t="s">
        <v>30</v>
      </c>
      <c r="C423" s="34">
        <v>44958</v>
      </c>
      <c r="D423" s="32" t="s">
        <v>31</v>
      </c>
      <c r="E423" s="35" t="s">
        <v>32</v>
      </c>
      <c r="F423" s="36" t="s">
        <v>33</v>
      </c>
    </row>
    <row r="424" spans="1:6" ht="17.25" thickBot="1" x14ac:dyDescent="0.3">
      <c r="A424" s="37"/>
      <c r="B424" s="33" t="s">
        <v>34</v>
      </c>
      <c r="C424" s="38">
        <f>IF(C423="","",IF(AND(MONTH(C423)&gt;=1,MONTH(C423)&lt;=3),1,IF(AND(MONTH(C423)&gt;=4,MONTH(C423)&lt;=6),2,IF(AND(MONTH(C423)&gt;=7,MONTH(C423)&lt;=9),3,4))))</f>
        <v>1</v>
      </c>
      <c r="D424" s="37"/>
      <c r="E424" s="35" t="s">
        <v>35</v>
      </c>
      <c r="F424" s="36" t="s">
        <v>36</v>
      </c>
    </row>
    <row r="425" spans="1:6" ht="17.25" thickBot="1" x14ac:dyDescent="0.3">
      <c r="A425" s="37"/>
      <c r="B425" s="33" t="s">
        <v>37</v>
      </c>
      <c r="C425" s="34">
        <v>45015</v>
      </c>
      <c r="D425" s="37"/>
      <c r="E425" s="35" t="s">
        <v>38</v>
      </c>
      <c r="F425" s="36" t="s">
        <v>36</v>
      </c>
    </row>
    <row r="426" spans="1:6" ht="17.25" thickBot="1" x14ac:dyDescent="0.3">
      <c r="A426" s="37"/>
      <c r="B426" s="33" t="s">
        <v>34</v>
      </c>
      <c r="C426" s="38">
        <f>IF(C425="","",IF(AND(MONTH(C425)&gt;=1,MONTH(C425)&lt;=3),1,IF(AND(MONTH(C425)&gt;=4,MONTH(C425)&lt;=6),2,IF(AND(MONTH(C425)&gt;=7,MONTH(C425)&lt;=9),3,4))))</f>
        <v>1</v>
      </c>
      <c r="D426" s="37"/>
      <c r="E426" s="35" t="s">
        <v>39</v>
      </c>
      <c r="F426" s="36" t="s">
        <v>36</v>
      </c>
    </row>
    <row r="427" spans="1:6" ht="17.25" thickBot="1" x14ac:dyDescent="0.3"/>
    <row r="428" spans="1:6" ht="17.25" thickBot="1" x14ac:dyDescent="0.3">
      <c r="A428" s="39" t="s">
        <v>40</v>
      </c>
      <c r="B428" s="39" t="s">
        <v>41</v>
      </c>
      <c r="C428" s="39" t="s">
        <v>42</v>
      </c>
      <c r="D428" s="39" t="s">
        <v>43</v>
      </c>
      <c r="E428" s="39" t="s">
        <v>44</v>
      </c>
      <c r="F428" s="39" t="s">
        <v>45</v>
      </c>
    </row>
    <row r="429" spans="1:6" x14ac:dyDescent="0.25">
      <c r="A429" s="40" t="s">
        <v>100</v>
      </c>
      <c r="B429" s="41" t="str">
        <f ca="1">IFERROR(INDEX(UNSPSCDes,MATCH(INDIRECT(ADDRESS(ROW(),COLUMN()-1,4)),UNSPSCCode,0)),IF(INDIRECT(ADDRESS(ROW(),COLUMN()-1,4))="50202301","Agua",""))</f>
        <v>Agua</v>
      </c>
      <c r="C429" s="42" t="str">
        <f>IFERROR(VLOOKUP("UD",'[1]Informacion '!P:Q,2,FALSE),"")</f>
        <v>Unidad</v>
      </c>
      <c r="D429" s="40">
        <v>1</v>
      </c>
      <c r="E429" s="43">
        <v>1</v>
      </c>
      <c r="F429" s="44">
        <f ca="1">INDIRECT(ADDRESS(ROW(),COLUMN()-2,4))*INDIRECT(ADDRESS(ROW(),COLUMN()-1,4))</f>
        <v>1</v>
      </c>
    </row>
    <row r="430" spans="1:6" x14ac:dyDescent="0.25">
      <c r="E430" s="45" t="s">
        <v>47</v>
      </c>
      <c r="F430" s="46">
        <f ca="1">SUM(Table41[MONTO TOTAL ESTIMADO])</f>
        <v>1</v>
      </c>
    </row>
    <row r="431" spans="1:6" ht="17.25" thickBot="1" x14ac:dyDescent="0.3"/>
    <row r="432" spans="1:6" ht="23.25" thickBot="1" x14ac:dyDescent="0.3">
      <c r="A432" s="30" t="s">
        <v>18</v>
      </c>
      <c r="B432" s="30" t="s">
        <v>19</v>
      </c>
      <c r="C432" s="30" t="s">
        <v>20</v>
      </c>
      <c r="D432" s="30" t="s">
        <v>21</v>
      </c>
      <c r="E432" s="30" t="s">
        <v>22</v>
      </c>
      <c r="F432" s="30" t="s">
        <v>23</v>
      </c>
    </row>
    <row r="433" spans="1:6" ht="17.25" thickBot="1" x14ac:dyDescent="0.3">
      <c r="A433" s="31" t="s">
        <v>90</v>
      </c>
      <c r="B433" s="31" t="s">
        <v>91</v>
      </c>
      <c r="C433" s="31" t="s">
        <v>92</v>
      </c>
      <c r="D433" s="31" t="s">
        <v>27</v>
      </c>
      <c r="E433" s="31" t="s">
        <v>58</v>
      </c>
      <c r="F433" s="31"/>
    </row>
    <row r="434" spans="1:6" ht="17.25" thickBot="1" x14ac:dyDescent="0.3">
      <c r="A434" s="32" t="s">
        <v>29</v>
      </c>
      <c r="B434" s="33" t="s">
        <v>30</v>
      </c>
      <c r="C434" s="34">
        <v>45016</v>
      </c>
      <c r="D434" s="32" t="s">
        <v>31</v>
      </c>
      <c r="E434" s="35" t="s">
        <v>32</v>
      </c>
      <c r="F434" s="36" t="s">
        <v>33</v>
      </c>
    </row>
    <row r="435" spans="1:6" ht="17.25" thickBot="1" x14ac:dyDescent="0.3">
      <c r="A435" s="37"/>
      <c r="B435" s="33" t="s">
        <v>34</v>
      </c>
      <c r="C435" s="38">
        <f>IF(C434="","",IF(AND(MONTH(C434)&gt;=1,MONTH(C434)&lt;=3),1,IF(AND(MONTH(C434)&gt;=4,MONTH(C434)&lt;=6),2,IF(AND(MONTH(C434)&gt;=7,MONTH(C434)&lt;=9),3,4))))</f>
        <v>1</v>
      </c>
      <c r="D435" s="37"/>
      <c r="E435" s="35" t="s">
        <v>35</v>
      </c>
      <c r="F435" s="36" t="s">
        <v>36</v>
      </c>
    </row>
    <row r="436" spans="1:6" ht="17.25" thickBot="1" x14ac:dyDescent="0.3">
      <c r="A436" s="37"/>
      <c r="B436" s="33" t="s">
        <v>37</v>
      </c>
      <c r="C436" s="34">
        <v>45106</v>
      </c>
      <c r="D436" s="37"/>
      <c r="E436" s="35" t="s">
        <v>38</v>
      </c>
      <c r="F436" s="36" t="s">
        <v>36</v>
      </c>
    </row>
    <row r="437" spans="1:6" ht="17.25" thickBot="1" x14ac:dyDescent="0.3">
      <c r="A437" s="37"/>
      <c r="B437" s="33" t="s">
        <v>34</v>
      </c>
      <c r="C437" s="38">
        <f>IF(C436="","",IF(AND(MONTH(C436)&gt;=1,MONTH(C436)&lt;=3),1,IF(AND(MONTH(C436)&gt;=4,MONTH(C436)&lt;=6),2,IF(AND(MONTH(C436)&gt;=7,MONTH(C436)&lt;=9),3,4))))</f>
        <v>2</v>
      </c>
      <c r="D437" s="37"/>
      <c r="E437" s="35" t="s">
        <v>39</v>
      </c>
      <c r="F437" s="36" t="s">
        <v>36</v>
      </c>
    </row>
    <row r="438" spans="1:6" ht="17.25" thickBot="1" x14ac:dyDescent="0.3"/>
    <row r="439" spans="1:6" ht="17.25" thickBot="1" x14ac:dyDescent="0.3">
      <c r="A439" s="39" t="s">
        <v>40</v>
      </c>
      <c r="B439" s="39" t="s">
        <v>41</v>
      </c>
      <c r="C439" s="39" t="s">
        <v>42</v>
      </c>
      <c r="D439" s="39" t="s">
        <v>43</v>
      </c>
      <c r="E439" s="39" t="s">
        <v>44</v>
      </c>
      <c r="F439" s="39" t="s">
        <v>45</v>
      </c>
    </row>
    <row r="440" spans="1:6" x14ac:dyDescent="0.25">
      <c r="A440" s="40" t="s">
        <v>100</v>
      </c>
      <c r="B440" s="41" t="str">
        <f ca="1">IFERROR(INDEX(UNSPSCDes,MATCH(INDIRECT(ADDRESS(ROW(),COLUMN()-1,4)),UNSPSCCode,0)),IF(INDIRECT(ADDRESS(ROW(),COLUMN()-1,4))="50202301","Agua",""))</f>
        <v>Agua</v>
      </c>
      <c r="C440" s="42" t="str">
        <f>IFERROR(VLOOKUP("UD",'[1]Informacion '!P:Q,2,FALSE),"")</f>
        <v>Unidad</v>
      </c>
      <c r="D440" s="40">
        <v>1</v>
      </c>
      <c r="E440" s="43">
        <v>1</v>
      </c>
      <c r="F440" s="44">
        <f ca="1">INDIRECT(ADDRESS(ROW(),COLUMN()-2,4))*INDIRECT(ADDRESS(ROW(),COLUMN()-1,4))</f>
        <v>1</v>
      </c>
    </row>
    <row r="441" spans="1:6" x14ac:dyDescent="0.25">
      <c r="A441" s="40" t="s">
        <v>101</v>
      </c>
      <c r="B441" s="41" t="str">
        <f ca="1">IFERROR(INDEX(UNSPSCDes,MATCH(INDIRECT(ADDRESS(ROW(),COLUMN()-1,4)),UNSPSCCode,0)),IF(INDIRECT(ADDRESS(ROW(),COLUMN()-1,4))="50201711","Té instantáneo",""))</f>
        <v>Té instantáneo</v>
      </c>
      <c r="C441" s="42" t="str">
        <f>IFERROR(VLOOKUP("UD",'[1]Informacion '!P:Q,2,FALSE),"")</f>
        <v>Unidad</v>
      </c>
      <c r="D441" s="40">
        <v>1</v>
      </c>
      <c r="E441" s="43">
        <v>1</v>
      </c>
      <c r="F441" s="44">
        <f ca="1">INDIRECT(ADDRESS(ROW(),COLUMN()-2,4))*INDIRECT(ADDRESS(ROW(),COLUMN()-1,4))</f>
        <v>1</v>
      </c>
    </row>
    <row r="442" spans="1:6" x14ac:dyDescent="0.25">
      <c r="A442" s="40" t="s">
        <v>102</v>
      </c>
      <c r="B442" s="41" t="str">
        <f ca="1">IFERROR(INDEX(UNSPSCDes,MATCH(INDIRECT(ADDRESS(ROW(),COLUMN()-1,4)),UNSPSCCode,0)),IF(INDIRECT(ADDRESS(ROW(),COLUMN()-1,4))="50192301","Postres preparados",""))</f>
        <v>Postres preparados</v>
      </c>
      <c r="C442" s="42" t="str">
        <f>IFERROR(VLOOKUP("UD",'[1]Informacion '!P:Q,2,FALSE),"")</f>
        <v>Unidad</v>
      </c>
      <c r="D442" s="40">
        <v>1</v>
      </c>
      <c r="E442" s="43">
        <v>1</v>
      </c>
      <c r="F442" s="44">
        <f ca="1">INDIRECT(ADDRESS(ROW(),COLUMN()-2,4))*INDIRECT(ADDRESS(ROW(),COLUMN()-1,4))</f>
        <v>1</v>
      </c>
    </row>
    <row r="443" spans="1:6" x14ac:dyDescent="0.25">
      <c r="E443" s="45" t="s">
        <v>47</v>
      </c>
      <c r="F443" s="46">
        <f ca="1">SUM(Table42[MONTO TOTAL ESTIMADO])</f>
        <v>3</v>
      </c>
    </row>
    <row r="444" spans="1:6" ht="17.25" thickBot="1" x14ac:dyDescent="0.3"/>
    <row r="445" spans="1:6" ht="23.25" thickBot="1" x14ac:dyDescent="0.3">
      <c r="A445" s="30" t="s">
        <v>18</v>
      </c>
      <c r="B445" s="30" t="s">
        <v>19</v>
      </c>
      <c r="C445" s="30" t="s">
        <v>20</v>
      </c>
      <c r="D445" s="30" t="s">
        <v>21</v>
      </c>
      <c r="E445" s="30" t="s">
        <v>22</v>
      </c>
      <c r="F445" s="30" t="s">
        <v>23</v>
      </c>
    </row>
    <row r="446" spans="1:6" ht="17.25" thickBot="1" x14ac:dyDescent="0.3">
      <c r="A446" s="31" t="s">
        <v>90</v>
      </c>
      <c r="B446" s="31" t="s">
        <v>91</v>
      </c>
      <c r="C446" s="31" t="s">
        <v>92</v>
      </c>
      <c r="D446" s="31" t="s">
        <v>27</v>
      </c>
      <c r="E446" s="31" t="s">
        <v>58</v>
      </c>
      <c r="F446" s="31"/>
    </row>
    <row r="447" spans="1:6" ht="17.25" thickBot="1" x14ac:dyDescent="0.3">
      <c r="A447" s="32" t="s">
        <v>29</v>
      </c>
      <c r="B447" s="33" t="s">
        <v>30</v>
      </c>
      <c r="C447" s="34">
        <v>45107</v>
      </c>
      <c r="D447" s="32" t="s">
        <v>31</v>
      </c>
      <c r="E447" s="35" t="s">
        <v>32</v>
      </c>
      <c r="F447" s="36" t="s">
        <v>33</v>
      </c>
    </row>
    <row r="448" spans="1:6" ht="17.25" thickBot="1" x14ac:dyDescent="0.3">
      <c r="A448" s="37"/>
      <c r="B448" s="33" t="s">
        <v>34</v>
      </c>
      <c r="C448" s="38">
        <f>IF(C447="","",IF(AND(MONTH(C447)&gt;=1,MONTH(C447)&lt;=3),1,IF(AND(MONTH(C447)&gt;=4,MONTH(C447)&lt;=6),2,IF(AND(MONTH(C447)&gt;=7,MONTH(C447)&lt;=9),3,4))))</f>
        <v>2</v>
      </c>
      <c r="D448" s="37"/>
      <c r="E448" s="35" t="s">
        <v>35</v>
      </c>
      <c r="F448" s="36" t="s">
        <v>36</v>
      </c>
    </row>
    <row r="449" spans="1:6" ht="17.25" thickBot="1" x14ac:dyDescent="0.3">
      <c r="A449" s="37"/>
      <c r="B449" s="33" t="s">
        <v>37</v>
      </c>
      <c r="C449" s="34">
        <v>45198</v>
      </c>
      <c r="D449" s="37"/>
      <c r="E449" s="35" t="s">
        <v>38</v>
      </c>
      <c r="F449" s="36" t="s">
        <v>36</v>
      </c>
    </row>
    <row r="450" spans="1:6" ht="17.25" thickBot="1" x14ac:dyDescent="0.3">
      <c r="A450" s="37"/>
      <c r="B450" s="33" t="s">
        <v>34</v>
      </c>
      <c r="C450" s="38">
        <f>IF(C449="","",IF(AND(MONTH(C449)&gt;=1,MONTH(C449)&lt;=3),1,IF(AND(MONTH(C449)&gt;=4,MONTH(C449)&lt;=6),2,IF(AND(MONTH(C449)&gt;=7,MONTH(C449)&lt;=9),3,4))))</f>
        <v>3</v>
      </c>
      <c r="D450" s="37"/>
      <c r="E450" s="35" t="s">
        <v>39</v>
      </c>
      <c r="F450" s="36" t="s">
        <v>36</v>
      </c>
    </row>
    <row r="451" spans="1:6" ht="17.25" thickBot="1" x14ac:dyDescent="0.3"/>
    <row r="452" spans="1:6" ht="17.25" thickBot="1" x14ac:dyDescent="0.3">
      <c r="A452" s="39" t="s">
        <v>40</v>
      </c>
      <c r="B452" s="39" t="s">
        <v>41</v>
      </c>
      <c r="C452" s="39" t="s">
        <v>42</v>
      </c>
      <c r="D452" s="39" t="s">
        <v>43</v>
      </c>
      <c r="E452" s="39" t="s">
        <v>44</v>
      </c>
      <c r="F452" s="39" t="s">
        <v>45</v>
      </c>
    </row>
    <row r="453" spans="1:6" x14ac:dyDescent="0.25">
      <c r="A453" s="40" t="s">
        <v>100</v>
      </c>
      <c r="B453" s="41" t="str">
        <f ca="1">IFERROR(INDEX(UNSPSCDes,MATCH(INDIRECT(ADDRESS(ROW(),COLUMN()-1,4)),UNSPSCCode,0)),IF(INDIRECT(ADDRESS(ROW(),COLUMN()-1,4))="50202301","Agua",""))</f>
        <v>Agua</v>
      </c>
      <c r="C453" s="42" t="str">
        <f>IFERROR(VLOOKUP("UD",'[1]Informacion '!P:Q,2,FALSE),"")</f>
        <v>Unidad</v>
      </c>
      <c r="D453" s="40">
        <v>1</v>
      </c>
      <c r="E453" s="43">
        <v>1</v>
      </c>
      <c r="F453" s="44">
        <f ca="1">INDIRECT(ADDRESS(ROW(),COLUMN()-2,4))*INDIRECT(ADDRESS(ROW(),COLUMN()-1,4))</f>
        <v>1</v>
      </c>
    </row>
    <row r="454" spans="1:6" x14ac:dyDescent="0.25">
      <c r="A454" s="40" t="s">
        <v>103</v>
      </c>
      <c r="B454" s="41" t="str">
        <f ca="1">IFERROR(INDEX(UNSPSCDes,MATCH(INDIRECT(ADDRESS(ROW(),COLUMN()-1,4)),UNSPSCCode,0)),IF(INDIRECT(ADDRESS(ROW(),COLUMN()-1,4))="50161813","Chocolate o sustituto de chocolate, confite",""))</f>
        <v>Chocolate o sustituto de chocolate, confite</v>
      </c>
      <c r="C454" s="42" t="str">
        <f>IFERROR(VLOOKUP("UD",'[1]Informacion '!P:Q,2,FALSE),"")</f>
        <v>Unidad</v>
      </c>
      <c r="D454" s="40">
        <v>1</v>
      </c>
      <c r="E454" s="43">
        <v>1</v>
      </c>
      <c r="F454" s="44">
        <f ca="1">INDIRECT(ADDRESS(ROW(),COLUMN()-2,4))*INDIRECT(ADDRESS(ROW(),COLUMN()-1,4))</f>
        <v>1</v>
      </c>
    </row>
    <row r="455" spans="1:6" x14ac:dyDescent="0.25">
      <c r="E455" s="45" t="s">
        <v>47</v>
      </c>
      <c r="F455" s="46">
        <f ca="1">SUM(Table43[MONTO TOTAL ESTIMADO])</f>
        <v>2</v>
      </c>
    </row>
    <row r="456" spans="1:6" ht="17.25" thickBot="1" x14ac:dyDescent="0.3"/>
    <row r="457" spans="1:6" ht="23.25" thickBot="1" x14ac:dyDescent="0.3">
      <c r="A457" s="30" t="s">
        <v>18</v>
      </c>
      <c r="B457" s="30" t="s">
        <v>19</v>
      </c>
      <c r="C457" s="30" t="s">
        <v>20</v>
      </c>
      <c r="D457" s="30" t="s">
        <v>21</v>
      </c>
      <c r="E457" s="30" t="s">
        <v>22</v>
      </c>
      <c r="F457" s="30" t="s">
        <v>23</v>
      </c>
    </row>
    <row r="458" spans="1:6" ht="17.25" thickBot="1" x14ac:dyDescent="0.3">
      <c r="A458" s="31" t="s">
        <v>90</v>
      </c>
      <c r="B458" s="31" t="s">
        <v>91</v>
      </c>
      <c r="C458" s="31" t="s">
        <v>92</v>
      </c>
      <c r="D458" s="31" t="s">
        <v>27</v>
      </c>
      <c r="E458" s="31" t="s">
        <v>58</v>
      </c>
      <c r="F458" s="31"/>
    </row>
    <row r="459" spans="1:6" ht="17.25" thickBot="1" x14ac:dyDescent="0.3">
      <c r="A459" s="32" t="s">
        <v>29</v>
      </c>
      <c r="B459" s="33" t="s">
        <v>30</v>
      </c>
      <c r="C459" s="34">
        <v>45199</v>
      </c>
      <c r="D459" s="32" t="s">
        <v>31</v>
      </c>
      <c r="E459" s="35" t="s">
        <v>32</v>
      </c>
      <c r="F459" s="36" t="s">
        <v>33</v>
      </c>
    </row>
    <row r="460" spans="1:6" ht="17.25" thickBot="1" x14ac:dyDescent="0.3">
      <c r="A460" s="37"/>
      <c r="B460" s="33" t="s">
        <v>34</v>
      </c>
      <c r="C460" s="38">
        <f>IF(C459="","",IF(AND(MONTH(C459)&gt;=1,MONTH(C459)&lt;=3),1,IF(AND(MONTH(C459)&gt;=4,MONTH(C459)&lt;=6),2,IF(AND(MONTH(C459)&gt;=7,MONTH(C459)&lt;=9),3,4))))</f>
        <v>3</v>
      </c>
      <c r="D460" s="37"/>
      <c r="E460" s="35" t="s">
        <v>35</v>
      </c>
      <c r="F460" s="36" t="s">
        <v>36</v>
      </c>
    </row>
    <row r="461" spans="1:6" ht="17.25" thickBot="1" x14ac:dyDescent="0.3">
      <c r="A461" s="37"/>
      <c r="B461" s="33" t="s">
        <v>37</v>
      </c>
      <c r="C461" s="34">
        <v>45290</v>
      </c>
      <c r="D461" s="37"/>
      <c r="E461" s="35" t="s">
        <v>38</v>
      </c>
      <c r="F461" s="36" t="s">
        <v>36</v>
      </c>
    </row>
    <row r="462" spans="1:6" ht="17.25" thickBot="1" x14ac:dyDescent="0.3">
      <c r="A462" s="37"/>
      <c r="B462" s="33" t="s">
        <v>34</v>
      </c>
      <c r="C462" s="38">
        <f>IF(C461="","",IF(AND(MONTH(C461)&gt;=1,MONTH(C461)&lt;=3),1,IF(AND(MONTH(C461)&gt;=4,MONTH(C461)&lt;=6),2,IF(AND(MONTH(C461)&gt;=7,MONTH(C461)&lt;=9),3,4))))</f>
        <v>4</v>
      </c>
      <c r="D462" s="37"/>
      <c r="E462" s="35" t="s">
        <v>39</v>
      </c>
      <c r="F462" s="36" t="s">
        <v>36</v>
      </c>
    </row>
    <row r="463" spans="1:6" ht="17.25" thickBot="1" x14ac:dyDescent="0.3"/>
    <row r="464" spans="1:6" ht="17.25" thickBot="1" x14ac:dyDescent="0.3">
      <c r="A464" s="39" t="s">
        <v>40</v>
      </c>
      <c r="B464" s="39" t="s">
        <v>41</v>
      </c>
      <c r="C464" s="39" t="s">
        <v>42</v>
      </c>
      <c r="D464" s="39" t="s">
        <v>43</v>
      </c>
      <c r="E464" s="39" t="s">
        <v>44</v>
      </c>
      <c r="F464" s="39" t="s">
        <v>45</v>
      </c>
    </row>
    <row r="465" spans="1:6" x14ac:dyDescent="0.25">
      <c r="A465" s="40" t="s">
        <v>100</v>
      </c>
      <c r="B465" s="41" t="str">
        <f ca="1">IFERROR(INDEX(UNSPSCDes,MATCH(INDIRECT(ADDRESS(ROW(),COLUMN()-1,4)),UNSPSCCode,0)),IF(INDIRECT(ADDRESS(ROW(),COLUMN()-1,4))="50202301","Agua",""))</f>
        <v>Agua</v>
      </c>
      <c r="C465" s="42" t="str">
        <f>IFERROR(VLOOKUP("UD",'[1]Informacion '!P:Q,2,FALSE),"")</f>
        <v>Unidad</v>
      </c>
      <c r="D465" s="40">
        <v>1</v>
      </c>
      <c r="E465" s="43">
        <v>1</v>
      </c>
      <c r="F465" s="44">
        <f ca="1">INDIRECT(ADDRESS(ROW(),COLUMN()-2,4))*INDIRECT(ADDRESS(ROW(),COLUMN()-1,4))</f>
        <v>1</v>
      </c>
    </row>
    <row r="466" spans="1:6" x14ac:dyDescent="0.25">
      <c r="A466" s="40" t="s">
        <v>104</v>
      </c>
      <c r="B466" s="41" t="str">
        <f ca="1">IFERROR(INDEX(UNSPSCDes,MATCH(INDIRECT(ADDRESS(ROW(),COLUMN()-1,4)),UNSPSCCode,0)),IF(INDIRECT(ADDRESS(ROW(),COLUMN()-1,4))="50161814","Azúcar o sustituto de azúcar, confite",""))</f>
        <v>Azúcar o sustituto de azúcar, confite</v>
      </c>
      <c r="C466" s="42" t="str">
        <f>IFERROR(VLOOKUP("UD",'[1]Informacion '!P:Q,2,FALSE),"")</f>
        <v>Unidad</v>
      </c>
      <c r="D466" s="40">
        <v>1</v>
      </c>
      <c r="E466" s="43">
        <v>1</v>
      </c>
      <c r="F466" s="44">
        <f ca="1">INDIRECT(ADDRESS(ROW(),COLUMN()-2,4))*INDIRECT(ADDRESS(ROW(),COLUMN()-1,4))</f>
        <v>1</v>
      </c>
    </row>
    <row r="467" spans="1:6" x14ac:dyDescent="0.25">
      <c r="A467" s="40" t="s">
        <v>105</v>
      </c>
      <c r="B467" s="41" t="str">
        <f ca="1">IFERROR(INDEX(UNSPSCDes,MATCH(INDIRECT(ADDRESS(ROW(),COLUMN()-1,4)),UNSPSCCode,0)),IF(INDIRECT(ADDRESS(ROW(),COLUMN()-1,4))="50161509","Azucares naturales o productos endulzantes",""))</f>
        <v>Azucares naturales o productos endulzantes</v>
      </c>
      <c r="C467" s="42" t="str">
        <f>IFERROR(VLOOKUP("UD",'[1]Informacion '!P:Q,2,FALSE),"")</f>
        <v>Unidad</v>
      </c>
      <c r="D467" s="40">
        <v>1</v>
      </c>
      <c r="E467" s="43">
        <v>1</v>
      </c>
      <c r="F467" s="44">
        <f ca="1">INDIRECT(ADDRESS(ROW(),COLUMN()-2,4))*INDIRECT(ADDRESS(ROW(),COLUMN()-1,4))</f>
        <v>1</v>
      </c>
    </row>
    <row r="468" spans="1:6" x14ac:dyDescent="0.25">
      <c r="A468" s="40" t="s">
        <v>106</v>
      </c>
      <c r="B468" s="41" t="str">
        <f ca="1">IFERROR(INDEX(UNSPSCDes,MATCH(INDIRECT(ADDRESS(ROW(),COLUMN()-1,4)),UNSPSCCode,0)),IF(INDIRECT(ADDRESS(ROW(),COLUMN()-1,4))="50201714","Cremas no lácteas",""))</f>
        <v>Cremas no lácteas</v>
      </c>
      <c r="C468" s="42" t="str">
        <f>IFERROR(VLOOKUP("UD",'[1]Informacion '!P:Q,2,FALSE),"")</f>
        <v>Unidad</v>
      </c>
      <c r="D468" s="40">
        <v>1</v>
      </c>
      <c r="E468" s="43">
        <v>1</v>
      </c>
      <c r="F468" s="44">
        <f ca="1">INDIRECT(ADDRESS(ROW(),COLUMN()-2,4))*INDIRECT(ADDRESS(ROW(),COLUMN()-1,4))</f>
        <v>1</v>
      </c>
    </row>
    <row r="469" spans="1:6" x14ac:dyDescent="0.25">
      <c r="E469" s="45" t="s">
        <v>47</v>
      </c>
      <c r="F469" s="46">
        <f ca="1">SUM(Table44[MONTO TOTAL ESTIMADO])</f>
        <v>4</v>
      </c>
    </row>
    <row r="470" spans="1:6" ht="17.25" thickBot="1" x14ac:dyDescent="0.3"/>
    <row r="471" spans="1:6" ht="23.25" thickBot="1" x14ac:dyDescent="0.3">
      <c r="A471" s="30" t="s">
        <v>18</v>
      </c>
      <c r="B471" s="30" t="s">
        <v>19</v>
      </c>
      <c r="C471" s="30" t="s">
        <v>20</v>
      </c>
      <c r="D471" s="30" t="s">
        <v>21</v>
      </c>
      <c r="E471" s="30" t="s">
        <v>22</v>
      </c>
      <c r="F471" s="30" t="s">
        <v>23</v>
      </c>
    </row>
    <row r="472" spans="1:6" ht="17.25" thickBot="1" x14ac:dyDescent="0.3">
      <c r="A472" s="31" t="s">
        <v>107</v>
      </c>
      <c r="B472" s="31" t="s">
        <v>108</v>
      </c>
      <c r="C472" s="31" t="s">
        <v>92</v>
      </c>
      <c r="D472" s="31" t="s">
        <v>50</v>
      </c>
      <c r="E472" s="31" t="s">
        <v>28</v>
      </c>
      <c r="F472" s="31"/>
    </row>
    <row r="473" spans="1:6" ht="17.25" thickBot="1" x14ac:dyDescent="0.3">
      <c r="A473" s="32" t="s">
        <v>29</v>
      </c>
      <c r="B473" s="33" t="s">
        <v>30</v>
      </c>
      <c r="C473" s="34">
        <v>44958</v>
      </c>
      <c r="D473" s="32" t="s">
        <v>31</v>
      </c>
      <c r="E473" s="35" t="s">
        <v>32</v>
      </c>
      <c r="F473" s="36" t="s">
        <v>33</v>
      </c>
    </row>
    <row r="474" spans="1:6" ht="17.25" thickBot="1" x14ac:dyDescent="0.3">
      <c r="A474" s="37"/>
      <c r="B474" s="33" t="s">
        <v>34</v>
      </c>
      <c r="C474" s="38">
        <f>IF(C473="","",IF(AND(MONTH(C473)&gt;=1,MONTH(C473)&lt;=3),1,IF(AND(MONTH(C473)&gt;=4,MONTH(C473)&lt;=6),2,IF(AND(MONTH(C473)&gt;=7,MONTH(C473)&lt;=9),3,4))))</f>
        <v>1</v>
      </c>
      <c r="D474" s="37"/>
      <c r="E474" s="35" t="s">
        <v>35</v>
      </c>
      <c r="F474" s="36" t="s">
        <v>36</v>
      </c>
    </row>
    <row r="475" spans="1:6" ht="17.25" thickBot="1" x14ac:dyDescent="0.3">
      <c r="A475" s="37"/>
      <c r="B475" s="33" t="s">
        <v>37</v>
      </c>
      <c r="C475" s="34">
        <v>45015</v>
      </c>
      <c r="D475" s="37"/>
      <c r="E475" s="35" t="s">
        <v>38</v>
      </c>
      <c r="F475" s="36" t="s">
        <v>36</v>
      </c>
    </row>
    <row r="476" spans="1:6" ht="17.25" thickBot="1" x14ac:dyDescent="0.3">
      <c r="A476" s="37"/>
      <c r="B476" s="33" t="s">
        <v>34</v>
      </c>
      <c r="C476" s="38">
        <f>IF(C475="","",IF(AND(MONTH(C475)&gt;=1,MONTH(C475)&lt;=3),1,IF(AND(MONTH(C475)&gt;=4,MONTH(C475)&lt;=6),2,IF(AND(MONTH(C475)&gt;=7,MONTH(C475)&lt;=9),3,4))))</f>
        <v>1</v>
      </c>
      <c r="D476" s="37"/>
      <c r="E476" s="35" t="s">
        <v>39</v>
      </c>
      <c r="F476" s="36" t="s">
        <v>36</v>
      </c>
    </row>
    <row r="477" spans="1:6" ht="17.25" thickBot="1" x14ac:dyDescent="0.3"/>
    <row r="478" spans="1:6" ht="17.25" thickBot="1" x14ac:dyDescent="0.3">
      <c r="A478" s="39" t="s">
        <v>40</v>
      </c>
      <c r="B478" s="39" t="s">
        <v>41</v>
      </c>
      <c r="C478" s="39" t="s">
        <v>42</v>
      </c>
      <c r="D478" s="39" t="s">
        <v>43</v>
      </c>
      <c r="E478" s="39" t="s">
        <v>44</v>
      </c>
      <c r="F478" s="39" t="s">
        <v>45</v>
      </c>
    </row>
    <row r="479" spans="1:6" x14ac:dyDescent="0.25">
      <c r="A479" s="40" t="s">
        <v>109</v>
      </c>
      <c r="B479" s="41" t="str">
        <f ca="1">IFERROR(INDEX(UNSPSCDes,MATCH(INDIRECT(ADDRESS(ROW(),COLUMN()-1,4)),UNSPSCCode,0)),IF(INDIRECT(ADDRESS(ROW(),COLUMN()-1,4))="10161707","Arreglo de flores cortadas",""))</f>
        <v>Arreglo de flores cortadas</v>
      </c>
      <c r="C479" s="42" t="str">
        <f>IFERROR(VLOOKUP("UD",'[1]Informacion '!P:Q,2,FALSE),"")</f>
        <v>Unidad</v>
      </c>
      <c r="D479" s="40">
        <v>1</v>
      </c>
      <c r="E479" s="43">
        <v>120000</v>
      </c>
      <c r="F479" s="44">
        <f ca="1">INDIRECT(ADDRESS(ROW(),COLUMN()-2,4))*INDIRECT(ADDRESS(ROW(),COLUMN()-1,4))</f>
        <v>120000</v>
      </c>
    </row>
    <row r="480" spans="1:6" x14ac:dyDescent="0.25">
      <c r="E480" s="45" t="s">
        <v>47</v>
      </c>
      <c r="F480" s="46">
        <f ca="1">SUM(Table45[MONTO TOTAL ESTIMADO])</f>
        <v>120000</v>
      </c>
    </row>
    <row r="481" spans="1:6" ht="17.25" thickBot="1" x14ac:dyDescent="0.3"/>
    <row r="482" spans="1:6" ht="23.25" thickBot="1" x14ac:dyDescent="0.3">
      <c r="A482" s="30" t="s">
        <v>18</v>
      </c>
      <c r="B482" s="30" t="s">
        <v>19</v>
      </c>
      <c r="C482" s="30" t="s">
        <v>20</v>
      </c>
      <c r="D482" s="30" t="s">
        <v>21</v>
      </c>
      <c r="E482" s="30" t="s">
        <v>22</v>
      </c>
      <c r="F482" s="30" t="s">
        <v>23</v>
      </c>
    </row>
    <row r="483" spans="1:6" ht="17.25" thickBot="1" x14ac:dyDescent="0.3">
      <c r="A483" s="31" t="s">
        <v>107</v>
      </c>
      <c r="B483" s="31" t="s">
        <v>108</v>
      </c>
      <c r="C483" s="31" t="s">
        <v>92</v>
      </c>
      <c r="D483" s="31" t="s">
        <v>50</v>
      </c>
      <c r="E483" s="31" t="s">
        <v>28</v>
      </c>
      <c r="F483" s="31"/>
    </row>
    <row r="484" spans="1:6" ht="17.25" thickBot="1" x14ac:dyDescent="0.3">
      <c r="A484" s="32" t="s">
        <v>29</v>
      </c>
      <c r="B484" s="33" t="s">
        <v>30</v>
      </c>
      <c r="C484" s="34">
        <v>45017</v>
      </c>
      <c r="D484" s="32" t="s">
        <v>31</v>
      </c>
      <c r="E484" s="35" t="s">
        <v>32</v>
      </c>
      <c r="F484" s="36" t="s">
        <v>33</v>
      </c>
    </row>
    <row r="485" spans="1:6" ht="17.25" thickBot="1" x14ac:dyDescent="0.3">
      <c r="A485" s="37"/>
      <c r="B485" s="33" t="s">
        <v>34</v>
      </c>
      <c r="C485" s="38">
        <f>IF(C484="","",IF(AND(MONTH(C484)&gt;=1,MONTH(C484)&lt;=3),1,IF(AND(MONTH(C484)&gt;=4,MONTH(C484)&lt;=6),2,IF(AND(MONTH(C484)&gt;=7,MONTH(C484)&lt;=9),3,4))))</f>
        <v>2</v>
      </c>
      <c r="D485" s="37"/>
      <c r="E485" s="35" t="s">
        <v>35</v>
      </c>
      <c r="F485" s="36" t="s">
        <v>36</v>
      </c>
    </row>
    <row r="486" spans="1:6" ht="17.25" thickBot="1" x14ac:dyDescent="0.3">
      <c r="A486" s="37"/>
      <c r="B486" s="33" t="s">
        <v>37</v>
      </c>
      <c r="C486" s="34">
        <v>45106</v>
      </c>
      <c r="D486" s="37"/>
      <c r="E486" s="35" t="s">
        <v>38</v>
      </c>
      <c r="F486" s="36" t="s">
        <v>36</v>
      </c>
    </row>
    <row r="487" spans="1:6" ht="17.25" thickBot="1" x14ac:dyDescent="0.3">
      <c r="A487" s="37"/>
      <c r="B487" s="33" t="s">
        <v>34</v>
      </c>
      <c r="C487" s="38">
        <f>IF(C486="","",IF(AND(MONTH(C486)&gt;=1,MONTH(C486)&lt;=3),1,IF(AND(MONTH(C486)&gt;=4,MONTH(C486)&lt;=6),2,IF(AND(MONTH(C486)&gt;=7,MONTH(C486)&lt;=9),3,4))))</f>
        <v>2</v>
      </c>
      <c r="D487" s="37"/>
      <c r="E487" s="35" t="s">
        <v>39</v>
      </c>
      <c r="F487" s="36" t="s">
        <v>36</v>
      </c>
    </row>
    <row r="488" spans="1:6" ht="17.25" thickBot="1" x14ac:dyDescent="0.3"/>
    <row r="489" spans="1:6" ht="17.25" thickBot="1" x14ac:dyDescent="0.3">
      <c r="A489" s="39" t="s">
        <v>40</v>
      </c>
      <c r="B489" s="39" t="s">
        <v>41</v>
      </c>
      <c r="C489" s="39" t="s">
        <v>42</v>
      </c>
      <c r="D489" s="39" t="s">
        <v>43</v>
      </c>
      <c r="E489" s="39" t="s">
        <v>44</v>
      </c>
      <c r="F489" s="39" t="s">
        <v>45</v>
      </c>
    </row>
    <row r="490" spans="1:6" x14ac:dyDescent="0.25">
      <c r="A490" s="40" t="s">
        <v>109</v>
      </c>
      <c r="B490" s="41" t="str">
        <f ca="1">IFERROR(INDEX(UNSPSCDes,MATCH(INDIRECT(ADDRESS(ROW(),COLUMN()-1,4)),UNSPSCCode,0)),IF(INDIRECT(ADDRESS(ROW(),COLUMN()-1,4))="10161707","Arreglo de flores cortadas",""))</f>
        <v>Arreglo de flores cortadas</v>
      </c>
      <c r="C490" s="42" t="str">
        <f>IFERROR(VLOOKUP("UD",'[1]Informacion '!P:Q,2,FALSE),"")</f>
        <v>Unidad</v>
      </c>
      <c r="D490" s="40">
        <v>1</v>
      </c>
      <c r="E490" s="43">
        <v>50000</v>
      </c>
      <c r="F490" s="44">
        <f ca="1">INDIRECT(ADDRESS(ROW(),COLUMN()-2,4))*INDIRECT(ADDRESS(ROW(),COLUMN()-1,4))</f>
        <v>50000</v>
      </c>
    </row>
    <row r="491" spans="1:6" x14ac:dyDescent="0.25">
      <c r="A491" s="40" t="s">
        <v>110</v>
      </c>
      <c r="B491" s="41" t="str">
        <f ca="1">IFERROR(INDEX(UNSPSCDes,MATCH(INDIRECT(ADDRESS(ROW(),COLUMN()-1,4)),UNSPSCCode,0)),IF(INDIRECT(ADDRESS(ROW(),COLUMN()-1,4))="50121802","Plantas acuáticas frescas",""))</f>
        <v>Plantas acuáticas frescas</v>
      </c>
      <c r="C491" s="42" t="str">
        <f>IFERROR(VLOOKUP("UD",'[1]Informacion '!P:Q,2,FALSE),"")</f>
        <v>Unidad</v>
      </c>
      <c r="D491" s="40">
        <v>1</v>
      </c>
      <c r="E491" s="43">
        <v>25000</v>
      </c>
      <c r="F491" s="44">
        <f ca="1">INDIRECT(ADDRESS(ROW(),COLUMN()-2,4))*INDIRECT(ADDRESS(ROW(),COLUMN()-1,4))</f>
        <v>25000</v>
      </c>
    </row>
    <row r="492" spans="1:6" x14ac:dyDescent="0.25">
      <c r="A492" s="40" t="s">
        <v>111</v>
      </c>
      <c r="B492" s="41" t="str">
        <f ca="1">IFERROR(INDEX(UNSPSCDes,MATCH(INDIRECT(ADDRESS(ROW(),COLUMN()-1,4)),UNSPSCCode,0)),IF(INDIRECT(ADDRESS(ROW(),COLUMN()-1,4))="10161905","Ramas y tallos secos",""))</f>
        <v>Ramas y tallos secos</v>
      </c>
      <c r="C492" s="42" t="str">
        <f>IFERROR(VLOOKUP("UD",'[1]Informacion '!P:Q,2,FALSE),"")</f>
        <v>Unidad</v>
      </c>
      <c r="D492" s="40">
        <v>1</v>
      </c>
      <c r="E492" s="43">
        <v>25000</v>
      </c>
      <c r="F492" s="44">
        <f ca="1">INDIRECT(ADDRESS(ROW(),COLUMN()-2,4))*INDIRECT(ADDRESS(ROW(),COLUMN()-1,4))</f>
        <v>25000</v>
      </c>
    </row>
    <row r="493" spans="1:6" x14ac:dyDescent="0.25">
      <c r="E493" s="45" t="s">
        <v>47</v>
      </c>
      <c r="F493" s="46">
        <f ca="1">SUM(Table46[MONTO TOTAL ESTIMADO])</f>
        <v>100000</v>
      </c>
    </row>
    <row r="494" spans="1:6" ht="17.25" thickBot="1" x14ac:dyDescent="0.3"/>
    <row r="495" spans="1:6" ht="23.25" thickBot="1" x14ac:dyDescent="0.3">
      <c r="A495" s="30" t="s">
        <v>18</v>
      </c>
      <c r="B495" s="30" t="s">
        <v>19</v>
      </c>
      <c r="C495" s="30" t="s">
        <v>20</v>
      </c>
      <c r="D495" s="30" t="s">
        <v>21</v>
      </c>
      <c r="E495" s="30" t="s">
        <v>22</v>
      </c>
      <c r="F495" s="30" t="s">
        <v>23</v>
      </c>
    </row>
    <row r="496" spans="1:6" ht="17.25" thickBot="1" x14ac:dyDescent="0.3">
      <c r="A496" s="31" t="s">
        <v>107</v>
      </c>
      <c r="B496" s="31" t="s">
        <v>108</v>
      </c>
      <c r="C496" s="31" t="s">
        <v>92</v>
      </c>
      <c r="D496" s="31" t="s">
        <v>50</v>
      </c>
      <c r="E496" s="31" t="s">
        <v>28</v>
      </c>
      <c r="F496" s="31"/>
    </row>
    <row r="497" spans="1:6" ht="17.25" thickBot="1" x14ac:dyDescent="0.3">
      <c r="A497" s="32" t="s">
        <v>29</v>
      </c>
      <c r="B497" s="33" t="s">
        <v>30</v>
      </c>
      <c r="C497" s="34">
        <v>45108</v>
      </c>
      <c r="D497" s="32" t="s">
        <v>31</v>
      </c>
      <c r="E497" s="35" t="s">
        <v>32</v>
      </c>
      <c r="F497" s="36" t="s">
        <v>33</v>
      </c>
    </row>
    <row r="498" spans="1:6" ht="17.25" thickBot="1" x14ac:dyDescent="0.3">
      <c r="A498" s="37"/>
      <c r="B498" s="33" t="s">
        <v>34</v>
      </c>
      <c r="C498" s="38">
        <f>IF(C497="","",IF(AND(MONTH(C497)&gt;=1,MONTH(C497)&lt;=3),1,IF(AND(MONTH(C497)&gt;=4,MONTH(C497)&lt;=6),2,IF(AND(MONTH(C497)&gt;=7,MONTH(C497)&lt;=9),3,4))))</f>
        <v>3</v>
      </c>
      <c r="D498" s="37"/>
      <c r="E498" s="35" t="s">
        <v>35</v>
      </c>
      <c r="F498" s="36" t="s">
        <v>36</v>
      </c>
    </row>
    <row r="499" spans="1:6" ht="17.25" thickBot="1" x14ac:dyDescent="0.3">
      <c r="A499" s="37"/>
      <c r="B499" s="33" t="s">
        <v>37</v>
      </c>
      <c r="C499" s="34">
        <v>45171</v>
      </c>
      <c r="D499" s="37"/>
      <c r="E499" s="35" t="s">
        <v>38</v>
      </c>
      <c r="F499" s="36" t="s">
        <v>36</v>
      </c>
    </row>
    <row r="500" spans="1:6" ht="17.25" thickBot="1" x14ac:dyDescent="0.3">
      <c r="A500" s="37"/>
      <c r="B500" s="33" t="s">
        <v>34</v>
      </c>
      <c r="C500" s="38">
        <f>IF(C499="","",IF(AND(MONTH(C499)&gt;=1,MONTH(C499)&lt;=3),1,IF(AND(MONTH(C499)&gt;=4,MONTH(C499)&lt;=6),2,IF(AND(MONTH(C499)&gt;=7,MONTH(C499)&lt;=9),3,4))))</f>
        <v>3</v>
      </c>
      <c r="D500" s="37"/>
      <c r="E500" s="35" t="s">
        <v>39</v>
      </c>
      <c r="F500" s="36" t="s">
        <v>36</v>
      </c>
    </row>
    <row r="501" spans="1:6" ht="17.25" thickBot="1" x14ac:dyDescent="0.3"/>
    <row r="502" spans="1:6" ht="17.25" thickBot="1" x14ac:dyDescent="0.3">
      <c r="A502" s="39" t="s">
        <v>40</v>
      </c>
      <c r="B502" s="39" t="s">
        <v>41</v>
      </c>
      <c r="C502" s="39" t="s">
        <v>42</v>
      </c>
      <c r="D502" s="39" t="s">
        <v>43</v>
      </c>
      <c r="E502" s="39" t="s">
        <v>44</v>
      </c>
      <c r="F502" s="39" t="s">
        <v>45</v>
      </c>
    </row>
    <row r="503" spans="1:6" x14ac:dyDescent="0.25">
      <c r="A503" s="40" t="s">
        <v>109</v>
      </c>
      <c r="B503" s="41" t="str">
        <f ca="1">IFERROR(INDEX(UNSPSCDes,MATCH(INDIRECT(ADDRESS(ROW(),COLUMN()-1,4)),UNSPSCCode,0)),IF(INDIRECT(ADDRESS(ROW(),COLUMN()-1,4))="10161707","Arreglo de flores cortadas",""))</f>
        <v>Arreglo de flores cortadas</v>
      </c>
      <c r="C503" s="42" t="str">
        <f>IFERROR(VLOOKUP("UD",'[1]Informacion '!P:Q,2,FALSE),"")</f>
        <v>Unidad</v>
      </c>
      <c r="D503" s="40">
        <v>1</v>
      </c>
      <c r="E503" s="43">
        <v>60000</v>
      </c>
      <c r="F503" s="44">
        <f ca="1">INDIRECT(ADDRESS(ROW(),COLUMN()-2,4))*INDIRECT(ADDRESS(ROW(),COLUMN()-1,4))</f>
        <v>60000</v>
      </c>
    </row>
    <row r="504" spans="1:6" x14ac:dyDescent="0.25">
      <c r="A504" s="40" t="s">
        <v>112</v>
      </c>
      <c r="B504" s="41" t="str">
        <f ca="1">IFERROR(INDEX(UNSPSCDes,MATCH(INDIRECT(ADDRESS(ROW(),COLUMN()-1,4)),UNSPSCCode,0)),IF(INDIRECT(ADDRESS(ROW(),COLUMN()-1,4))="10161705","Rosas cortadas",""))</f>
        <v>Rosas cortadas</v>
      </c>
      <c r="C504" s="42" t="str">
        <f>IFERROR(VLOOKUP("UD",'[1]Informacion '!P:Q,2,FALSE),"")</f>
        <v>Unidad</v>
      </c>
      <c r="D504" s="40">
        <v>1</v>
      </c>
      <c r="E504" s="43">
        <v>60000</v>
      </c>
      <c r="F504" s="44">
        <f ca="1">INDIRECT(ADDRESS(ROW(),COLUMN()-2,4))*INDIRECT(ADDRESS(ROW(),COLUMN()-1,4))</f>
        <v>60000</v>
      </c>
    </row>
    <row r="505" spans="1:6" x14ac:dyDescent="0.25">
      <c r="E505" s="45" t="s">
        <v>47</v>
      </c>
      <c r="F505" s="46">
        <f ca="1">SUM(Table47[MONTO TOTAL ESTIMADO])</f>
        <v>120000</v>
      </c>
    </row>
    <row r="506" spans="1:6" ht="17.25" thickBot="1" x14ac:dyDescent="0.3"/>
    <row r="507" spans="1:6" ht="23.25" thickBot="1" x14ac:dyDescent="0.3">
      <c r="A507" s="30" t="s">
        <v>18</v>
      </c>
      <c r="B507" s="30" t="s">
        <v>19</v>
      </c>
      <c r="C507" s="30" t="s">
        <v>20</v>
      </c>
      <c r="D507" s="30" t="s">
        <v>21</v>
      </c>
      <c r="E507" s="30" t="s">
        <v>22</v>
      </c>
      <c r="F507" s="30" t="s">
        <v>23</v>
      </c>
    </row>
    <row r="508" spans="1:6" ht="17.25" thickBot="1" x14ac:dyDescent="0.3">
      <c r="A508" s="31" t="s">
        <v>107</v>
      </c>
      <c r="B508" s="31" t="s">
        <v>108</v>
      </c>
      <c r="C508" s="31" t="s">
        <v>92</v>
      </c>
      <c r="D508" s="31" t="s">
        <v>50</v>
      </c>
      <c r="E508" s="31" t="s">
        <v>28</v>
      </c>
      <c r="F508" s="31" t="s">
        <v>17</v>
      </c>
    </row>
    <row r="509" spans="1:6" ht="17.25" thickBot="1" x14ac:dyDescent="0.3">
      <c r="A509" s="32" t="s">
        <v>29</v>
      </c>
      <c r="B509" s="33" t="s">
        <v>30</v>
      </c>
      <c r="C509" s="34">
        <v>45200</v>
      </c>
      <c r="D509" s="32" t="s">
        <v>31</v>
      </c>
      <c r="E509" s="35" t="s">
        <v>32</v>
      </c>
      <c r="F509" s="36" t="s">
        <v>33</v>
      </c>
    </row>
    <row r="510" spans="1:6" ht="17.25" thickBot="1" x14ac:dyDescent="0.3">
      <c r="A510" s="37"/>
      <c r="B510" s="33" t="s">
        <v>34</v>
      </c>
      <c r="C510" s="38">
        <f>IF(C509="","",IF(AND(MONTH(C509)&gt;=1,MONTH(C509)&lt;=3),1,IF(AND(MONTH(C509)&gt;=4,MONTH(C509)&lt;=6),2,IF(AND(MONTH(C509)&gt;=7,MONTH(C509)&lt;=9),3,4))))</f>
        <v>4</v>
      </c>
      <c r="D510" s="37"/>
      <c r="E510" s="35" t="s">
        <v>35</v>
      </c>
      <c r="F510" s="36" t="s">
        <v>36</v>
      </c>
    </row>
    <row r="511" spans="1:6" ht="17.25" thickBot="1" x14ac:dyDescent="0.3">
      <c r="A511" s="37"/>
      <c r="B511" s="33" t="s">
        <v>37</v>
      </c>
      <c r="C511" s="34">
        <v>45291</v>
      </c>
      <c r="D511" s="37"/>
      <c r="E511" s="35" t="s">
        <v>38</v>
      </c>
      <c r="F511" s="36" t="s">
        <v>36</v>
      </c>
    </row>
    <row r="512" spans="1:6" ht="17.25" thickBot="1" x14ac:dyDescent="0.3">
      <c r="A512" s="37"/>
      <c r="B512" s="33" t="s">
        <v>34</v>
      </c>
      <c r="C512" s="38">
        <f>IF(C511="","",IF(AND(MONTH(C511)&gt;=1,MONTH(C511)&lt;=3),1,IF(AND(MONTH(C511)&gt;=4,MONTH(C511)&lt;=6),2,IF(AND(MONTH(C511)&gt;=7,MONTH(C511)&lt;=9),3,4))))</f>
        <v>4</v>
      </c>
      <c r="D512" s="37"/>
      <c r="E512" s="35" t="s">
        <v>39</v>
      </c>
      <c r="F512" s="36" t="s">
        <v>36</v>
      </c>
    </row>
    <row r="513" spans="1:6" ht="17.25" thickBot="1" x14ac:dyDescent="0.3"/>
    <row r="514" spans="1:6" ht="17.25" thickBot="1" x14ac:dyDescent="0.3">
      <c r="A514" s="39" t="s">
        <v>40</v>
      </c>
      <c r="B514" s="39" t="s">
        <v>41</v>
      </c>
      <c r="C514" s="39" t="s">
        <v>42</v>
      </c>
      <c r="D514" s="39" t="s">
        <v>43</v>
      </c>
      <c r="E514" s="39" t="s">
        <v>44</v>
      </c>
      <c r="F514" s="39" t="s">
        <v>45</v>
      </c>
    </row>
    <row r="515" spans="1:6" x14ac:dyDescent="0.25">
      <c r="A515" s="40" t="s">
        <v>109</v>
      </c>
      <c r="B515" s="41" t="str">
        <f ca="1">IFERROR(INDEX(UNSPSCDes,MATCH(INDIRECT(ADDRESS(ROW(),COLUMN()-1,4)),UNSPSCCode,0)),IF(INDIRECT(ADDRESS(ROW(),COLUMN()-1,4))="10161707","Arreglo de flores cortadas",""))</f>
        <v>Arreglo de flores cortadas</v>
      </c>
      <c r="C515" s="42" t="s">
        <v>66</v>
      </c>
      <c r="D515" s="40">
        <v>1</v>
      </c>
      <c r="E515" s="43">
        <v>120000</v>
      </c>
      <c r="F515" s="44">
        <f ca="1">INDIRECT(ADDRESS(ROW(),COLUMN()-2,4))*INDIRECT(ADDRESS(ROW(),COLUMN()-1,4))</f>
        <v>120000</v>
      </c>
    </row>
    <row r="516" spans="1:6" x14ac:dyDescent="0.25">
      <c r="E516" s="45" t="s">
        <v>47</v>
      </c>
      <c r="F516" s="46">
        <f ca="1">SUM(Table48[MONTO TOTAL ESTIMADO])</f>
        <v>120000</v>
      </c>
    </row>
    <row r="517" spans="1:6" ht="17.25" thickBot="1" x14ac:dyDescent="0.3"/>
    <row r="518" spans="1:6" ht="23.25" thickBot="1" x14ac:dyDescent="0.3">
      <c r="A518" s="30" t="s">
        <v>18</v>
      </c>
      <c r="B518" s="30" t="s">
        <v>19</v>
      </c>
      <c r="C518" s="30" t="s">
        <v>20</v>
      </c>
      <c r="D518" s="30" t="s">
        <v>21</v>
      </c>
      <c r="E518" s="30" t="s">
        <v>22</v>
      </c>
      <c r="F518" s="30" t="s">
        <v>23</v>
      </c>
    </row>
    <row r="519" spans="1:6" ht="17.25" thickBot="1" x14ac:dyDescent="0.3">
      <c r="A519" s="31" t="s">
        <v>113</v>
      </c>
      <c r="B519" s="31" t="s">
        <v>114</v>
      </c>
      <c r="C519" s="31" t="s">
        <v>92</v>
      </c>
      <c r="D519" s="31" t="s">
        <v>27</v>
      </c>
      <c r="E519" s="31" t="s">
        <v>58</v>
      </c>
      <c r="F519" s="31"/>
    </row>
    <row r="520" spans="1:6" ht="17.25" thickBot="1" x14ac:dyDescent="0.3">
      <c r="A520" s="32" t="s">
        <v>29</v>
      </c>
      <c r="B520" s="33" t="s">
        <v>30</v>
      </c>
      <c r="C520" s="34">
        <v>44958</v>
      </c>
      <c r="D520" s="32" t="s">
        <v>31</v>
      </c>
      <c r="E520" s="35" t="s">
        <v>32</v>
      </c>
      <c r="F520" s="36" t="s">
        <v>33</v>
      </c>
    </row>
    <row r="521" spans="1:6" ht="17.25" thickBot="1" x14ac:dyDescent="0.3">
      <c r="A521" s="37"/>
      <c r="B521" s="33" t="s">
        <v>34</v>
      </c>
      <c r="C521" s="38">
        <f>IF(C520="","",IF(AND(MONTH(C520)&gt;=1,MONTH(C520)&lt;=3),1,IF(AND(MONTH(C520)&gt;=4,MONTH(C520)&lt;=6),2,IF(AND(MONTH(C520)&gt;=7,MONTH(C520)&lt;=9),3,4))))</f>
        <v>1</v>
      </c>
      <c r="D521" s="37"/>
      <c r="E521" s="35" t="s">
        <v>35</v>
      </c>
      <c r="F521" s="36" t="s">
        <v>36</v>
      </c>
    </row>
    <row r="522" spans="1:6" ht="17.25" thickBot="1" x14ac:dyDescent="0.3">
      <c r="A522" s="37"/>
      <c r="B522" s="33" t="s">
        <v>37</v>
      </c>
      <c r="C522" s="34">
        <v>45015</v>
      </c>
      <c r="D522" s="37"/>
      <c r="E522" s="35" t="s">
        <v>38</v>
      </c>
      <c r="F522" s="36" t="s">
        <v>36</v>
      </c>
    </row>
    <row r="523" spans="1:6" ht="17.25" thickBot="1" x14ac:dyDescent="0.3">
      <c r="A523" s="37"/>
      <c r="B523" s="33" t="s">
        <v>34</v>
      </c>
      <c r="C523" s="38">
        <f>IF(C522="","",IF(AND(MONTH(C522)&gt;=1,MONTH(C522)&lt;=3),1,IF(AND(MONTH(C522)&gt;=4,MONTH(C522)&lt;=6),2,IF(AND(MONTH(C522)&gt;=7,MONTH(C522)&lt;=9),3,4))))</f>
        <v>1</v>
      </c>
      <c r="D523" s="37"/>
      <c r="E523" s="35" t="s">
        <v>39</v>
      </c>
      <c r="F523" s="36" t="s">
        <v>36</v>
      </c>
    </row>
    <row r="524" spans="1:6" ht="17.25" thickBot="1" x14ac:dyDescent="0.3"/>
    <row r="525" spans="1:6" ht="17.25" thickBot="1" x14ac:dyDescent="0.3">
      <c r="A525" s="39" t="s">
        <v>40</v>
      </c>
      <c r="B525" s="39" t="s">
        <v>41</v>
      </c>
      <c r="C525" s="39" t="s">
        <v>42</v>
      </c>
      <c r="D525" s="39" t="s">
        <v>43</v>
      </c>
      <c r="E525" s="39" t="s">
        <v>44</v>
      </c>
      <c r="F525" s="39" t="s">
        <v>45</v>
      </c>
    </row>
    <row r="526" spans="1:6" x14ac:dyDescent="0.25">
      <c r="A526" s="40" t="s">
        <v>115</v>
      </c>
      <c r="B526" s="41" t="str">
        <f ca="1">IFERROR(INDEX(UNSPSCDes,MATCH(INDIRECT(ADDRESS(ROW(),COLUMN()-1,4)),UNSPSCCode,0)),IF(INDIRECT(ADDRESS(ROW(),COLUMN()-1,4))="55121715","Banderas o accesorios",""))</f>
        <v>Banderas o accesorios</v>
      </c>
      <c r="C526" s="42" t="str">
        <f>IFERROR(VLOOKUP("UD",'[1]Informacion '!P:Q,2,FALSE),"")</f>
        <v>Unidad</v>
      </c>
      <c r="D526" s="40">
        <v>1</v>
      </c>
      <c r="E526" s="43">
        <v>10000</v>
      </c>
      <c r="F526" s="44">
        <f ca="1">INDIRECT(ADDRESS(ROW(),COLUMN()-2,4))*INDIRECT(ADDRESS(ROW(),COLUMN()-1,4))</f>
        <v>10000</v>
      </c>
    </row>
    <row r="527" spans="1:6" x14ac:dyDescent="0.25">
      <c r="A527" s="40" t="s">
        <v>116</v>
      </c>
      <c r="B527" s="41" t="str">
        <f ca="1">IFERROR(INDEX(UNSPSCDes,MATCH(INDIRECT(ADDRESS(ROW(),COLUMN()-1,4)),UNSPSCCode,0)),IF(INDIRECT(ADDRESS(ROW(),COLUMN()-1,4))="52121704","Toallas de manos",""))</f>
        <v>Toallas de manos</v>
      </c>
      <c r="C527" s="42" t="str">
        <f>IFERROR(VLOOKUP("UD",'[1]Informacion '!P:Q,2,FALSE),"")</f>
        <v>Unidad</v>
      </c>
      <c r="D527" s="40">
        <v>1</v>
      </c>
      <c r="E527" s="43">
        <v>10000</v>
      </c>
      <c r="F527" s="44">
        <f ca="1">INDIRECT(ADDRESS(ROW(),COLUMN()-2,4))*INDIRECT(ADDRESS(ROW(),COLUMN()-1,4))</f>
        <v>10000</v>
      </c>
    </row>
    <row r="528" spans="1:6" x14ac:dyDescent="0.25">
      <c r="A528" s="40" t="s">
        <v>117</v>
      </c>
      <c r="B528" s="41" t="str">
        <f ca="1">IFERROR(INDEX(UNSPSCDes,MATCH(INDIRECT(ADDRESS(ROW(),COLUMN()-1,4)),UNSPSCCode,0)),IF(INDIRECT(ADDRESS(ROW(),COLUMN()-1,4))="52131501","Cortinas",""))</f>
        <v>Cortinas</v>
      </c>
      <c r="C528" s="42" t="str">
        <f>IFERROR(VLOOKUP("UD",'[1]Informacion '!P:Q,2,FALSE),"")</f>
        <v>Unidad</v>
      </c>
      <c r="D528" s="40">
        <v>1</v>
      </c>
      <c r="E528" s="43">
        <v>5000</v>
      </c>
      <c r="F528" s="44">
        <f ca="1">INDIRECT(ADDRESS(ROW(),COLUMN()-2,4))*INDIRECT(ADDRESS(ROW(),COLUMN()-1,4))</f>
        <v>5000</v>
      </c>
    </row>
    <row r="529" spans="1:6" x14ac:dyDescent="0.25">
      <c r="A529" s="40" t="s">
        <v>118</v>
      </c>
      <c r="B529" s="41" t="str">
        <f ca="1">IFERROR(INDEX(UNSPSCDes,MATCH(INDIRECT(ADDRESS(ROW(),COLUMN()-1,4)),UNSPSCCode,0)),IF(INDIRECT(ADDRESS(ROW(),COLUMN()-1,4))="52101502","Alfombras",""))</f>
        <v>Alfombras</v>
      </c>
      <c r="C529" s="42" t="str">
        <f>IFERROR(VLOOKUP("UD",'[1]Informacion '!P:Q,2,FALSE),"")</f>
        <v>Unidad</v>
      </c>
      <c r="D529" s="40">
        <v>1</v>
      </c>
      <c r="E529" s="43">
        <v>8000</v>
      </c>
      <c r="F529" s="44">
        <f ca="1">INDIRECT(ADDRESS(ROW(),COLUMN()-2,4))*INDIRECT(ADDRESS(ROW(),COLUMN()-1,4))</f>
        <v>8000</v>
      </c>
    </row>
    <row r="530" spans="1:6" x14ac:dyDescent="0.25">
      <c r="E530" s="45" t="s">
        <v>47</v>
      </c>
      <c r="F530" s="46">
        <f ca="1">SUM(Table49[MONTO TOTAL ESTIMADO])</f>
        <v>33000</v>
      </c>
    </row>
    <row r="531" spans="1:6" ht="17.25" thickBot="1" x14ac:dyDescent="0.3"/>
    <row r="532" spans="1:6" ht="23.25" thickBot="1" x14ac:dyDescent="0.3">
      <c r="A532" s="30" t="s">
        <v>18</v>
      </c>
      <c r="B532" s="30" t="s">
        <v>19</v>
      </c>
      <c r="C532" s="30" t="s">
        <v>20</v>
      </c>
      <c r="D532" s="30" t="s">
        <v>21</v>
      </c>
      <c r="E532" s="30" t="s">
        <v>22</v>
      </c>
      <c r="F532" s="30" t="s">
        <v>23</v>
      </c>
    </row>
    <row r="533" spans="1:6" ht="17.25" thickBot="1" x14ac:dyDescent="0.3">
      <c r="A533" s="31" t="s">
        <v>113</v>
      </c>
      <c r="B533" s="31" t="s">
        <v>114</v>
      </c>
      <c r="C533" s="31" t="s">
        <v>92</v>
      </c>
      <c r="D533" s="31" t="s">
        <v>50</v>
      </c>
      <c r="E533" s="31" t="s">
        <v>58</v>
      </c>
      <c r="F533" s="31"/>
    </row>
    <row r="534" spans="1:6" ht="17.25" thickBot="1" x14ac:dyDescent="0.3">
      <c r="A534" s="32" t="s">
        <v>29</v>
      </c>
      <c r="B534" s="33" t="s">
        <v>30</v>
      </c>
      <c r="C534" s="34">
        <v>45139</v>
      </c>
      <c r="D534" s="32" t="s">
        <v>31</v>
      </c>
      <c r="E534" s="35" t="s">
        <v>32</v>
      </c>
      <c r="F534" s="36" t="s">
        <v>33</v>
      </c>
    </row>
    <row r="535" spans="1:6" ht="17.25" thickBot="1" x14ac:dyDescent="0.3">
      <c r="A535" s="37"/>
      <c r="B535" s="33" t="s">
        <v>34</v>
      </c>
      <c r="C535" s="38">
        <f>IF(C534="","",IF(AND(MONTH(C534)&gt;=1,MONTH(C534)&lt;=3),1,IF(AND(MONTH(C534)&gt;=4,MONTH(C534)&lt;=6),2,IF(AND(MONTH(C534)&gt;=7,MONTH(C534)&lt;=9),3,4))))</f>
        <v>3</v>
      </c>
      <c r="D535" s="37"/>
      <c r="E535" s="35" t="s">
        <v>35</v>
      </c>
      <c r="F535" s="36" t="s">
        <v>36</v>
      </c>
    </row>
    <row r="536" spans="1:6" ht="17.25" thickBot="1" x14ac:dyDescent="0.3">
      <c r="A536" s="37"/>
      <c r="B536" s="33" t="s">
        <v>37</v>
      </c>
      <c r="C536" s="34">
        <v>45199</v>
      </c>
      <c r="D536" s="37"/>
      <c r="E536" s="35" t="s">
        <v>38</v>
      </c>
      <c r="F536" s="36" t="s">
        <v>36</v>
      </c>
    </row>
    <row r="537" spans="1:6" ht="17.25" thickBot="1" x14ac:dyDescent="0.3">
      <c r="A537" s="37"/>
      <c r="B537" s="33" t="s">
        <v>34</v>
      </c>
      <c r="C537" s="38">
        <f>IF(C536="","",IF(AND(MONTH(C536)&gt;=1,MONTH(C536)&lt;=3),1,IF(AND(MONTH(C536)&gt;=4,MONTH(C536)&lt;=6),2,IF(AND(MONTH(C536)&gt;=7,MONTH(C536)&lt;=9),3,4))))</f>
        <v>3</v>
      </c>
      <c r="D537" s="37"/>
      <c r="E537" s="35" t="s">
        <v>39</v>
      </c>
      <c r="F537" s="36" t="s">
        <v>36</v>
      </c>
    </row>
    <row r="538" spans="1:6" ht="17.25" thickBot="1" x14ac:dyDescent="0.3"/>
    <row r="539" spans="1:6" ht="17.25" thickBot="1" x14ac:dyDescent="0.3">
      <c r="A539" s="39" t="s">
        <v>40</v>
      </c>
      <c r="B539" s="39" t="s">
        <v>41</v>
      </c>
      <c r="C539" s="39" t="s">
        <v>42</v>
      </c>
      <c r="D539" s="39" t="s">
        <v>43</v>
      </c>
      <c r="E539" s="39" t="s">
        <v>44</v>
      </c>
      <c r="F539" s="39" t="s">
        <v>45</v>
      </c>
    </row>
    <row r="540" spans="1:6" x14ac:dyDescent="0.25">
      <c r="A540" s="40" t="s">
        <v>115</v>
      </c>
      <c r="B540" s="41" t="str">
        <f ca="1">IFERROR(INDEX(UNSPSCDes,MATCH(INDIRECT(ADDRESS(ROW(),COLUMN()-1,4)),UNSPSCCode,0)),IF(INDIRECT(ADDRESS(ROW(),COLUMN()-1,4))="55121715","Banderas o accesorios",""))</f>
        <v>Banderas o accesorios</v>
      </c>
      <c r="C540" s="42" t="str">
        <f>IFERROR(VLOOKUP("UD",'[1]Informacion '!P:Q,2,FALSE),"")</f>
        <v>Unidad</v>
      </c>
      <c r="D540" s="40">
        <v>1</v>
      </c>
      <c r="E540" s="43">
        <v>1</v>
      </c>
      <c r="F540" s="44">
        <f ca="1">INDIRECT(ADDRESS(ROW(),COLUMN()-2,4))*INDIRECT(ADDRESS(ROW(),COLUMN()-1,4))</f>
        <v>1</v>
      </c>
    </row>
    <row r="541" spans="1:6" x14ac:dyDescent="0.25">
      <c r="A541" s="40" t="s">
        <v>119</v>
      </c>
      <c r="B541" s="41" t="str">
        <f ca="1">IFERROR(INDEX(UNSPSCDes,MATCH(INDIRECT(ADDRESS(ROW(),COLUMN()-1,4)),UNSPSCCode,0)),IF(INDIRECT(ADDRESS(ROW(),COLUMN()-1,4))="53121603","Morrales",""))</f>
        <v>Morrales</v>
      </c>
      <c r="C541" s="42" t="str">
        <f>IFERROR(VLOOKUP("UD",'[1]Informacion '!P:Q,2,FALSE),"")</f>
        <v>Unidad</v>
      </c>
      <c r="D541" s="40">
        <v>1</v>
      </c>
      <c r="E541" s="43">
        <v>1</v>
      </c>
      <c r="F541" s="44">
        <f ca="1">INDIRECT(ADDRESS(ROW(),COLUMN()-2,4))*INDIRECT(ADDRESS(ROW(),COLUMN()-1,4))</f>
        <v>1</v>
      </c>
    </row>
    <row r="542" spans="1:6" x14ac:dyDescent="0.25">
      <c r="A542" s="40" t="s">
        <v>120</v>
      </c>
      <c r="B542" s="41" t="str">
        <f ca="1">IFERROR(INDEX(UNSPSCDes,MATCH(INDIRECT(ADDRESS(ROW(),COLUMN()-1,4)),UNSPSCCode,0)),IF(INDIRECT(ADDRESS(ROW(),COLUMN()-1,4))="52121604","Manteles",""))</f>
        <v>Manteles</v>
      </c>
      <c r="C542" s="42" t="str">
        <f>IFERROR(VLOOKUP("UD",'[1]Informacion '!P:Q,2,FALSE),"")</f>
        <v>Unidad</v>
      </c>
      <c r="D542" s="40">
        <v>1</v>
      </c>
      <c r="E542" s="43">
        <v>1</v>
      </c>
      <c r="F542" s="44">
        <f ca="1">INDIRECT(ADDRESS(ROW(),COLUMN()-2,4))*INDIRECT(ADDRESS(ROW(),COLUMN()-1,4))</f>
        <v>1</v>
      </c>
    </row>
    <row r="543" spans="1:6" x14ac:dyDescent="0.25">
      <c r="E543" s="45" t="s">
        <v>47</v>
      </c>
      <c r="F543" s="46">
        <f ca="1">SUM(Table52[MONTO TOTAL ESTIMADO])</f>
        <v>3</v>
      </c>
    </row>
    <row r="544" spans="1:6" ht="17.25" thickBot="1" x14ac:dyDescent="0.3"/>
    <row r="545" spans="1:6" ht="23.25" thickBot="1" x14ac:dyDescent="0.3">
      <c r="A545" s="30" t="s">
        <v>18</v>
      </c>
      <c r="B545" s="30" t="s">
        <v>19</v>
      </c>
      <c r="C545" s="30" t="s">
        <v>20</v>
      </c>
      <c r="D545" s="30" t="s">
        <v>21</v>
      </c>
      <c r="E545" s="30" t="s">
        <v>22</v>
      </c>
      <c r="F545" s="30" t="s">
        <v>23</v>
      </c>
    </row>
    <row r="546" spans="1:6" ht="17.25" thickBot="1" x14ac:dyDescent="0.3">
      <c r="A546" s="31" t="s">
        <v>121</v>
      </c>
      <c r="B546" s="31" t="s">
        <v>122</v>
      </c>
      <c r="C546" s="31" t="s">
        <v>92</v>
      </c>
      <c r="D546" s="31" t="s">
        <v>50</v>
      </c>
      <c r="E546" s="31" t="s">
        <v>58</v>
      </c>
      <c r="F546" s="31"/>
    </row>
    <row r="547" spans="1:6" ht="17.25" thickBot="1" x14ac:dyDescent="0.3">
      <c r="A547" s="32" t="s">
        <v>29</v>
      </c>
      <c r="B547" s="33" t="s">
        <v>30</v>
      </c>
      <c r="C547" s="34">
        <v>45017</v>
      </c>
      <c r="D547" s="32" t="s">
        <v>31</v>
      </c>
      <c r="E547" s="35" t="s">
        <v>32</v>
      </c>
      <c r="F547" s="36" t="s">
        <v>33</v>
      </c>
    </row>
    <row r="548" spans="1:6" ht="17.25" thickBot="1" x14ac:dyDescent="0.3">
      <c r="A548" s="37"/>
      <c r="B548" s="33" t="s">
        <v>34</v>
      </c>
      <c r="C548" s="38">
        <f>IF(C547="","",IF(AND(MONTH(C547)&gt;=1,MONTH(C547)&lt;=3),1,IF(AND(MONTH(C547)&gt;=4,MONTH(C547)&lt;=6),2,IF(AND(MONTH(C547)&gt;=7,MONTH(C547)&lt;=9),3,4))))</f>
        <v>2</v>
      </c>
      <c r="D548" s="37"/>
      <c r="E548" s="35" t="s">
        <v>35</v>
      </c>
      <c r="F548" s="36" t="s">
        <v>36</v>
      </c>
    </row>
    <row r="549" spans="1:6" ht="17.25" thickBot="1" x14ac:dyDescent="0.3">
      <c r="A549" s="37"/>
      <c r="B549" s="33" t="s">
        <v>37</v>
      </c>
      <c r="C549" s="34">
        <v>45106</v>
      </c>
      <c r="D549" s="37"/>
      <c r="E549" s="35" t="s">
        <v>38</v>
      </c>
      <c r="F549" s="36" t="s">
        <v>36</v>
      </c>
    </row>
    <row r="550" spans="1:6" ht="17.25" thickBot="1" x14ac:dyDescent="0.3">
      <c r="A550" s="37"/>
      <c r="B550" s="33" t="s">
        <v>34</v>
      </c>
      <c r="C550" s="38">
        <f>IF(C549="","",IF(AND(MONTH(C549)&gt;=1,MONTH(C549)&lt;=3),1,IF(AND(MONTH(C549)&gt;=4,MONTH(C549)&lt;=6),2,IF(AND(MONTH(C549)&gt;=7,MONTH(C549)&lt;=9),3,4))))</f>
        <v>2</v>
      </c>
      <c r="D550" s="37"/>
      <c r="E550" s="35" t="s">
        <v>39</v>
      </c>
      <c r="F550" s="36" t="s">
        <v>36</v>
      </c>
    </row>
    <row r="551" spans="1:6" ht="17.25" thickBot="1" x14ac:dyDescent="0.3"/>
    <row r="552" spans="1:6" ht="17.25" thickBot="1" x14ac:dyDescent="0.3">
      <c r="A552" s="39" t="s">
        <v>40</v>
      </c>
      <c r="B552" s="39" t="s">
        <v>41</v>
      </c>
      <c r="C552" s="39" t="s">
        <v>42</v>
      </c>
      <c r="D552" s="39" t="s">
        <v>43</v>
      </c>
      <c r="E552" s="39" t="s">
        <v>44</v>
      </c>
      <c r="F552" s="39" t="s">
        <v>45</v>
      </c>
    </row>
    <row r="553" spans="1:6" x14ac:dyDescent="0.25">
      <c r="A553" s="40" t="s">
        <v>123</v>
      </c>
      <c r="B553" s="41" t="str">
        <f ca="1">IFERROR(INDEX(UNSPSCDes,MATCH(INDIRECT(ADDRESS(ROW(),COLUMN()-1,4)),UNSPSCCode,0)),IF(INDIRECT(ADDRESS(ROW(),COLUMN()-1,4))="53102710","Uniformes corporativos",""))</f>
        <v>Uniformes corporativos</v>
      </c>
      <c r="C553" s="42" t="str">
        <f>IFERROR(VLOOKUP("UD",'[1]Informacion '!P:Q,2,FALSE),"")</f>
        <v>Unidad</v>
      </c>
      <c r="D553" s="40">
        <v>1</v>
      </c>
      <c r="E553" s="43">
        <v>50000</v>
      </c>
      <c r="F553" s="44">
        <f t="shared" ref="F553:F561" ca="1" si="2">INDIRECT(ADDRESS(ROW(),COLUMN()-2,4))*INDIRECT(ADDRESS(ROW(),COLUMN()-1,4))</f>
        <v>50000</v>
      </c>
    </row>
    <row r="554" spans="1:6" x14ac:dyDescent="0.25">
      <c r="A554" s="40" t="s">
        <v>124</v>
      </c>
      <c r="B554" s="41" t="str">
        <f ca="1">IFERROR(INDEX(UNSPSCDes,MATCH(INDIRECT(ADDRESS(ROW(),COLUMN()-1,4)),UNSPSCCode,0)),IF(INDIRECT(ADDRESS(ROW(),COLUMN()-1,4))="53102508","Bandas para los brazos",""))</f>
        <v>Bandas para los brazos</v>
      </c>
      <c r="C554" s="42" t="str">
        <f>IFERROR(VLOOKUP("UD",'[1]Informacion '!P:Q,2,FALSE),"")</f>
        <v>Unidad</v>
      </c>
      <c r="D554" s="40">
        <v>1</v>
      </c>
      <c r="E554" s="43">
        <v>40000</v>
      </c>
      <c r="F554" s="44">
        <f t="shared" ca="1" si="2"/>
        <v>40000</v>
      </c>
    </row>
    <row r="555" spans="1:6" x14ac:dyDescent="0.25">
      <c r="A555" s="40" t="s">
        <v>125</v>
      </c>
      <c r="B555" s="41" t="str">
        <f ca="1">IFERROR(INDEX(UNSPSCDes,MATCH(INDIRECT(ADDRESS(ROW(),COLUMN()-1,4)),UNSPSCCode,0)),IF(INDIRECT(ADDRESS(ROW(),COLUMN()-1,4))="53101602","Camisas para hombre",""))</f>
        <v>Camisas para hombre</v>
      </c>
      <c r="C555" s="42" t="str">
        <f>IFERROR(VLOOKUP("UD",'[1]Informacion '!P:Q,2,FALSE),"")</f>
        <v>Unidad</v>
      </c>
      <c r="D555" s="40">
        <v>1</v>
      </c>
      <c r="E555" s="43">
        <v>50000</v>
      </c>
      <c r="F555" s="44">
        <f t="shared" ca="1" si="2"/>
        <v>50000</v>
      </c>
    </row>
    <row r="556" spans="1:6" x14ac:dyDescent="0.25">
      <c r="A556" s="40" t="s">
        <v>126</v>
      </c>
      <c r="B556" s="41" t="str">
        <f ca="1">IFERROR(INDEX(UNSPSCDes,MATCH(INDIRECT(ADDRESS(ROW(),COLUMN()-1,4)),UNSPSCCode,0)),IF(INDIRECT(ADDRESS(ROW(),COLUMN()-1,4))="53101502","Pantalones largos o cortos o pantalonetas para hombre",""))</f>
        <v>Pantalones largos o cortos o pantalonetas para hombre</v>
      </c>
      <c r="C556" s="42" t="str">
        <f>IFERROR(VLOOKUP("UD",'[1]Informacion '!P:Q,2,FALSE),"")</f>
        <v>Unidad</v>
      </c>
      <c r="D556" s="40">
        <v>1</v>
      </c>
      <c r="E556" s="43">
        <v>50000</v>
      </c>
      <c r="F556" s="44">
        <f t="shared" ca="1" si="2"/>
        <v>50000</v>
      </c>
    </row>
    <row r="557" spans="1:6" x14ac:dyDescent="0.25">
      <c r="A557" s="40" t="s">
        <v>127</v>
      </c>
      <c r="B557" s="41" t="str">
        <f ca="1">IFERROR(INDEX(UNSPSCDes,MATCH(INDIRECT(ADDRESS(ROW(),COLUMN()-1,4)),UNSPSCCode,0)),IF(INDIRECT(ADDRESS(ROW(),COLUMN()-1,4))="53101604","Camisas o blusas para mujer",""))</f>
        <v>Camisas o blusas para mujer</v>
      </c>
      <c r="C557" s="42" t="str">
        <f>IFERROR(VLOOKUP("UD",'[1]Informacion '!P:Q,2,FALSE),"")</f>
        <v>Unidad</v>
      </c>
      <c r="D557" s="40">
        <v>1</v>
      </c>
      <c r="E557" s="43">
        <v>50000</v>
      </c>
      <c r="F557" s="44">
        <f t="shared" ca="1" si="2"/>
        <v>50000</v>
      </c>
    </row>
    <row r="558" spans="1:6" x14ac:dyDescent="0.25">
      <c r="A558" s="40" t="s">
        <v>128</v>
      </c>
      <c r="B558" s="41" t="str">
        <f ca="1">IFERROR(INDEX(UNSPSCDes,MATCH(INDIRECT(ADDRESS(ROW(),COLUMN()-1,4)),UNSPSCCode,0)),IF(INDIRECT(ADDRESS(ROW(),COLUMN()-1,4))="53101504","Pantalones largos o cortos o pantalonetas para mujer",""))</f>
        <v>Pantalones largos o cortos o pantalonetas para mujer</v>
      </c>
      <c r="C558" s="42" t="str">
        <f>IFERROR(VLOOKUP("UD",'[1]Informacion '!P:Q,2,FALSE),"")</f>
        <v>Unidad</v>
      </c>
      <c r="D558" s="40">
        <v>1</v>
      </c>
      <c r="E558" s="43">
        <v>50000</v>
      </c>
      <c r="F558" s="44">
        <f t="shared" ca="1" si="2"/>
        <v>50000</v>
      </c>
    </row>
    <row r="559" spans="1:6" x14ac:dyDescent="0.25">
      <c r="A559" s="40" t="s">
        <v>129</v>
      </c>
      <c r="B559" s="41" t="str">
        <f ca="1">IFERROR(INDEX(UNSPSCDes,MATCH(INDIRECT(ADDRESS(ROW(),COLUMN()-1,4)),UNSPSCCode,0)),IF(INDIRECT(ADDRESS(ROW(),COLUMN()-1,4))="53101804","Abrigos o chaquetas para mujer",""))</f>
        <v>Abrigos o chaquetas para mujer</v>
      </c>
      <c r="C559" s="42" t="str">
        <f>IFERROR(VLOOKUP("UD",'[1]Informacion '!P:Q,2,FALSE),"")</f>
        <v>Unidad</v>
      </c>
      <c r="D559" s="40">
        <v>1</v>
      </c>
      <c r="E559" s="43">
        <v>50000</v>
      </c>
      <c r="F559" s="44">
        <f t="shared" ca="1" si="2"/>
        <v>50000</v>
      </c>
    </row>
    <row r="560" spans="1:6" x14ac:dyDescent="0.25">
      <c r="A560" s="40" t="s">
        <v>130</v>
      </c>
      <c r="B560" s="41" t="str">
        <f ca="1">IFERROR(INDEX(UNSPSCDes,MATCH(INDIRECT(ADDRESS(ROW(),COLUMN()-1,4)),UNSPSCCode,0)),IF(INDIRECT(ADDRESS(ROW(),COLUMN()-1,4))="53102513","Bandas para la cabeza",""))</f>
        <v>Bandas para la cabeza</v>
      </c>
      <c r="C560" s="42" t="str">
        <f>IFERROR(VLOOKUP("UD",'[1]Informacion '!P:Q,2,FALSE),"")</f>
        <v>Unidad</v>
      </c>
      <c r="D560" s="40">
        <v>1</v>
      </c>
      <c r="E560" s="43">
        <v>60000</v>
      </c>
      <c r="F560" s="44">
        <f t="shared" ca="1" si="2"/>
        <v>60000</v>
      </c>
    </row>
    <row r="561" spans="1:6" x14ac:dyDescent="0.25">
      <c r="A561" s="40" t="s">
        <v>131</v>
      </c>
      <c r="B561" s="41" t="str">
        <f ca="1">IFERROR(INDEX(UNSPSCDes,MATCH(INDIRECT(ADDRESS(ROW(),COLUMN()-1,4)),UNSPSCCode,0)),IF(INDIRECT(ADDRESS(ROW(),COLUMN()-1,4))="53102503","Sombreros",""))</f>
        <v>Sombreros</v>
      </c>
      <c r="C561" s="42" t="str">
        <f>IFERROR(VLOOKUP("UD",'[1]Informacion '!P:Q,2,FALSE),"")</f>
        <v>Unidad</v>
      </c>
      <c r="D561" s="40">
        <v>1</v>
      </c>
      <c r="E561" s="43">
        <v>282500</v>
      </c>
      <c r="F561" s="44">
        <f t="shared" ca="1" si="2"/>
        <v>282500</v>
      </c>
    </row>
    <row r="562" spans="1:6" x14ac:dyDescent="0.25">
      <c r="E562" s="45" t="s">
        <v>47</v>
      </c>
      <c r="F562" s="46">
        <f ca="1">SUM(Table53[MONTO TOTAL ESTIMADO])</f>
        <v>682500</v>
      </c>
    </row>
    <row r="563" spans="1:6" ht="17.25" thickBot="1" x14ac:dyDescent="0.3"/>
    <row r="564" spans="1:6" ht="23.25" thickBot="1" x14ac:dyDescent="0.3">
      <c r="A564" s="30" t="s">
        <v>18</v>
      </c>
      <c r="B564" s="30" t="s">
        <v>19</v>
      </c>
      <c r="C564" s="30" t="s">
        <v>20</v>
      </c>
      <c r="D564" s="30" t="s">
        <v>21</v>
      </c>
      <c r="E564" s="30" t="s">
        <v>22</v>
      </c>
      <c r="F564" s="30" t="s">
        <v>23</v>
      </c>
    </row>
    <row r="565" spans="1:6" ht="17.25" thickBot="1" x14ac:dyDescent="0.3">
      <c r="A565" s="31" t="s">
        <v>121</v>
      </c>
      <c r="B565" s="31" t="s">
        <v>122</v>
      </c>
      <c r="C565" s="31" t="s">
        <v>92</v>
      </c>
      <c r="D565" s="31" t="s">
        <v>50</v>
      </c>
      <c r="E565" s="31" t="s">
        <v>58</v>
      </c>
      <c r="F565" s="31"/>
    </row>
    <row r="566" spans="1:6" ht="17.25" thickBot="1" x14ac:dyDescent="0.3">
      <c r="A566" s="32" t="s">
        <v>29</v>
      </c>
      <c r="B566" s="33" t="s">
        <v>30</v>
      </c>
      <c r="C566" s="34">
        <v>45108</v>
      </c>
      <c r="D566" s="32" t="s">
        <v>31</v>
      </c>
      <c r="E566" s="35" t="s">
        <v>32</v>
      </c>
      <c r="F566" s="36" t="s">
        <v>33</v>
      </c>
    </row>
    <row r="567" spans="1:6" ht="17.25" thickBot="1" x14ac:dyDescent="0.3">
      <c r="A567" s="37"/>
      <c r="B567" s="33" t="s">
        <v>34</v>
      </c>
      <c r="C567" s="38">
        <f>IF(C566="","",IF(AND(MONTH(C566)&gt;=1,MONTH(C566)&lt;=3),1,IF(AND(MONTH(C566)&gt;=4,MONTH(C566)&lt;=6),2,IF(AND(MONTH(C566)&gt;=7,MONTH(C566)&lt;=9),3,4))))</f>
        <v>3</v>
      </c>
      <c r="D567" s="37"/>
      <c r="E567" s="35" t="s">
        <v>35</v>
      </c>
      <c r="F567" s="36" t="s">
        <v>36</v>
      </c>
    </row>
    <row r="568" spans="1:6" ht="17.25" thickBot="1" x14ac:dyDescent="0.3">
      <c r="A568" s="37"/>
      <c r="B568" s="33" t="s">
        <v>37</v>
      </c>
      <c r="C568" s="34">
        <v>45198</v>
      </c>
      <c r="D568" s="37"/>
      <c r="E568" s="35" t="s">
        <v>38</v>
      </c>
      <c r="F568" s="36" t="s">
        <v>36</v>
      </c>
    </row>
    <row r="569" spans="1:6" ht="17.25" thickBot="1" x14ac:dyDescent="0.3">
      <c r="A569" s="37"/>
      <c r="B569" s="33" t="s">
        <v>34</v>
      </c>
      <c r="C569" s="38">
        <f>IF(C568="","",IF(AND(MONTH(C568)&gt;=1,MONTH(C568)&lt;=3),1,IF(AND(MONTH(C568)&gt;=4,MONTH(C568)&lt;=6),2,IF(AND(MONTH(C568)&gt;=7,MONTH(C568)&lt;=9),3,4))))</f>
        <v>3</v>
      </c>
      <c r="D569" s="37"/>
      <c r="E569" s="35" t="s">
        <v>39</v>
      </c>
      <c r="F569" s="36" t="s">
        <v>36</v>
      </c>
    </row>
    <row r="570" spans="1:6" ht="17.25" thickBot="1" x14ac:dyDescent="0.3"/>
    <row r="571" spans="1:6" ht="17.25" thickBot="1" x14ac:dyDescent="0.3">
      <c r="A571" s="39" t="s">
        <v>40</v>
      </c>
      <c r="B571" s="39" t="s">
        <v>41</v>
      </c>
      <c r="C571" s="39" t="s">
        <v>42</v>
      </c>
      <c r="D571" s="39" t="s">
        <v>43</v>
      </c>
      <c r="E571" s="39" t="s">
        <v>44</v>
      </c>
      <c r="F571" s="39" t="s">
        <v>45</v>
      </c>
    </row>
    <row r="572" spans="1:6" x14ac:dyDescent="0.25">
      <c r="A572" s="40" t="s">
        <v>132</v>
      </c>
      <c r="B572" s="41" t="str">
        <f ca="1">IFERROR(INDEX(UNSPSCDes,MATCH(INDIRECT(ADDRESS(ROW(),COLUMN()-1,4)),UNSPSCCode,0)),IF(INDIRECT(ADDRESS(ROW(),COLUMN()-1,4))="53101802","Abrigos o chaquetas para hombre",""))</f>
        <v>Abrigos o chaquetas para hombre</v>
      </c>
      <c r="C572" s="42" t="str">
        <f>IFERROR(VLOOKUP("UD",'[1]Informacion '!P:Q,2,FALSE),"")</f>
        <v>Unidad</v>
      </c>
      <c r="D572" s="40">
        <v>1</v>
      </c>
      <c r="E572" s="43">
        <v>40000</v>
      </c>
      <c r="F572" s="44">
        <f ca="1">INDIRECT(ADDRESS(ROW(),COLUMN()-2,4))*INDIRECT(ADDRESS(ROW(),COLUMN()-1,4))</f>
        <v>40000</v>
      </c>
    </row>
    <row r="573" spans="1:6" x14ac:dyDescent="0.25">
      <c r="A573" s="40" t="s">
        <v>133</v>
      </c>
      <c r="B573" s="41" t="str">
        <f ca="1">IFERROR(INDEX(UNSPSCDes,MATCH(INDIRECT(ADDRESS(ROW(),COLUMN()-1,4)),UNSPSCCode,0)),IF(INDIRECT(ADDRESS(ROW(),COLUMN()-1,4))="53103001","Camisetas (t-shirts)",""))</f>
        <v>Camisetas (t-shirts)</v>
      </c>
      <c r="C573" s="42" t="str">
        <f>IFERROR(VLOOKUP("UD",'[1]Informacion '!P:Q,2,FALSE),"")</f>
        <v>Unidad</v>
      </c>
      <c r="D573" s="40">
        <v>1</v>
      </c>
      <c r="E573" s="43">
        <v>42500</v>
      </c>
      <c r="F573" s="44">
        <f ca="1">INDIRECT(ADDRESS(ROW(),COLUMN()-2,4))*INDIRECT(ADDRESS(ROW(),COLUMN()-1,4))</f>
        <v>42500</v>
      </c>
    </row>
    <row r="574" spans="1:6" x14ac:dyDescent="0.25">
      <c r="E574" s="45" t="s">
        <v>47</v>
      </c>
      <c r="F574" s="46">
        <f ca="1">SUM(Table54[MONTO TOTAL ESTIMADO])</f>
        <v>82500</v>
      </c>
    </row>
    <row r="575" spans="1:6" ht="17.25" thickBot="1" x14ac:dyDescent="0.3"/>
    <row r="576" spans="1:6" ht="23.25" thickBot="1" x14ac:dyDescent="0.3">
      <c r="A576" s="30" t="s">
        <v>18</v>
      </c>
      <c r="B576" s="30" t="s">
        <v>19</v>
      </c>
      <c r="C576" s="30" t="s">
        <v>20</v>
      </c>
      <c r="D576" s="30" t="s">
        <v>21</v>
      </c>
      <c r="E576" s="30" t="s">
        <v>22</v>
      </c>
      <c r="F576" s="30" t="s">
        <v>23</v>
      </c>
    </row>
    <row r="577" spans="1:6" ht="17.25" thickBot="1" x14ac:dyDescent="0.3">
      <c r="A577" s="31" t="s">
        <v>121</v>
      </c>
      <c r="B577" s="31" t="s">
        <v>122</v>
      </c>
      <c r="C577" s="31" t="s">
        <v>92</v>
      </c>
      <c r="D577" s="31" t="s">
        <v>50</v>
      </c>
      <c r="E577" s="31" t="s">
        <v>58</v>
      </c>
      <c r="F577" s="31"/>
    </row>
    <row r="578" spans="1:6" ht="17.25" thickBot="1" x14ac:dyDescent="0.3">
      <c r="A578" s="32" t="s">
        <v>29</v>
      </c>
      <c r="B578" s="33" t="s">
        <v>30</v>
      </c>
      <c r="C578" s="34">
        <v>45200</v>
      </c>
      <c r="D578" s="32" t="s">
        <v>31</v>
      </c>
      <c r="E578" s="35" t="s">
        <v>32</v>
      </c>
      <c r="F578" s="36" t="s">
        <v>33</v>
      </c>
    </row>
    <row r="579" spans="1:6" ht="17.25" thickBot="1" x14ac:dyDescent="0.3">
      <c r="A579" s="37"/>
      <c r="B579" s="33" t="s">
        <v>34</v>
      </c>
      <c r="C579" s="38">
        <f>IF(C578="","",IF(AND(MONTH(C578)&gt;=1,MONTH(C578)&lt;=3),1,IF(AND(MONTH(C578)&gt;=4,MONTH(C578)&lt;=6),2,IF(AND(MONTH(C578)&gt;=7,MONTH(C578)&lt;=9),3,4))))</f>
        <v>4</v>
      </c>
      <c r="D579" s="37"/>
      <c r="E579" s="35" t="s">
        <v>35</v>
      </c>
      <c r="F579" s="36" t="s">
        <v>36</v>
      </c>
    </row>
    <row r="580" spans="1:6" ht="17.25" thickBot="1" x14ac:dyDescent="0.3">
      <c r="A580" s="37"/>
      <c r="B580" s="33" t="s">
        <v>37</v>
      </c>
      <c r="C580" s="34">
        <v>45290</v>
      </c>
      <c r="D580" s="37"/>
      <c r="E580" s="35" t="s">
        <v>38</v>
      </c>
      <c r="F580" s="36" t="s">
        <v>36</v>
      </c>
    </row>
    <row r="581" spans="1:6" ht="17.25" thickBot="1" x14ac:dyDescent="0.3">
      <c r="A581" s="37"/>
      <c r="B581" s="33" t="s">
        <v>34</v>
      </c>
      <c r="C581" s="38">
        <f>IF(C580="","",IF(AND(MONTH(C580)&gt;=1,MONTH(C580)&lt;=3),1,IF(AND(MONTH(C580)&gt;=4,MONTH(C580)&lt;=6),2,IF(AND(MONTH(C580)&gt;=7,MONTH(C580)&lt;=9),3,4))))</f>
        <v>4</v>
      </c>
      <c r="D581" s="37"/>
      <c r="E581" s="35" t="s">
        <v>39</v>
      </c>
      <c r="F581" s="36" t="s">
        <v>36</v>
      </c>
    </row>
    <row r="582" spans="1:6" ht="17.25" thickBot="1" x14ac:dyDescent="0.3"/>
    <row r="583" spans="1:6" ht="17.25" thickBot="1" x14ac:dyDescent="0.3">
      <c r="A583" s="39" t="s">
        <v>40</v>
      </c>
      <c r="B583" s="39" t="s">
        <v>41</v>
      </c>
      <c r="C583" s="39" t="s">
        <v>42</v>
      </c>
      <c r="D583" s="39" t="s">
        <v>43</v>
      </c>
      <c r="E583" s="39" t="s">
        <v>44</v>
      </c>
      <c r="F583" s="39" t="s">
        <v>45</v>
      </c>
    </row>
    <row r="584" spans="1:6" x14ac:dyDescent="0.25">
      <c r="A584" s="40" t="s">
        <v>134</v>
      </c>
      <c r="B584" s="41" t="str">
        <f ca="1">IFERROR(INDEX(UNSPSCDes,MATCH(INDIRECT(ADDRESS(ROW(),COLUMN()-1,4)),UNSPSCCode,0)),IF(INDIRECT(ADDRESS(ROW(),COLUMN()-1,4))="53102505","Sombrillas",""))</f>
        <v>Sombrillas</v>
      </c>
      <c r="C584" s="42" t="str">
        <f>IFERROR(VLOOKUP("UD",'[1]Informacion '!P:Q,2,FALSE),"")</f>
        <v>Unidad</v>
      </c>
      <c r="D584" s="40">
        <v>1</v>
      </c>
      <c r="E584" s="43">
        <v>25000</v>
      </c>
      <c r="F584" s="44">
        <f ca="1">INDIRECT(ADDRESS(ROW(),COLUMN()-2,4))*INDIRECT(ADDRESS(ROW(),COLUMN()-1,4))</f>
        <v>25000</v>
      </c>
    </row>
    <row r="585" spans="1:6" x14ac:dyDescent="0.25">
      <c r="A585" s="40" t="s">
        <v>135</v>
      </c>
      <c r="B585" s="41" t="str">
        <f ca="1">IFERROR(INDEX(UNSPSCDes,MATCH(INDIRECT(ADDRESS(ROW(),COLUMN()-1,4)),UNSPSCCode,0)),IF(INDIRECT(ADDRESS(ROW(),COLUMN()-1,4))="54101511","Prendedores de joyería fina",""))</f>
        <v>Prendedores de joyería fina</v>
      </c>
      <c r="C585" s="42" t="str">
        <f>IFERROR(VLOOKUP("UD",'[1]Informacion '!P:Q,2,FALSE),"")</f>
        <v>Unidad</v>
      </c>
      <c r="D585" s="40">
        <v>1</v>
      </c>
      <c r="E585" s="43">
        <v>25000</v>
      </c>
      <c r="F585" s="44">
        <f ca="1">INDIRECT(ADDRESS(ROW(),COLUMN()-2,4))*INDIRECT(ADDRESS(ROW(),COLUMN()-1,4))</f>
        <v>25000</v>
      </c>
    </row>
    <row r="586" spans="1:6" x14ac:dyDescent="0.25">
      <c r="A586" s="40" t="s">
        <v>136</v>
      </c>
      <c r="B586" s="41" t="str">
        <f ca="1">IFERROR(INDEX(UNSPSCDes,MATCH(INDIRECT(ADDRESS(ROW(),COLUMN()-1,4)),UNSPSCCode,0)),IF(INDIRECT(ADDRESS(ROW(),COLUMN()-1,4))="53101801","Abrigos o chaquetas para niño",""))</f>
        <v>Abrigos o chaquetas para niño</v>
      </c>
      <c r="C586" s="42" t="str">
        <f>IFERROR(VLOOKUP("UD",'[1]Informacion '!P:Q,2,FALSE),"")</f>
        <v>Unidad</v>
      </c>
      <c r="D586" s="40">
        <v>1</v>
      </c>
      <c r="E586" s="43">
        <v>32500</v>
      </c>
      <c r="F586" s="44">
        <f ca="1">INDIRECT(ADDRESS(ROW(),COLUMN()-2,4))*INDIRECT(ADDRESS(ROW(),COLUMN()-1,4))</f>
        <v>32500</v>
      </c>
    </row>
    <row r="587" spans="1:6" x14ac:dyDescent="0.25">
      <c r="E587" s="45" t="s">
        <v>47</v>
      </c>
      <c r="F587" s="46">
        <f ca="1">SUM(Table55[MONTO TOTAL ESTIMADO])</f>
        <v>82500</v>
      </c>
    </row>
    <row r="588" spans="1:6" ht="17.25" thickBot="1" x14ac:dyDescent="0.3"/>
    <row r="589" spans="1:6" ht="23.25" thickBot="1" x14ac:dyDescent="0.3">
      <c r="A589" s="30" t="s">
        <v>18</v>
      </c>
      <c r="B589" s="30" t="s">
        <v>19</v>
      </c>
      <c r="C589" s="30" t="s">
        <v>20</v>
      </c>
      <c r="D589" s="30" t="s">
        <v>21</v>
      </c>
      <c r="E589" s="30" t="s">
        <v>22</v>
      </c>
      <c r="F589" s="30" t="s">
        <v>23</v>
      </c>
    </row>
    <row r="590" spans="1:6" ht="17.25" thickBot="1" x14ac:dyDescent="0.3">
      <c r="A590" s="31" t="s">
        <v>137</v>
      </c>
      <c r="B590" s="31" t="s">
        <v>137</v>
      </c>
      <c r="C590" s="31" t="s">
        <v>92</v>
      </c>
      <c r="D590" s="31" t="s">
        <v>27</v>
      </c>
      <c r="E590" s="31" t="s">
        <v>58</v>
      </c>
      <c r="F590" s="31"/>
    </row>
    <row r="591" spans="1:6" ht="17.25" thickBot="1" x14ac:dyDescent="0.3">
      <c r="A591" s="32" t="s">
        <v>29</v>
      </c>
      <c r="B591" s="33" t="s">
        <v>30</v>
      </c>
      <c r="C591" s="34">
        <v>45107</v>
      </c>
      <c r="D591" s="32" t="s">
        <v>31</v>
      </c>
      <c r="E591" s="35" t="s">
        <v>32</v>
      </c>
      <c r="F591" s="36" t="s">
        <v>33</v>
      </c>
    </row>
    <row r="592" spans="1:6" ht="17.25" thickBot="1" x14ac:dyDescent="0.3">
      <c r="A592" s="37"/>
      <c r="B592" s="33" t="s">
        <v>34</v>
      </c>
      <c r="C592" s="38">
        <f>IF(C591="","",IF(AND(MONTH(C591)&gt;=1,MONTH(C591)&lt;=3),1,IF(AND(MONTH(C591)&gt;=4,MONTH(C591)&lt;=6),2,IF(AND(MONTH(C591)&gt;=7,MONTH(C591)&lt;=9),3,4))))</f>
        <v>2</v>
      </c>
      <c r="D592" s="37"/>
      <c r="E592" s="35" t="s">
        <v>35</v>
      </c>
      <c r="F592" s="36" t="s">
        <v>36</v>
      </c>
    </row>
    <row r="593" spans="1:6" ht="17.25" thickBot="1" x14ac:dyDescent="0.3">
      <c r="A593" s="37"/>
      <c r="B593" s="33" t="s">
        <v>37</v>
      </c>
      <c r="C593" s="34">
        <v>45198</v>
      </c>
      <c r="D593" s="37"/>
      <c r="E593" s="35" t="s">
        <v>38</v>
      </c>
      <c r="F593" s="36" t="s">
        <v>36</v>
      </c>
    </row>
    <row r="594" spans="1:6" ht="17.25" thickBot="1" x14ac:dyDescent="0.3">
      <c r="A594" s="37"/>
      <c r="B594" s="33" t="s">
        <v>34</v>
      </c>
      <c r="C594" s="38">
        <f>IF(C593="","",IF(AND(MONTH(C593)&gt;=1,MONTH(C593)&lt;=3),1,IF(AND(MONTH(C593)&gt;=4,MONTH(C593)&lt;=6),2,IF(AND(MONTH(C593)&gt;=7,MONTH(C593)&lt;=9),3,4))))</f>
        <v>3</v>
      </c>
      <c r="D594" s="37"/>
      <c r="E594" s="35" t="s">
        <v>39</v>
      </c>
      <c r="F594" s="36" t="s">
        <v>36</v>
      </c>
    </row>
    <row r="595" spans="1:6" ht="17.25" thickBot="1" x14ac:dyDescent="0.3"/>
    <row r="596" spans="1:6" ht="17.25" thickBot="1" x14ac:dyDescent="0.3">
      <c r="A596" s="39" t="s">
        <v>40</v>
      </c>
      <c r="B596" s="39" t="s">
        <v>41</v>
      </c>
      <c r="C596" s="39" t="s">
        <v>42</v>
      </c>
      <c r="D596" s="39" t="s">
        <v>43</v>
      </c>
      <c r="E596" s="39" t="s">
        <v>44</v>
      </c>
      <c r="F596" s="39" t="s">
        <v>45</v>
      </c>
    </row>
    <row r="597" spans="1:6" x14ac:dyDescent="0.25">
      <c r="A597" s="40" t="s">
        <v>138</v>
      </c>
      <c r="B597" s="41" t="str">
        <f ca="1">IFERROR(INDEX(UNSPSCDes,MATCH(INDIRECT(ADDRESS(ROW(),COLUMN()-1,4)),UNSPSCCode,0)),IF(INDIRECT(ADDRESS(ROW(),COLUMN()-1,4))="53111604","Zapatos para niña",""))</f>
        <v>Zapatos para niña</v>
      </c>
      <c r="C597" s="42" t="str">
        <f>IFERROR(VLOOKUP("UD",'[1]Informacion '!P:Q,2,FALSE),"")</f>
        <v>Unidad</v>
      </c>
      <c r="D597" s="40">
        <v>1</v>
      </c>
      <c r="E597" s="43">
        <v>1</v>
      </c>
      <c r="F597" s="44">
        <f ca="1">INDIRECT(ADDRESS(ROW(),COLUMN()-2,4))*INDIRECT(ADDRESS(ROW(),COLUMN()-1,4))</f>
        <v>1</v>
      </c>
    </row>
    <row r="598" spans="1:6" x14ac:dyDescent="0.25">
      <c r="A598" s="40" t="s">
        <v>139</v>
      </c>
      <c r="B598" s="41" t="str">
        <f ca="1">IFERROR(INDEX(UNSPSCDes,MATCH(INDIRECT(ADDRESS(ROW(),COLUMN()-1,4)),UNSPSCCode,0)),IF(INDIRECT(ADDRESS(ROW(),COLUMN()-1,4))="53111601","Zapatos para hombre",""))</f>
        <v>Zapatos para hombre</v>
      </c>
      <c r="C598" s="42" t="str">
        <f>IFERROR(VLOOKUP("UD",'[1]Informacion '!P:Q,2,FALSE),"")</f>
        <v>Unidad</v>
      </c>
      <c r="D598" s="40">
        <v>1</v>
      </c>
      <c r="E598" s="43">
        <v>1</v>
      </c>
      <c r="F598" s="44">
        <f ca="1">INDIRECT(ADDRESS(ROW(),COLUMN()-2,4))*INDIRECT(ADDRESS(ROW(),COLUMN()-1,4))</f>
        <v>1</v>
      </c>
    </row>
    <row r="599" spans="1:6" x14ac:dyDescent="0.25">
      <c r="E599" s="45" t="s">
        <v>47</v>
      </c>
      <c r="F599" s="46">
        <f ca="1">SUM(Table56[MONTO TOTAL ESTIMADO])</f>
        <v>2</v>
      </c>
    </row>
    <row r="600" spans="1:6" ht="17.25" thickBot="1" x14ac:dyDescent="0.3"/>
    <row r="601" spans="1:6" ht="23.25" thickBot="1" x14ac:dyDescent="0.3">
      <c r="A601" s="30" t="s">
        <v>18</v>
      </c>
      <c r="B601" s="30" t="s">
        <v>19</v>
      </c>
      <c r="C601" s="30" t="s">
        <v>20</v>
      </c>
      <c r="D601" s="30" t="s">
        <v>21</v>
      </c>
      <c r="E601" s="30" t="s">
        <v>22</v>
      </c>
      <c r="F601" s="30" t="s">
        <v>23</v>
      </c>
    </row>
    <row r="602" spans="1:6" ht="17.25" thickBot="1" x14ac:dyDescent="0.3">
      <c r="A602" s="31" t="s">
        <v>140</v>
      </c>
      <c r="B602" s="31" t="s">
        <v>141</v>
      </c>
      <c r="C602" s="31" t="s">
        <v>92</v>
      </c>
      <c r="D602" s="31" t="s">
        <v>50</v>
      </c>
      <c r="E602" s="31" t="s">
        <v>58</v>
      </c>
      <c r="F602" s="31"/>
    </row>
    <row r="603" spans="1:6" ht="17.25" thickBot="1" x14ac:dyDescent="0.3">
      <c r="A603" s="32" t="s">
        <v>29</v>
      </c>
      <c r="B603" s="33" t="s">
        <v>30</v>
      </c>
      <c r="C603" s="34">
        <v>45107</v>
      </c>
      <c r="D603" s="32" t="s">
        <v>31</v>
      </c>
      <c r="E603" s="35" t="s">
        <v>32</v>
      </c>
      <c r="F603" s="36" t="s">
        <v>33</v>
      </c>
    </row>
    <row r="604" spans="1:6" ht="17.25" thickBot="1" x14ac:dyDescent="0.3">
      <c r="A604" s="37"/>
      <c r="B604" s="33" t="s">
        <v>34</v>
      </c>
      <c r="C604" s="38">
        <f>IF(C603="","",IF(AND(MONTH(C603)&gt;=1,MONTH(C603)&lt;=3),1,IF(AND(MONTH(C603)&gt;=4,MONTH(C603)&lt;=6),2,IF(AND(MONTH(C603)&gt;=7,MONTH(C603)&lt;=9),3,4))))</f>
        <v>2</v>
      </c>
      <c r="D604" s="37"/>
      <c r="E604" s="35" t="s">
        <v>35</v>
      </c>
      <c r="F604" s="36" t="s">
        <v>36</v>
      </c>
    </row>
    <row r="605" spans="1:6" ht="17.25" thickBot="1" x14ac:dyDescent="0.3">
      <c r="A605" s="37"/>
      <c r="B605" s="33" t="s">
        <v>37</v>
      </c>
      <c r="C605" s="34">
        <v>45198</v>
      </c>
      <c r="D605" s="37"/>
      <c r="E605" s="35" t="s">
        <v>38</v>
      </c>
      <c r="F605" s="36" t="s">
        <v>36</v>
      </c>
    </row>
    <row r="606" spans="1:6" ht="17.25" thickBot="1" x14ac:dyDescent="0.3">
      <c r="A606" s="37"/>
      <c r="B606" s="33" t="s">
        <v>34</v>
      </c>
      <c r="C606" s="38">
        <f>IF(C605="","",IF(AND(MONTH(C605)&gt;=1,MONTH(C605)&lt;=3),1,IF(AND(MONTH(C605)&gt;=4,MONTH(C605)&lt;=6),2,IF(AND(MONTH(C605)&gt;=7,MONTH(C605)&lt;=9),3,4))))</f>
        <v>3</v>
      </c>
      <c r="D606" s="37"/>
      <c r="E606" s="35" t="s">
        <v>39</v>
      </c>
      <c r="F606" s="36" t="s">
        <v>36</v>
      </c>
    </row>
    <row r="607" spans="1:6" ht="17.25" thickBot="1" x14ac:dyDescent="0.3"/>
    <row r="608" spans="1:6" ht="17.25" thickBot="1" x14ac:dyDescent="0.3">
      <c r="A608" s="39" t="s">
        <v>40</v>
      </c>
      <c r="B608" s="39" t="s">
        <v>41</v>
      </c>
      <c r="C608" s="39" t="s">
        <v>42</v>
      </c>
      <c r="D608" s="39" t="s">
        <v>43</v>
      </c>
      <c r="E608" s="39" t="s">
        <v>44</v>
      </c>
      <c r="F608" s="39" t="s">
        <v>45</v>
      </c>
    </row>
    <row r="609" spans="1:6" x14ac:dyDescent="0.25">
      <c r="A609" s="40" t="s">
        <v>142</v>
      </c>
      <c r="B609" s="41" t="str">
        <f ca="1">IFERROR(INDEX(UNSPSCDes,MATCH(INDIRECT(ADDRESS(ROW(),COLUMN()-1,4)),UNSPSCCode,0)),IF(INDIRECT(ADDRESS(ROW(),COLUMN()-1,4))="14111507","Papel para impresora o fotocopiadora",""))</f>
        <v>Papel para impresora o fotocopiadora</v>
      </c>
      <c r="C609" s="42" t="str">
        <f>IFERROR(VLOOKUP("UD",'[1]Informacion '!P:Q,2,FALSE),"")</f>
        <v>Unidad</v>
      </c>
      <c r="D609" s="40">
        <v>1</v>
      </c>
      <c r="E609" s="43">
        <v>1</v>
      </c>
      <c r="F609" s="44">
        <f ca="1">INDIRECT(ADDRESS(ROW(),COLUMN()-2,4))*INDIRECT(ADDRESS(ROW(),COLUMN()-1,4))</f>
        <v>1</v>
      </c>
    </row>
    <row r="610" spans="1:6" x14ac:dyDescent="0.25">
      <c r="E610" s="45" t="s">
        <v>47</v>
      </c>
      <c r="F610" s="46">
        <f ca="1">SUM(Table59[MONTO TOTAL ESTIMADO])</f>
        <v>1</v>
      </c>
    </row>
    <row r="611" spans="1:6" ht="17.25" thickBot="1" x14ac:dyDescent="0.3"/>
    <row r="612" spans="1:6" ht="23.25" thickBot="1" x14ac:dyDescent="0.3">
      <c r="A612" s="30" t="s">
        <v>18</v>
      </c>
      <c r="B612" s="30" t="s">
        <v>19</v>
      </c>
      <c r="C612" s="30" t="s">
        <v>20</v>
      </c>
      <c r="D612" s="30" t="s">
        <v>21</v>
      </c>
      <c r="E612" s="30" t="s">
        <v>22</v>
      </c>
      <c r="F612" s="30" t="s">
        <v>23</v>
      </c>
    </row>
    <row r="613" spans="1:6" ht="17.25" thickBot="1" x14ac:dyDescent="0.3">
      <c r="A613" s="31" t="s">
        <v>140</v>
      </c>
      <c r="B613" s="31" t="s">
        <v>141</v>
      </c>
      <c r="C613" s="31" t="s">
        <v>92</v>
      </c>
      <c r="D613" s="31" t="s">
        <v>50</v>
      </c>
      <c r="E613" s="31" t="s">
        <v>58</v>
      </c>
      <c r="F613" s="31"/>
    </row>
    <row r="614" spans="1:6" ht="17.25" thickBot="1" x14ac:dyDescent="0.3">
      <c r="A614" s="32" t="s">
        <v>29</v>
      </c>
      <c r="B614" s="33" t="s">
        <v>30</v>
      </c>
      <c r="C614" s="34">
        <v>45199</v>
      </c>
      <c r="D614" s="32" t="s">
        <v>31</v>
      </c>
      <c r="E614" s="35" t="s">
        <v>32</v>
      </c>
      <c r="F614" s="36" t="s">
        <v>33</v>
      </c>
    </row>
    <row r="615" spans="1:6" ht="17.25" thickBot="1" x14ac:dyDescent="0.3">
      <c r="A615" s="37"/>
      <c r="B615" s="33" t="s">
        <v>34</v>
      </c>
      <c r="C615" s="38">
        <f>IF(C614="","",IF(AND(MONTH(C614)&gt;=1,MONTH(C614)&lt;=3),1,IF(AND(MONTH(C614)&gt;=4,MONTH(C614)&lt;=6),2,IF(AND(MONTH(C614)&gt;=7,MONTH(C614)&lt;=9),3,4))))</f>
        <v>3</v>
      </c>
      <c r="D615" s="37"/>
      <c r="E615" s="35" t="s">
        <v>35</v>
      </c>
      <c r="F615" s="36" t="s">
        <v>36</v>
      </c>
    </row>
    <row r="616" spans="1:6" ht="17.25" thickBot="1" x14ac:dyDescent="0.3">
      <c r="A616" s="37"/>
      <c r="B616" s="33" t="s">
        <v>37</v>
      </c>
      <c r="C616" s="34">
        <v>45290</v>
      </c>
      <c r="D616" s="37"/>
      <c r="E616" s="35" t="s">
        <v>38</v>
      </c>
      <c r="F616" s="36" t="s">
        <v>36</v>
      </c>
    </row>
    <row r="617" spans="1:6" ht="17.25" thickBot="1" x14ac:dyDescent="0.3">
      <c r="A617" s="37"/>
      <c r="B617" s="33" t="s">
        <v>34</v>
      </c>
      <c r="C617" s="38">
        <f>IF(C616="","",IF(AND(MONTH(C616)&gt;=1,MONTH(C616)&lt;=3),1,IF(AND(MONTH(C616)&gt;=4,MONTH(C616)&lt;=6),2,IF(AND(MONTH(C616)&gt;=7,MONTH(C616)&lt;=9),3,4))))</f>
        <v>4</v>
      </c>
      <c r="D617" s="37"/>
      <c r="E617" s="35" t="s">
        <v>39</v>
      </c>
      <c r="F617" s="36" t="s">
        <v>36</v>
      </c>
    </row>
    <row r="618" spans="1:6" ht="17.25" thickBot="1" x14ac:dyDescent="0.3"/>
    <row r="619" spans="1:6" ht="17.25" thickBot="1" x14ac:dyDescent="0.3">
      <c r="A619" s="39" t="s">
        <v>40</v>
      </c>
      <c r="B619" s="39" t="s">
        <v>41</v>
      </c>
      <c r="C619" s="39" t="s">
        <v>42</v>
      </c>
      <c r="D619" s="39" t="s">
        <v>43</v>
      </c>
      <c r="E619" s="39" t="s">
        <v>44</v>
      </c>
      <c r="F619" s="39" t="s">
        <v>45</v>
      </c>
    </row>
    <row r="620" spans="1:6" x14ac:dyDescent="0.25">
      <c r="A620" s="40">
        <v>14111507</v>
      </c>
      <c r="B620" s="41" t="str">
        <f ca="1">IFERROR(INDEX(UNSPSCDes,MATCH(INDIRECT(ADDRESS(ROW(),COLUMN()-1,4)),UNSPSCCode,0)),IF(INDIRECT(ADDRESS(ROW(),COLUMN()-1,4))="14111802","Recibos o libros de recibos",""))</f>
        <v>Papel para impresora o fotocopiadora</v>
      </c>
      <c r="C620" s="42" t="str">
        <f>IFERROR(VLOOKUP("UD",'[1]Informacion '!P:Q,2,FALSE),"")</f>
        <v>Unidad</v>
      </c>
      <c r="D620" s="40">
        <v>1</v>
      </c>
      <c r="E620" s="43">
        <v>1</v>
      </c>
      <c r="F620" s="44">
        <f ca="1">INDIRECT(ADDRESS(ROW(),COLUMN()-2,4))*INDIRECT(ADDRESS(ROW(),COLUMN()-1,4))</f>
        <v>1</v>
      </c>
    </row>
    <row r="621" spans="1:6" x14ac:dyDescent="0.25">
      <c r="A621" s="40"/>
      <c r="E621" s="45" t="s">
        <v>47</v>
      </c>
      <c r="F621" s="46">
        <f ca="1">SUM(Table60[MONTO TOTAL ESTIMADO])</f>
        <v>1</v>
      </c>
    </row>
    <row r="622" spans="1:6" ht="17.25" thickBot="1" x14ac:dyDescent="0.3"/>
    <row r="623" spans="1:6" ht="23.25" thickBot="1" x14ac:dyDescent="0.3">
      <c r="A623" s="30" t="s">
        <v>18</v>
      </c>
      <c r="B623" s="30" t="s">
        <v>19</v>
      </c>
      <c r="C623" s="30" t="s">
        <v>20</v>
      </c>
      <c r="D623" s="30" t="s">
        <v>21</v>
      </c>
      <c r="E623" s="30" t="s">
        <v>22</v>
      </c>
      <c r="F623" s="30" t="s">
        <v>23</v>
      </c>
    </row>
    <row r="624" spans="1:6" ht="17.25" thickBot="1" x14ac:dyDescent="0.3">
      <c r="A624" s="31" t="s">
        <v>140</v>
      </c>
      <c r="B624" s="31" t="s">
        <v>143</v>
      </c>
      <c r="C624" s="31" t="s">
        <v>92</v>
      </c>
      <c r="D624" s="31" t="s">
        <v>50</v>
      </c>
      <c r="E624" s="31" t="s">
        <v>58</v>
      </c>
      <c r="F624" s="31"/>
    </row>
    <row r="625" spans="1:6" ht="17.25" thickBot="1" x14ac:dyDescent="0.3">
      <c r="A625" s="32" t="s">
        <v>29</v>
      </c>
      <c r="B625" s="33" t="s">
        <v>30</v>
      </c>
      <c r="C625" s="34">
        <v>44958</v>
      </c>
      <c r="D625" s="32" t="s">
        <v>31</v>
      </c>
      <c r="E625" s="35" t="s">
        <v>32</v>
      </c>
      <c r="F625" s="36" t="s">
        <v>33</v>
      </c>
    </row>
    <row r="626" spans="1:6" ht="17.25" thickBot="1" x14ac:dyDescent="0.3">
      <c r="A626" s="37"/>
      <c r="B626" s="33" t="s">
        <v>34</v>
      </c>
      <c r="C626" s="38">
        <f>IF(C625="","",IF(AND(MONTH(C625)&gt;=1,MONTH(C625)&lt;=3),1,IF(AND(MONTH(C625)&gt;=4,MONTH(C625)&lt;=6),2,IF(AND(MONTH(C625)&gt;=7,MONTH(C625)&lt;=9),3,4))))</f>
        <v>1</v>
      </c>
      <c r="D626" s="37"/>
      <c r="E626" s="35" t="s">
        <v>35</v>
      </c>
      <c r="F626" s="36" t="s">
        <v>36</v>
      </c>
    </row>
    <row r="627" spans="1:6" ht="17.25" thickBot="1" x14ac:dyDescent="0.3">
      <c r="A627" s="37"/>
      <c r="B627" s="33" t="s">
        <v>37</v>
      </c>
      <c r="C627" s="34">
        <v>45015</v>
      </c>
      <c r="D627" s="37"/>
      <c r="E627" s="35" t="s">
        <v>38</v>
      </c>
      <c r="F627" s="36" t="s">
        <v>36</v>
      </c>
    </row>
    <row r="628" spans="1:6" ht="17.25" thickBot="1" x14ac:dyDescent="0.3">
      <c r="A628" s="37"/>
      <c r="B628" s="33" t="s">
        <v>34</v>
      </c>
      <c r="C628" s="38">
        <f>IF(C627="","",IF(AND(MONTH(C627)&gt;=1,MONTH(C627)&lt;=3),1,IF(AND(MONTH(C627)&gt;=4,MONTH(C627)&lt;=6),2,IF(AND(MONTH(C627)&gt;=7,MONTH(C627)&lt;=9),3,4))))</f>
        <v>1</v>
      </c>
      <c r="D628" s="37"/>
      <c r="E628" s="35" t="s">
        <v>39</v>
      </c>
      <c r="F628" s="36" t="s">
        <v>36</v>
      </c>
    </row>
    <row r="629" spans="1:6" ht="17.25" thickBot="1" x14ac:dyDescent="0.3"/>
    <row r="630" spans="1:6" ht="17.25" thickBot="1" x14ac:dyDescent="0.3">
      <c r="A630" s="39" t="s">
        <v>40</v>
      </c>
      <c r="B630" s="39" t="s">
        <v>41</v>
      </c>
      <c r="C630" s="39" t="s">
        <v>42</v>
      </c>
      <c r="D630" s="39" t="s">
        <v>43</v>
      </c>
      <c r="E630" s="39" t="s">
        <v>44</v>
      </c>
      <c r="F630" s="39" t="s">
        <v>45</v>
      </c>
    </row>
    <row r="631" spans="1:6" x14ac:dyDescent="0.25">
      <c r="A631" s="40">
        <v>14111507</v>
      </c>
      <c r="B631" s="41" t="str">
        <f ca="1">IFERROR(INDEX(UNSPSCDes,MATCH(INDIRECT(ADDRESS(ROW(),COLUMN()-1,4)),UNSPSCCode,0)),IF(INDIRECT(ADDRESS(ROW(),COLUMN()-1,4))="24121503","Cajas para empacar",""))</f>
        <v>Papel para impresora o fotocopiadora</v>
      </c>
      <c r="C631" s="42" t="str">
        <f>IFERROR(VLOOKUP("UD",'[1]Informacion '!P:Q,2,FALSE),"")</f>
        <v>Unidad</v>
      </c>
      <c r="D631" s="40">
        <v>1</v>
      </c>
      <c r="E631" s="43">
        <v>1</v>
      </c>
      <c r="F631" s="44">
        <f ca="1">INDIRECT(ADDRESS(ROW(),COLUMN()-2,4))*INDIRECT(ADDRESS(ROW(),COLUMN()-1,4))</f>
        <v>1</v>
      </c>
    </row>
    <row r="632" spans="1:6" x14ac:dyDescent="0.25">
      <c r="E632" s="45" t="s">
        <v>47</v>
      </c>
      <c r="F632" s="46">
        <f ca="1">SUM(Table61[MONTO TOTAL ESTIMADO])</f>
        <v>1</v>
      </c>
    </row>
    <row r="633" spans="1:6" ht="17.25" thickBot="1" x14ac:dyDescent="0.3"/>
    <row r="634" spans="1:6" ht="23.25" thickBot="1" x14ac:dyDescent="0.3">
      <c r="A634" s="30" t="s">
        <v>18</v>
      </c>
      <c r="B634" s="30" t="s">
        <v>19</v>
      </c>
      <c r="C634" s="30" t="s">
        <v>20</v>
      </c>
      <c r="D634" s="30" t="s">
        <v>21</v>
      </c>
      <c r="E634" s="30" t="s">
        <v>22</v>
      </c>
      <c r="F634" s="30" t="s">
        <v>23</v>
      </c>
    </row>
    <row r="635" spans="1:6" ht="17.25" thickBot="1" x14ac:dyDescent="0.3">
      <c r="A635" s="31" t="s">
        <v>143</v>
      </c>
      <c r="B635" s="31" t="s">
        <v>143</v>
      </c>
      <c r="C635" s="31" t="s">
        <v>92</v>
      </c>
      <c r="D635" s="31" t="s">
        <v>50</v>
      </c>
      <c r="E635" s="31" t="s">
        <v>58</v>
      </c>
      <c r="F635" s="31"/>
    </row>
    <row r="636" spans="1:6" ht="17.25" thickBot="1" x14ac:dyDescent="0.3">
      <c r="A636" s="32" t="s">
        <v>29</v>
      </c>
      <c r="B636" s="33" t="s">
        <v>30</v>
      </c>
      <c r="C636" s="34">
        <v>45107</v>
      </c>
      <c r="D636" s="32" t="s">
        <v>31</v>
      </c>
      <c r="E636" s="35" t="s">
        <v>32</v>
      </c>
      <c r="F636" s="36" t="s">
        <v>33</v>
      </c>
    </row>
    <row r="637" spans="1:6" ht="17.25" thickBot="1" x14ac:dyDescent="0.3">
      <c r="A637" s="37"/>
      <c r="B637" s="33" t="s">
        <v>34</v>
      </c>
      <c r="C637" s="38">
        <f>IF(C636="","",IF(AND(MONTH(C636)&gt;=1,MONTH(C636)&lt;=3),1,IF(AND(MONTH(C636)&gt;=4,MONTH(C636)&lt;=6),2,IF(AND(MONTH(C636)&gt;=7,MONTH(C636)&lt;=9),3,4))))</f>
        <v>2</v>
      </c>
      <c r="D637" s="37"/>
      <c r="E637" s="35" t="s">
        <v>35</v>
      </c>
      <c r="F637" s="36" t="s">
        <v>36</v>
      </c>
    </row>
    <row r="638" spans="1:6" ht="17.25" thickBot="1" x14ac:dyDescent="0.3">
      <c r="A638" s="37"/>
      <c r="B638" s="33" t="s">
        <v>37</v>
      </c>
      <c r="C638" s="34">
        <v>45198</v>
      </c>
      <c r="D638" s="37"/>
      <c r="E638" s="35" t="s">
        <v>38</v>
      </c>
      <c r="F638" s="36" t="s">
        <v>36</v>
      </c>
    </row>
    <row r="639" spans="1:6" ht="17.25" thickBot="1" x14ac:dyDescent="0.3">
      <c r="A639" s="37"/>
      <c r="B639" s="33" t="s">
        <v>34</v>
      </c>
      <c r="C639" s="38">
        <f>IF(C638="","",IF(AND(MONTH(C638)&gt;=1,MONTH(C638)&lt;=3),1,IF(AND(MONTH(C638)&gt;=4,MONTH(C638)&lt;=6),2,IF(AND(MONTH(C638)&gt;=7,MONTH(C638)&lt;=9),3,4))))</f>
        <v>3</v>
      </c>
      <c r="D639" s="37"/>
      <c r="E639" s="35" t="s">
        <v>39</v>
      </c>
      <c r="F639" s="36" t="s">
        <v>36</v>
      </c>
    </row>
    <row r="640" spans="1:6" ht="17.25" thickBot="1" x14ac:dyDescent="0.3"/>
    <row r="641" spans="1:6" ht="17.25" thickBot="1" x14ac:dyDescent="0.3">
      <c r="A641" s="39" t="s">
        <v>40</v>
      </c>
      <c r="B641" s="39" t="s">
        <v>41</v>
      </c>
      <c r="C641" s="39" t="s">
        <v>42</v>
      </c>
      <c r="D641" s="39" t="s">
        <v>43</v>
      </c>
      <c r="E641" s="39" t="s">
        <v>44</v>
      </c>
      <c r="F641" s="39" t="s">
        <v>45</v>
      </c>
    </row>
    <row r="642" spans="1:6" x14ac:dyDescent="0.25">
      <c r="A642" s="40">
        <v>14111607</v>
      </c>
      <c r="B642" s="41" t="str">
        <f ca="1">IFERROR(INDEX(UNSPSCDes,MATCH(INDIRECT(ADDRESS(ROW(),COLUMN()-1,4)),UNSPSCCode,0)),IF(INDIRECT(ADDRESS(ROW(),COLUMN()-1,4))="14121503","Cartón",""))</f>
        <v>Tableros para afiches</v>
      </c>
      <c r="C642" s="42" t="str">
        <f>IFERROR(VLOOKUP("UD",'[1]Informacion '!P:Q,2,FALSE),"")</f>
        <v>Unidad</v>
      </c>
      <c r="D642" s="40">
        <v>1</v>
      </c>
      <c r="E642" s="43">
        <v>1</v>
      </c>
      <c r="F642" s="44">
        <f ca="1">INDIRECT(ADDRESS(ROW(),COLUMN()-2,4))*INDIRECT(ADDRESS(ROW(),COLUMN()-1,4))</f>
        <v>1</v>
      </c>
    </row>
    <row r="643" spans="1:6" x14ac:dyDescent="0.25">
      <c r="A643" s="40">
        <v>14121601</v>
      </c>
      <c r="B643" s="41" t="str">
        <f ca="1">IFERROR(INDEX(UNSPSCDes,MATCH(INDIRECT(ADDRESS(ROW(),COLUMN()-1,4)),UNSPSCCode,0)),IF(INDIRECT(ADDRESS(ROW(),COLUMN()-1,4))="14121503","Cartón",""))</f>
        <v>Papel crepé sin blanquear</v>
      </c>
      <c r="C643" s="42" t="str">
        <f>IFERROR(VLOOKUP("UD",'[1]Informacion '!P:Q,2,FALSE),"")</f>
        <v>Unidad</v>
      </c>
      <c r="D643" s="40">
        <v>1</v>
      </c>
      <c r="E643" s="43">
        <v>1</v>
      </c>
      <c r="F643" s="44">
        <f ca="1">INDIRECT(ADDRESS(ROW(),COLUMN()-2,4))*INDIRECT(ADDRESS(ROW(),COLUMN()-1,4))</f>
        <v>1</v>
      </c>
    </row>
    <row r="644" spans="1:6" x14ac:dyDescent="0.25">
      <c r="E644" s="45" t="s">
        <v>47</v>
      </c>
      <c r="F644" s="46">
        <f ca="1">SUM(Table63[MONTO TOTAL ESTIMADO])</f>
        <v>2</v>
      </c>
    </row>
    <row r="645" spans="1:6" ht="17.25" thickBot="1" x14ac:dyDescent="0.3"/>
    <row r="646" spans="1:6" ht="23.25" thickBot="1" x14ac:dyDescent="0.3">
      <c r="A646" s="30" t="s">
        <v>18</v>
      </c>
      <c r="B646" s="30" t="s">
        <v>19</v>
      </c>
      <c r="C646" s="30" t="s">
        <v>20</v>
      </c>
      <c r="D646" s="30" t="s">
        <v>21</v>
      </c>
      <c r="E646" s="30" t="s">
        <v>22</v>
      </c>
      <c r="F646" s="30" t="s">
        <v>23</v>
      </c>
    </row>
    <row r="647" spans="1:6" ht="17.25" thickBot="1" x14ac:dyDescent="0.3">
      <c r="A647" s="31" t="s">
        <v>143</v>
      </c>
      <c r="B647" s="31" t="s">
        <v>143</v>
      </c>
      <c r="C647" s="31" t="s">
        <v>92</v>
      </c>
      <c r="D647" s="31" t="s">
        <v>50</v>
      </c>
      <c r="E647" s="31" t="s">
        <v>58</v>
      </c>
      <c r="F647" s="31"/>
    </row>
    <row r="648" spans="1:6" ht="17.25" thickBot="1" x14ac:dyDescent="0.3">
      <c r="A648" s="32" t="s">
        <v>29</v>
      </c>
      <c r="B648" s="33" t="s">
        <v>30</v>
      </c>
      <c r="C648" s="34">
        <v>45199</v>
      </c>
      <c r="D648" s="32" t="s">
        <v>31</v>
      </c>
      <c r="E648" s="35" t="s">
        <v>32</v>
      </c>
      <c r="F648" s="36" t="s">
        <v>33</v>
      </c>
    </row>
    <row r="649" spans="1:6" ht="17.25" thickBot="1" x14ac:dyDescent="0.3">
      <c r="A649" s="37"/>
      <c r="B649" s="33" t="s">
        <v>34</v>
      </c>
      <c r="C649" s="38">
        <f>IF(C648="","",IF(AND(MONTH(C648)&gt;=1,MONTH(C648)&lt;=3),1,IF(AND(MONTH(C648)&gt;=4,MONTH(C648)&lt;=6),2,IF(AND(MONTH(C648)&gt;=7,MONTH(C648)&lt;=9),3,4))))</f>
        <v>3</v>
      </c>
      <c r="D649" s="37"/>
      <c r="E649" s="35" t="s">
        <v>35</v>
      </c>
      <c r="F649" s="36" t="s">
        <v>36</v>
      </c>
    </row>
    <row r="650" spans="1:6" ht="17.25" thickBot="1" x14ac:dyDescent="0.3">
      <c r="A650" s="37"/>
      <c r="B650" s="33" t="s">
        <v>37</v>
      </c>
      <c r="C650" s="34">
        <v>45290</v>
      </c>
      <c r="D650" s="37"/>
      <c r="E650" s="35" t="s">
        <v>38</v>
      </c>
      <c r="F650" s="36" t="s">
        <v>36</v>
      </c>
    </row>
    <row r="651" spans="1:6" ht="17.25" thickBot="1" x14ac:dyDescent="0.3">
      <c r="A651" s="37"/>
      <c r="B651" s="33" t="s">
        <v>34</v>
      </c>
      <c r="C651" s="38">
        <f>IF(C650="","",IF(AND(MONTH(C650)&gt;=1,MONTH(C650)&lt;=3),1,IF(AND(MONTH(C650)&gt;=4,MONTH(C650)&lt;=6),2,IF(AND(MONTH(C650)&gt;=7,MONTH(C650)&lt;=9),3,4))))</f>
        <v>4</v>
      </c>
      <c r="D651" s="37"/>
      <c r="E651" s="35" t="s">
        <v>39</v>
      </c>
      <c r="F651" s="36" t="s">
        <v>36</v>
      </c>
    </row>
    <row r="652" spans="1:6" ht="17.25" thickBot="1" x14ac:dyDescent="0.3"/>
    <row r="653" spans="1:6" ht="17.25" thickBot="1" x14ac:dyDescent="0.3">
      <c r="A653" s="39" t="s">
        <v>40</v>
      </c>
      <c r="B653" s="39" t="s">
        <v>41</v>
      </c>
      <c r="C653" s="39" t="s">
        <v>42</v>
      </c>
      <c r="D653" s="39" t="s">
        <v>43</v>
      </c>
      <c r="E653" s="39" t="s">
        <v>44</v>
      </c>
      <c r="F653" s="39" t="s">
        <v>45</v>
      </c>
    </row>
    <row r="654" spans="1:6" x14ac:dyDescent="0.25">
      <c r="A654" s="40">
        <v>14111611</v>
      </c>
      <c r="B654" s="41" t="str">
        <f ca="1">IFERROR(INDEX(UNSPSCDes,MATCH(INDIRECT(ADDRESS(ROW(),COLUMN()-1,4)),UNSPSCCode,0)),IF(INDIRECT(ADDRESS(ROW(),COLUMN()-1,4))="14121503","Cartón",""))</f>
        <v>Tarjetas de invitación o de anuncio</v>
      </c>
      <c r="C654" s="42" t="str">
        <f>IFERROR(VLOOKUP("UD",'[1]Informacion '!P:Q,2,FALSE),"")</f>
        <v>Unidad</v>
      </c>
      <c r="D654" s="40">
        <v>1</v>
      </c>
      <c r="E654" s="43">
        <v>1</v>
      </c>
      <c r="F654" s="44">
        <f ca="1">INDIRECT(ADDRESS(ROW(),COLUMN()-2,4))*INDIRECT(ADDRESS(ROW(),COLUMN()-1,4))</f>
        <v>1</v>
      </c>
    </row>
    <row r="655" spans="1:6" x14ac:dyDescent="0.25">
      <c r="A655" s="40">
        <v>60121113</v>
      </c>
      <c r="B655" s="41" t="str">
        <f ca="1">IFERROR(INDEX(UNSPSCDes,MATCH(INDIRECT(ADDRESS(ROW(),COLUMN()-1,4)),UNSPSCCode,0)),IF(INDIRECT(ADDRESS(ROW(),COLUMN()-1,4))="14121503","Cartón",""))</f>
        <v>Cartulina metalizada</v>
      </c>
      <c r="C655" s="42" t="str">
        <f>IFERROR(VLOOKUP("UD",'[1]Informacion '!P:Q,2,FALSE),"")</f>
        <v>Unidad</v>
      </c>
      <c r="D655" s="40">
        <v>1</v>
      </c>
      <c r="E655" s="43">
        <v>1</v>
      </c>
      <c r="F655" s="44">
        <f ca="1">INDIRECT(ADDRESS(ROW(),COLUMN()-2,4))*INDIRECT(ADDRESS(ROW(),COLUMN()-1,4))</f>
        <v>1</v>
      </c>
    </row>
    <row r="656" spans="1:6" x14ac:dyDescent="0.25">
      <c r="E656" s="45" t="s">
        <v>47</v>
      </c>
      <c r="F656" s="46">
        <f ca="1">SUM(Table64[MONTO TOTAL ESTIMADO])</f>
        <v>2</v>
      </c>
    </row>
    <row r="657" spans="1:6" ht="17.25" thickBot="1" x14ac:dyDescent="0.3"/>
    <row r="658" spans="1:6" ht="23.25" thickBot="1" x14ac:dyDescent="0.3">
      <c r="A658" s="30" t="s">
        <v>18</v>
      </c>
      <c r="B658" s="30" t="s">
        <v>19</v>
      </c>
      <c r="C658" s="30" t="s">
        <v>20</v>
      </c>
      <c r="D658" s="30" t="s">
        <v>21</v>
      </c>
      <c r="E658" s="30" t="s">
        <v>22</v>
      </c>
      <c r="F658" s="30" t="s">
        <v>23</v>
      </c>
    </row>
    <row r="659" spans="1:6" ht="17.25" thickBot="1" x14ac:dyDescent="0.3">
      <c r="A659" s="31" t="s">
        <v>144</v>
      </c>
      <c r="B659" s="31" t="s">
        <v>145</v>
      </c>
      <c r="C659" s="31" t="s">
        <v>92</v>
      </c>
      <c r="D659" s="31" t="s">
        <v>27</v>
      </c>
      <c r="E659" s="31" t="s">
        <v>58</v>
      </c>
      <c r="F659" s="31"/>
    </row>
    <row r="660" spans="1:6" ht="17.25" thickBot="1" x14ac:dyDescent="0.3">
      <c r="A660" s="32" t="s">
        <v>29</v>
      </c>
      <c r="B660" s="33" t="s">
        <v>30</v>
      </c>
      <c r="C660" s="34">
        <v>44958</v>
      </c>
      <c r="D660" s="32" t="s">
        <v>31</v>
      </c>
      <c r="E660" s="35" t="s">
        <v>32</v>
      </c>
      <c r="F660" s="36" t="s">
        <v>33</v>
      </c>
    </row>
    <row r="661" spans="1:6" ht="17.25" thickBot="1" x14ac:dyDescent="0.3">
      <c r="A661" s="37"/>
      <c r="B661" s="33" t="s">
        <v>34</v>
      </c>
      <c r="C661" s="38">
        <f>IF(C660="","",IF(AND(MONTH(C660)&gt;=1,MONTH(C660)&lt;=3),1,IF(AND(MONTH(C660)&gt;=4,MONTH(C660)&lt;=6),2,IF(AND(MONTH(C660)&gt;=7,MONTH(C660)&lt;=9),3,4))))</f>
        <v>1</v>
      </c>
      <c r="D661" s="37"/>
      <c r="E661" s="35" t="s">
        <v>35</v>
      </c>
      <c r="F661" s="36" t="s">
        <v>36</v>
      </c>
    </row>
    <row r="662" spans="1:6" ht="17.25" thickBot="1" x14ac:dyDescent="0.3">
      <c r="A662" s="37"/>
      <c r="B662" s="33" t="s">
        <v>37</v>
      </c>
      <c r="C662" s="34">
        <v>45015</v>
      </c>
      <c r="D662" s="37"/>
      <c r="E662" s="35" t="s">
        <v>38</v>
      </c>
      <c r="F662" s="36" t="s">
        <v>36</v>
      </c>
    </row>
    <row r="663" spans="1:6" ht="17.25" thickBot="1" x14ac:dyDescent="0.3">
      <c r="A663" s="37"/>
      <c r="B663" s="33" t="s">
        <v>34</v>
      </c>
      <c r="C663" s="38">
        <f>IF(C662="","",IF(AND(MONTH(C662)&gt;=1,MONTH(C662)&lt;=3),1,IF(AND(MONTH(C662)&gt;=4,MONTH(C662)&lt;=6),2,IF(AND(MONTH(C662)&gt;=7,MONTH(C662)&lt;=9),3,4))))</f>
        <v>1</v>
      </c>
      <c r="D663" s="37"/>
      <c r="E663" s="35" t="s">
        <v>39</v>
      </c>
      <c r="F663" s="36" t="s">
        <v>36</v>
      </c>
    </row>
    <row r="664" spans="1:6" ht="17.25" thickBot="1" x14ac:dyDescent="0.3"/>
    <row r="665" spans="1:6" ht="17.25" thickBot="1" x14ac:dyDescent="0.3">
      <c r="A665" s="39" t="s">
        <v>40</v>
      </c>
      <c r="B665" s="39" t="s">
        <v>41</v>
      </c>
      <c r="C665" s="39" t="s">
        <v>42</v>
      </c>
      <c r="D665" s="39" t="s">
        <v>43</v>
      </c>
      <c r="E665" s="39" t="s">
        <v>44</v>
      </c>
      <c r="F665" s="39" t="s">
        <v>45</v>
      </c>
    </row>
    <row r="666" spans="1:6" x14ac:dyDescent="0.25">
      <c r="A666" s="40">
        <v>14111805</v>
      </c>
      <c r="B666" s="41" t="str">
        <f ca="1">IFERROR(INDEX(UNSPSCDes,MATCH(INDIRECT(ADDRESS(ROW(),COLUMN()-1,4)),UNSPSCCode,0)),IF(INDIRECT(ADDRESS(ROW(),COLUMN()-1,4))="60121008","Afiches",""))</f>
        <v>Cheques o chequeras</v>
      </c>
      <c r="C666" s="42" t="str">
        <f>IFERROR(VLOOKUP("UD",'[1]Informacion '!P:Q,2,FALSE),"")</f>
        <v>Unidad</v>
      </c>
      <c r="D666" s="40">
        <v>1</v>
      </c>
      <c r="E666" s="43">
        <v>8000</v>
      </c>
      <c r="F666" s="44">
        <f ca="1">INDIRECT(ADDRESS(ROW(),COLUMN()-2,4))*INDIRECT(ADDRESS(ROW(),COLUMN()-1,4))</f>
        <v>8000</v>
      </c>
    </row>
    <row r="667" spans="1:6" x14ac:dyDescent="0.25">
      <c r="A667" s="40" t="s">
        <v>146</v>
      </c>
      <c r="B667" s="41" t="str">
        <f ca="1">IFERROR(INDEX(UNSPSCDes,MATCH(INDIRECT(ADDRESS(ROW(),COLUMN()-1,4)),UNSPSCCode,0)),IF(INDIRECT(ADDRESS(ROW(),COLUMN()-1,4))="60121008","Afiches",""))</f>
        <v>Afiches</v>
      </c>
      <c r="C667" s="42" t="str">
        <f>IFERROR(VLOOKUP("UD",'[1]Informacion '!P:Q,2,FALSE),"")</f>
        <v>Unidad</v>
      </c>
      <c r="D667" s="40">
        <v>1</v>
      </c>
      <c r="E667" s="43">
        <v>8000</v>
      </c>
      <c r="F667" s="44">
        <f ca="1">INDIRECT(ADDRESS(ROW(),COLUMN()-2,4))*INDIRECT(ADDRESS(ROW(),COLUMN()-1,4))</f>
        <v>8000</v>
      </c>
    </row>
    <row r="668" spans="1:6" x14ac:dyDescent="0.25">
      <c r="A668" s="40">
        <v>14111806</v>
      </c>
      <c r="B668" s="41" t="str">
        <f ca="1">IFERROR(INDEX(UNSPSCDes,MATCH(INDIRECT(ADDRESS(ROW(),COLUMN()-1,4)),UNSPSCCode,0)),IF(INDIRECT(ADDRESS(ROW(),COLUMN()-1,4))="60121008","Afiches",""))</f>
        <v>Formularios o cuestionarios de negocios</v>
      </c>
      <c r="C668" s="42" t="str">
        <f>IFERROR(VLOOKUP("UD",'[1]Informacion '!P:Q,2,FALSE),"")</f>
        <v>Unidad</v>
      </c>
      <c r="D668" s="40">
        <v>1</v>
      </c>
      <c r="E668" s="43">
        <v>8000</v>
      </c>
      <c r="F668" s="44">
        <f ca="1">INDIRECT(ADDRESS(ROW(),COLUMN()-2,4))*INDIRECT(ADDRESS(ROW(),COLUMN()-1,4))</f>
        <v>8000</v>
      </c>
    </row>
    <row r="669" spans="1:6" x14ac:dyDescent="0.25">
      <c r="A669" s="40">
        <v>14111802</v>
      </c>
      <c r="B669" s="41" t="str">
        <f ca="1">IFERROR(INDEX(UNSPSCDes,MATCH(INDIRECT(ADDRESS(ROW(),COLUMN()-1,4)),UNSPSCCode,0)),IF(INDIRECT(ADDRESS(ROW(),COLUMN()-1,4))="60121008","Afiches",""))</f>
        <v>Recibos o libros de recibos</v>
      </c>
      <c r="C669" s="42" t="str">
        <f>IFERROR(VLOOKUP("UD",'[1]Informacion '!P:Q,2,FALSE),"")</f>
        <v>Unidad</v>
      </c>
      <c r="D669" s="40">
        <v>1</v>
      </c>
      <c r="E669" s="43">
        <v>9000</v>
      </c>
      <c r="F669" s="44">
        <f ca="1">INDIRECT(ADDRESS(ROW(),COLUMN()-2,4))*INDIRECT(ADDRESS(ROW(),COLUMN()-1,4))</f>
        <v>9000</v>
      </c>
    </row>
    <row r="670" spans="1:6" x14ac:dyDescent="0.25">
      <c r="E670" s="45" t="s">
        <v>47</v>
      </c>
      <c r="F670" s="46">
        <f ca="1">SUM(Table65[MONTO TOTAL ESTIMADO])</f>
        <v>33000</v>
      </c>
    </row>
    <row r="671" spans="1:6" ht="17.25" thickBot="1" x14ac:dyDescent="0.3"/>
    <row r="672" spans="1:6" ht="23.25" thickBot="1" x14ac:dyDescent="0.3">
      <c r="A672" s="30" t="s">
        <v>18</v>
      </c>
      <c r="B672" s="30" t="s">
        <v>19</v>
      </c>
      <c r="C672" s="30" t="s">
        <v>20</v>
      </c>
      <c r="D672" s="30" t="s">
        <v>21</v>
      </c>
      <c r="E672" s="30" t="s">
        <v>22</v>
      </c>
      <c r="F672" s="30" t="s">
        <v>23</v>
      </c>
    </row>
    <row r="673" spans="1:6" ht="17.25" thickBot="1" x14ac:dyDescent="0.3">
      <c r="A673" s="31" t="s">
        <v>144</v>
      </c>
      <c r="B673" s="31" t="s">
        <v>145</v>
      </c>
      <c r="C673" s="31" t="s">
        <v>26</v>
      </c>
      <c r="D673" s="31" t="s">
        <v>50</v>
      </c>
      <c r="E673" s="31" t="s">
        <v>58</v>
      </c>
      <c r="F673" s="31"/>
    </row>
    <row r="674" spans="1:6" ht="17.25" thickBot="1" x14ac:dyDescent="0.3">
      <c r="A674" s="32" t="s">
        <v>29</v>
      </c>
      <c r="B674" s="33" t="s">
        <v>30</v>
      </c>
      <c r="C674" s="34">
        <v>45016</v>
      </c>
      <c r="D674" s="32" t="s">
        <v>31</v>
      </c>
      <c r="E674" s="35" t="s">
        <v>32</v>
      </c>
      <c r="F674" s="36" t="s">
        <v>33</v>
      </c>
    </row>
    <row r="675" spans="1:6" ht="17.25" thickBot="1" x14ac:dyDescent="0.3">
      <c r="A675" s="37"/>
      <c r="B675" s="33" t="s">
        <v>34</v>
      </c>
      <c r="C675" s="38">
        <f>IF(C674="","",IF(AND(MONTH(C674)&gt;=1,MONTH(C674)&lt;=3),1,IF(AND(MONTH(C674)&gt;=4,MONTH(C674)&lt;=6),2,IF(AND(MONTH(C674)&gt;=7,MONTH(C674)&lt;=9),3,4))))</f>
        <v>1</v>
      </c>
      <c r="D675" s="37"/>
      <c r="E675" s="35" t="s">
        <v>35</v>
      </c>
      <c r="F675" s="36" t="s">
        <v>36</v>
      </c>
    </row>
    <row r="676" spans="1:6" ht="17.25" thickBot="1" x14ac:dyDescent="0.3">
      <c r="A676" s="37"/>
      <c r="B676" s="33" t="s">
        <v>37</v>
      </c>
      <c r="C676" s="34">
        <v>45106</v>
      </c>
      <c r="D676" s="37"/>
      <c r="E676" s="35" t="s">
        <v>38</v>
      </c>
      <c r="F676" s="36" t="s">
        <v>36</v>
      </c>
    </row>
    <row r="677" spans="1:6" ht="17.25" thickBot="1" x14ac:dyDescent="0.3">
      <c r="A677" s="37"/>
      <c r="B677" s="33" t="s">
        <v>34</v>
      </c>
      <c r="C677" s="38">
        <f>IF(C676="","",IF(AND(MONTH(C676)&gt;=1,MONTH(C676)&lt;=3),1,IF(AND(MONTH(C676)&gt;=4,MONTH(C676)&lt;=6),2,IF(AND(MONTH(C676)&gt;=7,MONTH(C676)&lt;=9),3,4))))</f>
        <v>2</v>
      </c>
      <c r="D677" s="37"/>
      <c r="E677" s="35" t="s">
        <v>39</v>
      </c>
      <c r="F677" s="36" t="s">
        <v>36</v>
      </c>
    </row>
    <row r="678" spans="1:6" ht="17.25" thickBot="1" x14ac:dyDescent="0.3"/>
    <row r="679" spans="1:6" ht="17.25" thickBot="1" x14ac:dyDescent="0.3">
      <c r="A679" s="39" t="s">
        <v>40</v>
      </c>
      <c r="B679" s="39" t="s">
        <v>41</v>
      </c>
      <c r="C679" s="39" t="s">
        <v>42</v>
      </c>
      <c r="D679" s="39" t="s">
        <v>43</v>
      </c>
      <c r="E679" s="39" t="s">
        <v>44</v>
      </c>
      <c r="F679" s="39" t="s">
        <v>45</v>
      </c>
    </row>
    <row r="680" spans="1:6" x14ac:dyDescent="0.25">
      <c r="A680" s="40" t="s">
        <v>146</v>
      </c>
      <c r="B680" s="41" t="str">
        <f ca="1">IFERROR(INDEX(UNSPSCDes,MATCH(INDIRECT(ADDRESS(ROW(),COLUMN()-1,4)),UNSPSCCode,0)),IF(INDIRECT(ADDRESS(ROW(),COLUMN()-1,4))="60121008","Afiches",""))</f>
        <v>Afiches</v>
      </c>
      <c r="C680" s="42" t="str">
        <f>IFERROR(VLOOKUP("UD",'[1]Informacion '!P:Q,2,FALSE),"")</f>
        <v>Unidad</v>
      </c>
      <c r="D680" s="40">
        <v>1</v>
      </c>
      <c r="E680" s="43">
        <v>1</v>
      </c>
      <c r="F680" s="44">
        <f ca="1">INDIRECT(ADDRESS(ROW(),COLUMN()-2,4))*INDIRECT(ADDRESS(ROW(),COLUMN()-1,4))</f>
        <v>1</v>
      </c>
    </row>
    <row r="681" spans="1:6" x14ac:dyDescent="0.25">
      <c r="A681" s="40">
        <v>14111805</v>
      </c>
      <c r="B681" s="41" t="str">
        <f ca="1">IFERROR(INDEX(UNSPSCDes,MATCH(INDIRECT(ADDRESS(ROW(),COLUMN()-1,4)),UNSPSCCode,0)),IF(INDIRECT(ADDRESS(ROW(),COLUMN()-1,4))="60121008","Afiches",""))</f>
        <v>Cheques o chequeras</v>
      </c>
      <c r="C681" s="42" t="str">
        <f>IFERROR(VLOOKUP("UD",'[1]Informacion '!P:Q,2,FALSE),"")</f>
        <v>Unidad</v>
      </c>
      <c r="D681" s="40">
        <v>1</v>
      </c>
      <c r="E681" s="43">
        <v>1</v>
      </c>
      <c r="F681" s="44">
        <f ca="1">INDIRECT(ADDRESS(ROW(),COLUMN()-2,4))*INDIRECT(ADDRESS(ROW(),COLUMN()-1,4))</f>
        <v>1</v>
      </c>
    </row>
    <row r="682" spans="1:6" x14ac:dyDescent="0.25">
      <c r="A682" s="40">
        <v>14111806</v>
      </c>
      <c r="B682" s="41" t="str">
        <f ca="1">IFERROR(INDEX(UNSPSCDes,MATCH(INDIRECT(ADDRESS(ROW(),COLUMN()-1,4)),UNSPSCCode,0)),IF(INDIRECT(ADDRESS(ROW(),COLUMN()-1,4))="60121008","Afiches",""))</f>
        <v>Formularios o cuestionarios de negocios</v>
      </c>
      <c r="C682" s="42" t="str">
        <f>IFERROR(VLOOKUP("UD",'[1]Informacion '!P:Q,2,FALSE),"")</f>
        <v>Unidad</v>
      </c>
      <c r="D682" s="40">
        <v>1</v>
      </c>
      <c r="E682" s="43">
        <v>1</v>
      </c>
      <c r="F682" s="44">
        <f ca="1">INDIRECT(ADDRESS(ROW(),COLUMN()-2,4))*INDIRECT(ADDRESS(ROW(),COLUMN()-1,4))</f>
        <v>1</v>
      </c>
    </row>
    <row r="683" spans="1:6" x14ac:dyDescent="0.25">
      <c r="A683" s="40">
        <v>14111802</v>
      </c>
      <c r="B683" s="41" t="str">
        <f ca="1">IFERROR(INDEX(UNSPSCDes,MATCH(INDIRECT(ADDRESS(ROW(),COLUMN()-1,4)),UNSPSCCode,0)),IF(INDIRECT(ADDRESS(ROW(),COLUMN()-1,4))="60121008","Afiches",""))</f>
        <v>Recibos o libros de recibos</v>
      </c>
      <c r="C683" s="42" t="str">
        <f>IFERROR(VLOOKUP("UD",'[1]Informacion '!P:Q,2,FALSE),"")</f>
        <v>Unidad</v>
      </c>
      <c r="D683" s="40">
        <v>1</v>
      </c>
      <c r="E683" s="43">
        <v>1</v>
      </c>
      <c r="F683" s="44">
        <f ca="1">INDIRECT(ADDRESS(ROW(),COLUMN()-2,4))*INDIRECT(ADDRESS(ROW(),COLUMN()-1,4))</f>
        <v>1</v>
      </c>
    </row>
    <row r="684" spans="1:6" x14ac:dyDescent="0.25">
      <c r="E684" s="45" t="s">
        <v>47</v>
      </c>
      <c r="F684" s="46">
        <f ca="1">SUM(Table66[MONTO TOTAL ESTIMADO])</f>
        <v>4</v>
      </c>
    </row>
    <row r="685" spans="1:6" ht="17.25" thickBot="1" x14ac:dyDescent="0.3"/>
    <row r="686" spans="1:6" ht="23.25" thickBot="1" x14ac:dyDescent="0.3">
      <c r="A686" s="30" t="s">
        <v>18</v>
      </c>
      <c r="B686" s="30" t="s">
        <v>19</v>
      </c>
      <c r="C686" s="30" t="s">
        <v>20</v>
      </c>
      <c r="D686" s="30" t="s">
        <v>21</v>
      </c>
      <c r="E686" s="30" t="s">
        <v>22</v>
      </c>
      <c r="F686" s="30" t="s">
        <v>23</v>
      </c>
    </row>
    <row r="687" spans="1:6" ht="17.25" thickBot="1" x14ac:dyDescent="0.3">
      <c r="A687" s="31" t="s">
        <v>144</v>
      </c>
      <c r="B687" s="31" t="s">
        <v>145</v>
      </c>
      <c r="C687" s="31" t="s">
        <v>26</v>
      </c>
      <c r="D687" s="31" t="s">
        <v>50</v>
      </c>
      <c r="E687" s="31" t="s">
        <v>58</v>
      </c>
      <c r="F687" s="31"/>
    </row>
    <row r="688" spans="1:6" ht="17.25" thickBot="1" x14ac:dyDescent="0.3">
      <c r="A688" s="32" t="s">
        <v>29</v>
      </c>
      <c r="B688" s="33" t="s">
        <v>30</v>
      </c>
      <c r="C688" s="34">
        <v>45107</v>
      </c>
      <c r="D688" s="32" t="s">
        <v>31</v>
      </c>
      <c r="E688" s="35" t="s">
        <v>32</v>
      </c>
      <c r="F688" s="36" t="s">
        <v>33</v>
      </c>
    </row>
    <row r="689" spans="1:6" ht="17.25" thickBot="1" x14ac:dyDescent="0.3">
      <c r="A689" s="37"/>
      <c r="B689" s="33" t="s">
        <v>34</v>
      </c>
      <c r="C689" s="38">
        <f>IF(C688="","",IF(AND(MONTH(C688)&gt;=1,MONTH(C688)&lt;=3),1,IF(AND(MONTH(C688)&gt;=4,MONTH(C688)&lt;=6),2,IF(AND(MONTH(C688)&gt;=7,MONTH(C688)&lt;=9),3,4))))</f>
        <v>2</v>
      </c>
      <c r="D689" s="37"/>
      <c r="E689" s="35" t="s">
        <v>35</v>
      </c>
      <c r="F689" s="36" t="s">
        <v>36</v>
      </c>
    </row>
    <row r="690" spans="1:6" ht="17.25" thickBot="1" x14ac:dyDescent="0.3">
      <c r="A690" s="37"/>
      <c r="B690" s="33" t="s">
        <v>37</v>
      </c>
      <c r="C690" s="34">
        <v>45198</v>
      </c>
      <c r="D690" s="37"/>
      <c r="E690" s="35" t="s">
        <v>38</v>
      </c>
      <c r="F690" s="36" t="s">
        <v>36</v>
      </c>
    </row>
    <row r="691" spans="1:6" ht="17.25" thickBot="1" x14ac:dyDescent="0.3">
      <c r="A691" s="37"/>
      <c r="B691" s="33" t="s">
        <v>34</v>
      </c>
      <c r="C691" s="38">
        <f>IF(C690="","",IF(AND(MONTH(C690)&gt;=1,MONTH(C690)&lt;=3),1,IF(AND(MONTH(C690)&gt;=4,MONTH(C690)&lt;=6),2,IF(AND(MONTH(C690)&gt;=7,MONTH(C690)&lt;=9),3,4))))</f>
        <v>3</v>
      </c>
      <c r="D691" s="37"/>
      <c r="E691" s="35" t="s">
        <v>39</v>
      </c>
      <c r="F691" s="36" t="s">
        <v>36</v>
      </c>
    </row>
    <row r="692" spans="1:6" ht="17.25" thickBot="1" x14ac:dyDescent="0.3"/>
    <row r="693" spans="1:6" ht="17.25" thickBot="1" x14ac:dyDescent="0.3">
      <c r="A693" s="39" t="s">
        <v>40</v>
      </c>
      <c r="B693" s="39" t="s">
        <v>41</v>
      </c>
      <c r="C693" s="39" t="s">
        <v>42</v>
      </c>
      <c r="D693" s="39" t="s">
        <v>43</v>
      </c>
      <c r="E693" s="39" t="s">
        <v>44</v>
      </c>
      <c r="F693" s="39" t="s">
        <v>45</v>
      </c>
    </row>
    <row r="694" spans="1:6" x14ac:dyDescent="0.25">
      <c r="A694" s="40" t="s">
        <v>146</v>
      </c>
      <c r="B694" s="41" t="str">
        <f ca="1">IFERROR(INDEX(UNSPSCDes,MATCH(INDIRECT(ADDRESS(ROW(),COLUMN()-1,4)),UNSPSCCode,0)),IF(INDIRECT(ADDRESS(ROW(),COLUMN()-1,4))="60121008","Afiches",""))</f>
        <v>Afiches</v>
      </c>
      <c r="C694" s="42" t="str">
        <f>IFERROR(VLOOKUP("UD",'[1]Informacion '!P:Q,2,FALSE),"")</f>
        <v>Unidad</v>
      </c>
      <c r="D694" s="40">
        <v>1</v>
      </c>
      <c r="E694" s="43">
        <v>1</v>
      </c>
      <c r="F694" s="44">
        <f ca="1">INDIRECT(ADDRESS(ROW(),COLUMN()-2,4))*INDIRECT(ADDRESS(ROW(),COLUMN()-1,4))</f>
        <v>1</v>
      </c>
    </row>
    <row r="695" spans="1:6" x14ac:dyDescent="0.25">
      <c r="A695" s="40">
        <v>14111805</v>
      </c>
      <c r="B695" s="41" t="str">
        <f ca="1">IFERROR(INDEX(UNSPSCDes,MATCH(INDIRECT(ADDRESS(ROW(),COLUMN()-1,4)),UNSPSCCode,0)),IF(INDIRECT(ADDRESS(ROW(),COLUMN()-1,4))="60121008","Afiches",""))</f>
        <v>Cheques o chequeras</v>
      </c>
      <c r="C695" s="42" t="str">
        <f>IFERROR(VLOOKUP("UD",'[1]Informacion '!P:Q,2,FALSE),"")</f>
        <v>Unidad</v>
      </c>
      <c r="D695" s="40">
        <v>1</v>
      </c>
      <c r="E695" s="43">
        <v>1</v>
      </c>
      <c r="F695" s="44">
        <f ca="1">INDIRECT(ADDRESS(ROW(),COLUMN()-2,4))*INDIRECT(ADDRESS(ROW(),COLUMN()-1,4))</f>
        <v>1</v>
      </c>
    </row>
    <row r="696" spans="1:6" x14ac:dyDescent="0.25">
      <c r="A696" s="40">
        <v>14111806</v>
      </c>
      <c r="B696" s="41" t="str">
        <f ca="1">IFERROR(INDEX(UNSPSCDes,MATCH(INDIRECT(ADDRESS(ROW(),COLUMN()-1,4)),UNSPSCCode,0)),IF(INDIRECT(ADDRESS(ROW(),COLUMN()-1,4))="60121008","Afiches",""))</f>
        <v>Formularios o cuestionarios de negocios</v>
      </c>
      <c r="C696" s="42" t="str">
        <f>IFERROR(VLOOKUP("UD",'[1]Informacion '!P:Q,2,FALSE),"")</f>
        <v>Unidad</v>
      </c>
      <c r="D696" s="40">
        <v>1</v>
      </c>
      <c r="E696" s="43">
        <v>1</v>
      </c>
      <c r="F696" s="44">
        <f ca="1">INDIRECT(ADDRESS(ROW(),COLUMN()-2,4))*INDIRECT(ADDRESS(ROW(),COLUMN()-1,4))</f>
        <v>1</v>
      </c>
    </row>
    <row r="697" spans="1:6" x14ac:dyDescent="0.25">
      <c r="A697" s="40">
        <v>14111802</v>
      </c>
      <c r="B697" s="41" t="str">
        <f ca="1">IFERROR(INDEX(UNSPSCDes,MATCH(INDIRECT(ADDRESS(ROW(),COLUMN()-1,4)),UNSPSCCode,0)),IF(INDIRECT(ADDRESS(ROW(),COLUMN()-1,4))="60121008","Afiches",""))</f>
        <v>Recibos o libros de recibos</v>
      </c>
      <c r="C697" s="42" t="str">
        <f>IFERROR(VLOOKUP("UD",'[1]Informacion '!P:Q,2,FALSE),"")</f>
        <v>Unidad</v>
      </c>
      <c r="D697" s="40">
        <v>1</v>
      </c>
      <c r="E697" s="43">
        <v>1</v>
      </c>
      <c r="F697" s="44">
        <f ca="1">INDIRECT(ADDRESS(ROW(),COLUMN()-2,4))*INDIRECT(ADDRESS(ROW(),COLUMN()-1,4))</f>
        <v>1</v>
      </c>
    </row>
    <row r="698" spans="1:6" x14ac:dyDescent="0.25">
      <c r="E698" s="45" t="s">
        <v>47</v>
      </c>
      <c r="F698" s="46">
        <f ca="1">SUM(Table67[MONTO TOTAL ESTIMADO])</f>
        <v>4</v>
      </c>
    </row>
    <row r="699" spans="1:6" ht="17.25" thickBot="1" x14ac:dyDescent="0.3"/>
    <row r="700" spans="1:6" ht="23.25" thickBot="1" x14ac:dyDescent="0.3">
      <c r="A700" s="30" t="s">
        <v>18</v>
      </c>
      <c r="B700" s="30" t="s">
        <v>19</v>
      </c>
      <c r="C700" s="30" t="s">
        <v>20</v>
      </c>
      <c r="D700" s="30" t="s">
        <v>21</v>
      </c>
      <c r="E700" s="30" t="s">
        <v>22</v>
      </c>
      <c r="F700" s="30" t="s">
        <v>23</v>
      </c>
    </row>
    <row r="701" spans="1:6" ht="17.25" thickBot="1" x14ac:dyDescent="0.3">
      <c r="A701" s="31" t="s">
        <v>144</v>
      </c>
      <c r="B701" s="31" t="s">
        <v>145</v>
      </c>
      <c r="C701" s="31" t="s">
        <v>26</v>
      </c>
      <c r="D701" s="31" t="s">
        <v>50</v>
      </c>
      <c r="E701" s="31" t="s">
        <v>58</v>
      </c>
      <c r="F701" s="31"/>
    </row>
    <row r="702" spans="1:6" ht="17.25" thickBot="1" x14ac:dyDescent="0.3">
      <c r="A702" s="32" t="s">
        <v>29</v>
      </c>
      <c r="B702" s="33" t="s">
        <v>30</v>
      </c>
      <c r="C702" s="34">
        <v>45199</v>
      </c>
      <c r="D702" s="32" t="s">
        <v>31</v>
      </c>
      <c r="E702" s="35" t="s">
        <v>32</v>
      </c>
      <c r="F702" s="36" t="s">
        <v>33</v>
      </c>
    </row>
    <row r="703" spans="1:6" ht="17.25" thickBot="1" x14ac:dyDescent="0.3">
      <c r="A703" s="37"/>
      <c r="B703" s="33" t="s">
        <v>34</v>
      </c>
      <c r="C703" s="38">
        <f>IF(C702="","",IF(AND(MONTH(C702)&gt;=1,MONTH(C702)&lt;=3),1,IF(AND(MONTH(C702)&gt;=4,MONTH(C702)&lt;=6),2,IF(AND(MONTH(C702)&gt;=7,MONTH(C702)&lt;=9),3,4))))</f>
        <v>3</v>
      </c>
      <c r="D703" s="37"/>
      <c r="E703" s="35" t="s">
        <v>35</v>
      </c>
      <c r="F703" s="36" t="s">
        <v>36</v>
      </c>
    </row>
    <row r="704" spans="1:6" ht="17.25" thickBot="1" x14ac:dyDescent="0.3">
      <c r="A704" s="37"/>
      <c r="B704" s="33" t="s">
        <v>37</v>
      </c>
      <c r="C704" s="34">
        <v>45290</v>
      </c>
      <c r="D704" s="37"/>
      <c r="E704" s="35" t="s">
        <v>38</v>
      </c>
      <c r="F704" s="36" t="s">
        <v>36</v>
      </c>
    </row>
    <row r="705" spans="1:6" ht="17.25" thickBot="1" x14ac:dyDescent="0.3">
      <c r="A705" s="37"/>
      <c r="B705" s="33" t="s">
        <v>34</v>
      </c>
      <c r="C705" s="38">
        <f>IF(C704="","",IF(AND(MONTH(C704)&gt;=1,MONTH(C704)&lt;=3),1,IF(AND(MONTH(C704)&gt;=4,MONTH(C704)&lt;=6),2,IF(AND(MONTH(C704)&gt;=7,MONTH(C704)&lt;=9),3,4))))</f>
        <v>4</v>
      </c>
      <c r="D705" s="37"/>
      <c r="E705" s="35" t="s">
        <v>39</v>
      </c>
      <c r="F705" s="36" t="s">
        <v>36</v>
      </c>
    </row>
    <row r="706" spans="1:6" ht="17.25" thickBot="1" x14ac:dyDescent="0.3"/>
    <row r="707" spans="1:6" ht="17.25" thickBot="1" x14ac:dyDescent="0.3">
      <c r="A707" s="39" t="s">
        <v>40</v>
      </c>
      <c r="B707" s="39" t="s">
        <v>41</v>
      </c>
      <c r="C707" s="39" t="s">
        <v>42</v>
      </c>
      <c r="D707" s="39" t="s">
        <v>43</v>
      </c>
      <c r="E707" s="39" t="s">
        <v>44</v>
      </c>
      <c r="F707" s="39" t="s">
        <v>45</v>
      </c>
    </row>
    <row r="708" spans="1:6" x14ac:dyDescent="0.25">
      <c r="A708" s="40" t="s">
        <v>146</v>
      </c>
      <c r="B708" s="41" t="str">
        <f ca="1">IFERROR(INDEX(UNSPSCDes,MATCH(INDIRECT(ADDRESS(ROW(),COLUMN()-1,4)),UNSPSCCode,0)),IF(INDIRECT(ADDRESS(ROW(),COLUMN()-1,4))="60121008","Afiches",""))</f>
        <v>Afiches</v>
      </c>
      <c r="C708" s="42" t="str">
        <f>IFERROR(VLOOKUP("UD",'[1]Informacion '!P:Q,2,FALSE),"")</f>
        <v>Unidad</v>
      </c>
      <c r="D708" s="40">
        <v>1</v>
      </c>
      <c r="E708" s="43">
        <v>1</v>
      </c>
      <c r="F708" s="44">
        <f ca="1">INDIRECT(ADDRESS(ROW(),COLUMN()-2,4))*INDIRECT(ADDRESS(ROW(),COLUMN()-1,4))</f>
        <v>1</v>
      </c>
    </row>
    <row r="709" spans="1:6" x14ac:dyDescent="0.25">
      <c r="A709" s="40" t="s">
        <v>147</v>
      </c>
      <c r="B709" s="41" t="str">
        <f ca="1">IFERROR(INDEX(UNSPSCDes,MATCH(INDIRECT(ADDRESS(ROW(),COLUMN()-1,4)),UNSPSCCode,0)),IF(INDIRECT(ADDRESS(ROW(),COLUMN()-1,4))="14111805","Cheques o chequeras",""))</f>
        <v>Cheques o chequeras</v>
      </c>
      <c r="C709" s="42" t="str">
        <f>IFERROR(VLOOKUP("UD",'[1]Informacion '!P:Q,2,FALSE),"")</f>
        <v>Unidad</v>
      </c>
      <c r="D709" s="40">
        <v>1</v>
      </c>
      <c r="E709" s="43">
        <v>1</v>
      </c>
      <c r="F709" s="44">
        <f ca="1">INDIRECT(ADDRESS(ROW(),COLUMN()-2,4))*INDIRECT(ADDRESS(ROW(),COLUMN()-1,4))</f>
        <v>1</v>
      </c>
    </row>
    <row r="710" spans="1:6" x14ac:dyDescent="0.25">
      <c r="A710" s="40" t="s">
        <v>148</v>
      </c>
      <c r="B710" s="41" t="str">
        <f ca="1">IFERROR(INDEX(UNSPSCDes,MATCH(INDIRECT(ADDRESS(ROW(),COLUMN()-1,4)),UNSPSCCode,0)),IF(INDIRECT(ADDRESS(ROW(),COLUMN()-1,4))="14111806","Formularios o cuestionarios de negocios",""))</f>
        <v>Formularios o cuestionarios de negocios</v>
      </c>
      <c r="C710" s="42" t="str">
        <f>IFERROR(VLOOKUP("UD",'[1]Informacion '!P:Q,2,FALSE),"")</f>
        <v>Unidad</v>
      </c>
      <c r="D710" s="40">
        <v>1</v>
      </c>
      <c r="E710" s="43">
        <v>1</v>
      </c>
      <c r="F710" s="44">
        <f ca="1">INDIRECT(ADDRESS(ROW(),COLUMN()-2,4))*INDIRECT(ADDRESS(ROW(),COLUMN()-1,4))</f>
        <v>1</v>
      </c>
    </row>
    <row r="711" spans="1:6" x14ac:dyDescent="0.25">
      <c r="A711" s="40">
        <v>14111802</v>
      </c>
      <c r="B711" s="41" t="str">
        <f ca="1">IFERROR(INDEX(UNSPSCDes,MATCH(INDIRECT(ADDRESS(ROW(),COLUMN()-1,4)),UNSPSCCode,0)),IF(INDIRECT(ADDRESS(ROW(),COLUMN()-1,4))="14111806","Formularios o cuestionarios de negocios",""))</f>
        <v>Recibos o libros de recibos</v>
      </c>
      <c r="C711" s="42" t="str">
        <f>IFERROR(VLOOKUP("UD",'[1]Informacion '!P:Q,2,FALSE),"")</f>
        <v>Unidad</v>
      </c>
      <c r="D711" s="40">
        <v>1</v>
      </c>
      <c r="E711" s="43">
        <v>1</v>
      </c>
      <c r="F711" s="44">
        <f ca="1">INDIRECT(ADDRESS(ROW(),COLUMN()-2,4))*INDIRECT(ADDRESS(ROW(),COLUMN()-1,4))</f>
        <v>1</v>
      </c>
    </row>
    <row r="712" spans="1:6" x14ac:dyDescent="0.25">
      <c r="E712" s="45" t="s">
        <v>47</v>
      </c>
      <c r="F712" s="46">
        <f ca="1">SUM(Table68[MONTO TOTAL ESTIMADO])</f>
        <v>4</v>
      </c>
    </row>
    <row r="713" spans="1:6" ht="17.25" thickBot="1" x14ac:dyDescent="0.3"/>
    <row r="714" spans="1:6" ht="23.25" thickBot="1" x14ac:dyDescent="0.3">
      <c r="A714" s="30" t="s">
        <v>18</v>
      </c>
      <c r="B714" s="30" t="s">
        <v>19</v>
      </c>
      <c r="C714" s="30" t="s">
        <v>20</v>
      </c>
      <c r="D714" s="30" t="s">
        <v>21</v>
      </c>
      <c r="E714" s="30" t="s">
        <v>22</v>
      </c>
      <c r="F714" s="30" t="s">
        <v>23</v>
      </c>
    </row>
    <row r="715" spans="1:6" ht="17.25" thickBot="1" x14ac:dyDescent="0.3">
      <c r="A715" s="31" t="s">
        <v>149</v>
      </c>
      <c r="B715" s="31" t="s">
        <v>150</v>
      </c>
      <c r="C715" s="31" t="s">
        <v>92</v>
      </c>
      <c r="D715" s="31" t="s">
        <v>27</v>
      </c>
      <c r="E715" s="31" t="s">
        <v>58</v>
      </c>
      <c r="F715" s="31"/>
    </row>
    <row r="716" spans="1:6" ht="17.25" thickBot="1" x14ac:dyDescent="0.3">
      <c r="A716" s="32" t="s">
        <v>29</v>
      </c>
      <c r="B716" s="33" t="s">
        <v>30</v>
      </c>
      <c r="C716" s="34">
        <v>44958</v>
      </c>
      <c r="D716" s="32" t="s">
        <v>31</v>
      </c>
      <c r="E716" s="35" t="s">
        <v>32</v>
      </c>
      <c r="F716" s="36" t="s">
        <v>33</v>
      </c>
    </row>
    <row r="717" spans="1:6" ht="17.25" thickBot="1" x14ac:dyDescent="0.3">
      <c r="A717" s="37"/>
      <c r="B717" s="33" t="s">
        <v>34</v>
      </c>
      <c r="C717" s="38">
        <f>IF(C716="","",IF(AND(MONTH(C716)&gt;=1,MONTH(C716)&lt;=3),1,IF(AND(MONTH(C716)&gt;=4,MONTH(C716)&lt;=6),2,IF(AND(MONTH(C716)&gt;=7,MONTH(C716)&lt;=9),3,4))))</f>
        <v>1</v>
      </c>
      <c r="D717" s="37"/>
      <c r="E717" s="35" t="s">
        <v>35</v>
      </c>
      <c r="F717" s="36" t="s">
        <v>36</v>
      </c>
    </row>
    <row r="718" spans="1:6" ht="17.25" thickBot="1" x14ac:dyDescent="0.3">
      <c r="A718" s="37"/>
      <c r="B718" s="33" t="s">
        <v>37</v>
      </c>
      <c r="C718" s="34">
        <v>45015</v>
      </c>
      <c r="D718" s="37"/>
      <c r="E718" s="35" t="s">
        <v>38</v>
      </c>
      <c r="F718" s="36" t="s">
        <v>36</v>
      </c>
    </row>
    <row r="719" spans="1:6" ht="17.25" thickBot="1" x14ac:dyDescent="0.3">
      <c r="A719" s="37"/>
      <c r="B719" s="33" t="s">
        <v>34</v>
      </c>
      <c r="C719" s="38">
        <f>IF(C718="","",IF(AND(MONTH(C718)&gt;=1,MONTH(C718)&lt;=3),1,IF(AND(MONTH(C718)&gt;=4,MONTH(C718)&lt;=6),2,IF(AND(MONTH(C718)&gt;=7,MONTH(C718)&lt;=9),3,4))))</f>
        <v>1</v>
      </c>
      <c r="D719" s="37"/>
      <c r="E719" s="35" t="s">
        <v>39</v>
      </c>
      <c r="F719" s="36" t="s">
        <v>36</v>
      </c>
    </row>
    <row r="720" spans="1:6" ht="17.25" thickBot="1" x14ac:dyDescent="0.3"/>
    <row r="721" spans="1:6" ht="17.25" thickBot="1" x14ac:dyDescent="0.3">
      <c r="A721" s="39" t="s">
        <v>40</v>
      </c>
      <c r="B721" s="39" t="s">
        <v>41</v>
      </c>
      <c r="C721" s="39" t="s">
        <v>42</v>
      </c>
      <c r="D721" s="39" t="s">
        <v>43</v>
      </c>
      <c r="E721" s="39" t="s">
        <v>44</v>
      </c>
      <c r="F721" s="39" t="s">
        <v>45</v>
      </c>
    </row>
    <row r="722" spans="1:6" x14ac:dyDescent="0.25">
      <c r="A722" s="40" t="s">
        <v>151</v>
      </c>
      <c r="B722" s="41" t="str">
        <f ca="1">IFERROR(INDEX(UNSPSCDes,MATCH(INDIRECT(ADDRESS(ROW(),COLUMN()-1,4)),UNSPSCCode,0)),IF(INDIRECT(ADDRESS(ROW(),COLUMN()-1,4))="55101504","Periódicos",""))</f>
        <v>Periódicos</v>
      </c>
      <c r="C722" s="42" t="str">
        <f>IFERROR(VLOOKUP("UD",'[1]Informacion '!P:Q,2,FALSE),"")</f>
        <v>Unidad</v>
      </c>
      <c r="D722" s="40">
        <v>1</v>
      </c>
      <c r="E722" s="43">
        <v>25000</v>
      </c>
      <c r="F722" s="44">
        <f ca="1">INDIRECT(ADDRESS(ROW(),COLUMN()-2,4))*INDIRECT(ADDRESS(ROW(),COLUMN()-1,4))</f>
        <v>25000</v>
      </c>
    </row>
    <row r="723" spans="1:6" x14ac:dyDescent="0.25">
      <c r="E723" s="45" t="s">
        <v>47</v>
      </c>
      <c r="F723" s="46">
        <f ca="1">SUM(Table69[MONTO TOTAL ESTIMADO])</f>
        <v>25000</v>
      </c>
    </row>
    <row r="724" spans="1:6" ht="17.25" thickBot="1" x14ac:dyDescent="0.3"/>
    <row r="725" spans="1:6" ht="23.25" thickBot="1" x14ac:dyDescent="0.3">
      <c r="A725" s="30" t="s">
        <v>18</v>
      </c>
      <c r="B725" s="30" t="s">
        <v>19</v>
      </c>
      <c r="C725" s="30" t="s">
        <v>20</v>
      </c>
      <c r="D725" s="30" t="s">
        <v>21</v>
      </c>
      <c r="E725" s="30" t="s">
        <v>22</v>
      </c>
      <c r="F725" s="30" t="s">
        <v>23</v>
      </c>
    </row>
    <row r="726" spans="1:6" ht="17.25" thickBot="1" x14ac:dyDescent="0.3">
      <c r="A726" s="31" t="s">
        <v>149</v>
      </c>
      <c r="B726" s="31" t="s">
        <v>152</v>
      </c>
      <c r="C726" s="31" t="s">
        <v>92</v>
      </c>
      <c r="D726" s="31" t="s">
        <v>27</v>
      </c>
      <c r="E726" s="31" t="s">
        <v>58</v>
      </c>
      <c r="F726" s="31"/>
    </row>
    <row r="727" spans="1:6" ht="17.25" thickBot="1" x14ac:dyDescent="0.3">
      <c r="A727" s="32" t="s">
        <v>29</v>
      </c>
      <c r="B727" s="33" t="s">
        <v>30</v>
      </c>
      <c r="C727" s="34">
        <v>45016</v>
      </c>
      <c r="D727" s="32" t="s">
        <v>31</v>
      </c>
      <c r="E727" s="35" t="s">
        <v>32</v>
      </c>
      <c r="F727" s="36" t="s">
        <v>33</v>
      </c>
    </row>
    <row r="728" spans="1:6" ht="17.25" thickBot="1" x14ac:dyDescent="0.3">
      <c r="A728" s="37"/>
      <c r="B728" s="33" t="s">
        <v>34</v>
      </c>
      <c r="C728" s="38">
        <f>IF(C727="","",IF(AND(MONTH(C727)&gt;=1,MONTH(C727)&lt;=3),1,IF(AND(MONTH(C727)&gt;=4,MONTH(C727)&lt;=6),2,IF(AND(MONTH(C727)&gt;=7,MONTH(C727)&lt;=9),3,4))))</f>
        <v>1</v>
      </c>
      <c r="D728" s="37"/>
      <c r="E728" s="35" t="s">
        <v>35</v>
      </c>
      <c r="F728" s="36" t="s">
        <v>36</v>
      </c>
    </row>
    <row r="729" spans="1:6" ht="17.25" thickBot="1" x14ac:dyDescent="0.3">
      <c r="A729" s="37"/>
      <c r="B729" s="33" t="s">
        <v>37</v>
      </c>
      <c r="C729" s="34">
        <v>45106</v>
      </c>
      <c r="D729" s="37"/>
      <c r="E729" s="35" t="s">
        <v>38</v>
      </c>
      <c r="F729" s="36" t="s">
        <v>36</v>
      </c>
    </row>
    <row r="730" spans="1:6" ht="17.25" thickBot="1" x14ac:dyDescent="0.3">
      <c r="A730" s="37"/>
      <c r="B730" s="33" t="s">
        <v>34</v>
      </c>
      <c r="C730" s="38">
        <f>IF(C729="","",IF(AND(MONTH(C729)&gt;=1,MONTH(C729)&lt;=3),1,IF(AND(MONTH(C729)&gt;=4,MONTH(C729)&lt;=6),2,IF(AND(MONTH(C729)&gt;=7,MONTH(C729)&lt;=9),3,4))))</f>
        <v>2</v>
      </c>
      <c r="D730" s="37"/>
      <c r="E730" s="35" t="s">
        <v>39</v>
      </c>
      <c r="F730" s="36"/>
    </row>
    <row r="731" spans="1:6" ht="17.25" thickBot="1" x14ac:dyDescent="0.3"/>
    <row r="732" spans="1:6" ht="17.25" thickBot="1" x14ac:dyDescent="0.3">
      <c r="A732" s="39" t="s">
        <v>40</v>
      </c>
      <c r="B732" s="39" t="s">
        <v>41</v>
      </c>
      <c r="C732" s="39" t="s">
        <v>42</v>
      </c>
      <c r="D732" s="39" t="s">
        <v>43</v>
      </c>
      <c r="E732" s="39" t="s">
        <v>44</v>
      </c>
      <c r="F732" s="39" t="s">
        <v>45</v>
      </c>
    </row>
    <row r="733" spans="1:6" x14ac:dyDescent="0.25">
      <c r="A733" s="40" t="s">
        <v>151</v>
      </c>
      <c r="B733" s="41" t="str">
        <f ca="1">IFERROR(INDEX(UNSPSCDes,MATCH(INDIRECT(ADDRESS(ROW(),COLUMN()-1,4)),UNSPSCCode,0)),IF(INDIRECT(ADDRESS(ROW(),COLUMN()-1,4))="55101504","Periódicos",""))</f>
        <v>Periódicos</v>
      </c>
      <c r="C733" s="42" t="str">
        <f>IFERROR(VLOOKUP("UD",'[1]Informacion '!P:Q,2,FALSE),"")</f>
        <v>Unidad</v>
      </c>
      <c r="D733" s="40">
        <v>1</v>
      </c>
      <c r="E733" s="43">
        <v>10000</v>
      </c>
      <c r="F733" s="44">
        <f ca="1">INDIRECT(ADDRESS(ROW(),COLUMN()-2,4))*INDIRECT(ADDRESS(ROW(),COLUMN()-1,4))</f>
        <v>10000</v>
      </c>
    </row>
    <row r="734" spans="1:6" x14ac:dyDescent="0.25">
      <c r="E734" s="45" t="s">
        <v>47</v>
      </c>
      <c r="F734" s="46">
        <f ca="1">SUM(Table70[MONTO TOTAL ESTIMADO])</f>
        <v>10000</v>
      </c>
    </row>
    <row r="735" spans="1:6" ht="17.25" thickBot="1" x14ac:dyDescent="0.3"/>
    <row r="736" spans="1:6" ht="23.25" thickBot="1" x14ac:dyDescent="0.3">
      <c r="A736" s="30" t="s">
        <v>18</v>
      </c>
      <c r="B736" s="30" t="s">
        <v>19</v>
      </c>
      <c r="C736" s="30" t="s">
        <v>20</v>
      </c>
      <c r="D736" s="30" t="s">
        <v>21</v>
      </c>
      <c r="E736" s="30" t="s">
        <v>22</v>
      </c>
      <c r="F736" s="30" t="s">
        <v>23</v>
      </c>
    </row>
    <row r="737" spans="1:6" ht="17.25" thickBot="1" x14ac:dyDescent="0.3">
      <c r="A737" s="31" t="s">
        <v>149</v>
      </c>
      <c r="B737" s="31" t="s">
        <v>150</v>
      </c>
      <c r="C737" s="31" t="s">
        <v>92</v>
      </c>
      <c r="D737" s="31" t="s">
        <v>27</v>
      </c>
      <c r="E737" s="31" t="s">
        <v>58</v>
      </c>
      <c r="F737" s="31"/>
    </row>
    <row r="738" spans="1:6" ht="17.25" thickBot="1" x14ac:dyDescent="0.3">
      <c r="A738" s="32" t="s">
        <v>29</v>
      </c>
      <c r="B738" s="33" t="s">
        <v>30</v>
      </c>
      <c r="C738" s="34">
        <v>45107</v>
      </c>
      <c r="D738" s="32" t="s">
        <v>31</v>
      </c>
      <c r="E738" s="35" t="s">
        <v>32</v>
      </c>
      <c r="F738" s="36" t="s">
        <v>33</v>
      </c>
    </row>
    <row r="739" spans="1:6" ht="17.25" thickBot="1" x14ac:dyDescent="0.3">
      <c r="A739" s="37"/>
      <c r="B739" s="33" t="s">
        <v>34</v>
      </c>
      <c r="C739" s="38">
        <f>IF(C738="","",IF(AND(MONTH(C738)&gt;=1,MONTH(C738)&lt;=3),1,IF(AND(MONTH(C738)&gt;=4,MONTH(C738)&lt;=6),2,IF(AND(MONTH(C738)&gt;=7,MONTH(C738)&lt;=9),3,4))))</f>
        <v>2</v>
      </c>
      <c r="D739" s="37"/>
      <c r="E739" s="35" t="s">
        <v>35</v>
      </c>
      <c r="F739" s="36" t="s">
        <v>36</v>
      </c>
    </row>
    <row r="740" spans="1:6" ht="17.25" thickBot="1" x14ac:dyDescent="0.3">
      <c r="A740" s="37"/>
      <c r="B740" s="33" t="s">
        <v>37</v>
      </c>
      <c r="C740" s="34">
        <v>45198</v>
      </c>
      <c r="D740" s="37"/>
      <c r="E740" s="35" t="s">
        <v>38</v>
      </c>
      <c r="F740" s="36" t="s">
        <v>36</v>
      </c>
    </row>
    <row r="741" spans="1:6" ht="17.25" thickBot="1" x14ac:dyDescent="0.3">
      <c r="A741" s="37"/>
      <c r="B741" s="33" t="s">
        <v>34</v>
      </c>
      <c r="C741" s="38">
        <f>IF(C740="","",IF(AND(MONTH(C740)&gt;=1,MONTH(C740)&lt;=3),1,IF(AND(MONTH(C740)&gt;=4,MONTH(C740)&lt;=6),2,IF(AND(MONTH(C740)&gt;=7,MONTH(C740)&lt;=9),3,4))))</f>
        <v>3</v>
      </c>
      <c r="D741" s="37"/>
      <c r="E741" s="35" t="s">
        <v>39</v>
      </c>
      <c r="F741" s="36"/>
    </row>
    <row r="742" spans="1:6" ht="17.25" thickBot="1" x14ac:dyDescent="0.3"/>
    <row r="743" spans="1:6" ht="17.25" thickBot="1" x14ac:dyDescent="0.3">
      <c r="A743" s="39" t="s">
        <v>40</v>
      </c>
      <c r="B743" s="39" t="s">
        <v>41</v>
      </c>
      <c r="C743" s="39" t="s">
        <v>42</v>
      </c>
      <c r="D743" s="39" t="s">
        <v>43</v>
      </c>
      <c r="E743" s="39" t="s">
        <v>44</v>
      </c>
      <c r="F743" s="39" t="s">
        <v>45</v>
      </c>
    </row>
    <row r="744" spans="1:6" x14ac:dyDescent="0.25">
      <c r="A744" s="40" t="s">
        <v>151</v>
      </c>
      <c r="B744" s="41" t="str">
        <f ca="1">IFERROR(INDEX(UNSPSCDes,MATCH(INDIRECT(ADDRESS(ROW(),COLUMN()-1,4)),UNSPSCCode,0)),IF(INDIRECT(ADDRESS(ROW(),COLUMN()-1,4))="55101504","Periódicos",""))</f>
        <v>Periódicos</v>
      </c>
      <c r="C744" s="42" t="str">
        <f>IFERROR(VLOOKUP("UD",'[1]Informacion '!P:Q,2,FALSE),"")</f>
        <v>Unidad</v>
      </c>
      <c r="D744" s="40">
        <v>1</v>
      </c>
      <c r="E744" s="43">
        <v>5000</v>
      </c>
      <c r="F744" s="44">
        <f ca="1">INDIRECT(ADDRESS(ROW(),COLUMN()-2,4))*INDIRECT(ADDRESS(ROW(),COLUMN()-1,4))</f>
        <v>5000</v>
      </c>
    </row>
    <row r="745" spans="1:6" x14ac:dyDescent="0.25">
      <c r="E745" s="45" t="s">
        <v>47</v>
      </c>
      <c r="F745" s="46">
        <f ca="1">SUM(Table71[MONTO TOTAL ESTIMADO])</f>
        <v>5000</v>
      </c>
    </row>
    <row r="746" spans="1:6" ht="17.25" thickBot="1" x14ac:dyDescent="0.3"/>
    <row r="747" spans="1:6" ht="23.25" thickBot="1" x14ac:dyDescent="0.3">
      <c r="A747" s="30" t="s">
        <v>18</v>
      </c>
      <c r="B747" s="30" t="s">
        <v>19</v>
      </c>
      <c r="C747" s="30" t="s">
        <v>20</v>
      </c>
      <c r="D747" s="30" t="s">
        <v>21</v>
      </c>
      <c r="E747" s="30" t="s">
        <v>22</v>
      </c>
      <c r="F747" s="30" t="s">
        <v>23</v>
      </c>
    </row>
    <row r="748" spans="1:6" ht="17.25" thickBot="1" x14ac:dyDescent="0.3">
      <c r="A748" s="31" t="s">
        <v>149</v>
      </c>
      <c r="B748" s="31" t="s">
        <v>152</v>
      </c>
      <c r="C748" s="31" t="s">
        <v>92</v>
      </c>
      <c r="D748" s="31" t="s">
        <v>27</v>
      </c>
      <c r="E748" s="31" t="s">
        <v>58</v>
      </c>
      <c r="F748" s="31"/>
    </row>
    <row r="749" spans="1:6" ht="17.25" thickBot="1" x14ac:dyDescent="0.3">
      <c r="A749" s="32" t="s">
        <v>29</v>
      </c>
      <c r="B749" s="33" t="s">
        <v>30</v>
      </c>
      <c r="C749" s="34">
        <v>45199</v>
      </c>
      <c r="D749" s="32" t="s">
        <v>31</v>
      </c>
      <c r="E749" s="35" t="s">
        <v>32</v>
      </c>
      <c r="F749" s="36" t="s">
        <v>33</v>
      </c>
    </row>
    <row r="750" spans="1:6" ht="17.25" thickBot="1" x14ac:dyDescent="0.3">
      <c r="A750" s="37"/>
      <c r="B750" s="33" t="s">
        <v>34</v>
      </c>
      <c r="C750" s="38">
        <f>IF(C749="","",IF(AND(MONTH(C749)&gt;=1,MONTH(C749)&lt;=3),1,IF(AND(MONTH(C749)&gt;=4,MONTH(C749)&lt;=6),2,IF(AND(MONTH(C749)&gt;=7,MONTH(C749)&lt;=9),3,4))))</f>
        <v>3</v>
      </c>
      <c r="D750" s="37"/>
      <c r="E750" s="35" t="s">
        <v>35</v>
      </c>
      <c r="F750" s="36" t="s">
        <v>36</v>
      </c>
    </row>
    <row r="751" spans="1:6" ht="17.25" thickBot="1" x14ac:dyDescent="0.3">
      <c r="A751" s="37"/>
      <c r="B751" s="33" t="s">
        <v>37</v>
      </c>
      <c r="C751" s="34">
        <v>45290</v>
      </c>
      <c r="D751" s="37"/>
      <c r="E751" s="35" t="s">
        <v>38</v>
      </c>
      <c r="F751" s="36" t="s">
        <v>36</v>
      </c>
    </row>
    <row r="752" spans="1:6" ht="17.25" thickBot="1" x14ac:dyDescent="0.3">
      <c r="A752" s="37"/>
      <c r="B752" s="33" t="s">
        <v>34</v>
      </c>
      <c r="C752" s="38">
        <f>IF(C751="","",IF(AND(MONTH(C751)&gt;=1,MONTH(C751)&lt;=3),1,IF(AND(MONTH(C751)&gt;=4,MONTH(C751)&lt;=6),2,IF(AND(MONTH(C751)&gt;=7,MONTH(C751)&lt;=9),3,4))))</f>
        <v>4</v>
      </c>
      <c r="D752" s="37"/>
      <c r="E752" s="35" t="s">
        <v>39</v>
      </c>
      <c r="F752" s="36"/>
    </row>
    <row r="753" spans="1:6" ht="17.25" thickBot="1" x14ac:dyDescent="0.3"/>
    <row r="754" spans="1:6" ht="17.25" thickBot="1" x14ac:dyDescent="0.3">
      <c r="A754" s="39" t="s">
        <v>40</v>
      </c>
      <c r="B754" s="39" t="s">
        <v>41</v>
      </c>
      <c r="C754" s="39" t="s">
        <v>42</v>
      </c>
      <c r="D754" s="39" t="s">
        <v>43</v>
      </c>
      <c r="E754" s="39" t="s">
        <v>44</v>
      </c>
      <c r="F754" s="39" t="s">
        <v>45</v>
      </c>
    </row>
    <row r="755" spans="1:6" x14ac:dyDescent="0.25">
      <c r="A755" s="40" t="s">
        <v>151</v>
      </c>
      <c r="B755" s="41" t="str">
        <f ca="1">IFERROR(INDEX(UNSPSCDes,MATCH(INDIRECT(ADDRESS(ROW(),COLUMN()-1,4)),UNSPSCCode,0)),IF(INDIRECT(ADDRESS(ROW(),COLUMN()-1,4))="55101504","Periódicos",""))</f>
        <v>Periódicos</v>
      </c>
      <c r="C755" s="42" t="str">
        <f>IFERROR(VLOOKUP("UD",'[1]Informacion '!P:Q,2,FALSE),"")</f>
        <v>Unidad</v>
      </c>
      <c r="D755" s="40">
        <v>1</v>
      </c>
      <c r="E755" s="43">
        <v>1000</v>
      </c>
      <c r="F755" s="44">
        <f ca="1">INDIRECT(ADDRESS(ROW(),COLUMN()-2,4))*INDIRECT(ADDRESS(ROW(),COLUMN()-1,4))</f>
        <v>1000</v>
      </c>
    </row>
    <row r="756" spans="1:6" x14ac:dyDescent="0.25">
      <c r="A756" s="40" t="s">
        <v>153</v>
      </c>
      <c r="B756" s="41" t="str">
        <f ca="1">IFERROR(INDEX(UNSPSCDes,MATCH(INDIRECT(ADDRESS(ROW(),COLUMN()-1,4)),UNSPSCCode,0)),IF(INDIRECT(ADDRESS(ROW(),COLUMN()-1,4))="55101506","Revistas",""))</f>
        <v>Revistas</v>
      </c>
      <c r="C756" s="42" t="str">
        <f>IFERROR(VLOOKUP("UD",'[1]Informacion '!P:Q,2,FALSE),"")</f>
        <v>Unidad</v>
      </c>
      <c r="D756" s="40">
        <v>1</v>
      </c>
      <c r="E756" s="43">
        <v>1000</v>
      </c>
      <c r="F756" s="44">
        <f ca="1">INDIRECT(ADDRESS(ROW(),COLUMN()-2,4))*INDIRECT(ADDRESS(ROW(),COLUMN()-1,4))</f>
        <v>1000</v>
      </c>
    </row>
    <row r="757" spans="1:6" x14ac:dyDescent="0.25">
      <c r="E757" s="45" t="s">
        <v>47</v>
      </c>
      <c r="F757" s="46">
        <f ca="1">SUM(Table72[MONTO TOTAL ESTIMADO])</f>
        <v>2000</v>
      </c>
    </row>
    <row r="758" spans="1:6" ht="17.25" thickBot="1" x14ac:dyDescent="0.3"/>
    <row r="759" spans="1:6" ht="23.25" thickBot="1" x14ac:dyDescent="0.3">
      <c r="A759" s="30" t="s">
        <v>18</v>
      </c>
      <c r="B759" s="30" t="s">
        <v>19</v>
      </c>
      <c r="C759" s="30" t="s">
        <v>20</v>
      </c>
      <c r="D759" s="30" t="s">
        <v>21</v>
      </c>
      <c r="E759" s="30" t="s">
        <v>22</v>
      </c>
      <c r="F759" s="30" t="s">
        <v>23</v>
      </c>
    </row>
    <row r="760" spans="1:6" ht="17.25" thickBot="1" x14ac:dyDescent="0.3">
      <c r="A760" s="31" t="s">
        <v>154</v>
      </c>
      <c r="B760" s="31" t="s">
        <v>155</v>
      </c>
      <c r="C760" s="31" t="s">
        <v>26</v>
      </c>
      <c r="D760" s="31" t="s">
        <v>27</v>
      </c>
      <c r="E760" s="31" t="s">
        <v>58</v>
      </c>
      <c r="F760" s="31"/>
    </row>
    <row r="761" spans="1:6" ht="17.25" thickBot="1" x14ac:dyDescent="0.3">
      <c r="A761" s="32" t="s">
        <v>29</v>
      </c>
      <c r="B761" s="33" t="s">
        <v>30</v>
      </c>
      <c r="C761" s="34">
        <v>44958</v>
      </c>
      <c r="D761" s="32" t="s">
        <v>31</v>
      </c>
      <c r="E761" s="35" t="s">
        <v>32</v>
      </c>
      <c r="F761" s="36" t="s">
        <v>33</v>
      </c>
    </row>
    <row r="762" spans="1:6" ht="17.25" thickBot="1" x14ac:dyDescent="0.3">
      <c r="A762" s="37"/>
      <c r="B762" s="33" t="s">
        <v>34</v>
      </c>
      <c r="C762" s="38">
        <f>IF(C761="","",IF(AND(MONTH(C761)&gt;=1,MONTH(C761)&lt;=3),1,IF(AND(MONTH(C761)&gt;=4,MONTH(C761)&lt;=6),2,IF(AND(MONTH(C761)&gt;=7,MONTH(C761)&lt;=9),3,4))))</f>
        <v>1</v>
      </c>
      <c r="D762" s="37"/>
      <c r="E762" s="35" t="s">
        <v>35</v>
      </c>
      <c r="F762" s="36" t="s">
        <v>36</v>
      </c>
    </row>
    <row r="763" spans="1:6" ht="17.25" thickBot="1" x14ac:dyDescent="0.3">
      <c r="A763" s="37"/>
      <c r="B763" s="33" t="s">
        <v>37</v>
      </c>
      <c r="C763" s="34">
        <v>45015</v>
      </c>
      <c r="D763" s="37"/>
      <c r="E763" s="35" t="s">
        <v>38</v>
      </c>
      <c r="F763" s="36" t="s">
        <v>36</v>
      </c>
    </row>
    <row r="764" spans="1:6" ht="17.25" thickBot="1" x14ac:dyDescent="0.3">
      <c r="A764" s="37"/>
      <c r="B764" s="33" t="s">
        <v>34</v>
      </c>
      <c r="C764" s="38">
        <f>IF(C763="","",IF(AND(MONTH(C763)&gt;=1,MONTH(C763)&lt;=3),1,IF(AND(MONTH(C763)&gt;=4,MONTH(C763)&lt;=6),2,IF(AND(MONTH(C763)&gt;=7,MONTH(C763)&lt;=9),3,4))))</f>
        <v>1</v>
      </c>
      <c r="D764" s="37"/>
      <c r="E764" s="35" t="s">
        <v>39</v>
      </c>
      <c r="F764" s="36" t="s">
        <v>36</v>
      </c>
    </row>
    <row r="765" spans="1:6" ht="17.25" thickBot="1" x14ac:dyDescent="0.3"/>
    <row r="766" spans="1:6" ht="17.25" thickBot="1" x14ac:dyDescent="0.3">
      <c r="A766" s="39" t="s">
        <v>40</v>
      </c>
      <c r="B766" s="39" t="s">
        <v>41</v>
      </c>
      <c r="C766" s="39" t="s">
        <v>42</v>
      </c>
      <c r="D766" s="39" t="s">
        <v>43</v>
      </c>
      <c r="E766" s="39" t="s">
        <v>44</v>
      </c>
      <c r="F766" s="39" t="s">
        <v>45</v>
      </c>
    </row>
    <row r="767" spans="1:6" x14ac:dyDescent="0.25">
      <c r="A767" s="40" t="s">
        <v>156</v>
      </c>
      <c r="B767" s="41" t="str">
        <f ca="1">IFERROR(INDEX(UNSPSCDes,MATCH(INDIRECT(ADDRESS(ROW(),COLUMN()-1,4)),UNSPSCCode,0)),IF(INDIRECT(ADDRESS(ROW(),COLUMN()-1,4))="55101509","Textos educacionales o vocacionales",""))</f>
        <v>Textos educacionales o vocacionales</v>
      </c>
      <c r="C767" s="42" t="str">
        <f>IFERROR(VLOOKUP("UD",'[1]Informacion '!P:Q,2,FALSE),"")</f>
        <v>Unidad</v>
      </c>
      <c r="D767" s="40">
        <v>1</v>
      </c>
      <c r="E767" s="43">
        <v>1</v>
      </c>
      <c r="F767" s="44">
        <f ca="1">INDIRECT(ADDRESS(ROW(),COLUMN()-2,4))*INDIRECT(ADDRESS(ROW(),COLUMN()-1,4))</f>
        <v>1</v>
      </c>
    </row>
    <row r="768" spans="1:6" x14ac:dyDescent="0.25">
      <c r="E768" s="45" t="s">
        <v>47</v>
      </c>
      <c r="F768" s="46">
        <f ca="1">SUM(Table73[MONTO TOTAL ESTIMADO])</f>
        <v>1</v>
      </c>
    </row>
    <row r="769" spans="1:6" ht="17.25" thickBot="1" x14ac:dyDescent="0.3"/>
    <row r="770" spans="1:6" ht="23.25" thickBot="1" x14ac:dyDescent="0.3">
      <c r="A770" s="30" t="s">
        <v>18</v>
      </c>
      <c r="B770" s="30" t="s">
        <v>19</v>
      </c>
      <c r="C770" s="30" t="s">
        <v>20</v>
      </c>
      <c r="D770" s="30" t="s">
        <v>21</v>
      </c>
      <c r="E770" s="30" t="s">
        <v>22</v>
      </c>
      <c r="F770" s="30" t="s">
        <v>23</v>
      </c>
    </row>
    <row r="771" spans="1:6" ht="17.25" thickBot="1" x14ac:dyDescent="0.3">
      <c r="A771" s="31" t="s">
        <v>157</v>
      </c>
      <c r="B771" s="31" t="s">
        <v>158</v>
      </c>
      <c r="C771" s="31" t="s">
        <v>26</v>
      </c>
      <c r="D771" s="31" t="s">
        <v>159</v>
      </c>
      <c r="E771" s="31" t="s">
        <v>75</v>
      </c>
      <c r="F771" s="31"/>
    </row>
    <row r="772" spans="1:6" ht="17.25" thickBot="1" x14ac:dyDescent="0.3">
      <c r="A772" s="32" t="s">
        <v>29</v>
      </c>
      <c r="B772" s="33" t="s">
        <v>30</v>
      </c>
      <c r="C772" s="34">
        <v>44958</v>
      </c>
      <c r="D772" s="32" t="s">
        <v>31</v>
      </c>
      <c r="E772" s="35" t="s">
        <v>32</v>
      </c>
      <c r="F772" s="36" t="s">
        <v>33</v>
      </c>
    </row>
    <row r="773" spans="1:6" ht="17.25" thickBot="1" x14ac:dyDescent="0.3">
      <c r="A773" s="37"/>
      <c r="B773" s="33" t="s">
        <v>34</v>
      </c>
      <c r="C773" s="38">
        <f>IF(C772="","",IF(AND(MONTH(C772)&gt;=1,MONTH(C772)&lt;=3),1,IF(AND(MONTH(C772)&gt;=4,MONTH(C772)&lt;=6),2,IF(AND(MONTH(C772)&gt;=7,MONTH(C772)&lt;=9),3,4))))</f>
        <v>1</v>
      </c>
      <c r="D773" s="37"/>
      <c r="E773" s="35" t="s">
        <v>35</v>
      </c>
      <c r="F773" s="36" t="s">
        <v>36</v>
      </c>
    </row>
    <row r="774" spans="1:6" ht="17.25" thickBot="1" x14ac:dyDescent="0.3">
      <c r="A774" s="37"/>
      <c r="B774" s="33" t="s">
        <v>37</v>
      </c>
      <c r="C774" s="34">
        <v>45015</v>
      </c>
      <c r="D774" s="37"/>
      <c r="E774" s="35" t="s">
        <v>38</v>
      </c>
      <c r="F774" s="36" t="s">
        <v>36</v>
      </c>
    </row>
    <row r="775" spans="1:6" ht="17.25" thickBot="1" x14ac:dyDescent="0.3">
      <c r="A775" s="37"/>
      <c r="B775" s="33" t="s">
        <v>34</v>
      </c>
      <c r="C775" s="38">
        <f>IF(C774="","",IF(AND(MONTH(C774)&gt;=1,MONTH(C774)&lt;=3),1,IF(AND(MONTH(C774)&gt;=4,MONTH(C774)&lt;=6),2,IF(AND(MONTH(C774)&gt;=7,MONTH(C774)&lt;=9),3,4))))</f>
        <v>1</v>
      </c>
      <c r="D775" s="37"/>
      <c r="E775" s="35" t="s">
        <v>39</v>
      </c>
      <c r="F775" s="36" t="s">
        <v>36</v>
      </c>
    </row>
    <row r="776" spans="1:6" ht="17.25" thickBot="1" x14ac:dyDescent="0.3"/>
    <row r="777" spans="1:6" ht="17.25" thickBot="1" x14ac:dyDescent="0.3">
      <c r="A777" s="39" t="s">
        <v>40</v>
      </c>
      <c r="B777" s="39" t="s">
        <v>41</v>
      </c>
      <c r="C777" s="39" t="s">
        <v>42</v>
      </c>
      <c r="D777" s="39" t="s">
        <v>43</v>
      </c>
      <c r="E777" s="39" t="s">
        <v>44</v>
      </c>
      <c r="F777" s="39" t="s">
        <v>45</v>
      </c>
    </row>
    <row r="778" spans="1:6" x14ac:dyDescent="0.25">
      <c r="A778" s="40" t="s">
        <v>160</v>
      </c>
      <c r="B778" s="41" t="str">
        <f ca="1">IFERROR(INDEX(UNSPSCDes,MATCH(INDIRECT(ADDRESS(ROW(),COLUMN()-1,4)),UNSPSCCode,0)),IF(INDIRECT(ADDRESS(ROW(),COLUMN()-1,4))="82121508","Impresión de envolturas, etiquetas, sellos o bolsas",""))</f>
        <v>Impresión de envolturas, etiquetas, sellos o bolsas</v>
      </c>
      <c r="C778" s="42" t="str">
        <f>IFERROR(VLOOKUP("UD",'[1]Informacion '!P:Q,2,FALSE),"")</f>
        <v>Unidad</v>
      </c>
      <c r="D778" s="40">
        <v>1</v>
      </c>
      <c r="E778" s="43">
        <v>13500000</v>
      </c>
      <c r="F778" s="44">
        <f ca="1">INDIRECT(ADDRESS(ROW(),COLUMN()-2,4))*INDIRECT(ADDRESS(ROW(),COLUMN()-1,4))</f>
        <v>13500000</v>
      </c>
    </row>
    <row r="779" spans="1:6" x14ac:dyDescent="0.25">
      <c r="E779" s="45" t="s">
        <v>47</v>
      </c>
      <c r="F779" s="46">
        <f ca="1">SUM(Table74[MONTO TOTAL ESTIMADO])</f>
        <v>13500000</v>
      </c>
    </row>
    <row r="780" spans="1:6" ht="17.25" thickBot="1" x14ac:dyDescent="0.3"/>
    <row r="781" spans="1:6" ht="23.25" thickBot="1" x14ac:dyDescent="0.3">
      <c r="A781" s="30" t="s">
        <v>18</v>
      </c>
      <c r="B781" s="30" t="s">
        <v>19</v>
      </c>
      <c r="C781" s="30" t="s">
        <v>20</v>
      </c>
      <c r="D781" s="30" t="s">
        <v>21</v>
      </c>
      <c r="E781" s="30" t="s">
        <v>22</v>
      </c>
      <c r="F781" s="30" t="s">
        <v>23</v>
      </c>
    </row>
    <row r="782" spans="1:6" ht="17.25" thickBot="1" x14ac:dyDescent="0.3">
      <c r="A782" s="31" t="s">
        <v>157</v>
      </c>
      <c r="B782" s="31" t="s">
        <v>158</v>
      </c>
      <c r="C782" s="31" t="s">
        <v>26</v>
      </c>
      <c r="D782" s="31" t="s">
        <v>159</v>
      </c>
      <c r="E782" s="31" t="s">
        <v>75</v>
      </c>
      <c r="F782" s="31"/>
    </row>
    <row r="783" spans="1:6" ht="17.25" thickBot="1" x14ac:dyDescent="0.3">
      <c r="A783" s="32" t="s">
        <v>29</v>
      </c>
      <c r="B783" s="33" t="s">
        <v>30</v>
      </c>
      <c r="C783" s="34">
        <v>45016</v>
      </c>
      <c r="D783" s="32" t="s">
        <v>31</v>
      </c>
      <c r="E783" s="35" t="s">
        <v>32</v>
      </c>
      <c r="F783" s="36" t="s">
        <v>33</v>
      </c>
    </row>
    <row r="784" spans="1:6" ht="17.25" thickBot="1" x14ac:dyDescent="0.3">
      <c r="A784" s="37"/>
      <c r="B784" s="33" t="s">
        <v>34</v>
      </c>
      <c r="C784" s="38">
        <f>IF(C783="","",IF(AND(MONTH(C783)&gt;=1,MONTH(C783)&lt;=3),1,IF(AND(MONTH(C783)&gt;=4,MONTH(C783)&lt;=6),2,IF(AND(MONTH(C783)&gt;=7,MONTH(C783)&lt;=9),3,4))))</f>
        <v>1</v>
      </c>
      <c r="D784" s="37"/>
      <c r="E784" s="35" t="s">
        <v>35</v>
      </c>
      <c r="F784" s="36" t="s">
        <v>36</v>
      </c>
    </row>
    <row r="785" spans="1:6" ht="17.25" thickBot="1" x14ac:dyDescent="0.3">
      <c r="A785" s="37"/>
      <c r="B785" s="33" t="s">
        <v>37</v>
      </c>
      <c r="C785" s="34">
        <v>45106</v>
      </c>
      <c r="D785" s="37"/>
      <c r="E785" s="35" t="s">
        <v>38</v>
      </c>
      <c r="F785" s="36" t="s">
        <v>36</v>
      </c>
    </row>
    <row r="786" spans="1:6" ht="17.25" thickBot="1" x14ac:dyDescent="0.3">
      <c r="A786" s="37"/>
      <c r="B786" s="33" t="s">
        <v>34</v>
      </c>
      <c r="C786" s="38">
        <f>IF(C785="","",IF(AND(MONTH(C785)&gt;=1,MONTH(C785)&lt;=3),1,IF(AND(MONTH(C785)&gt;=4,MONTH(C785)&lt;=6),2,IF(AND(MONTH(C785)&gt;=7,MONTH(C785)&lt;=9),3,4))))</f>
        <v>2</v>
      </c>
      <c r="D786" s="37"/>
      <c r="E786" s="35" t="s">
        <v>39</v>
      </c>
      <c r="F786" s="36" t="s">
        <v>36</v>
      </c>
    </row>
    <row r="787" spans="1:6" ht="17.25" thickBot="1" x14ac:dyDescent="0.3"/>
    <row r="788" spans="1:6" ht="17.25" thickBot="1" x14ac:dyDescent="0.3">
      <c r="A788" s="39" t="s">
        <v>40</v>
      </c>
      <c r="B788" s="39" t="s">
        <v>41</v>
      </c>
      <c r="C788" s="39" t="s">
        <v>42</v>
      </c>
      <c r="D788" s="39" t="s">
        <v>43</v>
      </c>
      <c r="E788" s="39" t="s">
        <v>44</v>
      </c>
      <c r="F788" s="39" t="s">
        <v>45</v>
      </c>
    </row>
    <row r="789" spans="1:6" x14ac:dyDescent="0.25">
      <c r="A789" s="40" t="s">
        <v>160</v>
      </c>
      <c r="B789" s="41" t="str">
        <f ca="1">IFERROR(INDEX(UNSPSCDes,MATCH(INDIRECT(ADDRESS(ROW(),COLUMN()-1,4)),UNSPSCCode,0)),IF(INDIRECT(ADDRESS(ROW(),COLUMN()-1,4))="82121508","Impresión de envolturas, etiquetas, sellos o bolsas",""))</f>
        <v>Impresión de envolturas, etiquetas, sellos o bolsas</v>
      </c>
      <c r="C789" s="42" t="str">
        <f>IFERROR(VLOOKUP("UD",'[1]Informacion '!P:Q,2,FALSE),"")</f>
        <v>Unidad</v>
      </c>
      <c r="D789" s="40">
        <v>1</v>
      </c>
      <c r="E789" s="43">
        <v>13500000</v>
      </c>
      <c r="F789" s="44">
        <f ca="1">INDIRECT(ADDRESS(ROW(),COLUMN()-2,4))*INDIRECT(ADDRESS(ROW(),COLUMN()-1,4))</f>
        <v>13500000</v>
      </c>
    </row>
    <row r="790" spans="1:6" x14ac:dyDescent="0.25">
      <c r="E790" s="45" t="s">
        <v>47</v>
      </c>
      <c r="F790" s="46">
        <f ca="1">SUM(Table75[MONTO TOTAL ESTIMADO])</f>
        <v>13500000</v>
      </c>
    </row>
    <row r="791" spans="1:6" ht="17.25" thickBot="1" x14ac:dyDescent="0.3"/>
    <row r="792" spans="1:6" ht="23.25" thickBot="1" x14ac:dyDescent="0.3">
      <c r="A792" s="30" t="s">
        <v>18</v>
      </c>
      <c r="B792" s="30" t="s">
        <v>19</v>
      </c>
      <c r="C792" s="30" t="s">
        <v>20</v>
      </c>
      <c r="D792" s="30" t="s">
        <v>21</v>
      </c>
      <c r="E792" s="30" t="s">
        <v>22</v>
      </c>
      <c r="F792" s="30" t="s">
        <v>23</v>
      </c>
    </row>
    <row r="793" spans="1:6" ht="17.25" thickBot="1" x14ac:dyDescent="0.3">
      <c r="A793" s="31" t="s">
        <v>157</v>
      </c>
      <c r="B793" s="31" t="s">
        <v>158</v>
      </c>
      <c r="C793" s="31" t="s">
        <v>26</v>
      </c>
      <c r="D793" s="31" t="s">
        <v>159</v>
      </c>
      <c r="E793" s="31" t="s">
        <v>75</v>
      </c>
      <c r="F793" s="31"/>
    </row>
    <row r="794" spans="1:6" ht="17.25" thickBot="1" x14ac:dyDescent="0.3">
      <c r="A794" s="32" t="s">
        <v>29</v>
      </c>
      <c r="B794" s="33" t="s">
        <v>30</v>
      </c>
      <c r="C794" s="34">
        <v>45107</v>
      </c>
      <c r="D794" s="32" t="s">
        <v>31</v>
      </c>
      <c r="E794" s="35" t="s">
        <v>32</v>
      </c>
      <c r="F794" s="36" t="s">
        <v>33</v>
      </c>
    </row>
    <row r="795" spans="1:6" ht="17.25" thickBot="1" x14ac:dyDescent="0.3">
      <c r="A795" s="37"/>
      <c r="B795" s="33" t="s">
        <v>34</v>
      </c>
      <c r="C795" s="38">
        <f>IF(C794="","",IF(AND(MONTH(C794)&gt;=1,MONTH(C794)&lt;=3),1,IF(AND(MONTH(C794)&gt;=4,MONTH(C794)&lt;=6),2,IF(AND(MONTH(C794)&gt;=7,MONTH(C794)&lt;=9),3,4))))</f>
        <v>2</v>
      </c>
      <c r="D795" s="37"/>
      <c r="E795" s="35" t="s">
        <v>35</v>
      </c>
      <c r="F795" s="36" t="s">
        <v>36</v>
      </c>
    </row>
    <row r="796" spans="1:6" ht="17.25" thickBot="1" x14ac:dyDescent="0.3">
      <c r="A796" s="37"/>
      <c r="B796" s="33" t="s">
        <v>37</v>
      </c>
      <c r="C796" s="34">
        <v>45198</v>
      </c>
      <c r="D796" s="37"/>
      <c r="E796" s="35" t="s">
        <v>38</v>
      </c>
      <c r="F796" s="36" t="s">
        <v>36</v>
      </c>
    </row>
    <row r="797" spans="1:6" ht="17.25" thickBot="1" x14ac:dyDescent="0.3">
      <c r="A797" s="37"/>
      <c r="B797" s="33" t="s">
        <v>34</v>
      </c>
      <c r="C797" s="38">
        <f>IF(C796="","",IF(AND(MONTH(C796)&gt;=1,MONTH(C796)&lt;=3),1,IF(AND(MONTH(C796)&gt;=4,MONTH(C796)&lt;=6),2,IF(AND(MONTH(C796)&gt;=7,MONTH(C796)&lt;=9),3,4))))</f>
        <v>3</v>
      </c>
      <c r="D797" s="37"/>
      <c r="E797" s="35" t="s">
        <v>39</v>
      </c>
      <c r="F797" s="36" t="s">
        <v>36</v>
      </c>
    </row>
    <row r="798" spans="1:6" ht="17.25" thickBot="1" x14ac:dyDescent="0.3"/>
    <row r="799" spans="1:6" ht="17.25" thickBot="1" x14ac:dyDescent="0.3">
      <c r="A799" s="39" t="s">
        <v>40</v>
      </c>
      <c r="B799" s="39" t="s">
        <v>41</v>
      </c>
      <c r="C799" s="39" t="s">
        <v>42</v>
      </c>
      <c r="D799" s="39" t="s">
        <v>43</v>
      </c>
      <c r="E799" s="39" t="s">
        <v>44</v>
      </c>
      <c r="F799" s="39" t="s">
        <v>45</v>
      </c>
    </row>
    <row r="800" spans="1:6" x14ac:dyDescent="0.25">
      <c r="A800" s="40" t="s">
        <v>160</v>
      </c>
      <c r="B800" s="41" t="str">
        <f ca="1">IFERROR(INDEX(UNSPSCDes,MATCH(INDIRECT(ADDRESS(ROW(),COLUMN()-1,4)),UNSPSCCode,0)),IF(INDIRECT(ADDRESS(ROW(),COLUMN()-1,4))="82121508","Impresión de envolturas, etiquetas, sellos o bolsas",""))</f>
        <v>Impresión de envolturas, etiquetas, sellos o bolsas</v>
      </c>
      <c r="C800" s="42" t="str">
        <f>IFERROR(VLOOKUP("UD",'[1]Informacion '!P:Q,2,FALSE),"")</f>
        <v>Unidad</v>
      </c>
      <c r="D800" s="40">
        <v>1</v>
      </c>
      <c r="E800" s="43">
        <v>13500000</v>
      </c>
      <c r="F800" s="44">
        <f ca="1">INDIRECT(ADDRESS(ROW(),COLUMN()-2,4))*INDIRECT(ADDRESS(ROW(),COLUMN()-1,4))</f>
        <v>13500000</v>
      </c>
    </row>
    <row r="801" spans="1:6" x14ac:dyDescent="0.25">
      <c r="E801" s="45" t="s">
        <v>47</v>
      </c>
      <c r="F801" s="46">
        <f ca="1">SUM(Table76[MONTO TOTAL ESTIMADO])</f>
        <v>13500000</v>
      </c>
    </row>
    <row r="802" spans="1:6" ht="17.25" thickBot="1" x14ac:dyDescent="0.3"/>
    <row r="803" spans="1:6" ht="23.25" thickBot="1" x14ac:dyDescent="0.3">
      <c r="A803" s="30" t="s">
        <v>18</v>
      </c>
      <c r="B803" s="30" t="s">
        <v>19</v>
      </c>
      <c r="C803" s="30" t="s">
        <v>20</v>
      </c>
      <c r="D803" s="30" t="s">
        <v>21</v>
      </c>
      <c r="E803" s="30" t="s">
        <v>22</v>
      </c>
      <c r="F803" s="30" t="s">
        <v>23</v>
      </c>
    </row>
    <row r="804" spans="1:6" ht="17.25" thickBot="1" x14ac:dyDescent="0.3">
      <c r="A804" s="31" t="s">
        <v>157</v>
      </c>
      <c r="B804" s="31" t="s">
        <v>158</v>
      </c>
      <c r="C804" s="31" t="s">
        <v>26</v>
      </c>
      <c r="D804" s="31" t="s">
        <v>159</v>
      </c>
      <c r="E804" s="31" t="s">
        <v>75</v>
      </c>
      <c r="F804" s="31"/>
    </row>
    <row r="805" spans="1:6" ht="17.25" thickBot="1" x14ac:dyDescent="0.3">
      <c r="A805" s="32" t="s">
        <v>29</v>
      </c>
      <c r="B805" s="33" t="s">
        <v>30</v>
      </c>
      <c r="C805" s="34">
        <v>45199</v>
      </c>
      <c r="D805" s="32" t="s">
        <v>31</v>
      </c>
      <c r="E805" s="35" t="s">
        <v>32</v>
      </c>
      <c r="F805" s="36" t="s">
        <v>33</v>
      </c>
    </row>
    <row r="806" spans="1:6" ht="17.25" thickBot="1" x14ac:dyDescent="0.3">
      <c r="A806" s="37"/>
      <c r="B806" s="33" t="s">
        <v>34</v>
      </c>
      <c r="C806" s="38">
        <f>IF(C805="","",IF(AND(MONTH(C805)&gt;=1,MONTH(C805)&lt;=3),1,IF(AND(MONTH(C805)&gt;=4,MONTH(C805)&lt;=6),2,IF(AND(MONTH(C805)&gt;=7,MONTH(C805)&lt;=9),3,4))))</f>
        <v>3</v>
      </c>
      <c r="D806" s="37"/>
      <c r="E806" s="35" t="s">
        <v>35</v>
      </c>
      <c r="F806" s="36" t="s">
        <v>36</v>
      </c>
    </row>
    <row r="807" spans="1:6" ht="17.25" thickBot="1" x14ac:dyDescent="0.3">
      <c r="A807" s="37"/>
      <c r="B807" s="33" t="s">
        <v>37</v>
      </c>
      <c r="C807" s="34">
        <v>45290</v>
      </c>
      <c r="D807" s="37"/>
      <c r="E807" s="35" t="s">
        <v>38</v>
      </c>
      <c r="F807" s="36" t="s">
        <v>36</v>
      </c>
    </row>
    <row r="808" spans="1:6" ht="17.25" thickBot="1" x14ac:dyDescent="0.3">
      <c r="A808" s="37"/>
      <c r="B808" s="33" t="s">
        <v>34</v>
      </c>
      <c r="C808" s="38">
        <f>IF(C807="","",IF(AND(MONTH(C807)&gt;=1,MONTH(C807)&lt;=3),1,IF(AND(MONTH(C807)&gt;=4,MONTH(C807)&lt;=6),2,IF(AND(MONTH(C807)&gt;=7,MONTH(C807)&lt;=9),3,4))))</f>
        <v>4</v>
      </c>
      <c r="D808" s="37"/>
      <c r="E808" s="35" t="s">
        <v>39</v>
      </c>
      <c r="F808" s="36" t="s">
        <v>36</v>
      </c>
    </row>
    <row r="809" spans="1:6" ht="17.25" thickBot="1" x14ac:dyDescent="0.3"/>
    <row r="810" spans="1:6" ht="17.25" thickBot="1" x14ac:dyDescent="0.3">
      <c r="A810" s="39" t="s">
        <v>40</v>
      </c>
      <c r="B810" s="39" t="s">
        <v>41</v>
      </c>
      <c r="C810" s="39" t="s">
        <v>42</v>
      </c>
      <c r="D810" s="39" t="s">
        <v>43</v>
      </c>
      <c r="E810" s="39" t="s">
        <v>44</v>
      </c>
      <c r="F810" s="39" t="s">
        <v>45</v>
      </c>
    </row>
    <row r="811" spans="1:6" x14ac:dyDescent="0.25">
      <c r="A811" s="40" t="s">
        <v>160</v>
      </c>
      <c r="B811" s="41" t="str">
        <f ca="1">IFERROR(INDEX(UNSPSCDes,MATCH(INDIRECT(ADDRESS(ROW(),COLUMN()-1,4)),UNSPSCCode,0)),IF(INDIRECT(ADDRESS(ROW(),COLUMN()-1,4))="82121508","Impresión de envolturas, etiquetas, sellos o bolsas",""))</f>
        <v>Impresión de envolturas, etiquetas, sellos o bolsas</v>
      </c>
      <c r="C811" s="42" t="str">
        <f>IFERROR(VLOOKUP("UD",'[1]Informacion '!P:Q,2,FALSE),"")</f>
        <v>Unidad</v>
      </c>
      <c r="D811" s="40">
        <v>1</v>
      </c>
      <c r="E811" s="43">
        <v>13500000</v>
      </c>
      <c r="F811" s="44">
        <f ca="1">INDIRECT(ADDRESS(ROW(),COLUMN()-2,4))*INDIRECT(ADDRESS(ROW(),COLUMN()-1,4))</f>
        <v>13500000</v>
      </c>
    </row>
    <row r="812" spans="1:6" x14ac:dyDescent="0.25">
      <c r="E812" s="45" t="s">
        <v>47</v>
      </c>
      <c r="F812" s="46">
        <f ca="1">SUM(Table77[MONTO TOTAL ESTIMADO])</f>
        <v>13500000</v>
      </c>
    </row>
    <row r="813" spans="1:6" ht="17.25" thickBot="1" x14ac:dyDescent="0.3"/>
    <row r="814" spans="1:6" ht="23.25" thickBot="1" x14ac:dyDescent="0.3">
      <c r="A814" s="30" t="s">
        <v>18</v>
      </c>
      <c r="B814" s="30" t="s">
        <v>19</v>
      </c>
      <c r="C814" s="30" t="s">
        <v>20</v>
      </c>
      <c r="D814" s="30" t="s">
        <v>21</v>
      </c>
      <c r="E814" s="30" t="s">
        <v>22</v>
      </c>
      <c r="F814" s="30" t="s">
        <v>23</v>
      </c>
    </row>
    <row r="815" spans="1:6" ht="17.25" thickBot="1" x14ac:dyDescent="0.3">
      <c r="A815" s="31" t="s">
        <v>161</v>
      </c>
      <c r="B815" s="31" t="s">
        <v>162</v>
      </c>
      <c r="C815" s="31" t="s">
        <v>92</v>
      </c>
      <c r="D815" s="31" t="s">
        <v>27</v>
      </c>
      <c r="E815" s="31" t="s">
        <v>58</v>
      </c>
      <c r="F815" s="31"/>
    </row>
    <row r="816" spans="1:6" ht="17.25" thickBot="1" x14ac:dyDescent="0.3">
      <c r="A816" s="32" t="s">
        <v>29</v>
      </c>
      <c r="B816" s="33" t="s">
        <v>30</v>
      </c>
      <c r="C816" s="34">
        <v>45017</v>
      </c>
      <c r="D816" s="32" t="s">
        <v>31</v>
      </c>
      <c r="E816" s="35" t="s">
        <v>32</v>
      </c>
      <c r="F816" s="36" t="s">
        <v>33</v>
      </c>
    </row>
    <row r="817" spans="1:6" ht="17.25" thickBot="1" x14ac:dyDescent="0.3">
      <c r="A817" s="37"/>
      <c r="B817" s="33" t="s">
        <v>34</v>
      </c>
      <c r="C817" s="38">
        <f>IF(C816="","",IF(AND(MONTH(C816)&gt;=1,MONTH(C816)&lt;=3),1,IF(AND(MONTH(C816)&gt;=4,MONTH(C816)&lt;=6),2,IF(AND(MONTH(C816)&gt;=7,MONTH(C816)&lt;=9),3,4))))</f>
        <v>2</v>
      </c>
      <c r="D817" s="37"/>
      <c r="E817" s="35" t="s">
        <v>35</v>
      </c>
      <c r="F817" s="36" t="s">
        <v>36</v>
      </c>
    </row>
    <row r="818" spans="1:6" ht="17.25" thickBot="1" x14ac:dyDescent="0.3">
      <c r="A818" s="37"/>
      <c r="B818" s="33" t="s">
        <v>37</v>
      </c>
      <c r="C818" s="34">
        <v>45107</v>
      </c>
      <c r="D818" s="37"/>
      <c r="E818" s="35" t="s">
        <v>38</v>
      </c>
      <c r="F818" s="36" t="s">
        <v>36</v>
      </c>
    </row>
    <row r="819" spans="1:6" ht="17.25" thickBot="1" x14ac:dyDescent="0.3">
      <c r="A819" s="37"/>
      <c r="B819" s="33" t="s">
        <v>34</v>
      </c>
      <c r="C819" s="38">
        <f>IF(C818="","",IF(AND(MONTH(C818)&gt;=1,MONTH(C818)&lt;=3),1,IF(AND(MONTH(C818)&gt;=4,MONTH(C818)&lt;=6),2,IF(AND(MONTH(C818)&gt;=7,MONTH(C818)&lt;=9),3,4))))</f>
        <v>2</v>
      </c>
      <c r="D819" s="37"/>
      <c r="E819" s="35" t="s">
        <v>39</v>
      </c>
      <c r="F819" s="36" t="s">
        <v>36</v>
      </c>
    </row>
    <row r="820" spans="1:6" ht="17.25" thickBot="1" x14ac:dyDescent="0.3"/>
    <row r="821" spans="1:6" ht="17.25" thickBot="1" x14ac:dyDescent="0.3">
      <c r="A821" s="39" t="s">
        <v>40</v>
      </c>
      <c r="B821" s="39" t="s">
        <v>41</v>
      </c>
      <c r="C821" s="39" t="s">
        <v>42</v>
      </c>
      <c r="D821" s="39" t="s">
        <v>43</v>
      </c>
      <c r="E821" s="39" t="s">
        <v>44</v>
      </c>
      <c r="F821" s="39" t="s">
        <v>45</v>
      </c>
    </row>
    <row r="822" spans="1:6" x14ac:dyDescent="0.25">
      <c r="A822" s="40" t="s">
        <v>163</v>
      </c>
      <c r="B822" s="41" t="str">
        <f ca="1">IFERROR(INDEX(UNSPSCDes,MATCH(INDIRECT(ADDRESS(ROW(),COLUMN()-1,4)),UNSPSCCode,0)),IF(INDIRECT(ADDRESS(ROW(),COLUMN()-1,4))="85121902","Servicios farmacéuticos comerciales",""))</f>
        <v>Servicios farmacéuticos comerciales</v>
      </c>
      <c r="C822" s="42" t="str">
        <f>IFERROR(VLOOKUP("UD",'[1]Informacion '!P:Q,2,FALSE),"")</f>
        <v>Unidad</v>
      </c>
      <c r="D822" s="40">
        <v>10</v>
      </c>
      <c r="E822" s="43">
        <v>10000</v>
      </c>
      <c r="F822" s="44">
        <f t="shared" ref="F822:F871" ca="1" si="3">INDIRECT(ADDRESS(ROW(),COLUMN()-2,4))*INDIRECT(ADDRESS(ROW(),COLUMN()-1,4))</f>
        <v>100000</v>
      </c>
    </row>
    <row r="823" spans="1:6" x14ac:dyDescent="0.25">
      <c r="A823" s="40" t="s">
        <v>164</v>
      </c>
      <c r="B823" s="41" t="str">
        <f ca="1">IFERROR(INDEX(UNSPSCDes,MATCH(INDIRECT(ADDRESS(ROW(),COLUMN()-1,4)),UNSPSCCode,0)),IF(INDIRECT(ADDRESS(ROW(),COLUMN()-1,4))="51142001","Acetaminofén",""))</f>
        <v>Acetaminofén</v>
      </c>
      <c r="C823" s="42" t="str">
        <f>IFERROR(VLOOKUP("UD",'[1]Informacion '!P:Q,2,FALSE),"")</f>
        <v>Unidad</v>
      </c>
      <c r="D823" s="40">
        <v>5</v>
      </c>
      <c r="E823" s="43">
        <v>500</v>
      </c>
      <c r="F823" s="44">
        <f t="shared" ca="1" si="3"/>
        <v>2500</v>
      </c>
    </row>
    <row r="824" spans="1:6" x14ac:dyDescent="0.25">
      <c r="A824" s="40" t="s">
        <v>165</v>
      </c>
      <c r="B824" s="41" t="str">
        <f ca="1">IFERROR(INDEX(UNSPSCDes,MATCH(INDIRECT(ADDRESS(ROW(),COLUMN()-1,4)),UNSPSCCode,0)),IF(INDIRECT(ADDRESS(ROW(),COLUMN()-1,4))="51142121","Diclofenaco",""))</f>
        <v>Diclofenaco</v>
      </c>
      <c r="C824" s="42" t="str">
        <f>IFERROR(VLOOKUP("UD",'[1]Informacion '!P:Q,2,FALSE),"")</f>
        <v>Unidad</v>
      </c>
      <c r="D824" s="40">
        <v>5</v>
      </c>
      <c r="E824" s="43">
        <v>500</v>
      </c>
      <c r="F824" s="44">
        <f t="shared" ca="1" si="3"/>
        <v>2500</v>
      </c>
    </row>
    <row r="825" spans="1:6" x14ac:dyDescent="0.25">
      <c r="A825" s="40" t="s">
        <v>166</v>
      </c>
      <c r="B825" s="41" t="str">
        <f ca="1">IFERROR(INDEX(UNSPSCDes,MATCH(INDIRECT(ADDRESS(ROW(),COLUMN()-1,4)),UNSPSCCode,0)),IF(INDIRECT(ADDRESS(ROW(),COLUMN()-1,4))="51142012","Ácido mefenámico",""))</f>
        <v>Ácido mefenámico</v>
      </c>
      <c r="C825" s="42" t="str">
        <f>IFERROR(VLOOKUP("UD",'[1]Informacion '!P:Q,2,FALSE),"")</f>
        <v>Unidad</v>
      </c>
      <c r="D825" s="40">
        <v>5</v>
      </c>
      <c r="E825" s="43">
        <v>700</v>
      </c>
      <c r="F825" s="44">
        <f t="shared" ca="1" si="3"/>
        <v>3500</v>
      </c>
    </row>
    <row r="826" spans="1:6" x14ac:dyDescent="0.25">
      <c r="A826" s="40" t="s">
        <v>167</v>
      </c>
      <c r="B826" s="41" t="str">
        <f ca="1">IFERROR(INDEX(UNSPSCDes,MATCH(INDIRECT(ADDRESS(ROW(),COLUMN()-1,4)),UNSPSCCode,0)),IF(INDIRECT(ADDRESS(ROW(),COLUMN()-1,4))="51161606","Loratadina",""))</f>
        <v>Loratadina</v>
      </c>
      <c r="C826" s="42" t="str">
        <f>IFERROR(VLOOKUP("UD",'[1]Informacion '!P:Q,2,FALSE),"")</f>
        <v>Unidad</v>
      </c>
      <c r="D826" s="40">
        <v>5</v>
      </c>
      <c r="E826" s="43">
        <v>500</v>
      </c>
      <c r="F826" s="44">
        <f t="shared" ca="1" si="3"/>
        <v>2500</v>
      </c>
    </row>
    <row r="827" spans="1:6" x14ac:dyDescent="0.25">
      <c r="A827" s="40" t="s">
        <v>168</v>
      </c>
      <c r="B827" s="41" t="str">
        <f ca="1">IFERROR(INDEX(UNSPSCDes,MATCH(INDIRECT(ADDRESS(ROW(),COLUMN()-1,4)),UNSPSCCode,0)),IF(INDIRECT(ADDRESS(ROW(),COLUMN()-1,4))="51142106","Ibuprofeno",""))</f>
        <v>Ibuprofeno</v>
      </c>
      <c r="C827" s="42" t="str">
        <f>IFERROR(VLOOKUP("UD",'[1]Informacion '!P:Q,2,FALSE),"")</f>
        <v>Unidad</v>
      </c>
      <c r="D827" s="40">
        <v>5</v>
      </c>
      <c r="E827" s="43">
        <v>600</v>
      </c>
      <c r="F827" s="44">
        <f t="shared" ca="1" si="3"/>
        <v>3000</v>
      </c>
    </row>
    <row r="828" spans="1:6" x14ac:dyDescent="0.25">
      <c r="A828" s="40" t="s">
        <v>169</v>
      </c>
      <c r="B828" s="41" t="str">
        <f ca="1">IFERROR(INDEX(UNSPSCDes,MATCH(INDIRECT(ADDRESS(ROW(),COLUMN()-1,4)),UNSPSCCode,0)),IF(INDIRECT(ADDRESS(ROW(),COLUMN()-1,4))="51161811","Bromhexina",""))</f>
        <v>Bromhexina</v>
      </c>
      <c r="C828" s="42" t="str">
        <f>IFERROR(VLOOKUP("UD",'[1]Informacion '!P:Q,2,FALSE),"")</f>
        <v>Unidad</v>
      </c>
      <c r="D828" s="40">
        <v>5</v>
      </c>
      <c r="E828" s="43">
        <v>800</v>
      </c>
      <c r="F828" s="44">
        <f t="shared" ca="1" si="3"/>
        <v>4000</v>
      </c>
    </row>
    <row r="829" spans="1:6" x14ac:dyDescent="0.25">
      <c r="A829" s="40" t="s">
        <v>170</v>
      </c>
      <c r="B829" s="41" t="str">
        <f ca="1">IFERROR(INDEX(UNSPSCDes,MATCH(INDIRECT(ADDRESS(ROW(),COLUMN()-1,4)),UNSPSCCode,0)),IF(INDIRECT(ADDRESS(ROW(),COLUMN()-1,4))="51151709","Fenilpropanolamina clorhidrato",""))</f>
        <v>Fenilpropanolamina clorhidrato</v>
      </c>
      <c r="C829" s="42" t="str">
        <f>IFERROR(VLOOKUP("UD",'[1]Informacion '!P:Q,2,FALSE),"")</f>
        <v>Unidad</v>
      </c>
      <c r="D829" s="40">
        <v>5</v>
      </c>
      <c r="E829" s="43">
        <v>1000</v>
      </c>
      <c r="F829" s="44">
        <f t="shared" ca="1" si="3"/>
        <v>5000</v>
      </c>
    </row>
    <row r="830" spans="1:6" x14ac:dyDescent="0.25">
      <c r="A830" s="40" t="s">
        <v>171</v>
      </c>
      <c r="B830" s="41" t="str">
        <f ca="1">IFERROR(INDEX(UNSPSCDes,MATCH(INDIRECT(ADDRESS(ROW(),COLUMN()-1,4)),UNSPSCCode,0)),IF(INDIRECT(ADDRESS(ROW(),COLUMN()-1,4))="51191905","Suplementos vitamínicos",""))</f>
        <v>Suplementos vitamínicos</v>
      </c>
      <c r="C830" s="42" t="str">
        <f>IFERROR(VLOOKUP("UD",'[1]Informacion '!P:Q,2,FALSE),"")</f>
        <v>Unidad</v>
      </c>
      <c r="D830" s="40">
        <v>5</v>
      </c>
      <c r="E830" s="43">
        <v>1000</v>
      </c>
      <c r="F830" s="44">
        <f t="shared" ca="1" si="3"/>
        <v>5000</v>
      </c>
    </row>
    <row r="831" spans="1:6" x14ac:dyDescent="0.25">
      <c r="A831" s="40" t="s">
        <v>172</v>
      </c>
      <c r="B831" s="41" t="str">
        <f ca="1">IFERROR(INDEX(UNSPSCDes,MATCH(INDIRECT(ADDRESS(ROW(),COLUMN()-1,4)),UNSPSCCode,0)),IF(INDIRECT(ADDRESS(ROW(),COLUMN()-1,4))="51171909","Omeprazol",""))</f>
        <v>Omeprazol</v>
      </c>
      <c r="C831" s="42" t="str">
        <f>IFERROR(VLOOKUP("UD",'[1]Informacion '!P:Q,2,FALSE),"")</f>
        <v>Unidad</v>
      </c>
      <c r="D831" s="40">
        <v>5</v>
      </c>
      <c r="E831" s="43">
        <v>800</v>
      </c>
      <c r="F831" s="44">
        <f t="shared" ca="1" si="3"/>
        <v>4000</v>
      </c>
    </row>
    <row r="832" spans="1:6" x14ac:dyDescent="0.25">
      <c r="A832" s="40" t="s">
        <v>173</v>
      </c>
      <c r="B832" s="41" t="str">
        <f ca="1">IFERROR(INDEX(UNSPSCDes,MATCH(INDIRECT(ADDRESS(ROW(),COLUMN()-1,4)),UNSPSCCode,0)),IF(INDIRECT(ADDRESS(ROW(),COLUMN()-1,4))="51241208","Cremas o ungüentos hidrofilacios",""))</f>
        <v>Cremas o ungüentos hidrofilacios</v>
      </c>
      <c r="C832" s="42" t="str">
        <f>IFERROR(VLOOKUP("UD",'[1]Informacion '!P:Q,2,FALSE),"")</f>
        <v>Unidad</v>
      </c>
      <c r="D832" s="40">
        <v>5</v>
      </c>
      <c r="E832" s="43">
        <v>500</v>
      </c>
      <c r="F832" s="44">
        <f t="shared" ca="1" si="3"/>
        <v>2500</v>
      </c>
    </row>
    <row r="833" spans="1:6" x14ac:dyDescent="0.25">
      <c r="A833" s="40" t="s">
        <v>171</v>
      </c>
      <c r="B833" s="41" t="str">
        <f ca="1">IFERROR(INDEX(UNSPSCDes,MATCH(INDIRECT(ADDRESS(ROW(),COLUMN()-1,4)),UNSPSCCode,0)),IF(INDIRECT(ADDRESS(ROW(),COLUMN()-1,4))="51191905","Suplementos vitamínicos",""))</f>
        <v>Suplementos vitamínicos</v>
      </c>
      <c r="C833" s="42" t="str">
        <f>IFERROR(VLOOKUP("UD",'[1]Informacion '!P:Q,2,FALSE),"")</f>
        <v>Unidad</v>
      </c>
      <c r="D833" s="40">
        <v>5</v>
      </c>
      <c r="E833" s="43">
        <v>400</v>
      </c>
      <c r="F833" s="44">
        <f t="shared" ca="1" si="3"/>
        <v>2000</v>
      </c>
    </row>
    <row r="834" spans="1:6" x14ac:dyDescent="0.25">
      <c r="A834" s="40" t="s">
        <v>174</v>
      </c>
      <c r="B834" s="41" t="str">
        <f ca="1">IFERROR(INDEX(UNSPSCDes,MATCH(INDIRECT(ADDRESS(ROW(),COLUMN()-1,4)),UNSPSCCode,0)),IF(INDIRECT(ADDRESS(ROW(),COLUMN()-1,4))="51102722","Geles o soluciones tópicas de yodo",""))</f>
        <v>Geles o soluciones tópicas de yodo</v>
      </c>
      <c r="C834" s="42" t="str">
        <f>IFERROR(VLOOKUP("UD",'[1]Informacion '!P:Q,2,FALSE),"")</f>
        <v>Unidad</v>
      </c>
      <c r="D834" s="40">
        <v>5</v>
      </c>
      <c r="E834" s="43">
        <v>500</v>
      </c>
      <c r="F834" s="44">
        <f t="shared" ca="1" si="3"/>
        <v>2500</v>
      </c>
    </row>
    <row r="835" spans="1:6" x14ac:dyDescent="0.25">
      <c r="A835" s="40" t="s">
        <v>175</v>
      </c>
      <c r="B835" s="41" t="str">
        <f ca="1">IFERROR(INDEX(UNSPSCDes,MATCH(INDIRECT(ADDRESS(ROW(),COLUMN()-1,4)),UNSPSCCode,0)),IF(INDIRECT(ADDRESS(ROW(),COLUMN()-1,4))="51102710","Antisépticos basados en alcohol o acetona",""))</f>
        <v>Antisépticos basados en alcohol o acetona</v>
      </c>
      <c r="C835" s="42" t="str">
        <f>IFERROR(VLOOKUP("UD",'[1]Informacion '!P:Q,2,FALSE),"")</f>
        <v>Unidad</v>
      </c>
      <c r="D835" s="40">
        <v>5</v>
      </c>
      <c r="E835" s="43">
        <v>800</v>
      </c>
      <c r="F835" s="44">
        <f t="shared" ca="1" si="3"/>
        <v>4000</v>
      </c>
    </row>
    <row r="836" spans="1:6" x14ac:dyDescent="0.25">
      <c r="A836" s="40" t="s">
        <v>164</v>
      </c>
      <c r="B836" s="41" t="str">
        <f ca="1">IFERROR(INDEX(UNSPSCDes,MATCH(INDIRECT(ADDRESS(ROW(),COLUMN()-1,4)),UNSPSCCode,0)),IF(INDIRECT(ADDRESS(ROW(),COLUMN()-1,4))="51142001","Acetaminofén",""))</f>
        <v>Acetaminofén</v>
      </c>
      <c r="C836" s="42" t="str">
        <f>IFERROR(VLOOKUP("UD",'[1]Informacion '!P:Q,2,FALSE),"")</f>
        <v>Unidad</v>
      </c>
      <c r="D836" s="40">
        <v>5</v>
      </c>
      <c r="E836" s="43">
        <v>700</v>
      </c>
      <c r="F836" s="44">
        <f t="shared" ca="1" si="3"/>
        <v>3500</v>
      </c>
    </row>
    <row r="837" spans="1:6" x14ac:dyDescent="0.25">
      <c r="A837" s="40" t="s">
        <v>176</v>
      </c>
      <c r="B837" s="41" t="str">
        <f ca="1">IFERROR(INDEX(UNSPSCDes,MATCH(INDIRECT(ADDRESS(ROW(),COLUMN()-1,4)),UNSPSCCode,0)),IF(INDIRECT(ADDRESS(ROW(),COLUMN()-1,4))="51171904","Clorhidrato de ranitidina",""))</f>
        <v>Clorhidrato de ranitidina</v>
      </c>
      <c r="C837" s="42" t="str">
        <f>IFERROR(VLOOKUP("UD",'[1]Informacion '!P:Q,2,FALSE),"")</f>
        <v>Unidad</v>
      </c>
      <c r="D837" s="40">
        <v>5</v>
      </c>
      <c r="E837" s="43">
        <v>1000</v>
      </c>
      <c r="F837" s="44">
        <f t="shared" ca="1" si="3"/>
        <v>5000</v>
      </c>
    </row>
    <row r="838" spans="1:6" x14ac:dyDescent="0.25">
      <c r="A838" s="40" t="s">
        <v>177</v>
      </c>
      <c r="B838" s="41" t="str">
        <f ca="1">IFERROR(INDEX(UNSPSCDes,MATCH(INDIRECT(ADDRESS(ROW(),COLUMN()-1,4)),UNSPSCCode,0)),IF(INDIRECT(ADDRESS(ROW(),COLUMN()-1,4))="51101572","Azitromicina",""))</f>
        <v>Azitromicina</v>
      </c>
      <c r="C838" s="42" t="str">
        <f>IFERROR(VLOOKUP("UD",'[1]Informacion '!P:Q,2,FALSE),"")</f>
        <v>Unidad</v>
      </c>
      <c r="D838" s="40">
        <v>5</v>
      </c>
      <c r="E838" s="43">
        <v>900</v>
      </c>
      <c r="F838" s="44">
        <f t="shared" ca="1" si="3"/>
        <v>4500</v>
      </c>
    </row>
    <row r="839" spans="1:6" x14ac:dyDescent="0.25">
      <c r="A839" s="40" t="s">
        <v>178</v>
      </c>
      <c r="B839" s="41" t="str">
        <f ca="1">IFERROR(INDEX(UNSPSCDes,MATCH(INDIRECT(ADDRESS(ROW(),COLUMN()-1,4)),UNSPSCCode,0)),IF(INDIRECT(ADDRESS(ROW(),COLUMN()-1,4))="51101511","Amoxicilina",""))</f>
        <v>Amoxicilina</v>
      </c>
      <c r="C839" s="42" t="str">
        <f>IFERROR(VLOOKUP("UD",'[1]Informacion '!P:Q,2,FALSE),"")</f>
        <v>Unidad</v>
      </c>
      <c r="D839" s="40">
        <v>5</v>
      </c>
      <c r="E839" s="43">
        <v>1000</v>
      </c>
      <c r="F839" s="44">
        <f t="shared" ca="1" si="3"/>
        <v>5000</v>
      </c>
    </row>
    <row r="840" spans="1:6" x14ac:dyDescent="0.25">
      <c r="A840" s="40" t="s">
        <v>179</v>
      </c>
      <c r="B840" s="41" t="str">
        <f ca="1">IFERROR(INDEX(UNSPSCDes,MATCH(INDIRECT(ADDRESS(ROW(),COLUMN()-1,4)),UNSPSCCode,0)),IF(INDIRECT(ADDRESS(ROW(),COLUMN()-1,4))="51101805","Clotrimazol",""))</f>
        <v>Clotrimazol</v>
      </c>
      <c r="C840" s="42" t="str">
        <f>IFERROR(VLOOKUP("UD",'[1]Informacion '!P:Q,2,FALSE),"")</f>
        <v>Unidad</v>
      </c>
      <c r="D840" s="40">
        <v>5</v>
      </c>
      <c r="E840" s="43">
        <v>900</v>
      </c>
      <c r="F840" s="44">
        <f t="shared" ca="1" si="3"/>
        <v>4500</v>
      </c>
    </row>
    <row r="841" spans="1:6" x14ac:dyDescent="0.25">
      <c r="A841" s="40" t="s">
        <v>180</v>
      </c>
      <c r="B841" s="41" t="str">
        <f ca="1">IFERROR(INDEX(UNSPSCDes,MATCH(INDIRECT(ADDRESS(ROW(),COLUMN()-1,4)),UNSPSCCode,0)),IF(INDIRECT(ADDRESS(ROW(),COLUMN()-1,4))="51161620","Difenhidramina",""))</f>
        <v>Difenhidramina</v>
      </c>
      <c r="C841" s="42" t="str">
        <f>IFERROR(VLOOKUP("UD",'[1]Informacion '!P:Q,2,FALSE),"")</f>
        <v>Unidad</v>
      </c>
      <c r="D841" s="40">
        <v>5</v>
      </c>
      <c r="E841" s="43">
        <v>800</v>
      </c>
      <c r="F841" s="44">
        <f t="shared" ca="1" si="3"/>
        <v>4000</v>
      </c>
    </row>
    <row r="842" spans="1:6" x14ac:dyDescent="0.25">
      <c r="A842" s="40" t="s">
        <v>181</v>
      </c>
      <c r="B842" s="41" t="str">
        <f ca="1">IFERROR(INDEX(UNSPSCDes,MATCH(INDIRECT(ADDRESS(ROW(),COLUMN()-1,4)),UNSPSCCode,0)),IF(INDIRECT(ADDRESS(ROW(),COLUMN()-1,4))="51191906","Solución de rehidratación oral",""))</f>
        <v>Solución de rehidratación oral</v>
      </c>
      <c r="C842" s="42" t="str">
        <f>IFERROR(VLOOKUP("UD",'[1]Informacion '!P:Q,2,FALSE),"")</f>
        <v>Unidad</v>
      </c>
      <c r="D842" s="40">
        <v>5</v>
      </c>
      <c r="E842" s="43">
        <v>1000</v>
      </c>
      <c r="F842" s="44">
        <f t="shared" ca="1" si="3"/>
        <v>5000</v>
      </c>
    </row>
    <row r="843" spans="1:6" x14ac:dyDescent="0.25">
      <c r="A843" s="40" t="s">
        <v>182</v>
      </c>
      <c r="B843" s="41" t="str">
        <f ca="1">IFERROR(INDEX(UNSPSCDes,MATCH(INDIRECT(ADDRESS(ROW(),COLUMN()-1,4)),UNSPSCCode,0)),IF(INDIRECT(ADDRESS(ROW(),COLUMN()-1,4))="51101811","Ketoconazol",""))</f>
        <v>Ketoconazol</v>
      </c>
      <c r="C843" s="42" t="str">
        <f>IFERROR(VLOOKUP("UD",'[1]Informacion '!P:Q,2,FALSE),"")</f>
        <v>Unidad</v>
      </c>
      <c r="D843" s="40">
        <v>5</v>
      </c>
      <c r="E843" s="43">
        <v>700</v>
      </c>
      <c r="F843" s="44">
        <f t="shared" ca="1" si="3"/>
        <v>3500</v>
      </c>
    </row>
    <row r="844" spans="1:6" x14ac:dyDescent="0.25">
      <c r="A844" s="40" t="s">
        <v>179</v>
      </c>
      <c r="B844" s="41" t="str">
        <f ca="1">IFERROR(INDEX(UNSPSCDes,MATCH(INDIRECT(ADDRESS(ROW(),COLUMN()-1,4)),UNSPSCCode,0)),IF(INDIRECT(ADDRESS(ROW(),COLUMN()-1,4))="51101805","Clotrimazol",""))</f>
        <v>Clotrimazol</v>
      </c>
      <c r="C844" s="42" t="str">
        <f>IFERROR(VLOOKUP("UD",'[1]Informacion '!P:Q,2,FALSE),"")</f>
        <v>Unidad</v>
      </c>
      <c r="D844" s="40">
        <v>5</v>
      </c>
      <c r="E844" s="43">
        <v>800</v>
      </c>
      <c r="F844" s="44">
        <f t="shared" ca="1" si="3"/>
        <v>4000</v>
      </c>
    </row>
    <row r="845" spans="1:6" x14ac:dyDescent="0.25">
      <c r="A845" s="40" t="s">
        <v>183</v>
      </c>
      <c r="B845" s="41" t="str">
        <f ca="1">IFERROR(INDEX(UNSPSCDes,MATCH(INDIRECT(ADDRESS(ROW(),COLUMN()-1,4)),UNSPSCCode,0)),IF(INDIRECT(ADDRESS(ROW(),COLUMN()-1,4))="42312403","Tiras de relleno para cuidado de heridas",""))</f>
        <v>Tiras de relleno para cuidado de heridas</v>
      </c>
      <c r="C845" s="42" t="str">
        <f>IFERROR(VLOOKUP("UD",'[1]Informacion '!P:Q,2,FALSE),"")</f>
        <v>Unidad</v>
      </c>
      <c r="D845" s="40">
        <v>5</v>
      </c>
      <c r="E845" s="43">
        <v>1000</v>
      </c>
      <c r="F845" s="44">
        <f t="shared" ca="1" si="3"/>
        <v>5000</v>
      </c>
    </row>
    <row r="846" spans="1:6" x14ac:dyDescent="0.25">
      <c r="A846" s="40" t="s">
        <v>184</v>
      </c>
      <c r="B846" s="41" t="str">
        <f ca="1">IFERROR(INDEX(UNSPSCDes,MATCH(INDIRECT(ADDRESS(ROW(),COLUMN()-1,4)),UNSPSCCode,0)),IF(INDIRECT(ADDRESS(ROW(),COLUMN()-1,4))="51181706","Hidrocortisona",""))</f>
        <v>Hidrocortisona</v>
      </c>
      <c r="C846" s="42" t="str">
        <f>IFERROR(VLOOKUP("UD",'[1]Informacion '!P:Q,2,FALSE),"")</f>
        <v>Unidad</v>
      </c>
      <c r="D846" s="40">
        <v>5</v>
      </c>
      <c r="E846" s="43">
        <v>800</v>
      </c>
      <c r="F846" s="44">
        <f t="shared" ca="1" si="3"/>
        <v>4000</v>
      </c>
    </row>
    <row r="847" spans="1:6" x14ac:dyDescent="0.25">
      <c r="A847" s="40" t="s">
        <v>185</v>
      </c>
      <c r="B847" s="41" t="str">
        <f ca="1">IFERROR(INDEX(UNSPSCDes,MATCH(INDIRECT(ADDRESS(ROW(),COLUMN()-1,4)),UNSPSCCode,0)),IF(INDIRECT(ADDRESS(ROW(),COLUMN()-1,4))="51181517","Hidrocloruro de metformina",""))</f>
        <v>Hidrocloruro de metformina</v>
      </c>
      <c r="C847" s="42" t="str">
        <f>IFERROR(VLOOKUP("UD",'[1]Informacion '!P:Q,2,FALSE),"")</f>
        <v>Unidad</v>
      </c>
      <c r="D847" s="40">
        <v>5</v>
      </c>
      <c r="E847" s="43">
        <v>1900</v>
      </c>
      <c r="F847" s="44">
        <f t="shared" ca="1" si="3"/>
        <v>9500</v>
      </c>
    </row>
    <row r="848" spans="1:6" x14ac:dyDescent="0.25">
      <c r="A848" s="40" t="s">
        <v>171</v>
      </c>
      <c r="B848" s="41" t="str">
        <f ca="1">IFERROR(INDEX(UNSPSCDes,MATCH(INDIRECT(ADDRESS(ROW(),COLUMN()-1,4)),UNSPSCCode,0)),IF(INDIRECT(ADDRESS(ROW(),COLUMN()-1,4))="51191905","Suplementos vitamínicos",""))</f>
        <v>Suplementos vitamínicos</v>
      </c>
      <c r="C848" s="42" t="str">
        <f>IFERROR(VLOOKUP("UD",'[1]Informacion '!P:Q,2,FALSE),"")</f>
        <v>Unidad</v>
      </c>
      <c r="D848" s="40">
        <v>5</v>
      </c>
      <c r="E848" s="43">
        <v>1000</v>
      </c>
      <c r="F848" s="44">
        <f t="shared" ca="1" si="3"/>
        <v>5000</v>
      </c>
    </row>
    <row r="849" spans="1:6" x14ac:dyDescent="0.25">
      <c r="A849" s="40" t="s">
        <v>186</v>
      </c>
      <c r="B849" s="41" t="str">
        <f ca="1">IFERROR(INDEX(UNSPSCDes,MATCH(INDIRECT(ADDRESS(ROW(),COLUMN()-1,4)),UNSPSCCode,0)),IF(INDIRECT(ADDRESS(ROW(),COLUMN()-1,4))="51161501","Mesilato de bitolterol",""))</f>
        <v>Mesilato de bitolterol</v>
      </c>
      <c r="C849" s="42" t="str">
        <f>IFERROR(VLOOKUP("UD",'[1]Informacion '!P:Q,2,FALSE),"")</f>
        <v>Unidad</v>
      </c>
      <c r="D849" s="40">
        <v>5</v>
      </c>
      <c r="E849" s="43">
        <v>1000</v>
      </c>
      <c r="F849" s="44">
        <f t="shared" ca="1" si="3"/>
        <v>5000</v>
      </c>
    </row>
    <row r="850" spans="1:6" x14ac:dyDescent="0.25">
      <c r="A850" s="40" t="s">
        <v>187</v>
      </c>
      <c r="B850" s="41" t="str">
        <f ca="1">IFERROR(INDEX(UNSPSCDes,MATCH(INDIRECT(ADDRESS(ROW(),COLUMN()-1,4)),UNSPSCCode,0)),IF(INDIRECT(ADDRESS(ROW(),COLUMN()-1,4))="51161705","Bromuro de ipratropio",""))</f>
        <v>Bromuro de ipratropio</v>
      </c>
      <c r="C850" s="42" t="str">
        <f>IFERROR(VLOOKUP("UD",'[1]Informacion '!P:Q,2,FALSE),"")</f>
        <v>Unidad</v>
      </c>
      <c r="D850" s="40">
        <v>5</v>
      </c>
      <c r="E850" s="43">
        <v>800</v>
      </c>
      <c r="F850" s="44">
        <f t="shared" ca="1" si="3"/>
        <v>4000</v>
      </c>
    </row>
    <row r="851" spans="1:6" x14ac:dyDescent="0.25">
      <c r="A851" s="40" t="s">
        <v>188</v>
      </c>
      <c r="B851" s="41" t="str">
        <f ca="1">IFERROR(INDEX(UNSPSCDes,MATCH(INDIRECT(ADDRESS(ROW(),COLUMN()-1,4)),UNSPSCCode,0)),IF(INDIRECT(ADDRESS(ROW(),COLUMN()-1,4))="51181743","Pivalato de clocortolona",""))</f>
        <v>Pivalato de clocortolona</v>
      </c>
      <c r="C851" s="42" t="str">
        <f>IFERROR(VLOOKUP("UD",'[1]Informacion '!P:Q,2,FALSE),"")</f>
        <v>Unidad</v>
      </c>
      <c r="D851" s="40">
        <v>5</v>
      </c>
      <c r="E851" s="43">
        <v>800</v>
      </c>
      <c r="F851" s="44">
        <f t="shared" ca="1" si="3"/>
        <v>4000</v>
      </c>
    </row>
    <row r="852" spans="1:6" x14ac:dyDescent="0.25">
      <c r="A852" s="40" t="s">
        <v>189</v>
      </c>
      <c r="B852" s="41" t="str">
        <f ca="1">IFERROR(INDEX(UNSPSCDes,MATCH(INDIRECT(ADDRESS(ROW(),COLUMN()-1,4)),UNSPSCCode,0)),IF(INDIRECT(ADDRESS(ROW(),COLUMN()-1,4))="51151724","Clorhidrato de nafazolina",""))</f>
        <v>Clorhidrato de nafazolina</v>
      </c>
      <c r="C852" s="42" t="str">
        <f>IFERROR(VLOOKUP("UD",'[1]Informacion '!P:Q,2,FALSE),"")</f>
        <v>Unidad</v>
      </c>
      <c r="D852" s="40">
        <v>5</v>
      </c>
      <c r="E852" s="43">
        <v>1020</v>
      </c>
      <c r="F852" s="44">
        <f t="shared" ca="1" si="3"/>
        <v>5100</v>
      </c>
    </row>
    <row r="853" spans="1:6" x14ac:dyDescent="0.25">
      <c r="A853" s="40" t="s">
        <v>190</v>
      </c>
      <c r="B853" s="41" t="str">
        <f ca="1">IFERROR(INDEX(UNSPSCDes,MATCH(INDIRECT(ADDRESS(ROW(),COLUMN()-1,4)),UNSPSCCode,0)),IF(INDIRECT(ADDRESS(ROW(),COLUMN()-1,4))="51142016","Solución de antipirina y benzocaína",""))</f>
        <v>Solución de antipirina y benzocaína</v>
      </c>
      <c r="C853" s="42" t="str">
        <f>IFERROR(VLOOKUP("UD",'[1]Informacion '!P:Q,2,FALSE),"")</f>
        <v>Unidad</v>
      </c>
      <c r="D853" s="40">
        <v>5</v>
      </c>
      <c r="E853" s="43">
        <v>1000</v>
      </c>
      <c r="F853" s="44">
        <f t="shared" ca="1" si="3"/>
        <v>5000</v>
      </c>
    </row>
    <row r="854" spans="1:6" x14ac:dyDescent="0.25">
      <c r="A854" s="40" t="s">
        <v>173</v>
      </c>
      <c r="B854" s="41" t="str">
        <f ca="1">IFERROR(INDEX(UNSPSCDes,MATCH(INDIRECT(ADDRESS(ROW(),COLUMN()-1,4)),UNSPSCCode,0)),IF(INDIRECT(ADDRESS(ROW(),COLUMN()-1,4))="51241208","Cremas o ungüentos hidrofilacios",""))</f>
        <v>Cremas o ungüentos hidrofilacios</v>
      </c>
      <c r="C854" s="42" t="str">
        <f>IFERROR(VLOOKUP("UD",'[1]Informacion '!P:Q,2,FALSE),"")</f>
        <v>Unidad</v>
      </c>
      <c r="D854" s="40">
        <v>5</v>
      </c>
      <c r="E854" s="43">
        <v>2000</v>
      </c>
      <c r="F854" s="44">
        <f t="shared" ca="1" si="3"/>
        <v>10000</v>
      </c>
    </row>
    <row r="855" spans="1:6" x14ac:dyDescent="0.25">
      <c r="A855" s="40" t="s">
        <v>191</v>
      </c>
      <c r="B855" s="41" t="str">
        <f ca="1">IFERROR(INDEX(UNSPSCDes,MATCH(INDIRECT(ADDRESS(ROW(),COLUMN()-1,4)),UNSPSCCode,0)),IF(INDIRECT(ADDRESS(ROW(),COLUMN()-1,4))="51101603","Metronidazol",""))</f>
        <v>Metronidazol</v>
      </c>
      <c r="C855" s="42" t="str">
        <f>IFERROR(VLOOKUP("UD",'[1]Informacion '!P:Q,2,FALSE),"")</f>
        <v>Unidad</v>
      </c>
      <c r="D855" s="40">
        <v>5</v>
      </c>
      <c r="E855" s="43">
        <v>10000</v>
      </c>
      <c r="F855" s="44">
        <f t="shared" ca="1" si="3"/>
        <v>50000</v>
      </c>
    </row>
    <row r="856" spans="1:6" x14ac:dyDescent="0.25">
      <c r="A856" s="40" t="s">
        <v>192</v>
      </c>
      <c r="B856" s="41" t="str">
        <f ca="1">IFERROR(INDEX(UNSPSCDes,MATCH(INDIRECT(ADDRESS(ROW(),COLUMN()-1,4)),UNSPSCCode,0)),IF(INDIRECT(ADDRESS(ROW(),COLUMN()-1,4))="51142002","Ácido acetilsalicílico",""))</f>
        <v>Ácido acetilsalicílico</v>
      </c>
      <c r="C856" s="42" t="str">
        <f>IFERROR(VLOOKUP("UD",'[1]Informacion '!P:Q,2,FALSE),"")</f>
        <v>Unidad</v>
      </c>
      <c r="D856" s="40">
        <v>5</v>
      </c>
      <c r="E856" s="43">
        <v>100</v>
      </c>
      <c r="F856" s="44">
        <f t="shared" ca="1" si="3"/>
        <v>500</v>
      </c>
    </row>
    <row r="857" spans="1:6" x14ac:dyDescent="0.25">
      <c r="A857" s="40" t="s">
        <v>181</v>
      </c>
      <c r="B857" s="41" t="str">
        <f ca="1">IFERROR(INDEX(UNSPSCDes,MATCH(INDIRECT(ADDRESS(ROW(),COLUMN()-1,4)),UNSPSCCode,0)),IF(INDIRECT(ADDRESS(ROW(),COLUMN()-1,4))="51191906","Solución de rehidratación oral",""))</f>
        <v>Solución de rehidratación oral</v>
      </c>
      <c r="C857" s="42" t="str">
        <f>IFERROR(VLOOKUP("UD",'[1]Informacion '!P:Q,2,FALSE),"")</f>
        <v>Unidad</v>
      </c>
      <c r="D857" s="40">
        <v>5</v>
      </c>
      <c r="E857" s="43">
        <v>100</v>
      </c>
      <c r="F857" s="44">
        <f t="shared" ca="1" si="3"/>
        <v>500</v>
      </c>
    </row>
    <row r="858" spans="1:6" x14ac:dyDescent="0.25">
      <c r="A858" s="40" t="s">
        <v>193</v>
      </c>
      <c r="B858" s="41" t="str">
        <f ca="1">IFERROR(INDEX(UNSPSCDes,MATCH(INDIRECT(ADDRESS(ROW(),COLUMN()-1,4)),UNSPSCCode,0)),IF(INDIRECT(ADDRESS(ROW(),COLUMN()-1,4))="51151701","Albuterol",""))</f>
        <v>Albuterol</v>
      </c>
      <c r="C858" s="42" t="str">
        <f>IFERROR(VLOOKUP("UD",'[1]Informacion '!P:Q,2,FALSE),"")</f>
        <v>Unidad</v>
      </c>
      <c r="D858" s="40">
        <v>5</v>
      </c>
      <c r="E858" s="43">
        <v>100</v>
      </c>
      <c r="F858" s="44">
        <f t="shared" ca="1" si="3"/>
        <v>500</v>
      </c>
    </row>
    <row r="859" spans="1:6" x14ac:dyDescent="0.25">
      <c r="A859" s="40" t="s">
        <v>173</v>
      </c>
      <c r="B859" s="41" t="str">
        <f ca="1">IFERROR(INDEX(UNSPSCDes,MATCH(INDIRECT(ADDRESS(ROW(),COLUMN()-1,4)),UNSPSCCode,0)),IF(INDIRECT(ADDRESS(ROW(),COLUMN()-1,4))="51241208","Cremas o ungüentos hidrofilacios",""))</f>
        <v>Cremas o ungüentos hidrofilacios</v>
      </c>
      <c r="C859" s="42" t="str">
        <f>IFERROR(VLOOKUP("UD",'[1]Informacion '!P:Q,2,FALSE),"")</f>
        <v>Unidad</v>
      </c>
      <c r="D859" s="40">
        <v>5</v>
      </c>
      <c r="E859" s="43">
        <v>100</v>
      </c>
      <c r="F859" s="44">
        <f t="shared" ca="1" si="3"/>
        <v>500</v>
      </c>
    </row>
    <row r="860" spans="1:6" x14ac:dyDescent="0.25">
      <c r="A860" s="40" t="s">
        <v>194</v>
      </c>
      <c r="B860" s="41" t="str">
        <f ca="1">IFERROR(INDEX(UNSPSCDes,MATCH(INDIRECT(ADDRESS(ROW(),COLUMN()-1,4)),UNSPSCCode,0)),IF(INDIRECT(ADDRESS(ROW(),COLUMN()-1,4))="51131910","Polividona o povidona",""))</f>
        <v>Polividona o povidona</v>
      </c>
      <c r="C860" s="42" t="str">
        <f>IFERROR(VLOOKUP("UD",'[1]Informacion '!P:Q,2,FALSE),"")</f>
        <v>Unidad</v>
      </c>
      <c r="D860" s="40">
        <v>5</v>
      </c>
      <c r="E860" s="43">
        <v>300</v>
      </c>
      <c r="F860" s="44">
        <f t="shared" ca="1" si="3"/>
        <v>1500</v>
      </c>
    </row>
    <row r="861" spans="1:6" x14ac:dyDescent="0.25">
      <c r="A861" s="40" t="s">
        <v>195</v>
      </c>
      <c r="B861" s="41" t="str">
        <f ca="1">IFERROR(INDEX(UNSPSCDes,MATCH(INDIRECT(ADDRESS(ROW(),COLUMN()-1,4)),UNSPSCCode,0)),IF(INDIRECT(ADDRESS(ROW(),COLUMN()-1,4))="51172107","Butilbromuro de hioscina",""))</f>
        <v>Butilbromuro de hioscina</v>
      </c>
      <c r="C861" s="42" t="str">
        <f>IFERROR(VLOOKUP("UD",'[1]Informacion '!P:Q,2,FALSE),"")</f>
        <v>Unidad</v>
      </c>
      <c r="D861" s="40">
        <v>5</v>
      </c>
      <c r="E861" s="43">
        <v>100</v>
      </c>
      <c r="F861" s="44">
        <f t="shared" ca="1" si="3"/>
        <v>500</v>
      </c>
    </row>
    <row r="862" spans="1:6" x14ac:dyDescent="0.25">
      <c r="A862" s="40" t="s">
        <v>196</v>
      </c>
      <c r="B862" s="41" t="str">
        <f ca="1">IFERROR(INDEX(UNSPSCDes,MATCH(INDIRECT(ADDRESS(ROW(),COLUMN()-1,4)),UNSPSCCode,0)),IF(INDIRECT(ADDRESS(ROW(),COLUMN()-1,4))="51102714","Solución de cloruro sódico para irrigación",""))</f>
        <v>Solución de cloruro sódico para irrigación</v>
      </c>
      <c r="C862" s="42" t="str">
        <f>IFERROR(VLOOKUP("UD",'[1]Informacion '!P:Q,2,FALSE),"")</f>
        <v>Unidad</v>
      </c>
      <c r="D862" s="40">
        <v>5</v>
      </c>
      <c r="E862" s="43">
        <v>100</v>
      </c>
      <c r="F862" s="44">
        <f t="shared" ca="1" si="3"/>
        <v>500</v>
      </c>
    </row>
    <row r="863" spans="1:6" x14ac:dyDescent="0.25">
      <c r="A863" s="40" t="s">
        <v>197</v>
      </c>
      <c r="B863" s="41" t="str">
        <f ca="1">IFERROR(INDEX(UNSPSCDes,MATCH(INDIRECT(ADDRESS(ROW(),COLUMN()-1,4)),UNSPSCCode,0)),IF(INDIRECT(ADDRESS(ROW(),COLUMN()-1,4))="51142108","Ketoprofeno",""))</f>
        <v>Ketoprofeno</v>
      </c>
      <c r="C863" s="42" t="str">
        <f>IFERROR(VLOOKUP("UD",'[1]Informacion '!P:Q,2,FALSE),"")</f>
        <v>Unidad</v>
      </c>
      <c r="D863" s="40">
        <v>5</v>
      </c>
      <c r="E863" s="43">
        <v>200</v>
      </c>
      <c r="F863" s="44">
        <f t="shared" ca="1" si="3"/>
        <v>1000</v>
      </c>
    </row>
    <row r="864" spans="1:6" x14ac:dyDescent="0.25">
      <c r="A864" s="40" t="s">
        <v>198</v>
      </c>
      <c r="B864" s="41" t="str">
        <f ca="1">IFERROR(INDEX(UNSPSCDes,MATCH(INDIRECT(ADDRESS(ROW(),COLUMN()-1,4)),UNSPSCCode,0)),IF(INDIRECT(ADDRESS(ROW(),COLUMN()-1,4))="51142102","Carpofen",""))</f>
        <v>Carpofen</v>
      </c>
      <c r="C864" s="42" t="str">
        <f>IFERROR(VLOOKUP("UD",'[1]Informacion '!P:Q,2,FALSE),"")</f>
        <v>Unidad</v>
      </c>
      <c r="D864" s="40">
        <v>5</v>
      </c>
      <c r="E864" s="43">
        <v>2000</v>
      </c>
      <c r="F864" s="44">
        <f t="shared" ca="1" si="3"/>
        <v>10000</v>
      </c>
    </row>
    <row r="865" spans="1:6" x14ac:dyDescent="0.25">
      <c r="A865" s="40" t="s">
        <v>199</v>
      </c>
      <c r="B865" s="41" t="str">
        <f ca="1">IFERROR(INDEX(UNSPSCDes,MATCH(INDIRECT(ADDRESS(ROW(),COLUMN()-1,4)),UNSPSCCode,0)),IF(INDIRECT(ADDRESS(ROW(),COLUMN()-1,4))="51102402","Hipromelosa",""))</f>
        <v>Hipromelosa</v>
      </c>
      <c r="C865" s="42" t="str">
        <f>IFERROR(VLOOKUP("UD",'[1]Informacion '!P:Q,2,FALSE),"")</f>
        <v>Unidad</v>
      </c>
      <c r="D865" s="40">
        <v>5</v>
      </c>
      <c r="E865" s="43">
        <v>2000</v>
      </c>
      <c r="F865" s="44">
        <f t="shared" ca="1" si="3"/>
        <v>10000</v>
      </c>
    </row>
    <row r="866" spans="1:6" x14ac:dyDescent="0.25">
      <c r="A866" s="40" t="s">
        <v>190</v>
      </c>
      <c r="B866" s="41" t="str">
        <f ca="1">IFERROR(INDEX(UNSPSCDes,MATCH(INDIRECT(ADDRESS(ROW(),COLUMN()-1,4)),UNSPSCCode,0)),IF(INDIRECT(ADDRESS(ROW(),COLUMN()-1,4))="51142016","Solución de antipirina y benzocaína",""))</f>
        <v>Solución de antipirina y benzocaína</v>
      </c>
      <c r="C866" s="42" t="str">
        <f>IFERROR(VLOOKUP("UD",'[1]Informacion '!P:Q,2,FALSE),"")</f>
        <v>Unidad</v>
      </c>
      <c r="D866" s="40">
        <v>5</v>
      </c>
      <c r="E866" s="43">
        <v>2000</v>
      </c>
      <c r="F866" s="44">
        <f t="shared" ca="1" si="3"/>
        <v>10000</v>
      </c>
    </row>
    <row r="867" spans="1:6" x14ac:dyDescent="0.25">
      <c r="A867" s="40" t="s">
        <v>200</v>
      </c>
      <c r="B867" s="41" t="str">
        <f ca="1">IFERROR(INDEX(UNSPSCDes,MATCH(INDIRECT(ADDRESS(ROW(),COLUMN()-1,4)),UNSPSCCode,0)),IF(INDIRECT(ADDRESS(ROW(),COLUMN()-1,4))="51151723","Clorhidrato de tetrahidrozolina",""))</f>
        <v>Clorhidrato de tetrahidrozolina</v>
      </c>
      <c r="C867" s="42" t="str">
        <f>IFERROR(VLOOKUP("UD",'[1]Informacion '!P:Q,2,FALSE),"")</f>
        <v>Unidad</v>
      </c>
      <c r="D867" s="40">
        <v>5</v>
      </c>
      <c r="E867" s="43">
        <v>2000</v>
      </c>
      <c r="F867" s="44">
        <f t="shared" ca="1" si="3"/>
        <v>10000</v>
      </c>
    </row>
    <row r="868" spans="1:6" x14ac:dyDescent="0.25">
      <c r="A868" s="40" t="s">
        <v>201</v>
      </c>
      <c r="B868" s="41" t="str">
        <f ca="1">IFERROR(INDEX(UNSPSCDes,MATCH(INDIRECT(ADDRESS(ROW(),COLUMN()-1,4)),UNSPSCCode,0)),IF(INDIRECT(ADDRESS(ROW(),COLUMN()-1,4))="51101807","Fluconazol",""))</f>
        <v>Fluconazol</v>
      </c>
      <c r="C868" s="42" t="str">
        <f>IFERROR(VLOOKUP("UD",'[1]Informacion '!P:Q,2,FALSE),"")</f>
        <v>Unidad</v>
      </c>
      <c r="D868" s="40">
        <v>5</v>
      </c>
      <c r="E868" s="43">
        <v>2000</v>
      </c>
      <c r="F868" s="44">
        <f t="shared" ca="1" si="3"/>
        <v>10000</v>
      </c>
    </row>
    <row r="869" spans="1:6" x14ac:dyDescent="0.25">
      <c r="A869" s="40" t="s">
        <v>185</v>
      </c>
      <c r="B869" s="41" t="str">
        <f ca="1">IFERROR(INDEX(UNSPSCDes,MATCH(INDIRECT(ADDRESS(ROW(),COLUMN()-1,4)),UNSPSCCode,0)),IF(INDIRECT(ADDRESS(ROW(),COLUMN()-1,4))="51181517","Hidrocloruro de metformina",""))</f>
        <v>Hidrocloruro de metformina</v>
      </c>
      <c r="C869" s="42" t="str">
        <f>IFERROR(VLOOKUP("UD",'[1]Informacion '!P:Q,2,FALSE),"")</f>
        <v>Unidad</v>
      </c>
      <c r="D869" s="40">
        <v>5</v>
      </c>
      <c r="E869" s="43">
        <v>2000</v>
      </c>
      <c r="F869" s="44">
        <f t="shared" ca="1" si="3"/>
        <v>10000</v>
      </c>
    </row>
    <row r="870" spans="1:6" x14ac:dyDescent="0.25">
      <c r="A870" s="40" t="s">
        <v>202</v>
      </c>
      <c r="B870" s="41" t="str">
        <f ca="1">IFERROR(INDEX(UNSPSCDes,MATCH(INDIRECT(ADDRESS(ROW(),COLUMN()-1,4)),UNSPSCCode,0)),IF(INDIRECT(ADDRESS(ROW(),COLUMN()-1,4))="51142414","Sumatriptán",""))</f>
        <v>Sumatriptán</v>
      </c>
      <c r="C870" s="42" t="str">
        <f>IFERROR(VLOOKUP("UD",'[1]Informacion '!P:Q,2,FALSE),"")</f>
        <v>Unidad</v>
      </c>
      <c r="D870" s="40">
        <v>5</v>
      </c>
      <c r="E870" s="43">
        <v>10000</v>
      </c>
      <c r="F870" s="44">
        <f t="shared" ca="1" si="3"/>
        <v>50000</v>
      </c>
    </row>
    <row r="871" spans="1:6" x14ac:dyDescent="0.25">
      <c r="A871" s="40" t="s">
        <v>203</v>
      </c>
      <c r="B871" s="41" t="str">
        <f ca="1">IFERROR(INDEX(UNSPSCDes,MATCH(INDIRECT(ADDRESS(ROW(),COLUMN()-1,4)),UNSPSCCode,0)),IF(INDIRECT(ADDRESS(ROW(),COLUMN()-1,4))="51171820","Dimenhidrinato",""))</f>
        <v>Dimenhidrinato</v>
      </c>
      <c r="C871" s="42" t="str">
        <f>IFERROR(VLOOKUP("UD",'[1]Informacion '!P:Q,2,FALSE),"")</f>
        <v>Unidad</v>
      </c>
      <c r="D871" s="40">
        <v>5</v>
      </c>
      <c r="E871" s="43">
        <v>500</v>
      </c>
      <c r="F871" s="44">
        <f t="shared" ca="1" si="3"/>
        <v>2500</v>
      </c>
    </row>
    <row r="872" spans="1:6" x14ac:dyDescent="0.25">
      <c r="E872" s="45" t="s">
        <v>47</v>
      </c>
      <c r="F872" s="46">
        <f ca="1">SUM(Table78[MONTO TOTAL ESTIMADO])</f>
        <v>406600</v>
      </c>
    </row>
    <row r="873" spans="1:6" ht="17.25" thickBot="1" x14ac:dyDescent="0.3"/>
    <row r="874" spans="1:6" ht="23.25" thickBot="1" x14ac:dyDescent="0.3">
      <c r="A874" s="30" t="s">
        <v>18</v>
      </c>
      <c r="B874" s="30" t="s">
        <v>19</v>
      </c>
      <c r="C874" s="30" t="s">
        <v>20</v>
      </c>
      <c r="D874" s="30" t="s">
        <v>21</v>
      </c>
      <c r="E874" s="30" t="s">
        <v>22</v>
      </c>
      <c r="F874" s="30" t="s">
        <v>23</v>
      </c>
    </row>
    <row r="875" spans="1:6" ht="17.25" thickBot="1" x14ac:dyDescent="0.3">
      <c r="A875" s="31" t="s">
        <v>161</v>
      </c>
      <c r="B875" s="31" t="s">
        <v>162</v>
      </c>
      <c r="C875" s="31" t="s">
        <v>92</v>
      </c>
      <c r="D875" s="31" t="s">
        <v>27</v>
      </c>
      <c r="E875" s="31" t="s">
        <v>58</v>
      </c>
      <c r="F875" s="31"/>
    </row>
    <row r="876" spans="1:6" ht="17.25" thickBot="1" x14ac:dyDescent="0.3">
      <c r="A876" s="32" t="s">
        <v>29</v>
      </c>
      <c r="B876" s="33" t="s">
        <v>30</v>
      </c>
      <c r="C876" s="34">
        <v>44958</v>
      </c>
      <c r="D876" s="32" t="s">
        <v>31</v>
      </c>
      <c r="E876" s="35" t="s">
        <v>32</v>
      </c>
      <c r="F876" s="36" t="s">
        <v>33</v>
      </c>
    </row>
    <row r="877" spans="1:6" ht="17.25" thickBot="1" x14ac:dyDescent="0.3">
      <c r="A877" s="37"/>
      <c r="B877" s="33" t="s">
        <v>34</v>
      </c>
      <c r="C877" s="38">
        <f>IF(C876="","",IF(AND(MONTH(C876)&gt;=1,MONTH(C876)&lt;=3),1,IF(AND(MONTH(C876)&gt;=4,MONTH(C876)&lt;=6),2,IF(AND(MONTH(C876)&gt;=7,MONTH(C876)&lt;=9),3,4))))</f>
        <v>1</v>
      </c>
      <c r="D877" s="37"/>
      <c r="E877" s="35" t="s">
        <v>35</v>
      </c>
      <c r="F877" s="36" t="s">
        <v>36</v>
      </c>
    </row>
    <row r="878" spans="1:6" ht="17.25" thickBot="1" x14ac:dyDescent="0.3">
      <c r="A878" s="37"/>
      <c r="B878" s="33" t="s">
        <v>37</v>
      </c>
      <c r="C878" s="34">
        <v>45015</v>
      </c>
      <c r="D878" s="37"/>
      <c r="E878" s="35" t="s">
        <v>38</v>
      </c>
      <c r="F878" s="36" t="s">
        <v>36</v>
      </c>
    </row>
    <row r="879" spans="1:6" ht="17.25" thickBot="1" x14ac:dyDescent="0.3">
      <c r="A879" s="37"/>
      <c r="B879" s="33" t="s">
        <v>34</v>
      </c>
      <c r="C879" s="38">
        <f>IF(C878="","",IF(AND(MONTH(C878)&gt;=1,MONTH(C878)&lt;=3),1,IF(AND(MONTH(C878)&gt;=4,MONTH(C878)&lt;=6),2,IF(AND(MONTH(C878)&gt;=7,MONTH(C878)&lt;=9),3,4))))</f>
        <v>1</v>
      </c>
      <c r="D879" s="37"/>
      <c r="E879" s="35" t="s">
        <v>39</v>
      </c>
      <c r="F879" s="36" t="s">
        <v>36</v>
      </c>
    </row>
    <row r="880" spans="1:6" ht="17.25" thickBot="1" x14ac:dyDescent="0.3"/>
    <row r="881" spans="1:6" ht="17.25" thickBot="1" x14ac:dyDescent="0.3">
      <c r="A881" s="39" t="s">
        <v>40</v>
      </c>
      <c r="B881" s="39" t="s">
        <v>41</v>
      </c>
      <c r="C881" s="39" t="s">
        <v>42</v>
      </c>
      <c r="D881" s="39" t="s">
        <v>43</v>
      </c>
      <c r="E881" s="39" t="s">
        <v>44</v>
      </c>
      <c r="F881" s="39" t="s">
        <v>45</v>
      </c>
    </row>
    <row r="882" spans="1:6" x14ac:dyDescent="0.25">
      <c r="A882" s="40" t="s">
        <v>163</v>
      </c>
      <c r="B882" s="41" t="str">
        <f ca="1">IFERROR(INDEX(UNSPSCDes,MATCH(INDIRECT(ADDRESS(ROW(),COLUMN()-1,4)),UNSPSCCode,0)),IF(INDIRECT(ADDRESS(ROW(),COLUMN()-1,4))="85121902","Servicios farmacéuticos comerciales",""))</f>
        <v>Servicios farmacéuticos comerciales</v>
      </c>
      <c r="C882" s="42" t="str">
        <f>IFERROR(VLOOKUP("UD",'[1]Informacion '!P:Q,2,FALSE),"")</f>
        <v>Unidad</v>
      </c>
      <c r="D882" s="40">
        <v>1</v>
      </c>
      <c r="E882" s="43">
        <v>1</v>
      </c>
      <c r="F882" s="44">
        <f ca="1">INDIRECT(ADDRESS(ROW(),COLUMN()-2,4))*INDIRECT(ADDRESS(ROW(),COLUMN()-1,4))</f>
        <v>1</v>
      </c>
    </row>
    <row r="883" spans="1:6" x14ac:dyDescent="0.25">
      <c r="E883" s="45" t="s">
        <v>47</v>
      </c>
      <c r="F883" s="46">
        <f ca="1">SUM(Table79[MONTO TOTAL ESTIMADO])</f>
        <v>1</v>
      </c>
    </row>
    <row r="884" spans="1:6" ht="17.25" thickBot="1" x14ac:dyDescent="0.3"/>
    <row r="885" spans="1:6" ht="23.25" thickBot="1" x14ac:dyDescent="0.3">
      <c r="A885" s="30" t="s">
        <v>18</v>
      </c>
      <c r="B885" s="30" t="s">
        <v>19</v>
      </c>
      <c r="C885" s="30" t="s">
        <v>20</v>
      </c>
      <c r="D885" s="30" t="s">
        <v>21</v>
      </c>
      <c r="E885" s="30" t="s">
        <v>22</v>
      </c>
      <c r="F885" s="30" t="s">
        <v>23</v>
      </c>
    </row>
    <row r="886" spans="1:6" ht="17.25" thickBot="1" x14ac:dyDescent="0.3">
      <c r="A886" s="31" t="s">
        <v>161</v>
      </c>
      <c r="B886" s="31" t="s">
        <v>162</v>
      </c>
      <c r="C886" s="31" t="s">
        <v>92</v>
      </c>
      <c r="D886" s="31" t="s">
        <v>27</v>
      </c>
      <c r="E886" s="31" t="s">
        <v>58</v>
      </c>
      <c r="F886" s="31"/>
    </row>
    <row r="887" spans="1:6" ht="17.25" thickBot="1" x14ac:dyDescent="0.3">
      <c r="A887" s="32" t="s">
        <v>29</v>
      </c>
      <c r="B887" s="33" t="s">
        <v>30</v>
      </c>
      <c r="C887" s="34">
        <v>45108</v>
      </c>
      <c r="D887" s="32" t="s">
        <v>31</v>
      </c>
      <c r="E887" s="35" t="s">
        <v>32</v>
      </c>
      <c r="F887" s="36" t="s">
        <v>33</v>
      </c>
    </row>
    <row r="888" spans="1:6" ht="17.25" thickBot="1" x14ac:dyDescent="0.3">
      <c r="A888" s="37"/>
      <c r="B888" s="33" t="s">
        <v>34</v>
      </c>
      <c r="C888" s="38">
        <f>IF(C887="","",IF(AND(MONTH(C887)&gt;=1,MONTH(C887)&lt;=3),1,IF(AND(MONTH(C887)&gt;=4,MONTH(C887)&lt;=6),2,IF(AND(MONTH(C887)&gt;=7,MONTH(C887)&lt;=9),3,4))))</f>
        <v>3</v>
      </c>
      <c r="D888" s="37"/>
      <c r="E888" s="35" t="s">
        <v>35</v>
      </c>
      <c r="F888" s="36" t="s">
        <v>36</v>
      </c>
    </row>
    <row r="889" spans="1:6" ht="17.25" thickBot="1" x14ac:dyDescent="0.3">
      <c r="A889" s="37"/>
      <c r="B889" s="33" t="s">
        <v>37</v>
      </c>
      <c r="C889" s="34">
        <v>45198</v>
      </c>
      <c r="D889" s="37"/>
      <c r="E889" s="35" t="s">
        <v>38</v>
      </c>
      <c r="F889" s="36" t="s">
        <v>36</v>
      </c>
    </row>
    <row r="890" spans="1:6" ht="17.25" thickBot="1" x14ac:dyDescent="0.3">
      <c r="A890" s="37"/>
      <c r="B890" s="33" t="s">
        <v>34</v>
      </c>
      <c r="C890" s="38">
        <f>IF(C889="","",IF(AND(MONTH(C889)&gt;=1,MONTH(C889)&lt;=3),1,IF(AND(MONTH(C889)&gt;=4,MONTH(C889)&lt;=6),2,IF(AND(MONTH(C889)&gt;=7,MONTH(C889)&lt;=9),3,4))))</f>
        <v>3</v>
      </c>
      <c r="D890" s="37"/>
      <c r="E890" s="35" t="s">
        <v>39</v>
      </c>
      <c r="F890" s="36" t="s">
        <v>36</v>
      </c>
    </row>
    <row r="891" spans="1:6" ht="17.25" thickBot="1" x14ac:dyDescent="0.3"/>
    <row r="892" spans="1:6" ht="17.25" thickBot="1" x14ac:dyDescent="0.3">
      <c r="A892" s="39" t="s">
        <v>40</v>
      </c>
      <c r="B892" s="39" t="s">
        <v>41</v>
      </c>
      <c r="C892" s="39" t="s">
        <v>42</v>
      </c>
      <c r="D892" s="39" t="s">
        <v>43</v>
      </c>
      <c r="E892" s="39" t="s">
        <v>44</v>
      </c>
      <c r="F892" s="39" t="s">
        <v>45</v>
      </c>
    </row>
    <row r="893" spans="1:6" x14ac:dyDescent="0.25">
      <c r="A893" s="40" t="s">
        <v>163</v>
      </c>
      <c r="B893" s="41" t="str">
        <f ca="1">IFERROR(INDEX(UNSPSCDes,MATCH(INDIRECT(ADDRESS(ROW(),COLUMN()-1,4)),UNSPSCCode,0)),IF(INDIRECT(ADDRESS(ROW(),COLUMN()-1,4))="85121902","Servicios farmacéuticos comerciales",""))</f>
        <v>Servicios farmacéuticos comerciales</v>
      </c>
      <c r="C893" s="42" t="str">
        <f>IFERROR(VLOOKUP("UD",'[1]Informacion '!P:Q,2,FALSE),"")</f>
        <v>Unidad</v>
      </c>
      <c r="D893" s="40">
        <v>1</v>
      </c>
      <c r="E893" s="43">
        <v>1</v>
      </c>
      <c r="F893" s="44">
        <f ca="1">INDIRECT(ADDRESS(ROW(),COLUMN()-2,4))*INDIRECT(ADDRESS(ROW(),COLUMN()-1,4))</f>
        <v>1</v>
      </c>
    </row>
    <row r="894" spans="1:6" x14ac:dyDescent="0.25">
      <c r="E894" s="45" t="s">
        <v>47</v>
      </c>
      <c r="F894" s="46">
        <f ca="1">SUM(Table80[MONTO TOTAL ESTIMADO])</f>
        <v>1</v>
      </c>
    </row>
    <row r="895" spans="1:6" ht="17.25" thickBot="1" x14ac:dyDescent="0.3"/>
    <row r="896" spans="1:6" ht="23.25" thickBot="1" x14ac:dyDescent="0.3">
      <c r="A896" s="30" t="s">
        <v>18</v>
      </c>
      <c r="B896" s="30" t="s">
        <v>19</v>
      </c>
      <c r="C896" s="30" t="s">
        <v>20</v>
      </c>
      <c r="D896" s="30" t="s">
        <v>21</v>
      </c>
      <c r="E896" s="30" t="s">
        <v>22</v>
      </c>
      <c r="F896" s="30" t="s">
        <v>23</v>
      </c>
    </row>
    <row r="897" spans="1:6" ht="17.25" thickBot="1" x14ac:dyDescent="0.3">
      <c r="A897" s="31" t="s">
        <v>161</v>
      </c>
      <c r="B897" s="31" t="s">
        <v>162</v>
      </c>
      <c r="C897" s="31" t="s">
        <v>92</v>
      </c>
      <c r="D897" s="31" t="s">
        <v>27</v>
      </c>
      <c r="E897" s="31" t="s">
        <v>58</v>
      </c>
      <c r="F897" s="31"/>
    </row>
    <row r="898" spans="1:6" ht="17.25" thickBot="1" x14ac:dyDescent="0.3">
      <c r="A898" s="32" t="s">
        <v>29</v>
      </c>
      <c r="B898" s="33" t="s">
        <v>30</v>
      </c>
      <c r="C898" s="34">
        <v>45200</v>
      </c>
      <c r="D898" s="32" t="s">
        <v>31</v>
      </c>
      <c r="E898" s="35" t="s">
        <v>32</v>
      </c>
      <c r="F898" s="36" t="s">
        <v>33</v>
      </c>
    </row>
    <row r="899" spans="1:6" ht="17.25" thickBot="1" x14ac:dyDescent="0.3">
      <c r="A899" s="37"/>
      <c r="B899" s="33" t="s">
        <v>34</v>
      </c>
      <c r="C899" s="38">
        <f>IF(C898="","",IF(AND(MONTH(C898)&gt;=1,MONTH(C898)&lt;=3),1,IF(AND(MONTH(C898)&gt;=4,MONTH(C898)&lt;=6),2,IF(AND(MONTH(C898)&gt;=7,MONTH(C898)&lt;=9),3,4))))</f>
        <v>4</v>
      </c>
      <c r="D899" s="37"/>
      <c r="E899" s="35" t="s">
        <v>35</v>
      </c>
      <c r="F899" s="36" t="s">
        <v>36</v>
      </c>
    </row>
    <row r="900" spans="1:6" ht="17.25" thickBot="1" x14ac:dyDescent="0.3">
      <c r="A900" s="37"/>
      <c r="B900" s="33" t="s">
        <v>37</v>
      </c>
      <c r="C900" s="34">
        <v>45290</v>
      </c>
      <c r="D900" s="37"/>
      <c r="E900" s="35" t="s">
        <v>38</v>
      </c>
      <c r="F900" s="36" t="s">
        <v>36</v>
      </c>
    </row>
    <row r="901" spans="1:6" ht="17.25" thickBot="1" x14ac:dyDescent="0.3">
      <c r="A901" s="37"/>
      <c r="B901" s="33" t="s">
        <v>34</v>
      </c>
      <c r="C901" s="38">
        <f>IF(C900="","",IF(AND(MONTH(C900)&gt;=1,MONTH(C900)&lt;=3),1,IF(AND(MONTH(C900)&gt;=4,MONTH(C900)&lt;=6),2,IF(AND(MONTH(C900)&gt;=7,MONTH(C900)&lt;=9),3,4))))</f>
        <v>4</v>
      </c>
      <c r="D901" s="37"/>
      <c r="E901" s="35" t="s">
        <v>39</v>
      </c>
      <c r="F901" s="36" t="s">
        <v>36</v>
      </c>
    </row>
    <row r="902" spans="1:6" ht="17.25" thickBot="1" x14ac:dyDescent="0.3"/>
    <row r="903" spans="1:6" ht="17.25" thickBot="1" x14ac:dyDescent="0.3">
      <c r="A903" s="39" t="s">
        <v>40</v>
      </c>
      <c r="B903" s="39" t="s">
        <v>41</v>
      </c>
      <c r="C903" s="39" t="s">
        <v>42</v>
      </c>
      <c r="D903" s="39" t="s">
        <v>43</v>
      </c>
      <c r="E903" s="39" t="s">
        <v>44</v>
      </c>
      <c r="F903" s="39" t="s">
        <v>45</v>
      </c>
    </row>
    <row r="904" spans="1:6" x14ac:dyDescent="0.25">
      <c r="A904" s="40" t="s">
        <v>163</v>
      </c>
      <c r="B904" s="41" t="str">
        <f ca="1">IFERROR(INDEX(UNSPSCDes,MATCH(INDIRECT(ADDRESS(ROW(),COLUMN()-1,4)),UNSPSCCode,0)),IF(INDIRECT(ADDRESS(ROW(),COLUMN()-1,4))="85121902","Servicios farmacéuticos comerciales",""))</f>
        <v>Servicios farmacéuticos comerciales</v>
      </c>
      <c r="C904" s="42" t="str">
        <f>IFERROR(VLOOKUP("UD",'[1]Informacion '!P:Q,2,FALSE),"")</f>
        <v>Unidad</v>
      </c>
      <c r="D904" s="40">
        <v>1</v>
      </c>
      <c r="E904" s="43">
        <v>1</v>
      </c>
      <c r="F904" s="44">
        <f ca="1">INDIRECT(ADDRESS(ROW(),COLUMN()-2,4))*INDIRECT(ADDRESS(ROW(),COLUMN()-1,4))</f>
        <v>1</v>
      </c>
    </row>
    <row r="905" spans="1:6" x14ac:dyDescent="0.25">
      <c r="A905" s="40" t="s">
        <v>191</v>
      </c>
      <c r="B905" s="41" t="str">
        <f ca="1">IFERROR(INDEX(UNSPSCDes,MATCH(INDIRECT(ADDRESS(ROW(),COLUMN()-1,4)),UNSPSCCode,0)),IF(INDIRECT(ADDRESS(ROW(),COLUMN()-1,4))="51101603","Metronidazol",""))</f>
        <v>Metronidazol</v>
      </c>
      <c r="C905" s="42" t="str">
        <f>IFERROR(VLOOKUP("UD",'[1]Informacion '!P:Q,2,FALSE),"")</f>
        <v>Unidad</v>
      </c>
      <c r="D905" s="40">
        <v>1</v>
      </c>
      <c r="E905" s="43">
        <v>1</v>
      </c>
      <c r="F905" s="44">
        <f ca="1">INDIRECT(ADDRESS(ROW(),COLUMN()-2,4))*INDIRECT(ADDRESS(ROW(),COLUMN()-1,4))</f>
        <v>1</v>
      </c>
    </row>
    <row r="906" spans="1:6" x14ac:dyDescent="0.25">
      <c r="A906" s="40" t="s">
        <v>204</v>
      </c>
      <c r="B906" s="41" t="str">
        <f ca="1">IFERROR(INDEX(UNSPSCDes,MATCH(INDIRECT(ADDRESS(ROW(),COLUMN()-1,4)),UNSPSCCode,0)),IF(INDIRECT(ADDRESS(ROW(),COLUMN()-1,4))="51131503","Sulfato ferroso",""))</f>
        <v>Sulfato ferroso</v>
      </c>
      <c r="C906" s="42" t="str">
        <f>IFERROR(VLOOKUP("UD",'[1]Informacion '!P:Q,2,FALSE),"")</f>
        <v>Unidad</v>
      </c>
      <c r="D906" s="40">
        <v>1</v>
      </c>
      <c r="E906" s="43">
        <v>1</v>
      </c>
      <c r="F906" s="44">
        <f ca="1">INDIRECT(ADDRESS(ROW(),COLUMN()-2,4))*INDIRECT(ADDRESS(ROW(),COLUMN()-1,4))</f>
        <v>1</v>
      </c>
    </row>
    <row r="907" spans="1:6" x14ac:dyDescent="0.25">
      <c r="A907" s="40" t="s">
        <v>171</v>
      </c>
      <c r="B907" s="41" t="str">
        <f ca="1">IFERROR(INDEX(UNSPSCDes,MATCH(INDIRECT(ADDRESS(ROW(),COLUMN()-1,4)),UNSPSCCode,0)),IF(INDIRECT(ADDRESS(ROW(),COLUMN()-1,4))="51191905","Suplementos vitamínicos",""))</f>
        <v>Suplementos vitamínicos</v>
      </c>
      <c r="C907" s="42" t="str">
        <f>IFERROR(VLOOKUP("UD",'[1]Informacion '!P:Q,2,FALSE),"")</f>
        <v>Unidad</v>
      </c>
      <c r="D907" s="40">
        <v>1</v>
      </c>
      <c r="E907" s="43">
        <v>1</v>
      </c>
      <c r="F907" s="44">
        <f ca="1">INDIRECT(ADDRESS(ROW(),COLUMN()-2,4))*INDIRECT(ADDRESS(ROW(),COLUMN()-1,4))</f>
        <v>1</v>
      </c>
    </row>
    <row r="908" spans="1:6" x14ac:dyDescent="0.25">
      <c r="A908" s="40" t="s">
        <v>180</v>
      </c>
      <c r="B908" s="41" t="str">
        <f ca="1">IFERROR(INDEX(UNSPSCDes,MATCH(INDIRECT(ADDRESS(ROW(),COLUMN()-1,4)),UNSPSCCode,0)),IF(INDIRECT(ADDRESS(ROW(),COLUMN()-1,4))="51161620","Difenhidramina",""))</f>
        <v>Difenhidramina</v>
      </c>
      <c r="C908" s="42" t="str">
        <f>IFERROR(VLOOKUP("UD",'[1]Informacion '!P:Q,2,FALSE),"")</f>
        <v>Unidad</v>
      </c>
      <c r="D908" s="40">
        <v>1</v>
      </c>
      <c r="E908" s="43">
        <v>1</v>
      </c>
      <c r="F908" s="44">
        <f ca="1">INDIRECT(ADDRESS(ROW(),COLUMN()-2,4))*INDIRECT(ADDRESS(ROW(),COLUMN()-1,4))</f>
        <v>1</v>
      </c>
    </row>
    <row r="909" spans="1:6" x14ac:dyDescent="0.25">
      <c r="E909" s="45" t="s">
        <v>47</v>
      </c>
      <c r="F909" s="46">
        <f ca="1">SUM(Table81[MONTO TOTAL ESTIMADO])</f>
        <v>5</v>
      </c>
    </row>
    <row r="910" spans="1:6" ht="17.25" thickBot="1" x14ac:dyDescent="0.3"/>
    <row r="911" spans="1:6" ht="23.25" thickBot="1" x14ac:dyDescent="0.3">
      <c r="A911" s="30" t="s">
        <v>18</v>
      </c>
      <c r="B911" s="30" t="s">
        <v>19</v>
      </c>
      <c r="C911" s="30" t="s">
        <v>20</v>
      </c>
      <c r="D911" s="30" t="s">
        <v>21</v>
      </c>
      <c r="E911" s="30" t="s">
        <v>22</v>
      </c>
      <c r="F911" s="30" t="s">
        <v>23</v>
      </c>
    </row>
    <row r="912" spans="1:6" ht="17.25" thickBot="1" x14ac:dyDescent="0.3">
      <c r="A912" s="31" t="s">
        <v>205</v>
      </c>
      <c r="B912" s="31" t="s">
        <v>145</v>
      </c>
      <c r="C912" s="31" t="s">
        <v>92</v>
      </c>
      <c r="D912" s="31" t="s">
        <v>27</v>
      </c>
      <c r="E912" s="31" t="s">
        <v>58</v>
      </c>
      <c r="F912" s="31"/>
    </row>
    <row r="913" spans="1:6" ht="17.25" thickBot="1" x14ac:dyDescent="0.3">
      <c r="A913" s="32" t="s">
        <v>29</v>
      </c>
      <c r="B913" s="33" t="s">
        <v>30</v>
      </c>
      <c r="C913" s="34">
        <v>44958</v>
      </c>
      <c r="D913" s="32" t="s">
        <v>31</v>
      </c>
      <c r="E913" s="35" t="s">
        <v>32</v>
      </c>
      <c r="F913" s="36" t="s">
        <v>33</v>
      </c>
    </row>
    <row r="914" spans="1:6" ht="17.25" thickBot="1" x14ac:dyDescent="0.3">
      <c r="A914" s="37"/>
      <c r="B914" s="33" t="s">
        <v>34</v>
      </c>
      <c r="C914" s="38">
        <f>IF(C913="","",IF(AND(MONTH(C913)&gt;=1,MONTH(C913)&lt;=3),1,IF(AND(MONTH(C913)&gt;=4,MONTH(C913)&lt;=6),2,IF(AND(MONTH(C913)&gt;=7,MONTH(C913)&lt;=9),3,4))))</f>
        <v>1</v>
      </c>
      <c r="D914" s="37"/>
      <c r="E914" s="35" t="s">
        <v>35</v>
      </c>
      <c r="F914" s="36" t="s">
        <v>36</v>
      </c>
    </row>
    <row r="915" spans="1:6" ht="17.25" thickBot="1" x14ac:dyDescent="0.3">
      <c r="A915" s="37"/>
      <c r="B915" s="33" t="s">
        <v>37</v>
      </c>
      <c r="C915" s="34">
        <v>45015</v>
      </c>
      <c r="D915" s="37"/>
      <c r="E915" s="35" t="s">
        <v>38</v>
      </c>
      <c r="F915" s="36" t="s">
        <v>36</v>
      </c>
    </row>
    <row r="916" spans="1:6" ht="17.25" thickBot="1" x14ac:dyDescent="0.3">
      <c r="A916" s="37"/>
      <c r="B916" s="33" t="s">
        <v>34</v>
      </c>
      <c r="C916" s="38">
        <f>IF(C915="","",IF(AND(MONTH(C915)&gt;=1,MONTH(C915)&lt;=3),1,IF(AND(MONTH(C915)&gt;=4,MONTH(C915)&lt;=6),2,IF(AND(MONTH(C915)&gt;=7,MONTH(C915)&lt;=9),3,4))))</f>
        <v>1</v>
      </c>
      <c r="D916" s="37"/>
      <c r="E916" s="35" t="s">
        <v>39</v>
      </c>
      <c r="F916" s="36" t="s">
        <v>36</v>
      </c>
    </row>
    <row r="917" spans="1:6" ht="17.25" thickBot="1" x14ac:dyDescent="0.3"/>
    <row r="918" spans="1:6" ht="17.25" thickBot="1" x14ac:dyDescent="0.3">
      <c r="A918" s="39" t="s">
        <v>40</v>
      </c>
      <c r="B918" s="39" t="s">
        <v>41</v>
      </c>
      <c r="C918" s="39" t="s">
        <v>42</v>
      </c>
      <c r="D918" s="39" t="s">
        <v>43</v>
      </c>
      <c r="E918" s="39" t="s">
        <v>44</v>
      </c>
      <c r="F918" s="39" t="s">
        <v>45</v>
      </c>
    </row>
    <row r="919" spans="1:6" x14ac:dyDescent="0.25">
      <c r="A919" s="40" t="s">
        <v>206</v>
      </c>
      <c r="B919" s="41" t="str">
        <f ca="1">IFERROR(INDEX(UNSPSCDes,MATCH(INDIRECT(ADDRESS(ROW(),COLUMN()-1,4)),UNSPSCCode,0)),IF(INDIRECT(ADDRESS(ROW(),COLUMN()-1,4))="11131504","Cueros",""))</f>
        <v>Cueros</v>
      </c>
      <c r="C919" s="42" t="str">
        <f>IFERROR(VLOOKUP("UD",'[1]Informacion '!P:Q,2,FALSE),"")</f>
        <v>Unidad</v>
      </c>
      <c r="D919" s="40">
        <v>1</v>
      </c>
      <c r="E919" s="43">
        <v>5000</v>
      </c>
      <c r="F919" s="44">
        <f ca="1">INDIRECT(ADDRESS(ROW(),COLUMN()-2,4))*INDIRECT(ADDRESS(ROW(),COLUMN()-1,4))</f>
        <v>5000</v>
      </c>
    </row>
    <row r="920" spans="1:6" x14ac:dyDescent="0.25">
      <c r="E920" s="45" t="s">
        <v>47</v>
      </c>
      <c r="F920" s="46">
        <f ca="1">SUM(Table82[MONTO TOTAL ESTIMADO])</f>
        <v>5000</v>
      </c>
    </row>
    <row r="921" spans="1:6" ht="17.25" thickBot="1" x14ac:dyDescent="0.3"/>
    <row r="922" spans="1:6" ht="23.25" thickBot="1" x14ac:dyDescent="0.3">
      <c r="A922" s="30" t="s">
        <v>18</v>
      </c>
      <c r="B922" s="30" t="s">
        <v>19</v>
      </c>
      <c r="C922" s="30" t="s">
        <v>20</v>
      </c>
      <c r="D922" s="30" t="s">
        <v>21</v>
      </c>
      <c r="E922" s="30" t="s">
        <v>22</v>
      </c>
      <c r="F922" s="30" t="s">
        <v>23</v>
      </c>
    </row>
    <row r="923" spans="1:6" ht="17.25" thickBot="1" x14ac:dyDescent="0.3">
      <c r="A923" s="31" t="s">
        <v>207</v>
      </c>
      <c r="B923" s="31" t="s">
        <v>145</v>
      </c>
      <c r="C923" s="31" t="s">
        <v>92</v>
      </c>
      <c r="D923" s="31" t="s">
        <v>27</v>
      </c>
      <c r="E923" s="31" t="s">
        <v>58</v>
      </c>
      <c r="F923" s="31"/>
    </row>
    <row r="924" spans="1:6" ht="17.25" thickBot="1" x14ac:dyDescent="0.3">
      <c r="A924" s="32" t="s">
        <v>29</v>
      </c>
      <c r="B924" s="33" t="s">
        <v>30</v>
      </c>
      <c r="C924" s="34">
        <v>44958</v>
      </c>
      <c r="D924" s="32" t="s">
        <v>31</v>
      </c>
      <c r="E924" s="35" t="s">
        <v>32</v>
      </c>
      <c r="F924" s="36" t="s">
        <v>33</v>
      </c>
    </row>
    <row r="925" spans="1:6" ht="17.25" thickBot="1" x14ac:dyDescent="0.3">
      <c r="A925" s="37"/>
      <c r="B925" s="33" t="s">
        <v>34</v>
      </c>
      <c r="C925" s="38">
        <f>IF(C924="","",IF(AND(MONTH(C924)&gt;=1,MONTH(C924)&lt;=3),1,IF(AND(MONTH(C924)&gt;=4,MONTH(C924)&lt;=6),2,IF(AND(MONTH(C924)&gt;=7,MONTH(C924)&lt;=9),3,4))))</f>
        <v>1</v>
      </c>
      <c r="D925" s="37"/>
      <c r="E925" s="35" t="s">
        <v>35</v>
      </c>
      <c r="F925" s="36" t="s">
        <v>36</v>
      </c>
    </row>
    <row r="926" spans="1:6" ht="17.25" thickBot="1" x14ac:dyDescent="0.3">
      <c r="A926" s="37"/>
      <c r="B926" s="33" t="s">
        <v>37</v>
      </c>
      <c r="C926" s="34">
        <v>45015</v>
      </c>
      <c r="D926" s="37"/>
      <c r="E926" s="35" t="s">
        <v>38</v>
      </c>
      <c r="F926" s="36" t="s">
        <v>36</v>
      </c>
    </row>
    <row r="927" spans="1:6" ht="17.25" thickBot="1" x14ac:dyDescent="0.3">
      <c r="A927" s="37"/>
      <c r="B927" s="33" t="s">
        <v>34</v>
      </c>
      <c r="C927" s="38">
        <f>IF(C926="","",IF(AND(MONTH(C926)&gt;=1,MONTH(C926)&lt;=3),1,IF(AND(MONTH(C926)&gt;=4,MONTH(C926)&lt;=6),2,IF(AND(MONTH(C926)&gt;=7,MONTH(C926)&lt;=9),3,4))))</f>
        <v>1</v>
      </c>
      <c r="D927" s="37"/>
      <c r="E927" s="35" t="s">
        <v>39</v>
      </c>
      <c r="F927" s="36" t="s">
        <v>36</v>
      </c>
    </row>
    <row r="928" spans="1:6" ht="17.25" thickBot="1" x14ac:dyDescent="0.3"/>
    <row r="929" spans="1:6" ht="17.25" thickBot="1" x14ac:dyDescent="0.3">
      <c r="A929" s="39" t="s">
        <v>40</v>
      </c>
      <c r="B929" s="39" t="s">
        <v>41</v>
      </c>
      <c r="C929" s="39" t="s">
        <v>42</v>
      </c>
      <c r="D929" s="39" t="s">
        <v>43</v>
      </c>
      <c r="E929" s="39" t="s">
        <v>44</v>
      </c>
      <c r="F929" s="39" t="s">
        <v>45</v>
      </c>
    </row>
    <row r="930" spans="1:6" x14ac:dyDescent="0.25">
      <c r="A930" s="40" t="s">
        <v>206</v>
      </c>
      <c r="B930" s="41" t="str">
        <f ca="1">IFERROR(INDEX(UNSPSCDes,MATCH(INDIRECT(ADDRESS(ROW(),COLUMN()-1,4)),UNSPSCCode,0)),IF(INDIRECT(ADDRESS(ROW(),COLUMN()-1,4))="11131504","Cueros",""))</f>
        <v>Cueros</v>
      </c>
      <c r="C930" s="42" t="str">
        <f>IFERROR(VLOOKUP("UD",'[1]Informacion '!P:Q,2,FALSE),"")</f>
        <v>Unidad</v>
      </c>
      <c r="D930" s="40">
        <v>1</v>
      </c>
      <c r="E930" s="43">
        <v>95000</v>
      </c>
      <c r="F930" s="44">
        <f ca="1">INDIRECT(ADDRESS(ROW(),COLUMN()-2,4))*INDIRECT(ADDRESS(ROW(),COLUMN()-1,4))</f>
        <v>95000</v>
      </c>
    </row>
    <row r="931" spans="1:6" x14ac:dyDescent="0.25">
      <c r="E931" s="45" t="s">
        <v>47</v>
      </c>
      <c r="F931" s="46">
        <f ca="1">SUM(Table83[MONTO TOTAL ESTIMADO])</f>
        <v>95000</v>
      </c>
    </row>
    <row r="932" spans="1:6" ht="17.25" thickBot="1" x14ac:dyDescent="0.3"/>
    <row r="933" spans="1:6" ht="23.25" thickBot="1" x14ac:dyDescent="0.3">
      <c r="A933" s="30" t="s">
        <v>18</v>
      </c>
      <c r="B933" s="30" t="s">
        <v>19</v>
      </c>
      <c r="C933" s="30" t="s">
        <v>20</v>
      </c>
      <c r="D933" s="30" t="s">
        <v>21</v>
      </c>
      <c r="E933" s="30" t="s">
        <v>22</v>
      </c>
      <c r="F933" s="30" t="s">
        <v>23</v>
      </c>
    </row>
    <row r="934" spans="1:6" ht="17.25" thickBot="1" x14ac:dyDescent="0.3">
      <c r="A934" s="31" t="s">
        <v>208</v>
      </c>
      <c r="B934" s="31" t="s">
        <v>145</v>
      </c>
      <c r="C934" s="31" t="s">
        <v>92</v>
      </c>
      <c r="D934" s="31" t="s">
        <v>50</v>
      </c>
      <c r="E934" s="31" t="s">
        <v>58</v>
      </c>
      <c r="F934" s="31"/>
    </row>
    <row r="935" spans="1:6" ht="17.25" thickBot="1" x14ac:dyDescent="0.3">
      <c r="A935" s="32" t="s">
        <v>29</v>
      </c>
      <c r="B935" s="33" t="s">
        <v>30</v>
      </c>
      <c r="C935" s="34">
        <v>45016</v>
      </c>
      <c r="D935" s="32" t="s">
        <v>31</v>
      </c>
      <c r="E935" s="35" t="s">
        <v>32</v>
      </c>
      <c r="F935" s="36" t="s">
        <v>33</v>
      </c>
    </row>
    <row r="936" spans="1:6" ht="17.25" thickBot="1" x14ac:dyDescent="0.3">
      <c r="A936" s="37"/>
      <c r="B936" s="33" t="s">
        <v>34</v>
      </c>
      <c r="C936" s="38">
        <f>IF(C935="","",IF(AND(MONTH(C935)&gt;=1,MONTH(C935)&lt;=3),1,IF(AND(MONTH(C935)&gt;=4,MONTH(C935)&lt;=6),2,IF(AND(MONTH(C935)&gt;=7,MONTH(C935)&lt;=9),3,4))))</f>
        <v>1</v>
      </c>
      <c r="D936" s="37"/>
      <c r="E936" s="35" t="s">
        <v>35</v>
      </c>
      <c r="F936" s="36" t="s">
        <v>36</v>
      </c>
    </row>
    <row r="937" spans="1:6" ht="17.25" thickBot="1" x14ac:dyDescent="0.3">
      <c r="A937" s="37"/>
      <c r="B937" s="33" t="s">
        <v>37</v>
      </c>
      <c r="C937" s="34">
        <v>45106</v>
      </c>
      <c r="D937" s="37"/>
      <c r="E937" s="35" t="s">
        <v>38</v>
      </c>
      <c r="F937" s="36" t="s">
        <v>36</v>
      </c>
    </row>
    <row r="938" spans="1:6" ht="17.25" thickBot="1" x14ac:dyDescent="0.3">
      <c r="A938" s="37"/>
      <c r="B938" s="33" t="s">
        <v>34</v>
      </c>
      <c r="C938" s="38">
        <f>IF(C937="","",IF(AND(MONTH(C937)&gt;=1,MONTH(C937)&lt;=3),1,IF(AND(MONTH(C937)&gt;=4,MONTH(C937)&lt;=6),2,IF(AND(MONTH(C937)&gt;=7,MONTH(C937)&lt;=9),3,4))))</f>
        <v>2</v>
      </c>
      <c r="D938" s="37"/>
      <c r="E938" s="35" t="s">
        <v>39</v>
      </c>
      <c r="F938" s="36" t="s">
        <v>36</v>
      </c>
    </row>
    <row r="939" spans="1:6" ht="17.25" thickBot="1" x14ac:dyDescent="0.3"/>
    <row r="940" spans="1:6" ht="17.25" thickBot="1" x14ac:dyDescent="0.3">
      <c r="A940" s="39" t="s">
        <v>40</v>
      </c>
      <c r="B940" s="39" t="s">
        <v>41</v>
      </c>
      <c r="C940" s="39" t="s">
        <v>42</v>
      </c>
      <c r="D940" s="39" t="s">
        <v>43</v>
      </c>
      <c r="E940" s="39" t="s">
        <v>44</v>
      </c>
      <c r="F940" s="39" t="s">
        <v>45</v>
      </c>
    </row>
    <row r="941" spans="1:6" x14ac:dyDescent="0.25">
      <c r="A941" s="40" t="s">
        <v>209</v>
      </c>
      <c r="B941" s="41" t="str">
        <f ca="1">IFERROR(INDEX(UNSPSCDes,MATCH(INDIRECT(ADDRESS(ROW(),COLUMN()-1,4)),UNSPSCCode,0)),IF(INDIRECT(ADDRESS(ROW(),COLUMN()-1,4))="25172504","Neumáticos para automoviles o camiones ligeros",""))</f>
        <v>Neumáticos para automoviles o camiones ligeros</v>
      </c>
      <c r="C941" s="42" t="str">
        <f>IFERROR(VLOOKUP("UD",'[1]Informacion '!P:Q,2,FALSE),"")</f>
        <v>Unidad</v>
      </c>
      <c r="D941" s="40">
        <v>1</v>
      </c>
      <c r="E941" s="43">
        <v>1</v>
      </c>
      <c r="F941" s="44">
        <f ca="1">INDIRECT(ADDRESS(ROW(),COLUMN()-2,4))*INDIRECT(ADDRESS(ROW(),COLUMN()-1,4))</f>
        <v>1</v>
      </c>
    </row>
    <row r="942" spans="1:6" x14ac:dyDescent="0.25">
      <c r="E942" s="45" t="s">
        <v>47</v>
      </c>
      <c r="F942" s="46">
        <f ca="1">SUM(Table84[MONTO TOTAL ESTIMADO])</f>
        <v>1</v>
      </c>
    </row>
    <row r="943" spans="1:6" ht="17.25" thickBot="1" x14ac:dyDescent="0.3"/>
    <row r="944" spans="1:6" ht="23.25" thickBot="1" x14ac:dyDescent="0.3">
      <c r="A944" s="30" t="s">
        <v>18</v>
      </c>
      <c r="B944" s="30" t="s">
        <v>19</v>
      </c>
      <c r="C944" s="30" t="s">
        <v>20</v>
      </c>
      <c r="D944" s="30" t="s">
        <v>21</v>
      </c>
      <c r="E944" s="30" t="s">
        <v>22</v>
      </c>
      <c r="F944" s="30" t="s">
        <v>23</v>
      </c>
    </row>
    <row r="945" spans="1:6" ht="17.25" thickBot="1" x14ac:dyDescent="0.3">
      <c r="A945" s="31" t="s">
        <v>208</v>
      </c>
      <c r="B945" s="31" t="s">
        <v>145</v>
      </c>
      <c r="C945" s="31" t="s">
        <v>92</v>
      </c>
      <c r="D945" s="31" t="s">
        <v>50</v>
      </c>
      <c r="E945" s="31" t="s">
        <v>58</v>
      </c>
      <c r="F945" s="31"/>
    </row>
    <row r="946" spans="1:6" ht="17.25" thickBot="1" x14ac:dyDescent="0.3">
      <c r="A946" s="32" t="s">
        <v>29</v>
      </c>
      <c r="B946" s="33" t="s">
        <v>30</v>
      </c>
      <c r="C946" s="34">
        <v>45199</v>
      </c>
      <c r="D946" s="32" t="s">
        <v>31</v>
      </c>
      <c r="E946" s="35" t="s">
        <v>32</v>
      </c>
      <c r="F946" s="36" t="s">
        <v>33</v>
      </c>
    </row>
    <row r="947" spans="1:6" ht="17.25" thickBot="1" x14ac:dyDescent="0.3">
      <c r="A947" s="37"/>
      <c r="B947" s="33" t="s">
        <v>34</v>
      </c>
      <c r="C947" s="38">
        <f>IF(C946="","",IF(AND(MONTH(C946)&gt;=1,MONTH(C946)&lt;=3),1,IF(AND(MONTH(C946)&gt;=4,MONTH(C946)&lt;=6),2,IF(AND(MONTH(C946)&gt;=7,MONTH(C946)&lt;=9),3,4))))</f>
        <v>3</v>
      </c>
      <c r="D947" s="37"/>
      <c r="E947" s="35" t="s">
        <v>35</v>
      </c>
      <c r="F947" s="36" t="s">
        <v>36</v>
      </c>
    </row>
    <row r="948" spans="1:6" ht="17.25" thickBot="1" x14ac:dyDescent="0.3">
      <c r="A948" s="37"/>
      <c r="B948" s="33" t="s">
        <v>37</v>
      </c>
      <c r="C948" s="34">
        <v>45290</v>
      </c>
      <c r="D948" s="37"/>
      <c r="E948" s="35" t="s">
        <v>38</v>
      </c>
      <c r="F948" s="36" t="s">
        <v>36</v>
      </c>
    </row>
    <row r="949" spans="1:6" ht="17.25" thickBot="1" x14ac:dyDescent="0.3">
      <c r="A949" s="37"/>
      <c r="B949" s="33" t="s">
        <v>34</v>
      </c>
      <c r="C949" s="38">
        <f>IF(C948="","",IF(AND(MONTH(C948)&gt;=1,MONTH(C948)&lt;=3),1,IF(AND(MONTH(C948)&gt;=4,MONTH(C948)&lt;=6),2,IF(AND(MONTH(C948)&gt;=7,MONTH(C948)&lt;=9),3,4))))</f>
        <v>4</v>
      </c>
      <c r="D949" s="37"/>
      <c r="E949" s="35" t="s">
        <v>39</v>
      </c>
      <c r="F949" s="36" t="s">
        <v>36</v>
      </c>
    </row>
    <row r="950" spans="1:6" ht="17.25" thickBot="1" x14ac:dyDescent="0.3"/>
    <row r="951" spans="1:6" ht="17.25" thickBot="1" x14ac:dyDescent="0.3">
      <c r="A951" s="39" t="s">
        <v>40</v>
      </c>
      <c r="B951" s="39" t="s">
        <v>41</v>
      </c>
      <c r="C951" s="39" t="s">
        <v>42</v>
      </c>
      <c r="D951" s="39" t="s">
        <v>43</v>
      </c>
      <c r="E951" s="39" t="s">
        <v>44</v>
      </c>
      <c r="F951" s="39" t="s">
        <v>45</v>
      </c>
    </row>
    <row r="952" spans="1:6" x14ac:dyDescent="0.25">
      <c r="A952" s="40" t="s">
        <v>209</v>
      </c>
      <c r="B952" s="41" t="str">
        <f ca="1">IFERROR(INDEX(UNSPSCDes,MATCH(INDIRECT(ADDRESS(ROW(),COLUMN()-1,4)),UNSPSCCode,0)),IF(INDIRECT(ADDRESS(ROW(),COLUMN()-1,4))="25172504","Neumáticos para automoviles o camiones ligeros",""))</f>
        <v>Neumáticos para automoviles o camiones ligeros</v>
      </c>
      <c r="C952" s="42" t="s">
        <v>66</v>
      </c>
      <c r="D952" s="40">
        <v>1</v>
      </c>
      <c r="E952" s="43">
        <v>1</v>
      </c>
      <c r="F952" s="44">
        <f ca="1">INDIRECT(ADDRESS(ROW(),COLUMN()-2,4))*INDIRECT(ADDRESS(ROW(),COLUMN()-1,4))</f>
        <v>1</v>
      </c>
    </row>
    <row r="953" spans="1:6" x14ac:dyDescent="0.25">
      <c r="E953" s="45" t="s">
        <v>47</v>
      </c>
      <c r="F953" s="46">
        <f ca="1">SUM(Table85[MONTO TOTAL ESTIMADO])</f>
        <v>1</v>
      </c>
    </row>
    <row r="954" spans="1:6" ht="17.25" thickBot="1" x14ac:dyDescent="0.3"/>
    <row r="955" spans="1:6" ht="23.25" thickBot="1" x14ac:dyDescent="0.3">
      <c r="A955" s="30" t="s">
        <v>18</v>
      </c>
      <c r="B955" s="30" t="s">
        <v>19</v>
      </c>
      <c r="C955" s="30" t="s">
        <v>20</v>
      </c>
      <c r="D955" s="30" t="s">
        <v>21</v>
      </c>
      <c r="E955" s="30" t="s">
        <v>22</v>
      </c>
      <c r="F955" s="30" t="s">
        <v>23</v>
      </c>
    </row>
    <row r="956" spans="1:6" ht="17.25" thickBot="1" x14ac:dyDescent="0.3">
      <c r="A956" s="31" t="s">
        <v>210</v>
      </c>
      <c r="B956" s="31" t="s">
        <v>145</v>
      </c>
      <c r="C956" s="31" t="s">
        <v>92</v>
      </c>
      <c r="D956" s="31" t="s">
        <v>27</v>
      </c>
      <c r="E956" s="31" t="s">
        <v>58</v>
      </c>
      <c r="F956" s="31"/>
    </row>
    <row r="957" spans="1:6" ht="17.25" thickBot="1" x14ac:dyDescent="0.3">
      <c r="A957" s="32" t="s">
        <v>29</v>
      </c>
      <c r="B957" s="33" t="s">
        <v>30</v>
      </c>
      <c r="C957" s="34">
        <v>44958</v>
      </c>
      <c r="D957" s="32" t="s">
        <v>31</v>
      </c>
      <c r="E957" s="35" t="s">
        <v>32</v>
      </c>
      <c r="F957" s="36" t="s">
        <v>33</v>
      </c>
    </row>
    <row r="958" spans="1:6" ht="17.25" thickBot="1" x14ac:dyDescent="0.3">
      <c r="A958" s="37"/>
      <c r="B958" s="33" t="s">
        <v>34</v>
      </c>
      <c r="C958" s="38">
        <f>IF(C957="","",IF(AND(MONTH(C957)&gt;=1,MONTH(C957)&lt;=3),1,IF(AND(MONTH(C957)&gt;=4,MONTH(C957)&lt;=6),2,IF(AND(MONTH(C957)&gt;=7,MONTH(C957)&lt;=9),3,4))))</f>
        <v>1</v>
      </c>
      <c r="D958" s="37"/>
      <c r="E958" s="35" t="s">
        <v>35</v>
      </c>
      <c r="F958" s="36" t="s">
        <v>36</v>
      </c>
    </row>
    <row r="959" spans="1:6" ht="17.25" thickBot="1" x14ac:dyDescent="0.3">
      <c r="A959" s="37"/>
      <c r="B959" s="33" t="s">
        <v>37</v>
      </c>
      <c r="C959" s="34">
        <v>45015</v>
      </c>
      <c r="D959" s="37"/>
      <c r="E959" s="35" t="s">
        <v>38</v>
      </c>
      <c r="F959" s="36" t="s">
        <v>36</v>
      </c>
    </row>
    <row r="960" spans="1:6" ht="17.25" thickBot="1" x14ac:dyDescent="0.3">
      <c r="A960" s="37"/>
      <c r="B960" s="33" t="s">
        <v>34</v>
      </c>
      <c r="C960" s="38">
        <f>IF(C959="","",IF(AND(MONTH(C959)&gt;=1,MONTH(C959)&lt;=3),1,IF(AND(MONTH(C959)&gt;=4,MONTH(C959)&lt;=6),2,IF(AND(MONTH(C959)&gt;=7,MONTH(C959)&lt;=9),3,4))))</f>
        <v>1</v>
      </c>
      <c r="D960" s="37"/>
      <c r="E960" s="35" t="s">
        <v>39</v>
      </c>
      <c r="F960" s="36" t="s">
        <v>36</v>
      </c>
    </row>
    <row r="961" spans="1:6" ht="17.25" thickBot="1" x14ac:dyDescent="0.3"/>
    <row r="962" spans="1:6" ht="17.25" thickBot="1" x14ac:dyDescent="0.3">
      <c r="A962" s="39" t="s">
        <v>40</v>
      </c>
      <c r="B962" s="39" t="s">
        <v>41</v>
      </c>
      <c r="C962" s="39" t="s">
        <v>42</v>
      </c>
      <c r="D962" s="39" t="s">
        <v>43</v>
      </c>
      <c r="E962" s="39" t="s">
        <v>44</v>
      </c>
      <c r="F962" s="39" t="s">
        <v>45</v>
      </c>
    </row>
    <row r="963" spans="1:6" x14ac:dyDescent="0.25">
      <c r="A963" s="40" t="s">
        <v>211</v>
      </c>
      <c r="B963" s="41" t="str">
        <f ca="1">IFERROR(INDEX(UNSPSCDes,MATCH(INDIRECT(ADDRESS(ROW(),COLUMN()-1,4)),UNSPSCCode,0)),IF(INDIRECT(ADDRESS(ROW(),COLUMN()-1,4))="30101816","Conductos de caucho",""))</f>
        <v>Conductos de caucho</v>
      </c>
      <c r="C963" s="42" t="str">
        <f>IFERROR(VLOOKUP("UD",'[1]Informacion '!P:Q,2,FALSE),"")</f>
        <v>Unidad</v>
      </c>
      <c r="D963" s="40">
        <v>1</v>
      </c>
      <c r="E963" s="43">
        <v>9000</v>
      </c>
      <c r="F963" s="44">
        <f ca="1">INDIRECT(ADDRESS(ROW(),COLUMN()-2,4))*INDIRECT(ADDRESS(ROW(),COLUMN()-1,4))</f>
        <v>9000</v>
      </c>
    </row>
    <row r="964" spans="1:6" x14ac:dyDescent="0.25">
      <c r="A964" s="40" t="s">
        <v>212</v>
      </c>
      <c r="B964" s="41" t="str">
        <f ca="1">IFERROR(INDEX(UNSPSCDes,MATCH(INDIRECT(ADDRESS(ROW(),COLUMN()-1,4)),UNSPSCCode,0)),IF(INDIRECT(ADDRESS(ROW(),COLUMN()-1,4))="40101503","Rejilla de ventilación",""))</f>
        <v>Rejilla de ventilación</v>
      </c>
      <c r="C964" s="42" t="str">
        <f>IFERROR(VLOOKUP("UD",'[1]Informacion '!P:Q,2,FALSE),"")</f>
        <v>Unidad</v>
      </c>
      <c r="D964" s="40">
        <v>1</v>
      </c>
      <c r="E964" s="43">
        <v>1000</v>
      </c>
      <c r="F964" s="44">
        <f ca="1">INDIRECT(ADDRESS(ROW(),COLUMN()-2,4))*INDIRECT(ADDRESS(ROW(),COLUMN()-1,4))</f>
        <v>1000</v>
      </c>
    </row>
    <row r="965" spans="1:6" x14ac:dyDescent="0.25">
      <c r="E965" s="45" t="s">
        <v>47</v>
      </c>
      <c r="F965" s="46">
        <f ca="1">SUM(Table86[MONTO TOTAL ESTIMADO])</f>
        <v>10000</v>
      </c>
    </row>
    <row r="966" spans="1:6" ht="17.25" thickBot="1" x14ac:dyDescent="0.3"/>
    <row r="967" spans="1:6" ht="23.25" thickBot="1" x14ac:dyDescent="0.3">
      <c r="A967" s="30" t="s">
        <v>18</v>
      </c>
      <c r="B967" s="30" t="s">
        <v>19</v>
      </c>
      <c r="C967" s="30" t="s">
        <v>20</v>
      </c>
      <c r="D967" s="30" t="s">
        <v>21</v>
      </c>
      <c r="E967" s="30" t="s">
        <v>22</v>
      </c>
      <c r="F967" s="30" t="s">
        <v>23</v>
      </c>
    </row>
    <row r="968" spans="1:6" ht="17.25" thickBot="1" x14ac:dyDescent="0.3">
      <c r="A968" s="31" t="s">
        <v>213</v>
      </c>
      <c r="B968" s="31" t="s">
        <v>145</v>
      </c>
      <c r="C968" s="31" t="s">
        <v>92</v>
      </c>
      <c r="D968" s="31" t="s">
        <v>27</v>
      </c>
      <c r="E968" s="31" t="s">
        <v>58</v>
      </c>
      <c r="F968" s="31"/>
    </row>
    <row r="969" spans="1:6" ht="17.25" thickBot="1" x14ac:dyDescent="0.3">
      <c r="A969" s="32" t="s">
        <v>29</v>
      </c>
      <c r="B969" s="33" t="s">
        <v>30</v>
      </c>
      <c r="C969" s="34">
        <v>44958</v>
      </c>
      <c r="D969" s="32" t="s">
        <v>31</v>
      </c>
      <c r="E969" s="35" t="s">
        <v>32</v>
      </c>
      <c r="F969" s="36" t="s">
        <v>33</v>
      </c>
    </row>
    <row r="970" spans="1:6" ht="17.25" thickBot="1" x14ac:dyDescent="0.3">
      <c r="A970" s="37"/>
      <c r="B970" s="33" t="s">
        <v>34</v>
      </c>
      <c r="C970" s="38">
        <f>IF(C969="","",IF(AND(MONTH(C969)&gt;=1,MONTH(C969)&lt;=3),1,IF(AND(MONTH(C969)&gt;=4,MONTH(C969)&lt;=6),2,IF(AND(MONTH(C969)&gt;=7,MONTH(C969)&lt;=9),3,4))))</f>
        <v>1</v>
      </c>
      <c r="D970" s="37"/>
      <c r="E970" s="35" t="s">
        <v>35</v>
      </c>
      <c r="F970" s="36" t="s">
        <v>36</v>
      </c>
    </row>
    <row r="971" spans="1:6" ht="17.25" thickBot="1" x14ac:dyDescent="0.3">
      <c r="A971" s="37"/>
      <c r="B971" s="33" t="s">
        <v>37</v>
      </c>
      <c r="C971" s="34">
        <v>45015</v>
      </c>
      <c r="D971" s="37"/>
      <c r="E971" s="35" t="s">
        <v>38</v>
      </c>
      <c r="F971" s="36" t="s">
        <v>36</v>
      </c>
    </row>
    <row r="972" spans="1:6" ht="17.25" thickBot="1" x14ac:dyDescent="0.3">
      <c r="A972" s="37"/>
      <c r="B972" s="33" t="s">
        <v>34</v>
      </c>
      <c r="C972" s="38">
        <f>IF(C971="","",IF(AND(MONTH(C971)&gt;=1,MONTH(C971)&lt;=3),1,IF(AND(MONTH(C971)&gt;=4,MONTH(C971)&lt;=6),2,IF(AND(MONTH(C971)&gt;=7,MONTH(C971)&lt;=9),3,4))))</f>
        <v>1</v>
      </c>
      <c r="D972" s="37"/>
      <c r="E972" s="35" t="s">
        <v>39</v>
      </c>
      <c r="F972" s="36" t="s">
        <v>36</v>
      </c>
    </row>
    <row r="973" spans="1:6" ht="17.25" thickBot="1" x14ac:dyDescent="0.3"/>
    <row r="974" spans="1:6" ht="17.25" thickBot="1" x14ac:dyDescent="0.3">
      <c r="A974" s="39" t="s">
        <v>40</v>
      </c>
      <c r="B974" s="39" t="s">
        <v>41</v>
      </c>
      <c r="C974" s="39" t="s">
        <v>42</v>
      </c>
      <c r="D974" s="39" t="s">
        <v>43</v>
      </c>
      <c r="E974" s="39" t="s">
        <v>44</v>
      </c>
      <c r="F974" s="39" t="s">
        <v>45</v>
      </c>
    </row>
    <row r="975" spans="1:6" x14ac:dyDescent="0.25">
      <c r="A975" s="40" t="s">
        <v>214</v>
      </c>
      <c r="B975" s="41" t="str">
        <f ca="1">IFERROR(INDEX(UNSPSCDes,MATCH(INDIRECT(ADDRESS(ROW(),COLUMN()-1,4)),UNSPSCCode,0)),IF(INDIRECT(ADDRESS(ROW(),COLUMN()-1,4))="31181601","Sellos de plástico",""))</f>
        <v>Sellos de plástico</v>
      </c>
      <c r="C975" s="42" t="str">
        <f>IFERROR(VLOOKUP("UD",'[1]Informacion '!P:Q,2,FALSE),"")</f>
        <v>Unidad</v>
      </c>
      <c r="D975" s="40">
        <v>1</v>
      </c>
      <c r="E975" s="43">
        <v>1</v>
      </c>
      <c r="F975" s="44">
        <f ca="1">INDIRECT(ADDRESS(ROW(),COLUMN()-2,4))*INDIRECT(ADDRESS(ROW(),COLUMN()-1,4))</f>
        <v>1</v>
      </c>
    </row>
    <row r="976" spans="1:6" x14ac:dyDescent="0.25">
      <c r="A976" s="40" t="s">
        <v>215</v>
      </c>
      <c r="B976" s="41" t="str">
        <f ca="1">IFERROR(INDEX(UNSPSCDes,MATCH(INDIRECT(ADDRESS(ROW(),COLUMN()-1,4)),UNSPSCCode,0)),IF(INDIRECT(ADDRESS(ROW(),COLUMN()-1,4))="60121603","Placas de fricción de plástico",""))</f>
        <v>Placas de fricción de plástico</v>
      </c>
      <c r="C976" s="42" t="str">
        <f>IFERROR(VLOOKUP("UD",'[1]Informacion '!P:Q,2,FALSE),"")</f>
        <v>Unidad</v>
      </c>
      <c r="D976" s="40">
        <v>1</v>
      </c>
      <c r="E976" s="43">
        <v>1</v>
      </c>
      <c r="F976" s="44">
        <f ca="1">INDIRECT(ADDRESS(ROW(),COLUMN()-2,4))*INDIRECT(ADDRESS(ROW(),COLUMN()-1,4))</f>
        <v>1</v>
      </c>
    </row>
    <row r="977" spans="1:6" x14ac:dyDescent="0.25">
      <c r="A977" s="40" t="s">
        <v>216</v>
      </c>
      <c r="B977" s="41" t="str">
        <f ca="1">IFERROR(INDEX(UNSPSCDes,MATCH(INDIRECT(ADDRESS(ROW(),COLUMN()-1,4)),UNSPSCCode,0)),IF(INDIRECT(ADDRESS(ROW(),COLUMN()-1,4))="13101906","Poliuretano termoestable pur",""))</f>
        <v>Poliuretano termoestable pur</v>
      </c>
      <c r="C977" s="42" t="str">
        <f>IFERROR(VLOOKUP("UD",'[1]Informacion '!P:Q,2,FALSE),"")</f>
        <v>Unidad</v>
      </c>
      <c r="D977" s="40">
        <v>1</v>
      </c>
      <c r="E977" s="43">
        <v>1</v>
      </c>
      <c r="F977" s="44">
        <f ca="1">INDIRECT(ADDRESS(ROW(),COLUMN()-2,4))*INDIRECT(ADDRESS(ROW(),COLUMN()-1,4))</f>
        <v>1</v>
      </c>
    </row>
    <row r="978" spans="1:6" x14ac:dyDescent="0.25">
      <c r="A978" s="40">
        <v>30161707</v>
      </c>
      <c r="B978" s="41" t="str">
        <f ca="1">IFERROR(INDEX(UNSPSCDes,MATCH(INDIRECT(ADDRESS(ROW(),COLUMN()-1,4)),UNSPSCCode,0)),IF(INDIRECT(ADDRESS(ROW(),COLUMN()-1,4))="13101906","Poliuretano termoestable pur",""))</f>
        <v>Pisos de vinilo</v>
      </c>
      <c r="C978" s="42" t="str">
        <f>IFERROR(VLOOKUP("UD",'[1]Informacion '!P:Q,2,FALSE),"")</f>
        <v>Unidad</v>
      </c>
      <c r="D978" s="40">
        <v>1</v>
      </c>
      <c r="E978" s="43">
        <v>1</v>
      </c>
      <c r="F978" s="44">
        <f ca="1">INDIRECT(ADDRESS(ROW(),COLUMN()-2,4))*INDIRECT(ADDRESS(ROW(),COLUMN()-1,4))</f>
        <v>1</v>
      </c>
    </row>
    <row r="979" spans="1:6" x14ac:dyDescent="0.25">
      <c r="E979" s="45" t="s">
        <v>47</v>
      </c>
      <c r="F979" s="46">
        <f ca="1">SUM(Table87[MONTO TOTAL ESTIMADO])</f>
        <v>4</v>
      </c>
    </row>
    <row r="980" spans="1:6" ht="17.25" thickBot="1" x14ac:dyDescent="0.3"/>
    <row r="981" spans="1:6" ht="23.25" thickBot="1" x14ac:dyDescent="0.3">
      <c r="A981" s="30" t="s">
        <v>18</v>
      </c>
      <c r="B981" s="30" t="s">
        <v>19</v>
      </c>
      <c r="C981" s="30" t="s">
        <v>20</v>
      </c>
      <c r="D981" s="30" t="s">
        <v>21</v>
      </c>
      <c r="E981" s="30" t="s">
        <v>22</v>
      </c>
      <c r="F981" s="30" t="s">
        <v>23</v>
      </c>
    </row>
    <row r="982" spans="1:6" ht="17.25" thickBot="1" x14ac:dyDescent="0.3">
      <c r="A982" s="31" t="s">
        <v>213</v>
      </c>
      <c r="B982" s="31" t="s">
        <v>145</v>
      </c>
      <c r="C982" s="31" t="s">
        <v>92</v>
      </c>
      <c r="D982" s="31" t="s">
        <v>27</v>
      </c>
      <c r="E982" s="31" t="s">
        <v>58</v>
      </c>
      <c r="F982" s="31"/>
    </row>
    <row r="983" spans="1:6" ht="17.25" thickBot="1" x14ac:dyDescent="0.3">
      <c r="A983" s="32" t="s">
        <v>29</v>
      </c>
      <c r="B983" s="33" t="s">
        <v>30</v>
      </c>
      <c r="C983" s="34">
        <v>45107</v>
      </c>
      <c r="D983" s="32" t="s">
        <v>31</v>
      </c>
      <c r="E983" s="35" t="s">
        <v>32</v>
      </c>
      <c r="F983" s="36" t="s">
        <v>33</v>
      </c>
    </row>
    <row r="984" spans="1:6" ht="17.25" thickBot="1" x14ac:dyDescent="0.3">
      <c r="A984" s="37"/>
      <c r="B984" s="33" t="s">
        <v>34</v>
      </c>
      <c r="C984" s="38">
        <f>IF(C983="","",IF(AND(MONTH(C983)&gt;=1,MONTH(C983)&lt;=3),1,IF(AND(MONTH(C983)&gt;=4,MONTH(C983)&lt;=6),2,IF(AND(MONTH(C983)&gt;=7,MONTH(C983)&lt;=9),3,4))))</f>
        <v>2</v>
      </c>
      <c r="D984" s="37"/>
      <c r="E984" s="35" t="s">
        <v>35</v>
      </c>
      <c r="F984" s="36" t="s">
        <v>36</v>
      </c>
    </row>
    <row r="985" spans="1:6" ht="17.25" thickBot="1" x14ac:dyDescent="0.3">
      <c r="A985" s="37"/>
      <c r="B985" s="33" t="s">
        <v>37</v>
      </c>
      <c r="C985" s="34">
        <v>45198</v>
      </c>
      <c r="D985" s="37"/>
      <c r="E985" s="35" t="s">
        <v>38</v>
      </c>
      <c r="F985" s="36" t="s">
        <v>36</v>
      </c>
    </row>
    <row r="986" spans="1:6" ht="17.25" thickBot="1" x14ac:dyDescent="0.3">
      <c r="A986" s="37"/>
      <c r="B986" s="33" t="s">
        <v>34</v>
      </c>
      <c r="C986" s="38">
        <f>IF(C985="","",IF(AND(MONTH(C985)&gt;=1,MONTH(C985)&lt;=3),1,IF(AND(MONTH(C985)&gt;=4,MONTH(C985)&lt;=6),2,IF(AND(MONTH(C985)&gt;=7,MONTH(C985)&lt;=9),3,4))))</f>
        <v>3</v>
      </c>
      <c r="D986" s="37"/>
      <c r="E986" s="35" t="s">
        <v>39</v>
      </c>
      <c r="F986" s="36" t="s">
        <v>36</v>
      </c>
    </row>
    <row r="987" spans="1:6" ht="17.25" thickBot="1" x14ac:dyDescent="0.3"/>
    <row r="988" spans="1:6" ht="17.25" thickBot="1" x14ac:dyDescent="0.3">
      <c r="A988" s="39" t="s">
        <v>40</v>
      </c>
      <c r="B988" s="39" t="s">
        <v>41</v>
      </c>
      <c r="C988" s="39" t="s">
        <v>42</v>
      </c>
      <c r="D988" s="39" t="s">
        <v>43</v>
      </c>
      <c r="E988" s="39" t="s">
        <v>44</v>
      </c>
      <c r="F988" s="39" t="s">
        <v>45</v>
      </c>
    </row>
    <row r="989" spans="1:6" x14ac:dyDescent="0.25">
      <c r="A989" s="40" t="s">
        <v>214</v>
      </c>
      <c r="B989" s="41" t="str">
        <f ca="1">IFERROR(INDEX(UNSPSCDes,MATCH(INDIRECT(ADDRESS(ROW(),COLUMN()-1,4)),UNSPSCCode,0)),IF(INDIRECT(ADDRESS(ROW(),COLUMN()-1,4))="31181601","Sellos de plástico",""))</f>
        <v>Sellos de plástico</v>
      </c>
      <c r="C989" s="42" t="str">
        <f>IFERROR(VLOOKUP("UD",'[1]Informacion '!P:Q,2,FALSE),"")</f>
        <v>Unidad</v>
      </c>
      <c r="D989" s="40">
        <v>1</v>
      </c>
      <c r="E989" s="43">
        <v>1</v>
      </c>
      <c r="F989" s="44">
        <f ca="1">INDIRECT(ADDRESS(ROW(),COLUMN()-2,4))*INDIRECT(ADDRESS(ROW(),COLUMN()-1,4))</f>
        <v>1</v>
      </c>
    </row>
    <row r="990" spans="1:6" x14ac:dyDescent="0.25">
      <c r="A990" s="40" t="s">
        <v>217</v>
      </c>
      <c r="B990" s="41" t="str">
        <f ca="1">IFERROR(INDEX(UNSPSCDes,MATCH(INDIRECT(ADDRESS(ROW(),COLUMN()-1,4)),UNSPSCCode,0)),IF(INDIRECT(ADDRESS(ROW(),COLUMN()-1,4))="53121608","Bolsas para compras",""))</f>
        <v>Bolsas para compras</v>
      </c>
      <c r="C990" s="42" t="str">
        <f>IFERROR(VLOOKUP("UD",'[1]Informacion '!P:Q,2,FALSE),"")</f>
        <v>Unidad</v>
      </c>
      <c r="D990" s="40">
        <v>1</v>
      </c>
      <c r="E990" s="43">
        <v>1</v>
      </c>
      <c r="F990" s="44">
        <f ca="1">INDIRECT(ADDRESS(ROW(),COLUMN()-2,4))*INDIRECT(ADDRESS(ROW(),COLUMN()-1,4))</f>
        <v>1</v>
      </c>
    </row>
    <row r="991" spans="1:6" x14ac:dyDescent="0.25">
      <c r="A991" s="40" t="s">
        <v>218</v>
      </c>
      <c r="B991" s="41" t="str">
        <f ca="1">IFERROR(INDEX(UNSPSCDes,MATCH(INDIRECT(ADDRESS(ROW(),COLUMN()-1,4)),UNSPSCCode,0)),IF(INDIRECT(ADDRESS(ROW(),COLUMN()-1,4))="31261601","Envoltorios o recubrimientos de plástico",""))</f>
        <v>Envoltorios o recubrimientos de plástico</v>
      </c>
      <c r="C991" s="42" t="str">
        <f>IFERROR(VLOOKUP("UD",'[1]Informacion '!P:Q,2,FALSE),"")</f>
        <v>Unidad</v>
      </c>
      <c r="D991" s="40">
        <v>1</v>
      </c>
      <c r="E991" s="43">
        <v>1</v>
      </c>
      <c r="F991" s="44">
        <f ca="1">INDIRECT(ADDRESS(ROW(),COLUMN()-2,4))*INDIRECT(ADDRESS(ROW(),COLUMN()-1,4))</f>
        <v>1</v>
      </c>
    </row>
    <row r="992" spans="1:6" x14ac:dyDescent="0.25">
      <c r="A992" s="40" t="s">
        <v>219</v>
      </c>
      <c r="B992" s="41" t="str">
        <f ca="1">IFERROR(INDEX(UNSPSCDes,MATCH(INDIRECT(ADDRESS(ROW(),COLUMN()-1,4)),UNSPSCCode,0)),IF(INDIRECT(ADDRESS(ROW(),COLUMN()-1,4))="40142115","Tubería de plástico",""))</f>
        <v>Tubería de plástico</v>
      </c>
      <c r="C992" s="42" t="str">
        <f>IFERROR(VLOOKUP("UD",'[1]Informacion '!P:Q,2,FALSE),"")</f>
        <v>Unidad</v>
      </c>
      <c r="D992" s="40">
        <v>1</v>
      </c>
      <c r="E992" s="43">
        <v>1</v>
      </c>
      <c r="F992" s="44">
        <f ca="1">INDIRECT(ADDRESS(ROW(),COLUMN()-2,4))*INDIRECT(ADDRESS(ROW(),COLUMN()-1,4))</f>
        <v>1</v>
      </c>
    </row>
    <row r="993" spans="1:6" x14ac:dyDescent="0.25">
      <c r="E993" s="45" t="s">
        <v>47</v>
      </c>
      <c r="F993" s="46">
        <f ca="1">SUM(Table88[MONTO TOTAL ESTIMADO])</f>
        <v>4</v>
      </c>
    </row>
    <row r="994" spans="1:6" ht="17.25" thickBot="1" x14ac:dyDescent="0.3"/>
    <row r="995" spans="1:6" ht="23.25" thickBot="1" x14ac:dyDescent="0.3">
      <c r="A995" s="30" t="s">
        <v>18</v>
      </c>
      <c r="B995" s="30" t="s">
        <v>19</v>
      </c>
      <c r="C995" s="30" t="s">
        <v>20</v>
      </c>
      <c r="D995" s="30" t="s">
        <v>21</v>
      </c>
      <c r="E995" s="30" t="s">
        <v>22</v>
      </c>
      <c r="F995" s="30" t="s">
        <v>23</v>
      </c>
    </row>
    <row r="996" spans="1:6" ht="17.25" thickBot="1" x14ac:dyDescent="0.3">
      <c r="A996" s="31" t="s">
        <v>220</v>
      </c>
      <c r="B996" s="31" t="s">
        <v>145</v>
      </c>
      <c r="C996" s="31" t="s">
        <v>92</v>
      </c>
      <c r="D996" s="31" t="s">
        <v>27</v>
      </c>
      <c r="E996" s="31" t="s">
        <v>58</v>
      </c>
      <c r="F996" s="31"/>
    </row>
    <row r="997" spans="1:6" ht="17.25" thickBot="1" x14ac:dyDescent="0.3">
      <c r="A997" s="32" t="s">
        <v>29</v>
      </c>
      <c r="B997" s="33" t="s">
        <v>30</v>
      </c>
      <c r="C997" s="34">
        <v>44958</v>
      </c>
      <c r="D997" s="32" t="s">
        <v>31</v>
      </c>
      <c r="E997" s="35" t="s">
        <v>32</v>
      </c>
      <c r="F997" s="36" t="s">
        <v>33</v>
      </c>
    </row>
    <row r="998" spans="1:6" ht="17.25" thickBot="1" x14ac:dyDescent="0.3">
      <c r="A998" s="37"/>
      <c r="B998" s="33" t="s">
        <v>34</v>
      </c>
      <c r="C998" s="38">
        <f>IF(C997="","",IF(AND(MONTH(C997)&gt;=1,MONTH(C997)&lt;=3),1,IF(AND(MONTH(C997)&gt;=4,MONTH(C997)&lt;=6),2,IF(AND(MONTH(C997)&gt;=7,MONTH(C997)&lt;=9),3,4))))</f>
        <v>1</v>
      </c>
      <c r="D998" s="37"/>
      <c r="E998" s="35" t="s">
        <v>35</v>
      </c>
      <c r="F998" s="36" t="s">
        <v>36</v>
      </c>
    </row>
    <row r="999" spans="1:6" ht="17.25" thickBot="1" x14ac:dyDescent="0.3">
      <c r="A999" s="37"/>
      <c r="B999" s="33" t="s">
        <v>37</v>
      </c>
      <c r="C999" s="34">
        <v>45015</v>
      </c>
      <c r="D999" s="37"/>
      <c r="E999" s="35" t="s">
        <v>38</v>
      </c>
      <c r="F999" s="36" t="s">
        <v>36</v>
      </c>
    </row>
    <row r="1000" spans="1:6" ht="17.25" thickBot="1" x14ac:dyDescent="0.3">
      <c r="A1000" s="37"/>
      <c r="B1000" s="33" t="s">
        <v>34</v>
      </c>
      <c r="C1000" s="38">
        <f>IF(C999="","",IF(AND(MONTH(C999)&gt;=1,MONTH(C999)&lt;=3),1,IF(AND(MONTH(C999)&gt;=4,MONTH(C999)&lt;=6),2,IF(AND(MONTH(C999)&gt;=7,MONTH(C999)&lt;=9),3,4))))</f>
        <v>1</v>
      </c>
      <c r="D1000" s="37"/>
      <c r="E1000" s="35" t="s">
        <v>39</v>
      </c>
      <c r="F1000" s="36" t="s">
        <v>36</v>
      </c>
    </row>
    <row r="1001" spans="1:6" ht="17.25" thickBot="1" x14ac:dyDescent="0.3"/>
    <row r="1002" spans="1:6" ht="17.25" thickBot="1" x14ac:dyDescent="0.3">
      <c r="A1002" s="39" t="s">
        <v>40</v>
      </c>
      <c r="B1002" s="39" t="s">
        <v>41</v>
      </c>
      <c r="C1002" s="39" t="s">
        <v>42</v>
      </c>
      <c r="D1002" s="39" t="s">
        <v>43</v>
      </c>
      <c r="E1002" s="39" t="s">
        <v>44</v>
      </c>
      <c r="F1002" s="39" t="s">
        <v>45</v>
      </c>
    </row>
    <row r="1003" spans="1:6" x14ac:dyDescent="0.25">
      <c r="A1003" s="40" t="s">
        <v>221</v>
      </c>
      <c r="B1003" s="41" t="str">
        <f ca="1">IFERROR(INDEX(UNSPSCDes,MATCH(INDIRECT(ADDRESS(ROW(),COLUMN()-1,4)),UNSPSCCode,0)),IF(INDIRECT(ADDRESS(ROW(),COLUMN()-1,4))="30111601","Cemento",""))</f>
        <v>Cemento</v>
      </c>
      <c r="C1003" s="42" t="str">
        <f>IFERROR(VLOOKUP("UD",'[1]Informacion '!P:Q,2,FALSE),"")</f>
        <v>Unidad</v>
      </c>
      <c r="D1003" s="40">
        <v>1</v>
      </c>
      <c r="E1003" s="43">
        <v>60000</v>
      </c>
      <c r="F1003" s="44">
        <f ca="1">INDIRECT(ADDRESS(ROW(),COLUMN()-2,4))*INDIRECT(ADDRESS(ROW(),COLUMN()-1,4))</f>
        <v>60000</v>
      </c>
    </row>
    <row r="1004" spans="1:6" x14ac:dyDescent="0.25">
      <c r="E1004" s="45" t="s">
        <v>47</v>
      </c>
      <c r="F1004" s="46">
        <f ca="1">SUM(Table89[MONTO TOTAL ESTIMADO])</f>
        <v>60000</v>
      </c>
    </row>
    <row r="1005" spans="1:6" ht="17.25" thickBot="1" x14ac:dyDescent="0.3"/>
    <row r="1006" spans="1:6" ht="23.25" thickBot="1" x14ac:dyDescent="0.3">
      <c r="A1006" s="30" t="s">
        <v>18</v>
      </c>
      <c r="B1006" s="30" t="s">
        <v>19</v>
      </c>
      <c r="C1006" s="30" t="s">
        <v>20</v>
      </c>
      <c r="D1006" s="30" t="s">
        <v>21</v>
      </c>
      <c r="E1006" s="30" t="s">
        <v>22</v>
      </c>
      <c r="F1006" s="30" t="s">
        <v>23</v>
      </c>
    </row>
    <row r="1007" spans="1:6" ht="17.25" thickBot="1" x14ac:dyDescent="0.3">
      <c r="A1007" s="31" t="s">
        <v>220</v>
      </c>
      <c r="B1007" s="31" t="s">
        <v>145</v>
      </c>
      <c r="C1007" s="31" t="s">
        <v>92</v>
      </c>
      <c r="D1007" s="31" t="s">
        <v>27</v>
      </c>
      <c r="E1007" s="31" t="s">
        <v>58</v>
      </c>
      <c r="F1007" s="31"/>
    </row>
    <row r="1008" spans="1:6" ht="17.25" thickBot="1" x14ac:dyDescent="0.3">
      <c r="A1008" s="32" t="s">
        <v>29</v>
      </c>
      <c r="B1008" s="33" t="s">
        <v>30</v>
      </c>
      <c r="C1008" s="34">
        <v>45107</v>
      </c>
      <c r="D1008" s="32" t="s">
        <v>31</v>
      </c>
      <c r="E1008" s="35" t="s">
        <v>32</v>
      </c>
      <c r="F1008" s="36" t="s">
        <v>33</v>
      </c>
    </row>
    <row r="1009" spans="1:6" ht="17.25" thickBot="1" x14ac:dyDescent="0.3">
      <c r="A1009" s="37"/>
      <c r="B1009" s="33" t="s">
        <v>34</v>
      </c>
      <c r="C1009" s="38">
        <f>IF(C1008="","",IF(AND(MONTH(C1008)&gt;=1,MONTH(C1008)&lt;=3),1,IF(AND(MONTH(C1008)&gt;=4,MONTH(C1008)&lt;=6),2,IF(AND(MONTH(C1008)&gt;=7,MONTH(C1008)&lt;=9),3,4))))</f>
        <v>2</v>
      </c>
      <c r="D1009" s="37"/>
      <c r="E1009" s="35" t="s">
        <v>35</v>
      </c>
      <c r="F1009" s="36" t="s">
        <v>36</v>
      </c>
    </row>
    <row r="1010" spans="1:6" ht="17.25" thickBot="1" x14ac:dyDescent="0.3">
      <c r="A1010" s="37"/>
      <c r="B1010" s="33" t="s">
        <v>37</v>
      </c>
      <c r="C1010" s="34">
        <v>45198</v>
      </c>
      <c r="D1010" s="37"/>
      <c r="E1010" s="35" t="s">
        <v>38</v>
      </c>
      <c r="F1010" s="36" t="s">
        <v>36</v>
      </c>
    </row>
    <row r="1011" spans="1:6" ht="17.25" thickBot="1" x14ac:dyDescent="0.3">
      <c r="A1011" s="37"/>
      <c r="B1011" s="33" t="s">
        <v>34</v>
      </c>
      <c r="C1011" s="38">
        <f>IF(C1010="","",IF(AND(MONTH(C1010)&gt;=1,MONTH(C1010)&lt;=3),1,IF(AND(MONTH(C1010)&gt;=4,MONTH(C1010)&lt;=6),2,IF(AND(MONTH(C1010)&gt;=7,MONTH(C1010)&lt;=9),3,4))))</f>
        <v>3</v>
      </c>
      <c r="D1011" s="37"/>
      <c r="E1011" s="35" t="s">
        <v>39</v>
      </c>
      <c r="F1011" s="36" t="s">
        <v>36</v>
      </c>
    </row>
    <row r="1012" spans="1:6" ht="17.25" thickBot="1" x14ac:dyDescent="0.3"/>
    <row r="1013" spans="1:6" ht="17.25" thickBot="1" x14ac:dyDescent="0.3">
      <c r="A1013" s="39" t="s">
        <v>40</v>
      </c>
      <c r="B1013" s="39" t="s">
        <v>41</v>
      </c>
      <c r="C1013" s="39" t="s">
        <v>42</v>
      </c>
      <c r="D1013" s="39" t="s">
        <v>43</v>
      </c>
      <c r="E1013" s="39" t="s">
        <v>44</v>
      </c>
      <c r="F1013" s="39" t="s">
        <v>45</v>
      </c>
    </row>
    <row r="1014" spans="1:6" x14ac:dyDescent="0.25">
      <c r="A1014" s="40" t="s">
        <v>221</v>
      </c>
      <c r="B1014" s="41" t="str">
        <f ca="1">IFERROR(INDEX(UNSPSCDes,MATCH(INDIRECT(ADDRESS(ROW(),COLUMN()-1,4)),UNSPSCCode,0)),IF(INDIRECT(ADDRESS(ROW(),COLUMN()-1,4))="30111601","Cemento",""))</f>
        <v>Cemento</v>
      </c>
      <c r="C1014" s="42" t="str">
        <f>IFERROR(VLOOKUP("UD",'[1]Informacion '!P:Q,2,FALSE),"")</f>
        <v>Unidad</v>
      </c>
      <c r="D1014" s="40">
        <v>1</v>
      </c>
      <c r="E1014" s="43">
        <v>50000</v>
      </c>
      <c r="F1014" s="44">
        <f ca="1">INDIRECT(ADDRESS(ROW(),COLUMN()-2,4))*INDIRECT(ADDRESS(ROW(),COLUMN()-1,4))</f>
        <v>50000</v>
      </c>
    </row>
    <row r="1015" spans="1:6" x14ac:dyDescent="0.25">
      <c r="E1015" s="45" t="s">
        <v>47</v>
      </c>
      <c r="F1015" s="46">
        <f ca="1">SUM(Table90[MONTO TOTAL ESTIMADO])</f>
        <v>50000</v>
      </c>
    </row>
    <row r="1016" spans="1:6" ht="17.25" thickBot="1" x14ac:dyDescent="0.3"/>
    <row r="1017" spans="1:6" ht="23.25" thickBot="1" x14ac:dyDescent="0.3">
      <c r="A1017" s="30" t="s">
        <v>18</v>
      </c>
      <c r="B1017" s="30" t="s">
        <v>19</v>
      </c>
      <c r="C1017" s="30" t="s">
        <v>20</v>
      </c>
      <c r="D1017" s="30" t="s">
        <v>21</v>
      </c>
      <c r="E1017" s="30" t="s">
        <v>22</v>
      </c>
      <c r="F1017" s="30" t="s">
        <v>23</v>
      </c>
    </row>
    <row r="1018" spans="1:6" ht="17.25" thickBot="1" x14ac:dyDescent="0.3">
      <c r="A1018" s="31" t="s">
        <v>222</v>
      </c>
      <c r="B1018" s="31" t="s">
        <v>145</v>
      </c>
      <c r="C1018" s="31" t="s">
        <v>92</v>
      </c>
      <c r="D1018" s="31" t="s">
        <v>27</v>
      </c>
      <c r="E1018" s="31" t="s">
        <v>58</v>
      </c>
      <c r="F1018" s="31"/>
    </row>
    <row r="1019" spans="1:6" ht="17.25" thickBot="1" x14ac:dyDescent="0.3">
      <c r="A1019" s="32" t="s">
        <v>29</v>
      </c>
      <c r="B1019" s="33" t="s">
        <v>30</v>
      </c>
      <c r="C1019" s="34">
        <v>44958</v>
      </c>
      <c r="D1019" s="32" t="s">
        <v>31</v>
      </c>
      <c r="E1019" s="35" t="s">
        <v>32</v>
      </c>
      <c r="F1019" s="36" t="s">
        <v>33</v>
      </c>
    </row>
    <row r="1020" spans="1:6" ht="17.25" thickBot="1" x14ac:dyDescent="0.3">
      <c r="A1020" s="37"/>
      <c r="B1020" s="33" t="s">
        <v>34</v>
      </c>
      <c r="C1020" s="38">
        <f>IF(C1019="","",IF(AND(MONTH(C1019)&gt;=1,MONTH(C1019)&lt;=3),1,IF(AND(MONTH(C1019)&gt;=4,MONTH(C1019)&lt;=6),2,IF(AND(MONTH(C1019)&gt;=7,MONTH(C1019)&lt;=9),3,4))))</f>
        <v>1</v>
      </c>
      <c r="D1020" s="37"/>
      <c r="E1020" s="35" t="s">
        <v>35</v>
      </c>
      <c r="F1020" s="36" t="s">
        <v>36</v>
      </c>
    </row>
    <row r="1021" spans="1:6" ht="17.25" thickBot="1" x14ac:dyDescent="0.3">
      <c r="A1021" s="37"/>
      <c r="B1021" s="33" t="s">
        <v>37</v>
      </c>
      <c r="C1021" s="34">
        <v>45015</v>
      </c>
      <c r="D1021" s="37"/>
      <c r="E1021" s="35" t="s">
        <v>38</v>
      </c>
      <c r="F1021" s="36" t="s">
        <v>36</v>
      </c>
    </row>
    <row r="1022" spans="1:6" ht="17.25" thickBot="1" x14ac:dyDescent="0.3">
      <c r="A1022" s="37"/>
      <c r="B1022" s="33" t="s">
        <v>34</v>
      </c>
      <c r="C1022" s="38">
        <f>IF(C1021="","",IF(AND(MONTH(C1021)&gt;=1,MONTH(C1021)&lt;=3),1,IF(AND(MONTH(C1021)&gt;=4,MONTH(C1021)&lt;=6),2,IF(AND(MONTH(C1021)&gt;=7,MONTH(C1021)&lt;=9),3,4))))</f>
        <v>1</v>
      </c>
      <c r="D1022" s="37"/>
      <c r="E1022" s="35" t="s">
        <v>39</v>
      </c>
      <c r="F1022" s="36" t="s">
        <v>36</v>
      </c>
    </row>
    <row r="1023" spans="1:6" ht="17.25" thickBot="1" x14ac:dyDescent="0.3"/>
    <row r="1024" spans="1:6" ht="17.25" thickBot="1" x14ac:dyDescent="0.3">
      <c r="A1024" s="39" t="s">
        <v>40</v>
      </c>
      <c r="B1024" s="39" t="s">
        <v>41</v>
      </c>
      <c r="C1024" s="39" t="s">
        <v>42</v>
      </c>
      <c r="D1024" s="39" t="s">
        <v>43</v>
      </c>
      <c r="E1024" s="39" t="s">
        <v>44</v>
      </c>
      <c r="F1024" s="39" t="s">
        <v>45</v>
      </c>
    </row>
    <row r="1025" spans="1:6" x14ac:dyDescent="0.25">
      <c r="A1025" s="40" t="s">
        <v>223</v>
      </c>
      <c r="B1025" s="41" t="str">
        <f ca="1">IFERROR(INDEX(UNSPSCDes,MATCH(INDIRECT(ADDRESS(ROW(),COLUMN()-1,4)),UNSPSCCode,0)),IF(INDIRECT(ADDRESS(ROW(),COLUMN()-1,4))="60124320","Compuestos de yeso",""))</f>
        <v>Compuestos de yeso</v>
      </c>
      <c r="C1025" s="42" t="str">
        <f>IFERROR(VLOOKUP("UD",'[1]Informacion '!P:Q,2,FALSE),"")</f>
        <v>Unidad</v>
      </c>
      <c r="D1025" s="40">
        <v>1</v>
      </c>
      <c r="E1025" s="43">
        <v>50000</v>
      </c>
      <c r="F1025" s="44">
        <f ca="1">INDIRECT(ADDRESS(ROW(),COLUMN()-2,4))*INDIRECT(ADDRESS(ROW(),COLUMN()-1,4))</f>
        <v>50000</v>
      </c>
    </row>
    <row r="1026" spans="1:6" x14ac:dyDescent="0.25">
      <c r="E1026" s="45" t="s">
        <v>47</v>
      </c>
      <c r="F1026" s="46">
        <f ca="1">SUM(Table91[MONTO TOTAL ESTIMADO])</f>
        <v>50000</v>
      </c>
    </row>
    <row r="1027" spans="1:6" ht="17.25" thickBot="1" x14ac:dyDescent="0.3"/>
    <row r="1028" spans="1:6" ht="23.25" thickBot="1" x14ac:dyDescent="0.3">
      <c r="A1028" s="30" t="s">
        <v>18</v>
      </c>
      <c r="B1028" s="30" t="s">
        <v>19</v>
      </c>
      <c r="C1028" s="30" t="s">
        <v>20</v>
      </c>
      <c r="D1028" s="30" t="s">
        <v>21</v>
      </c>
      <c r="E1028" s="30" t="s">
        <v>22</v>
      </c>
      <c r="F1028" s="30" t="s">
        <v>23</v>
      </c>
    </row>
    <row r="1029" spans="1:6" ht="17.25" thickBot="1" x14ac:dyDescent="0.3">
      <c r="A1029" s="31" t="s">
        <v>222</v>
      </c>
      <c r="B1029" s="31" t="s">
        <v>145</v>
      </c>
      <c r="C1029" s="31" t="s">
        <v>92</v>
      </c>
      <c r="D1029" s="31" t="s">
        <v>27</v>
      </c>
      <c r="E1029" s="31" t="s">
        <v>58</v>
      </c>
      <c r="F1029" s="31"/>
    </row>
    <row r="1030" spans="1:6" ht="17.25" thickBot="1" x14ac:dyDescent="0.3">
      <c r="A1030" s="32" t="s">
        <v>29</v>
      </c>
      <c r="B1030" s="33" t="s">
        <v>30</v>
      </c>
      <c r="C1030" s="34">
        <v>45107</v>
      </c>
      <c r="D1030" s="32" t="s">
        <v>31</v>
      </c>
      <c r="E1030" s="35" t="s">
        <v>32</v>
      </c>
      <c r="F1030" s="36" t="s">
        <v>33</v>
      </c>
    </row>
    <row r="1031" spans="1:6" ht="17.25" thickBot="1" x14ac:dyDescent="0.3">
      <c r="A1031" s="37"/>
      <c r="B1031" s="33" t="s">
        <v>34</v>
      </c>
      <c r="C1031" s="38">
        <f>IF(C1030="","",IF(AND(MONTH(C1030)&gt;=1,MONTH(C1030)&lt;=3),1,IF(AND(MONTH(C1030)&gt;=4,MONTH(C1030)&lt;=6),2,IF(AND(MONTH(C1030)&gt;=7,MONTH(C1030)&lt;=9),3,4))))</f>
        <v>2</v>
      </c>
      <c r="D1031" s="37"/>
      <c r="E1031" s="35" t="s">
        <v>35</v>
      </c>
      <c r="F1031" s="36" t="s">
        <v>36</v>
      </c>
    </row>
    <row r="1032" spans="1:6" ht="17.25" thickBot="1" x14ac:dyDescent="0.3">
      <c r="A1032" s="37"/>
      <c r="B1032" s="33" t="s">
        <v>37</v>
      </c>
      <c r="C1032" s="34">
        <v>45198</v>
      </c>
      <c r="D1032" s="37"/>
      <c r="E1032" s="35" t="s">
        <v>38</v>
      </c>
      <c r="F1032" s="36" t="s">
        <v>36</v>
      </c>
    </row>
    <row r="1033" spans="1:6" ht="17.25" thickBot="1" x14ac:dyDescent="0.3">
      <c r="A1033" s="37"/>
      <c r="B1033" s="33" t="s">
        <v>34</v>
      </c>
      <c r="C1033" s="38">
        <f>IF(C1032="","",IF(AND(MONTH(C1032)&gt;=1,MONTH(C1032)&lt;=3),1,IF(AND(MONTH(C1032)&gt;=4,MONTH(C1032)&lt;=6),2,IF(AND(MONTH(C1032)&gt;=7,MONTH(C1032)&lt;=9),3,4))))</f>
        <v>3</v>
      </c>
      <c r="D1033" s="37"/>
      <c r="E1033" s="35" t="s">
        <v>39</v>
      </c>
      <c r="F1033" s="36" t="s">
        <v>36</v>
      </c>
    </row>
    <row r="1034" spans="1:6" ht="17.25" thickBot="1" x14ac:dyDescent="0.3"/>
    <row r="1035" spans="1:6" ht="17.25" thickBot="1" x14ac:dyDescent="0.3">
      <c r="A1035" s="39" t="s">
        <v>40</v>
      </c>
      <c r="B1035" s="39" t="s">
        <v>41</v>
      </c>
      <c r="C1035" s="39" t="s">
        <v>42</v>
      </c>
      <c r="D1035" s="39" t="s">
        <v>43</v>
      </c>
      <c r="E1035" s="39" t="s">
        <v>44</v>
      </c>
      <c r="F1035" s="39" t="s">
        <v>45</v>
      </c>
    </row>
    <row r="1036" spans="1:6" x14ac:dyDescent="0.25">
      <c r="A1036" s="40" t="s">
        <v>223</v>
      </c>
      <c r="B1036" s="41" t="str">
        <f ca="1">IFERROR(INDEX(UNSPSCDes,MATCH(INDIRECT(ADDRESS(ROW(),COLUMN()-1,4)),UNSPSCCode,0)),IF(INDIRECT(ADDRESS(ROW(),COLUMN()-1,4))="60124320","Compuestos de yeso",""))</f>
        <v>Compuestos de yeso</v>
      </c>
      <c r="C1036" s="42" t="str">
        <f>IFERROR(VLOOKUP("UD",'[1]Informacion '!P:Q,2,FALSE),"")</f>
        <v>Unidad</v>
      </c>
      <c r="D1036" s="40">
        <v>1</v>
      </c>
      <c r="E1036" s="43">
        <v>50000</v>
      </c>
      <c r="F1036" s="44">
        <f ca="1">INDIRECT(ADDRESS(ROW(),COLUMN()-2,4))*INDIRECT(ADDRESS(ROW(),COLUMN()-1,4))</f>
        <v>50000</v>
      </c>
    </row>
    <row r="1037" spans="1:6" x14ac:dyDescent="0.25">
      <c r="E1037" s="45" t="s">
        <v>47</v>
      </c>
      <c r="F1037" s="46">
        <f ca="1">SUM(Table92[MONTO TOTAL ESTIMADO])</f>
        <v>50000</v>
      </c>
    </row>
    <row r="1038" spans="1:6" ht="17.25" thickBot="1" x14ac:dyDescent="0.3"/>
    <row r="1039" spans="1:6" ht="23.25" thickBot="1" x14ac:dyDescent="0.3">
      <c r="A1039" s="30" t="s">
        <v>18</v>
      </c>
      <c r="B1039" s="30" t="s">
        <v>19</v>
      </c>
      <c r="C1039" s="30" t="s">
        <v>20</v>
      </c>
      <c r="D1039" s="30" t="s">
        <v>21</v>
      </c>
      <c r="E1039" s="30" t="s">
        <v>22</v>
      </c>
      <c r="F1039" s="30" t="s">
        <v>23</v>
      </c>
    </row>
    <row r="1040" spans="1:6" ht="17.25" thickBot="1" x14ac:dyDescent="0.3">
      <c r="A1040" s="31" t="s">
        <v>224</v>
      </c>
      <c r="B1040" s="31" t="s">
        <v>145</v>
      </c>
      <c r="C1040" s="31" t="s">
        <v>92</v>
      </c>
      <c r="D1040" s="31" t="s">
        <v>27</v>
      </c>
      <c r="E1040" s="31" t="s">
        <v>58</v>
      </c>
      <c r="F1040" s="31"/>
    </row>
    <row r="1041" spans="1:6" ht="17.25" thickBot="1" x14ac:dyDescent="0.3">
      <c r="A1041" s="32" t="s">
        <v>29</v>
      </c>
      <c r="B1041" s="33" t="s">
        <v>30</v>
      </c>
      <c r="C1041" s="34">
        <v>44958</v>
      </c>
      <c r="D1041" s="32" t="s">
        <v>31</v>
      </c>
      <c r="E1041" s="35" t="s">
        <v>32</v>
      </c>
      <c r="F1041" s="36" t="s">
        <v>33</v>
      </c>
    </row>
    <row r="1042" spans="1:6" ht="17.25" thickBot="1" x14ac:dyDescent="0.3">
      <c r="A1042" s="37"/>
      <c r="B1042" s="33" t="s">
        <v>34</v>
      </c>
      <c r="C1042" s="38">
        <f>IF(C1041="","",IF(AND(MONTH(C1041)&gt;=1,MONTH(C1041)&lt;=3),1,IF(AND(MONTH(C1041)&gt;=4,MONTH(C1041)&lt;=6),2,IF(AND(MONTH(C1041)&gt;=7,MONTH(C1041)&lt;=9),3,4))))</f>
        <v>1</v>
      </c>
      <c r="D1042" s="37"/>
      <c r="E1042" s="35" t="s">
        <v>35</v>
      </c>
      <c r="F1042" s="36" t="s">
        <v>36</v>
      </c>
    </row>
    <row r="1043" spans="1:6" ht="17.25" thickBot="1" x14ac:dyDescent="0.3">
      <c r="A1043" s="37"/>
      <c r="B1043" s="33" t="s">
        <v>37</v>
      </c>
      <c r="C1043" s="34">
        <v>45015</v>
      </c>
      <c r="D1043" s="37"/>
      <c r="E1043" s="35" t="s">
        <v>38</v>
      </c>
      <c r="F1043" s="36" t="s">
        <v>36</v>
      </c>
    </row>
    <row r="1044" spans="1:6" ht="17.25" thickBot="1" x14ac:dyDescent="0.3">
      <c r="A1044" s="37"/>
      <c r="B1044" s="33" t="s">
        <v>34</v>
      </c>
      <c r="C1044" s="38">
        <f>IF(C1043="","",IF(AND(MONTH(C1043)&gt;=1,MONTH(C1043)&lt;=3),1,IF(AND(MONTH(C1043)&gt;=4,MONTH(C1043)&lt;=6),2,IF(AND(MONTH(C1043)&gt;=7,MONTH(C1043)&lt;=9),3,4))))</f>
        <v>1</v>
      </c>
      <c r="D1044" s="37"/>
      <c r="E1044" s="35" t="s">
        <v>39</v>
      </c>
      <c r="F1044" s="36" t="s">
        <v>36</v>
      </c>
    </row>
    <row r="1045" spans="1:6" ht="17.25" thickBot="1" x14ac:dyDescent="0.3"/>
    <row r="1046" spans="1:6" ht="17.25" thickBot="1" x14ac:dyDescent="0.3">
      <c r="A1046" s="39" t="s">
        <v>40</v>
      </c>
      <c r="B1046" s="39" t="s">
        <v>41</v>
      </c>
      <c r="C1046" s="39" t="s">
        <v>42</v>
      </c>
      <c r="D1046" s="39" t="s">
        <v>43</v>
      </c>
      <c r="E1046" s="39" t="s">
        <v>44</v>
      </c>
      <c r="F1046" s="39" t="s">
        <v>45</v>
      </c>
    </row>
    <row r="1047" spans="1:6" x14ac:dyDescent="0.25">
      <c r="A1047" s="40" t="s">
        <v>225</v>
      </c>
      <c r="B1047" s="41" t="str">
        <f ca="1">IFERROR(INDEX(UNSPSCDes,MATCH(INDIRECT(ADDRESS(ROW(),COLUMN()-1,4)),UNSPSCCode,0)),IF(INDIRECT(ADDRESS(ROW(),COLUMN()-1,4))="60122906","Cuentas de vidrio",""))</f>
        <v>Cuentas de vidrio</v>
      </c>
      <c r="C1047" s="42" t="str">
        <f>IFERROR(VLOOKUP("UD",'[1]Informacion '!P:Q,2,FALSE),"")</f>
        <v>Unidad</v>
      </c>
      <c r="D1047" s="40">
        <v>1</v>
      </c>
      <c r="E1047" s="43">
        <v>1</v>
      </c>
      <c r="F1047" s="44">
        <f ca="1">INDIRECT(ADDRESS(ROW(),COLUMN()-2,4))*INDIRECT(ADDRESS(ROW(),COLUMN()-1,4))</f>
        <v>1</v>
      </c>
    </row>
    <row r="1048" spans="1:6" x14ac:dyDescent="0.25">
      <c r="E1048" s="45" t="s">
        <v>47</v>
      </c>
      <c r="F1048" s="46">
        <f ca="1">SUM(Table93[MONTO TOTAL ESTIMADO])</f>
        <v>1</v>
      </c>
    </row>
    <row r="1049" spans="1:6" ht="17.25" thickBot="1" x14ac:dyDescent="0.3"/>
    <row r="1050" spans="1:6" ht="23.25" thickBot="1" x14ac:dyDescent="0.3">
      <c r="A1050" s="30" t="s">
        <v>18</v>
      </c>
      <c r="B1050" s="30" t="s">
        <v>19</v>
      </c>
      <c r="C1050" s="30" t="s">
        <v>20</v>
      </c>
      <c r="D1050" s="30" t="s">
        <v>21</v>
      </c>
      <c r="E1050" s="30" t="s">
        <v>22</v>
      </c>
      <c r="F1050" s="30" t="s">
        <v>23</v>
      </c>
    </row>
    <row r="1051" spans="1:6" ht="17.25" thickBot="1" x14ac:dyDescent="0.3">
      <c r="A1051" s="31" t="s">
        <v>224</v>
      </c>
      <c r="B1051" s="31" t="s">
        <v>145</v>
      </c>
      <c r="C1051" s="31" t="s">
        <v>92</v>
      </c>
      <c r="D1051" s="31" t="s">
        <v>27</v>
      </c>
      <c r="E1051" s="31" t="s">
        <v>58</v>
      </c>
      <c r="F1051" s="31"/>
    </row>
    <row r="1052" spans="1:6" ht="17.25" thickBot="1" x14ac:dyDescent="0.3">
      <c r="A1052" s="32" t="s">
        <v>29</v>
      </c>
      <c r="B1052" s="33" t="s">
        <v>30</v>
      </c>
      <c r="C1052" s="34">
        <v>45107</v>
      </c>
      <c r="D1052" s="32" t="s">
        <v>31</v>
      </c>
      <c r="E1052" s="35" t="s">
        <v>32</v>
      </c>
      <c r="F1052" s="36" t="s">
        <v>33</v>
      </c>
    </row>
    <row r="1053" spans="1:6" ht="17.25" thickBot="1" x14ac:dyDescent="0.3">
      <c r="A1053" s="37"/>
      <c r="B1053" s="33" t="s">
        <v>34</v>
      </c>
      <c r="C1053" s="38">
        <f>IF(C1052="","",IF(AND(MONTH(C1052)&gt;=1,MONTH(C1052)&lt;=3),1,IF(AND(MONTH(C1052)&gt;=4,MONTH(C1052)&lt;=6),2,IF(AND(MONTH(C1052)&gt;=7,MONTH(C1052)&lt;=9),3,4))))</f>
        <v>2</v>
      </c>
      <c r="D1053" s="37"/>
      <c r="E1053" s="35" t="s">
        <v>35</v>
      </c>
      <c r="F1053" s="36" t="s">
        <v>36</v>
      </c>
    </row>
    <row r="1054" spans="1:6" ht="17.25" thickBot="1" x14ac:dyDescent="0.3">
      <c r="A1054" s="37"/>
      <c r="B1054" s="33" t="s">
        <v>37</v>
      </c>
      <c r="C1054" s="34">
        <v>45198</v>
      </c>
      <c r="D1054" s="37"/>
      <c r="E1054" s="35" t="s">
        <v>38</v>
      </c>
      <c r="F1054" s="36" t="s">
        <v>36</v>
      </c>
    </row>
    <row r="1055" spans="1:6" ht="17.25" thickBot="1" x14ac:dyDescent="0.3">
      <c r="A1055" s="37"/>
      <c r="B1055" s="33" t="s">
        <v>34</v>
      </c>
      <c r="C1055" s="38">
        <f>IF(C1054="","",IF(AND(MONTH(C1054)&gt;=1,MONTH(C1054)&lt;=3),1,IF(AND(MONTH(C1054)&gt;=4,MONTH(C1054)&lt;=6),2,IF(AND(MONTH(C1054)&gt;=7,MONTH(C1054)&lt;=9),3,4))))</f>
        <v>3</v>
      </c>
      <c r="D1055" s="37"/>
      <c r="E1055" s="35" t="s">
        <v>39</v>
      </c>
      <c r="F1055" s="36" t="s">
        <v>36</v>
      </c>
    </row>
    <row r="1056" spans="1:6" ht="17.25" thickBot="1" x14ac:dyDescent="0.3"/>
    <row r="1057" spans="1:6" ht="17.25" thickBot="1" x14ac:dyDescent="0.3">
      <c r="A1057" s="39" t="s">
        <v>40</v>
      </c>
      <c r="B1057" s="39" t="s">
        <v>41</v>
      </c>
      <c r="C1057" s="39" t="s">
        <v>42</v>
      </c>
      <c r="D1057" s="39" t="s">
        <v>43</v>
      </c>
      <c r="E1057" s="39" t="s">
        <v>44</v>
      </c>
      <c r="F1057" s="39" t="s">
        <v>45</v>
      </c>
    </row>
    <row r="1058" spans="1:6" x14ac:dyDescent="0.25">
      <c r="A1058" s="40" t="s">
        <v>225</v>
      </c>
      <c r="B1058" s="41" t="str">
        <f ca="1">IFERROR(INDEX(UNSPSCDes,MATCH(INDIRECT(ADDRESS(ROW(),COLUMN()-1,4)),UNSPSCCode,0)),IF(INDIRECT(ADDRESS(ROW(),COLUMN()-1,4))="60122906","Cuentas de vidrio",""))</f>
        <v>Cuentas de vidrio</v>
      </c>
      <c r="C1058" s="42" t="str">
        <f>IFERROR(VLOOKUP("UD",'[1]Informacion '!P:Q,2,FALSE),"")</f>
        <v>Unidad</v>
      </c>
      <c r="D1058" s="40">
        <v>1</v>
      </c>
      <c r="E1058" s="43">
        <v>1</v>
      </c>
      <c r="F1058" s="44">
        <f ca="1">INDIRECT(ADDRESS(ROW(),COLUMN()-2,4))*INDIRECT(ADDRESS(ROW(),COLUMN()-1,4))</f>
        <v>1</v>
      </c>
    </row>
    <row r="1059" spans="1:6" x14ac:dyDescent="0.25">
      <c r="A1059" s="40" t="s">
        <v>226</v>
      </c>
      <c r="B1059" s="41" t="str">
        <f ca="1">IFERROR(INDEX(UNSPSCDes,MATCH(INDIRECT(ADDRESS(ROW(),COLUMN()-1,4)),UNSPSCCode,0)),IF(INDIRECT(ADDRESS(ROW(),COLUMN()-1,4))="30171705","Vidrio laminado",""))</f>
        <v>Vidrio laminado</v>
      </c>
      <c r="C1059" s="42" t="str">
        <f>IFERROR(VLOOKUP("UD",'[1]Informacion '!P:Q,2,FALSE),"")</f>
        <v>Unidad</v>
      </c>
      <c r="D1059" s="40">
        <v>1</v>
      </c>
      <c r="E1059" s="43">
        <v>1</v>
      </c>
      <c r="F1059" s="44">
        <f ca="1">INDIRECT(ADDRESS(ROW(),COLUMN()-2,4))*INDIRECT(ADDRESS(ROW(),COLUMN()-1,4))</f>
        <v>1</v>
      </c>
    </row>
    <row r="1060" spans="1:6" x14ac:dyDescent="0.25">
      <c r="E1060" s="45" t="s">
        <v>47</v>
      </c>
      <c r="F1060" s="46">
        <f ca="1">SUM(Table94[MONTO TOTAL ESTIMADO])</f>
        <v>2</v>
      </c>
    </row>
    <row r="1061" spans="1:6" ht="17.25" thickBot="1" x14ac:dyDescent="0.3"/>
    <row r="1062" spans="1:6" ht="23.25" thickBot="1" x14ac:dyDescent="0.3">
      <c r="A1062" s="30" t="s">
        <v>18</v>
      </c>
      <c r="B1062" s="30" t="s">
        <v>19</v>
      </c>
      <c r="C1062" s="30" t="s">
        <v>20</v>
      </c>
      <c r="D1062" s="30" t="s">
        <v>21</v>
      </c>
      <c r="E1062" s="30" t="s">
        <v>22</v>
      </c>
      <c r="F1062" s="30" t="s">
        <v>23</v>
      </c>
    </row>
    <row r="1063" spans="1:6" ht="17.25" thickBot="1" x14ac:dyDescent="0.3">
      <c r="A1063" s="31" t="s">
        <v>227</v>
      </c>
      <c r="B1063" s="31" t="s">
        <v>145</v>
      </c>
      <c r="C1063" s="31" t="s">
        <v>92</v>
      </c>
      <c r="D1063" s="31" t="s">
        <v>27</v>
      </c>
      <c r="E1063" s="31" t="s">
        <v>58</v>
      </c>
      <c r="F1063" s="31"/>
    </row>
    <row r="1064" spans="1:6" ht="17.25" thickBot="1" x14ac:dyDescent="0.3">
      <c r="A1064" s="32" t="s">
        <v>29</v>
      </c>
      <c r="B1064" s="33" t="s">
        <v>30</v>
      </c>
      <c r="C1064" s="34">
        <v>44958</v>
      </c>
      <c r="D1064" s="32" t="s">
        <v>31</v>
      </c>
      <c r="E1064" s="35" t="s">
        <v>32</v>
      </c>
      <c r="F1064" s="36" t="s">
        <v>33</v>
      </c>
    </row>
    <row r="1065" spans="1:6" ht="17.25" thickBot="1" x14ac:dyDescent="0.3">
      <c r="A1065" s="37"/>
      <c r="B1065" s="33" t="s">
        <v>34</v>
      </c>
      <c r="C1065" s="38">
        <f>IF(C1064="","",IF(AND(MONTH(C1064)&gt;=1,MONTH(C1064)&lt;=3),1,IF(AND(MONTH(C1064)&gt;=4,MONTH(C1064)&lt;=6),2,IF(AND(MONTH(C1064)&gt;=7,MONTH(C1064)&lt;=9),3,4))))</f>
        <v>1</v>
      </c>
      <c r="D1065" s="37"/>
      <c r="E1065" s="35" t="s">
        <v>35</v>
      </c>
      <c r="F1065" s="36" t="s">
        <v>36</v>
      </c>
    </row>
    <row r="1066" spans="1:6" ht="17.25" thickBot="1" x14ac:dyDescent="0.3">
      <c r="A1066" s="37"/>
      <c r="B1066" s="33" t="s">
        <v>37</v>
      </c>
      <c r="C1066" s="34">
        <v>45015</v>
      </c>
      <c r="D1066" s="37"/>
      <c r="E1066" s="35" t="s">
        <v>38</v>
      </c>
      <c r="F1066" s="36" t="s">
        <v>36</v>
      </c>
    </row>
    <row r="1067" spans="1:6" ht="17.25" thickBot="1" x14ac:dyDescent="0.3">
      <c r="A1067" s="37"/>
      <c r="B1067" s="33" t="s">
        <v>34</v>
      </c>
      <c r="C1067" s="38">
        <f>IF(C1066="","",IF(AND(MONTH(C1066)&gt;=1,MONTH(C1066)&lt;=3),1,IF(AND(MONTH(C1066)&gt;=4,MONTH(C1066)&lt;=6),2,IF(AND(MONTH(C1066)&gt;=7,MONTH(C1066)&lt;=9),3,4))))</f>
        <v>1</v>
      </c>
      <c r="D1067" s="37"/>
      <c r="E1067" s="35" t="s">
        <v>39</v>
      </c>
      <c r="F1067" s="36" t="s">
        <v>36</v>
      </c>
    </row>
    <row r="1068" spans="1:6" ht="17.25" thickBot="1" x14ac:dyDescent="0.3"/>
    <row r="1069" spans="1:6" ht="17.25" thickBot="1" x14ac:dyDescent="0.3">
      <c r="A1069" s="39" t="s">
        <v>40</v>
      </c>
      <c r="B1069" s="39" t="s">
        <v>41</v>
      </c>
      <c r="C1069" s="39" t="s">
        <v>42</v>
      </c>
      <c r="D1069" s="39" t="s">
        <v>43</v>
      </c>
      <c r="E1069" s="39" t="s">
        <v>44</v>
      </c>
      <c r="F1069" s="39" t="s">
        <v>45</v>
      </c>
    </row>
    <row r="1070" spans="1:6" x14ac:dyDescent="0.25">
      <c r="A1070" s="40" t="s">
        <v>228</v>
      </c>
      <c r="B1070" s="41" t="str">
        <f ca="1">IFERROR(INDEX(UNSPSCDes,MATCH(INDIRECT(ADDRESS(ROW(),COLUMN()-1,4)),UNSPSCCode,0)),IF(INDIRECT(ADDRESS(ROW(),COLUMN()-1,4))="30161706","Pisos de baldosa o piedra",""))</f>
        <v>Pisos de baldosa o piedra</v>
      </c>
      <c r="C1070" s="42" t="str">
        <f>IFERROR(VLOOKUP("UD",'[1]Informacion '!P:Q,2,FALSE),"")</f>
        <v>Unidad</v>
      </c>
      <c r="D1070" s="40">
        <v>1</v>
      </c>
      <c r="E1070" s="43">
        <v>1</v>
      </c>
      <c r="F1070" s="44">
        <f ca="1">INDIRECT(ADDRESS(ROW(),COLUMN()-2,4))*INDIRECT(ADDRESS(ROW(),COLUMN()-1,4))</f>
        <v>1</v>
      </c>
    </row>
    <row r="1071" spans="1:6" x14ac:dyDescent="0.25">
      <c r="E1071" s="45" t="s">
        <v>47</v>
      </c>
      <c r="F1071" s="46">
        <f ca="1">SUM(Table95[MONTO TOTAL ESTIMADO])</f>
        <v>1</v>
      </c>
    </row>
    <row r="1072" spans="1:6" ht="17.25" thickBot="1" x14ac:dyDescent="0.3"/>
    <row r="1073" spans="1:6" ht="23.25" thickBot="1" x14ac:dyDescent="0.3">
      <c r="A1073" s="30" t="s">
        <v>18</v>
      </c>
      <c r="B1073" s="30" t="s">
        <v>19</v>
      </c>
      <c r="C1073" s="30" t="s">
        <v>20</v>
      </c>
      <c r="D1073" s="30" t="s">
        <v>21</v>
      </c>
      <c r="E1073" s="30" t="s">
        <v>22</v>
      </c>
      <c r="F1073" s="30" t="s">
        <v>23</v>
      </c>
    </row>
    <row r="1074" spans="1:6" ht="17.25" thickBot="1" x14ac:dyDescent="0.3">
      <c r="A1074" s="31" t="s">
        <v>227</v>
      </c>
      <c r="B1074" s="31" t="s">
        <v>145</v>
      </c>
      <c r="C1074" s="31" t="s">
        <v>92</v>
      </c>
      <c r="D1074" s="31" t="s">
        <v>27</v>
      </c>
      <c r="E1074" s="31" t="s">
        <v>58</v>
      </c>
      <c r="F1074" s="31"/>
    </row>
    <row r="1075" spans="1:6" ht="17.25" thickBot="1" x14ac:dyDescent="0.3">
      <c r="A1075" s="32" t="s">
        <v>29</v>
      </c>
      <c r="B1075" s="33" t="s">
        <v>30</v>
      </c>
      <c r="C1075" s="34">
        <v>45107</v>
      </c>
      <c r="D1075" s="32" t="s">
        <v>31</v>
      </c>
      <c r="E1075" s="35" t="s">
        <v>32</v>
      </c>
      <c r="F1075" s="36" t="s">
        <v>33</v>
      </c>
    </row>
    <row r="1076" spans="1:6" ht="17.25" thickBot="1" x14ac:dyDescent="0.3">
      <c r="A1076" s="37"/>
      <c r="B1076" s="33" t="s">
        <v>34</v>
      </c>
      <c r="C1076" s="38">
        <f>IF(C1075="","",IF(AND(MONTH(C1075)&gt;=1,MONTH(C1075)&lt;=3),1,IF(AND(MONTH(C1075)&gt;=4,MONTH(C1075)&lt;=6),2,IF(AND(MONTH(C1075)&gt;=7,MONTH(C1075)&lt;=9),3,4))))</f>
        <v>2</v>
      </c>
      <c r="D1076" s="37"/>
      <c r="E1076" s="35" t="s">
        <v>35</v>
      </c>
      <c r="F1076" s="36" t="s">
        <v>36</v>
      </c>
    </row>
    <row r="1077" spans="1:6" ht="17.25" thickBot="1" x14ac:dyDescent="0.3">
      <c r="A1077" s="37"/>
      <c r="B1077" s="33" t="s">
        <v>37</v>
      </c>
      <c r="C1077" s="34">
        <v>45198</v>
      </c>
      <c r="D1077" s="37"/>
      <c r="E1077" s="35" t="s">
        <v>38</v>
      </c>
      <c r="F1077" s="36" t="s">
        <v>36</v>
      </c>
    </row>
    <row r="1078" spans="1:6" ht="17.25" thickBot="1" x14ac:dyDescent="0.3">
      <c r="A1078" s="37"/>
      <c r="B1078" s="33" t="s">
        <v>34</v>
      </c>
      <c r="C1078" s="38">
        <f>IF(C1077="","",IF(AND(MONTH(C1077)&gt;=1,MONTH(C1077)&lt;=3),1,IF(AND(MONTH(C1077)&gt;=4,MONTH(C1077)&lt;=6),2,IF(AND(MONTH(C1077)&gt;=7,MONTH(C1077)&lt;=9),3,4))))</f>
        <v>3</v>
      </c>
      <c r="D1078" s="37"/>
      <c r="E1078" s="35" t="s">
        <v>39</v>
      </c>
      <c r="F1078" s="36" t="s">
        <v>36</v>
      </c>
    </row>
    <row r="1079" spans="1:6" ht="17.25" thickBot="1" x14ac:dyDescent="0.3"/>
    <row r="1080" spans="1:6" ht="17.25" thickBot="1" x14ac:dyDescent="0.3">
      <c r="A1080" s="39" t="s">
        <v>40</v>
      </c>
      <c r="B1080" s="39" t="s">
        <v>41</v>
      </c>
      <c r="C1080" s="39" t="s">
        <v>42</v>
      </c>
      <c r="D1080" s="39" t="s">
        <v>43</v>
      </c>
      <c r="E1080" s="39" t="s">
        <v>44</v>
      </c>
      <c r="F1080" s="39" t="s">
        <v>45</v>
      </c>
    </row>
    <row r="1081" spans="1:6" x14ac:dyDescent="0.25">
      <c r="A1081" s="40" t="s">
        <v>228</v>
      </c>
      <c r="B1081" s="41" t="str">
        <f ca="1">IFERROR(INDEX(UNSPSCDes,MATCH(INDIRECT(ADDRESS(ROW(),COLUMN()-1,4)),UNSPSCCode,0)),IF(INDIRECT(ADDRESS(ROW(),COLUMN()-1,4))="30161706","Pisos de baldosa o piedra",""))</f>
        <v>Pisos de baldosa o piedra</v>
      </c>
      <c r="C1081" s="42" t="str">
        <f>IFERROR(VLOOKUP("UD",'[1]Informacion '!P:Q,2,FALSE),"")</f>
        <v>Unidad</v>
      </c>
      <c r="D1081" s="40">
        <v>1</v>
      </c>
      <c r="E1081" s="43">
        <v>1</v>
      </c>
      <c r="F1081" s="44">
        <f ca="1">INDIRECT(ADDRESS(ROW(),COLUMN()-2,4))*INDIRECT(ADDRESS(ROW(),COLUMN()-1,4))</f>
        <v>1</v>
      </c>
    </row>
    <row r="1082" spans="1:6" x14ac:dyDescent="0.25">
      <c r="E1082" s="45" t="s">
        <v>47</v>
      </c>
      <c r="F1082" s="46">
        <f ca="1">SUM(Table96[MONTO TOTAL ESTIMADO])</f>
        <v>1</v>
      </c>
    </row>
    <row r="1083" spans="1:6" ht="17.25" thickBot="1" x14ac:dyDescent="0.3"/>
    <row r="1084" spans="1:6" ht="23.25" thickBot="1" x14ac:dyDescent="0.3">
      <c r="A1084" s="30" t="s">
        <v>18</v>
      </c>
      <c r="B1084" s="30" t="s">
        <v>19</v>
      </c>
      <c r="C1084" s="30" t="s">
        <v>20</v>
      </c>
      <c r="D1084" s="30" t="s">
        <v>21</v>
      </c>
      <c r="E1084" s="30" t="s">
        <v>22</v>
      </c>
      <c r="F1084" s="30" t="s">
        <v>23</v>
      </c>
    </row>
    <row r="1085" spans="1:6" ht="17.25" thickBot="1" x14ac:dyDescent="0.3">
      <c r="A1085" s="31" t="s">
        <v>229</v>
      </c>
      <c r="B1085" s="31" t="s">
        <v>145</v>
      </c>
      <c r="C1085" s="31" t="s">
        <v>92</v>
      </c>
      <c r="D1085" s="31" t="s">
        <v>27</v>
      </c>
      <c r="E1085" s="31" t="s">
        <v>58</v>
      </c>
      <c r="F1085" s="31"/>
    </row>
    <row r="1086" spans="1:6" ht="17.25" thickBot="1" x14ac:dyDescent="0.3">
      <c r="A1086" s="32" t="s">
        <v>29</v>
      </c>
      <c r="B1086" s="33" t="s">
        <v>30</v>
      </c>
      <c r="C1086" s="34">
        <v>44958</v>
      </c>
      <c r="D1086" s="32" t="s">
        <v>31</v>
      </c>
      <c r="E1086" s="35" t="s">
        <v>32</v>
      </c>
      <c r="F1086" s="36" t="s">
        <v>33</v>
      </c>
    </row>
    <row r="1087" spans="1:6" ht="17.25" thickBot="1" x14ac:dyDescent="0.3">
      <c r="A1087" s="37"/>
      <c r="B1087" s="33" t="s">
        <v>34</v>
      </c>
      <c r="C1087" s="38">
        <f>IF(C1086="","",IF(AND(MONTH(C1086)&gt;=1,MONTH(C1086)&lt;=3),1,IF(AND(MONTH(C1086)&gt;=4,MONTH(C1086)&lt;=6),2,IF(AND(MONTH(C1086)&gt;=7,MONTH(C1086)&lt;=9),3,4))))</f>
        <v>1</v>
      </c>
      <c r="D1087" s="37"/>
      <c r="E1087" s="35" t="s">
        <v>35</v>
      </c>
      <c r="F1087" s="36" t="s">
        <v>36</v>
      </c>
    </row>
    <row r="1088" spans="1:6" ht="17.25" thickBot="1" x14ac:dyDescent="0.3">
      <c r="A1088" s="37"/>
      <c r="B1088" s="33" t="s">
        <v>37</v>
      </c>
      <c r="C1088" s="34">
        <v>45015</v>
      </c>
      <c r="D1088" s="37"/>
      <c r="E1088" s="35" t="s">
        <v>38</v>
      </c>
      <c r="F1088" s="36" t="s">
        <v>36</v>
      </c>
    </row>
    <row r="1089" spans="1:6" ht="17.25" thickBot="1" x14ac:dyDescent="0.3">
      <c r="A1089" s="37"/>
      <c r="B1089" s="33" t="s">
        <v>34</v>
      </c>
      <c r="C1089" s="38">
        <f>IF(C1088="","",IF(AND(MONTH(C1088)&gt;=1,MONTH(C1088)&lt;=3),1,IF(AND(MONTH(C1088)&gt;=4,MONTH(C1088)&lt;=6),2,IF(AND(MONTH(C1088)&gt;=7,MONTH(C1088)&lt;=9),3,4))))</f>
        <v>1</v>
      </c>
      <c r="D1089" s="37"/>
      <c r="E1089" s="35" t="s">
        <v>39</v>
      </c>
      <c r="F1089" s="36" t="s">
        <v>36</v>
      </c>
    </row>
    <row r="1090" spans="1:6" ht="17.25" thickBot="1" x14ac:dyDescent="0.3"/>
    <row r="1091" spans="1:6" ht="17.25" thickBot="1" x14ac:dyDescent="0.3">
      <c r="A1091" s="39" t="s">
        <v>40</v>
      </c>
      <c r="B1091" s="39" t="s">
        <v>41</v>
      </c>
      <c r="C1091" s="39" t="s">
        <v>42</v>
      </c>
      <c r="D1091" s="39" t="s">
        <v>43</v>
      </c>
      <c r="E1091" s="39" t="s">
        <v>44</v>
      </c>
      <c r="F1091" s="39" t="s">
        <v>45</v>
      </c>
    </row>
    <row r="1092" spans="1:6" x14ac:dyDescent="0.25">
      <c r="A1092" s="40">
        <v>23153012</v>
      </c>
      <c r="B1092" s="41" t="str">
        <f ca="1">IFERROR(INDEX(UNSPSCDes,MATCH(INDIRECT(ADDRESS(ROW(),COLUMN()-1,4)),UNSPSCCode,0)),IF(INDIRECT(ADDRESS(ROW(),COLUMN()-1,4))="23153012","Plantilla de deslizamiento",""))</f>
        <v>Plantilla de deslizamiento</v>
      </c>
      <c r="C1092" s="42" t="str">
        <f>IFERROR(VLOOKUP("UD",'[1]Informacion '!P:Q,2,FALSE),"")</f>
        <v>Unidad</v>
      </c>
      <c r="D1092" s="40">
        <v>1</v>
      </c>
      <c r="E1092" s="43">
        <v>4000</v>
      </c>
      <c r="F1092" s="44">
        <f t="shared" ref="F1092:F1103" ca="1" si="4">INDIRECT(ADDRESS(ROW(),COLUMN()-2,4))*INDIRECT(ADDRESS(ROW(),COLUMN()-1,4))</f>
        <v>4000</v>
      </c>
    </row>
    <row r="1093" spans="1:6" x14ac:dyDescent="0.25">
      <c r="A1093" s="40" t="s">
        <v>230</v>
      </c>
      <c r="B1093" s="41" t="str">
        <f ca="1">IFERROR(INDEX(UNSPSCDes,MATCH(INDIRECT(ADDRESS(ROW(),COLUMN()-1,4)),UNSPSCCode,0)),IF(INDIRECT(ADDRESS(ROW(),COLUMN()-1,4))="27111509","Barrenas",""))</f>
        <v>Barrenas</v>
      </c>
      <c r="C1093" s="42" t="str">
        <f>IFERROR(VLOOKUP("UD",'[1]Informacion '!P:Q,2,FALSE),"")</f>
        <v>Unidad</v>
      </c>
      <c r="D1093" s="40">
        <v>1</v>
      </c>
      <c r="E1093" s="43">
        <v>10000</v>
      </c>
      <c r="F1093" s="44">
        <f t="shared" ca="1" si="4"/>
        <v>10000</v>
      </c>
    </row>
    <row r="1094" spans="1:6" x14ac:dyDescent="0.25">
      <c r="A1094" s="40" t="s">
        <v>231</v>
      </c>
      <c r="B1094" s="41" t="str">
        <f ca="1">IFERROR(INDEX(UNSPSCDes,MATCH(INDIRECT(ADDRESS(ROW(),COLUMN()-1,4)),UNSPSCCode,0)),IF(INDIRECT(ADDRESS(ROW(),COLUMN()-1,4))="27111906","Cinceles de madera",""))</f>
        <v>Cinceles de madera</v>
      </c>
      <c r="C1094" s="42" t="str">
        <f>IFERROR(VLOOKUP("UD",'[1]Informacion '!P:Q,2,FALSE),"")</f>
        <v>Unidad</v>
      </c>
      <c r="D1094" s="40">
        <v>1</v>
      </c>
      <c r="E1094" s="43">
        <v>1000</v>
      </c>
      <c r="F1094" s="44">
        <f t="shared" ca="1" si="4"/>
        <v>1000</v>
      </c>
    </row>
    <row r="1095" spans="1:6" x14ac:dyDescent="0.25">
      <c r="A1095" s="40" t="s">
        <v>232</v>
      </c>
      <c r="B1095" s="41" t="str">
        <f ca="1">IFERROR(INDEX(UNSPSCDes,MATCH(INDIRECT(ADDRESS(ROW(),COLUMN()-1,4)),UNSPSCCode,0)),IF(INDIRECT(ADDRESS(ROW(),COLUMN()-1,4))="40142315","Acoplamientos de tubería",""))</f>
        <v>Acoplamientos de tubería</v>
      </c>
      <c r="C1095" s="42" t="str">
        <f>IFERROR(VLOOKUP("UD",'[1]Informacion '!P:Q,2,FALSE),"")</f>
        <v>Unidad</v>
      </c>
      <c r="D1095" s="40">
        <v>1</v>
      </c>
      <c r="E1095" s="43">
        <v>1000</v>
      </c>
      <c r="F1095" s="44">
        <f t="shared" ca="1" si="4"/>
        <v>1000</v>
      </c>
    </row>
    <row r="1096" spans="1:6" x14ac:dyDescent="0.25">
      <c r="A1096" s="40" t="s">
        <v>233</v>
      </c>
      <c r="B1096" s="41" t="str">
        <f ca="1">IFERROR(INDEX(UNSPSCDes,MATCH(INDIRECT(ADDRESS(ROW(),COLUMN()-1,4)),UNSPSCCode,0)),IF(INDIRECT(ADDRESS(ROW(),COLUMN()-1,4))="31211904","Brochas",""))</f>
        <v>Brochas</v>
      </c>
      <c r="C1096" s="42" t="str">
        <f>IFERROR(VLOOKUP("UD",'[1]Informacion '!P:Q,2,FALSE),"")</f>
        <v>Unidad</v>
      </c>
      <c r="D1096" s="40">
        <v>10</v>
      </c>
      <c r="E1096" s="43">
        <v>100</v>
      </c>
      <c r="F1096" s="44">
        <f t="shared" ca="1" si="4"/>
        <v>1000</v>
      </c>
    </row>
    <row r="1097" spans="1:6" x14ac:dyDescent="0.25">
      <c r="A1097" s="40" t="s">
        <v>234</v>
      </c>
      <c r="B1097" s="41" t="str">
        <f ca="1">IFERROR(INDEX(UNSPSCDes,MATCH(INDIRECT(ADDRESS(ROW(),COLUMN()-1,4)),UNSPSCCode,0)),IF(INDIRECT(ADDRESS(ROW(),COLUMN()-1,4))="27112502","Palancas",""))</f>
        <v>Palancas</v>
      </c>
      <c r="C1097" s="42" t="str">
        <f>IFERROR(VLOOKUP("UD",'[1]Informacion '!P:Q,2,FALSE),"")</f>
        <v>Unidad</v>
      </c>
      <c r="D1097" s="40">
        <v>10</v>
      </c>
      <c r="E1097" s="43">
        <v>100</v>
      </c>
      <c r="F1097" s="44">
        <f t="shared" ca="1" si="4"/>
        <v>1000</v>
      </c>
    </row>
    <row r="1098" spans="1:6" x14ac:dyDescent="0.25">
      <c r="A1098" s="40" t="s">
        <v>235</v>
      </c>
      <c r="B1098" s="41" t="str">
        <f ca="1">IFERROR(INDEX(UNSPSCDes,MATCH(INDIRECT(ADDRESS(ROW(),COLUMN()-1,4)),UNSPSCCode,0)),IF(INDIRECT(ADDRESS(ROW(),COLUMN()-1,4))="27111602","Martillos",""))</f>
        <v>Martillos</v>
      </c>
      <c r="C1098" s="42" t="str">
        <f>IFERROR(VLOOKUP("UD",'[1]Informacion '!P:Q,2,FALSE),"")</f>
        <v>Unidad</v>
      </c>
      <c r="D1098" s="40">
        <v>1</v>
      </c>
      <c r="E1098" s="43">
        <v>15000</v>
      </c>
      <c r="F1098" s="44">
        <f t="shared" ca="1" si="4"/>
        <v>15000</v>
      </c>
    </row>
    <row r="1099" spans="1:6" x14ac:dyDescent="0.25">
      <c r="A1099" s="40" t="s">
        <v>236</v>
      </c>
      <c r="B1099" s="41" t="str">
        <f ca="1">IFERROR(INDEX(UNSPSCDes,MATCH(INDIRECT(ADDRESS(ROW(),COLUMN()-1,4)),UNSPSCCode,0)),IF(INDIRECT(ADDRESS(ROW(),COLUMN()-1,4))="31211906","Rodillos de pintar",""))</f>
        <v>Rodillos de pintar</v>
      </c>
      <c r="C1099" s="42" t="str">
        <f>IFERROR(VLOOKUP("UD",'[1]Informacion '!P:Q,2,FALSE),"")</f>
        <v>Unidad</v>
      </c>
      <c r="D1099" s="40">
        <v>1</v>
      </c>
      <c r="E1099" s="43">
        <v>500</v>
      </c>
      <c r="F1099" s="44">
        <f t="shared" ca="1" si="4"/>
        <v>500</v>
      </c>
    </row>
    <row r="1100" spans="1:6" x14ac:dyDescent="0.25">
      <c r="A1100" s="40" t="s">
        <v>237</v>
      </c>
      <c r="B1100" s="41" t="str">
        <f ca="1">IFERROR(INDEX(UNSPSCDes,MATCH(INDIRECT(ADDRESS(ROW(),COLUMN()-1,4)),UNSPSCCode,0)),IF(INDIRECT(ADDRESS(ROW(),COLUMN()-1,4))="27111907","Cepillos de alambre",""))</f>
        <v>Cepillos de alambre</v>
      </c>
      <c r="C1100" s="42" t="str">
        <f>IFERROR(VLOOKUP("UD",'[1]Informacion '!P:Q,2,FALSE),"")</f>
        <v>Unidad</v>
      </c>
      <c r="D1100" s="40">
        <v>1</v>
      </c>
      <c r="E1100" s="43">
        <v>500</v>
      </c>
      <c r="F1100" s="44">
        <f t="shared" ca="1" si="4"/>
        <v>500</v>
      </c>
    </row>
    <row r="1101" spans="1:6" x14ac:dyDescent="0.25">
      <c r="A1101" s="40" t="s">
        <v>238</v>
      </c>
      <c r="B1101" s="41" t="str">
        <f ca="1">IFERROR(INDEX(UNSPSCDes,MATCH(INDIRECT(ADDRESS(ROW(),COLUMN()-1,4)),UNSPSCCode,0)),IF(INDIRECT(ADDRESS(ROW(),COLUMN()-1,4))="31162804","Topes de puerta",""))</f>
        <v>Topes de puerta</v>
      </c>
      <c r="C1101" s="42" t="str">
        <f>IFERROR(VLOOKUP("UD",'[1]Informacion '!P:Q,2,FALSE),"")</f>
        <v>Unidad</v>
      </c>
      <c r="D1101" s="40">
        <v>1</v>
      </c>
      <c r="E1101" s="43">
        <v>1500</v>
      </c>
      <c r="F1101" s="44">
        <f t="shared" ca="1" si="4"/>
        <v>1500</v>
      </c>
    </row>
    <row r="1102" spans="1:6" x14ac:dyDescent="0.25">
      <c r="A1102" s="40" t="s">
        <v>239</v>
      </c>
      <c r="B1102" s="41" t="str">
        <f ca="1">IFERROR(INDEX(UNSPSCDes,MATCH(INDIRECT(ADDRESS(ROW(),COLUMN()-1,4)),UNSPSCCode,0)),IF(INDIRECT(ADDRESS(ROW(),COLUMN()-1,4))="27112813","Vara de extensión",""))</f>
        <v>Vara de extensión</v>
      </c>
      <c r="C1102" s="42" t="str">
        <f>IFERROR(VLOOKUP("UD",'[1]Informacion '!P:Q,2,FALSE),"")</f>
        <v>Unidad</v>
      </c>
      <c r="D1102" s="40">
        <v>1</v>
      </c>
      <c r="E1102" s="43">
        <v>100</v>
      </c>
      <c r="F1102" s="44">
        <f t="shared" ca="1" si="4"/>
        <v>100</v>
      </c>
    </row>
    <row r="1103" spans="1:6" x14ac:dyDescent="0.25">
      <c r="A1103" s="40" t="s">
        <v>240</v>
      </c>
      <c r="B1103" s="41" t="str">
        <f ca="1">IFERROR(INDEX(UNSPSCDes,MATCH(INDIRECT(ADDRESS(ROW(),COLUMN()-1,4)),UNSPSCCode,0)),IF(INDIRECT(ADDRESS(ROW(),COLUMN()-1,4))="27111704","Enchufes",""))</f>
        <v>Enchufes</v>
      </c>
      <c r="C1103" s="42" t="str">
        <f>IFERROR(VLOOKUP("UD",'[1]Informacion '!P:Q,2,FALSE),"")</f>
        <v>Unidad</v>
      </c>
      <c r="D1103" s="40">
        <v>1</v>
      </c>
      <c r="E1103" s="43">
        <v>100</v>
      </c>
      <c r="F1103" s="44">
        <f t="shared" ca="1" si="4"/>
        <v>100</v>
      </c>
    </row>
    <row r="1104" spans="1:6" x14ac:dyDescent="0.25">
      <c r="E1104" s="45" t="s">
        <v>47</v>
      </c>
      <c r="F1104" s="46">
        <f ca="1">SUM(Table97[MONTO TOTAL ESTIMADO])</f>
        <v>35700</v>
      </c>
    </row>
    <row r="1105" spans="1:6" ht="17.25" thickBot="1" x14ac:dyDescent="0.3"/>
    <row r="1106" spans="1:6" ht="23.25" thickBot="1" x14ac:dyDescent="0.3">
      <c r="A1106" s="30" t="s">
        <v>18</v>
      </c>
      <c r="B1106" s="30" t="s">
        <v>19</v>
      </c>
      <c r="C1106" s="30" t="s">
        <v>20</v>
      </c>
      <c r="D1106" s="30" t="s">
        <v>21</v>
      </c>
      <c r="E1106" s="30" t="s">
        <v>22</v>
      </c>
      <c r="F1106" s="30" t="s">
        <v>23</v>
      </c>
    </row>
    <row r="1107" spans="1:6" ht="17.25" thickBot="1" x14ac:dyDescent="0.3">
      <c r="A1107" s="31" t="s">
        <v>229</v>
      </c>
      <c r="B1107" s="31" t="s">
        <v>145</v>
      </c>
      <c r="C1107" s="31" t="s">
        <v>92</v>
      </c>
      <c r="D1107" s="31" t="s">
        <v>27</v>
      </c>
      <c r="E1107" s="31" t="s">
        <v>58</v>
      </c>
      <c r="F1107" s="31"/>
    </row>
    <row r="1108" spans="1:6" ht="17.25" thickBot="1" x14ac:dyDescent="0.3">
      <c r="A1108" s="32" t="s">
        <v>29</v>
      </c>
      <c r="B1108" s="33" t="s">
        <v>30</v>
      </c>
      <c r="C1108" s="34">
        <v>45107</v>
      </c>
      <c r="D1108" s="32" t="s">
        <v>31</v>
      </c>
      <c r="E1108" s="35" t="s">
        <v>32</v>
      </c>
      <c r="F1108" s="36" t="s">
        <v>33</v>
      </c>
    </row>
    <row r="1109" spans="1:6" ht="17.25" thickBot="1" x14ac:dyDescent="0.3">
      <c r="A1109" s="37"/>
      <c r="B1109" s="33" t="s">
        <v>34</v>
      </c>
      <c r="C1109" s="38">
        <f>IF(C1108="","",IF(AND(MONTH(C1108)&gt;=1,MONTH(C1108)&lt;=3),1,IF(AND(MONTH(C1108)&gt;=4,MONTH(C1108)&lt;=6),2,IF(AND(MONTH(C1108)&gt;=7,MONTH(C1108)&lt;=9),3,4))))</f>
        <v>2</v>
      </c>
      <c r="D1109" s="37"/>
      <c r="E1109" s="35" t="s">
        <v>35</v>
      </c>
      <c r="F1109" s="36" t="s">
        <v>36</v>
      </c>
    </row>
    <row r="1110" spans="1:6" ht="17.25" thickBot="1" x14ac:dyDescent="0.3">
      <c r="A1110" s="37"/>
      <c r="B1110" s="33" t="s">
        <v>37</v>
      </c>
      <c r="C1110" s="34">
        <v>45198</v>
      </c>
      <c r="D1110" s="37"/>
      <c r="E1110" s="35" t="s">
        <v>38</v>
      </c>
      <c r="F1110" s="36" t="s">
        <v>36</v>
      </c>
    </row>
    <row r="1111" spans="1:6" ht="17.25" thickBot="1" x14ac:dyDescent="0.3">
      <c r="A1111" s="37"/>
      <c r="B1111" s="33" t="s">
        <v>34</v>
      </c>
      <c r="C1111" s="38">
        <f>IF(C1110="","",IF(AND(MONTH(C1110)&gt;=1,MONTH(C1110)&lt;=3),1,IF(AND(MONTH(C1110)&gt;=4,MONTH(C1110)&lt;=6),2,IF(AND(MONTH(C1110)&gt;=7,MONTH(C1110)&lt;=9),3,4))))</f>
        <v>3</v>
      </c>
      <c r="D1111" s="37"/>
      <c r="E1111" s="35" t="s">
        <v>39</v>
      </c>
      <c r="F1111" s="36" t="s">
        <v>36</v>
      </c>
    </row>
    <row r="1112" spans="1:6" ht="17.25" thickBot="1" x14ac:dyDescent="0.3"/>
    <row r="1113" spans="1:6" ht="17.25" thickBot="1" x14ac:dyDescent="0.3">
      <c r="A1113" s="39" t="s">
        <v>40</v>
      </c>
      <c r="B1113" s="39" t="s">
        <v>41</v>
      </c>
      <c r="C1113" s="39" t="s">
        <v>42</v>
      </c>
      <c r="D1113" s="39" t="s">
        <v>43</v>
      </c>
      <c r="E1113" s="39" t="s">
        <v>44</v>
      </c>
      <c r="F1113" s="39" t="s">
        <v>45</v>
      </c>
    </row>
    <row r="1114" spans="1:6" x14ac:dyDescent="0.25">
      <c r="A1114" s="40" t="s">
        <v>241</v>
      </c>
      <c r="B1114" s="41" t="str">
        <f ca="1">IFERROR(INDEX(UNSPSCDes,MATCH(INDIRECT(ADDRESS(ROW(),COLUMN()-1,4)),UNSPSCCode,0)),IF(INDIRECT(ADDRESS(ROW(),COLUMN()-1,4))="23153012","Plantilla de deslizamiento",""))</f>
        <v>Plantilla de deslizamiento</v>
      </c>
      <c r="C1114" s="42" t="str">
        <f>IFERROR(VLOOKUP("UD",'[1]Informacion '!P:Q,2,FALSE),"")</f>
        <v>Unidad</v>
      </c>
      <c r="D1114" s="40">
        <v>1</v>
      </c>
      <c r="E1114" s="43">
        <v>1</v>
      </c>
      <c r="F1114" s="44">
        <f t="shared" ref="F1114:F1124" ca="1" si="5">INDIRECT(ADDRESS(ROW(),COLUMN()-2,4))*INDIRECT(ADDRESS(ROW(),COLUMN()-1,4))</f>
        <v>1</v>
      </c>
    </row>
    <row r="1115" spans="1:6" x14ac:dyDescent="0.25">
      <c r="A1115" s="40">
        <v>27111909</v>
      </c>
      <c r="B1115" s="41" t="str">
        <f ca="1">IFERROR(INDEX(UNSPSCDes,MATCH(INDIRECT(ADDRESS(ROW(),COLUMN()-1,4)),UNSPSCCode,0)),IF(INDIRECT(ADDRESS(ROW(),COLUMN()-1,4))="27111909","Espátulas",""))</f>
        <v>Espátulas</v>
      </c>
      <c r="C1115" s="42" t="str">
        <f>IFERROR(VLOOKUP("UD",'[1]Informacion '!P:Q,2,FALSE),"")</f>
        <v>Unidad</v>
      </c>
      <c r="D1115" s="40">
        <v>1</v>
      </c>
      <c r="E1115" s="43">
        <v>1</v>
      </c>
      <c r="F1115" s="44">
        <f t="shared" ca="1" si="5"/>
        <v>1</v>
      </c>
    </row>
    <row r="1116" spans="1:6" x14ac:dyDescent="0.25">
      <c r="A1116" s="40" t="s">
        <v>242</v>
      </c>
      <c r="B1116" s="41" t="str">
        <f ca="1">IFERROR(INDEX(UNSPSCDes,MATCH(INDIRECT(ADDRESS(ROW(),COLUMN()-1,4)),UNSPSCCode,0)),IF(INDIRECT(ADDRESS(ROW(),COLUMN()-1,4))="40141735","Embudos",""))</f>
        <v>Embudos</v>
      </c>
      <c r="C1116" s="42" t="str">
        <f>IFERROR(VLOOKUP("UD",'[1]Informacion '!P:Q,2,FALSE),"")</f>
        <v>Unidad</v>
      </c>
      <c r="D1116" s="40">
        <v>1</v>
      </c>
      <c r="E1116" s="43">
        <v>1</v>
      </c>
      <c r="F1116" s="44">
        <f t="shared" ca="1" si="5"/>
        <v>1</v>
      </c>
    </row>
    <row r="1117" spans="1:6" x14ac:dyDescent="0.25">
      <c r="A1117" s="40" t="s">
        <v>243</v>
      </c>
      <c r="B1117" s="41" t="str">
        <f ca="1">IFERROR(INDEX(UNSPSCDes,MATCH(INDIRECT(ADDRESS(ROW(),COLUMN()-1,4)),UNSPSCCode,0)),IF(INDIRECT(ADDRESS(ROW(),COLUMN()-1,4))="40141610","Válvulas de flotación",""))</f>
        <v>Válvulas de flotación</v>
      </c>
      <c r="C1117" s="42" t="str">
        <f>IFERROR(VLOOKUP("UD",'[1]Informacion '!P:Q,2,FALSE),"")</f>
        <v>Unidad</v>
      </c>
      <c r="D1117" s="40">
        <v>1</v>
      </c>
      <c r="E1117" s="43">
        <v>1</v>
      </c>
      <c r="F1117" s="44">
        <f t="shared" ca="1" si="5"/>
        <v>1</v>
      </c>
    </row>
    <row r="1118" spans="1:6" x14ac:dyDescent="0.25">
      <c r="A1118" s="40" t="s">
        <v>244</v>
      </c>
      <c r="B1118" s="41" t="str">
        <f ca="1">IFERROR(INDEX(UNSPSCDes,MATCH(INDIRECT(ADDRESS(ROW(),COLUMN()-1,4)),UNSPSCCode,0)),IF(INDIRECT(ADDRESS(ROW(),COLUMN()-1,4))="27112601","Espátulas para enmasillar",""))</f>
        <v>Espátulas para enmasillar</v>
      </c>
      <c r="C1118" s="42" t="str">
        <f>IFERROR(VLOOKUP("UD",'[1]Informacion '!P:Q,2,FALSE),"")</f>
        <v>Unidad</v>
      </c>
      <c r="D1118" s="40">
        <v>1</v>
      </c>
      <c r="E1118" s="43">
        <v>1</v>
      </c>
      <c r="F1118" s="44">
        <f t="shared" ca="1" si="5"/>
        <v>1</v>
      </c>
    </row>
    <row r="1119" spans="1:6" x14ac:dyDescent="0.25">
      <c r="A1119" s="40" t="s">
        <v>232</v>
      </c>
      <c r="B1119" s="41" t="str">
        <f ca="1">IFERROR(INDEX(UNSPSCDes,MATCH(INDIRECT(ADDRESS(ROW(),COLUMN()-1,4)),UNSPSCCode,0)),IF(INDIRECT(ADDRESS(ROW(),COLUMN()-1,4))="40142315","Acoplamientos de tubería",""))</f>
        <v>Acoplamientos de tubería</v>
      </c>
      <c r="C1119" s="42" t="str">
        <f>IFERROR(VLOOKUP("UD",'[1]Informacion '!P:Q,2,FALSE),"")</f>
        <v>Unidad</v>
      </c>
      <c r="D1119" s="40">
        <v>1</v>
      </c>
      <c r="E1119" s="43">
        <v>1</v>
      </c>
      <c r="F1119" s="44">
        <f t="shared" ca="1" si="5"/>
        <v>1</v>
      </c>
    </row>
    <row r="1120" spans="1:6" x14ac:dyDescent="0.25">
      <c r="A1120" s="40" t="s">
        <v>245</v>
      </c>
      <c r="B1120" s="41" t="str">
        <f ca="1">IFERROR(INDEX(UNSPSCDes,MATCH(INDIRECT(ADDRESS(ROW(),COLUMN()-1,4)),UNSPSCCode,0)),IF(INDIRECT(ADDRESS(ROW(),COLUMN()-1,4))="40141720","Conectores para plomería",""))</f>
        <v>Conectores para plomería</v>
      </c>
      <c r="C1120" s="42" t="str">
        <f>IFERROR(VLOOKUP("UD",'[1]Informacion '!P:Q,2,FALSE),"")</f>
        <v>Unidad</v>
      </c>
      <c r="D1120" s="40">
        <v>1</v>
      </c>
      <c r="E1120" s="43">
        <v>1</v>
      </c>
      <c r="F1120" s="44">
        <f t="shared" ca="1" si="5"/>
        <v>1</v>
      </c>
    </row>
    <row r="1121" spans="1:6" x14ac:dyDescent="0.25">
      <c r="A1121" s="40" t="s">
        <v>233</v>
      </c>
      <c r="B1121" s="41" t="str">
        <f ca="1">IFERROR(INDEX(UNSPSCDes,MATCH(INDIRECT(ADDRESS(ROW(),COLUMN()-1,4)),UNSPSCCode,0)),IF(INDIRECT(ADDRESS(ROW(),COLUMN()-1,4))="31211904","Brochas",""))</f>
        <v>Brochas</v>
      </c>
      <c r="C1121" s="42" t="str">
        <f>IFERROR(VLOOKUP("UD",'[1]Informacion '!P:Q,2,FALSE),"")</f>
        <v>Unidad</v>
      </c>
      <c r="D1121" s="40">
        <v>1</v>
      </c>
      <c r="E1121" s="43">
        <v>1</v>
      </c>
      <c r="F1121" s="44">
        <f t="shared" ca="1" si="5"/>
        <v>1</v>
      </c>
    </row>
    <row r="1122" spans="1:6" x14ac:dyDescent="0.25">
      <c r="A1122" s="40" t="s">
        <v>236</v>
      </c>
      <c r="B1122" s="41" t="str">
        <f ca="1">IFERROR(INDEX(UNSPSCDes,MATCH(INDIRECT(ADDRESS(ROW(),COLUMN()-1,4)),UNSPSCCode,0)),IF(INDIRECT(ADDRESS(ROW(),COLUMN()-1,4))="31211906","Rodillos de pintar",""))</f>
        <v>Rodillos de pintar</v>
      </c>
      <c r="C1122" s="42" t="str">
        <f>IFERROR(VLOOKUP("UD",'[1]Informacion '!P:Q,2,FALSE),"")</f>
        <v>Unidad</v>
      </c>
      <c r="D1122" s="40">
        <v>1</v>
      </c>
      <c r="E1122" s="43">
        <v>1</v>
      </c>
      <c r="F1122" s="44">
        <f t="shared" ca="1" si="5"/>
        <v>1</v>
      </c>
    </row>
    <row r="1123" spans="1:6" x14ac:dyDescent="0.25">
      <c r="A1123" s="40" t="s">
        <v>246</v>
      </c>
      <c r="B1123" s="41" t="str">
        <f ca="1">IFERROR(INDEX(UNSPSCDes,MATCH(INDIRECT(ADDRESS(ROW(),COLUMN()-1,4)),UNSPSCCode,0)),IF(INDIRECT(ADDRESS(ROW(),COLUMN()-1,4))="31161507","Tornillos roscadores",""))</f>
        <v>Tornillos roscadores</v>
      </c>
      <c r="C1123" s="42" t="str">
        <f>IFERROR(VLOOKUP("UD",'[1]Informacion '!P:Q,2,FALSE),"")</f>
        <v>Unidad</v>
      </c>
      <c r="D1123" s="40">
        <v>1</v>
      </c>
      <c r="E1123" s="43">
        <v>1</v>
      </c>
      <c r="F1123" s="44">
        <f t="shared" ca="1" si="5"/>
        <v>1</v>
      </c>
    </row>
    <row r="1124" spans="1:6" x14ac:dyDescent="0.25">
      <c r="A1124" s="40" t="s">
        <v>240</v>
      </c>
      <c r="B1124" s="41" t="str">
        <f ca="1">IFERROR(INDEX(UNSPSCDes,MATCH(INDIRECT(ADDRESS(ROW(),COLUMN()-1,4)),UNSPSCCode,0)),IF(INDIRECT(ADDRESS(ROW(),COLUMN()-1,4))="27111704","Enchufes",""))</f>
        <v>Enchufes</v>
      </c>
      <c r="C1124" s="42" t="str">
        <f>IFERROR(VLOOKUP("UD",'[1]Informacion '!P:Q,2,FALSE),"")</f>
        <v>Unidad</v>
      </c>
      <c r="D1124" s="40">
        <v>1</v>
      </c>
      <c r="E1124" s="43">
        <v>1</v>
      </c>
      <c r="F1124" s="44">
        <f t="shared" ca="1" si="5"/>
        <v>1</v>
      </c>
    </row>
    <row r="1125" spans="1:6" x14ac:dyDescent="0.25">
      <c r="E1125" s="45" t="s">
        <v>47</v>
      </c>
      <c r="F1125" s="46">
        <f ca="1">SUM(Table98[MONTO TOTAL ESTIMADO])</f>
        <v>11</v>
      </c>
    </row>
    <row r="1126" spans="1:6" ht="17.25" thickBot="1" x14ac:dyDescent="0.3"/>
    <row r="1127" spans="1:6" ht="23.25" thickBot="1" x14ac:dyDescent="0.3">
      <c r="A1127" s="30" t="s">
        <v>18</v>
      </c>
      <c r="B1127" s="30" t="s">
        <v>19</v>
      </c>
      <c r="C1127" s="30" t="s">
        <v>20</v>
      </c>
      <c r="D1127" s="30" t="s">
        <v>21</v>
      </c>
      <c r="E1127" s="30" t="s">
        <v>22</v>
      </c>
      <c r="F1127" s="30" t="s">
        <v>23</v>
      </c>
    </row>
    <row r="1128" spans="1:6" ht="17.25" thickBot="1" x14ac:dyDescent="0.3">
      <c r="A1128" s="31" t="s">
        <v>247</v>
      </c>
      <c r="B1128" s="31" t="s">
        <v>145</v>
      </c>
      <c r="C1128" s="31" t="s">
        <v>92</v>
      </c>
      <c r="D1128" s="31" t="s">
        <v>27</v>
      </c>
      <c r="E1128" s="31" t="s">
        <v>58</v>
      </c>
      <c r="F1128" s="31"/>
    </row>
    <row r="1129" spans="1:6" ht="17.25" thickBot="1" x14ac:dyDescent="0.3">
      <c r="A1129" s="32" t="s">
        <v>29</v>
      </c>
      <c r="B1129" s="33" t="s">
        <v>30</v>
      </c>
      <c r="C1129" s="34">
        <v>44958</v>
      </c>
      <c r="D1129" s="32" t="s">
        <v>31</v>
      </c>
      <c r="E1129" s="35" t="s">
        <v>32</v>
      </c>
      <c r="F1129" s="36" t="s">
        <v>33</v>
      </c>
    </row>
    <row r="1130" spans="1:6" ht="17.25" thickBot="1" x14ac:dyDescent="0.3">
      <c r="A1130" s="37"/>
      <c r="B1130" s="33" t="s">
        <v>34</v>
      </c>
      <c r="C1130" s="38">
        <f>IF(C1129="","",IF(AND(MONTH(C1129)&gt;=1,MONTH(C1129)&lt;=3),1,IF(AND(MONTH(C1129)&gt;=4,MONTH(C1129)&lt;=6),2,IF(AND(MONTH(C1129)&gt;=7,MONTH(C1129)&lt;=9),3,4))))</f>
        <v>1</v>
      </c>
      <c r="D1130" s="37"/>
      <c r="E1130" s="35" t="s">
        <v>35</v>
      </c>
      <c r="F1130" s="36" t="s">
        <v>36</v>
      </c>
    </row>
    <row r="1131" spans="1:6" ht="17.25" thickBot="1" x14ac:dyDescent="0.3">
      <c r="A1131" s="37"/>
      <c r="B1131" s="33" t="s">
        <v>37</v>
      </c>
      <c r="C1131" s="34">
        <v>45015</v>
      </c>
      <c r="D1131" s="37"/>
      <c r="E1131" s="35" t="s">
        <v>38</v>
      </c>
      <c r="F1131" s="36" t="s">
        <v>36</v>
      </c>
    </row>
    <row r="1132" spans="1:6" ht="17.25" thickBot="1" x14ac:dyDescent="0.3">
      <c r="A1132" s="37"/>
      <c r="B1132" s="33" t="s">
        <v>34</v>
      </c>
      <c r="C1132" s="38">
        <f>IF(C1131="","",IF(AND(MONTH(C1131)&gt;=1,MONTH(C1131)&lt;=3),1,IF(AND(MONTH(C1131)&gt;=4,MONTH(C1131)&lt;=6),2,IF(AND(MONTH(C1131)&gt;=7,MONTH(C1131)&lt;=9),3,4))))</f>
        <v>1</v>
      </c>
      <c r="D1132" s="37"/>
      <c r="E1132" s="35" t="s">
        <v>39</v>
      </c>
      <c r="F1132" s="36" t="s">
        <v>36</v>
      </c>
    </row>
    <row r="1133" spans="1:6" ht="17.25" thickBot="1" x14ac:dyDescent="0.3"/>
    <row r="1134" spans="1:6" ht="17.25" thickBot="1" x14ac:dyDescent="0.3">
      <c r="A1134" s="39" t="s">
        <v>40</v>
      </c>
      <c r="B1134" s="39" t="s">
        <v>41</v>
      </c>
      <c r="C1134" s="39" t="s">
        <v>42</v>
      </c>
      <c r="D1134" s="39" t="s">
        <v>43</v>
      </c>
      <c r="E1134" s="39" t="s">
        <v>44</v>
      </c>
      <c r="F1134" s="39" t="s">
        <v>45</v>
      </c>
    </row>
    <row r="1135" spans="1:6" x14ac:dyDescent="0.25">
      <c r="A1135" s="40" t="s">
        <v>248</v>
      </c>
      <c r="B1135" s="41" t="str">
        <f ca="1">IFERROR(INDEX(UNSPSCDes,MATCH(INDIRECT(ADDRESS(ROW(),COLUMN()-1,4)),UNSPSCCode,0)),IF(INDIRECT(ADDRESS(ROW(),COLUMN()-1,4))="31162307","Placas de montaje",""))</f>
        <v>Placas de montaje</v>
      </c>
      <c r="C1135" s="42" t="str">
        <f>IFERROR(VLOOKUP("UD",'[1]Informacion '!P:Q,2,FALSE),"")</f>
        <v>Unidad</v>
      </c>
      <c r="D1135" s="40">
        <v>1</v>
      </c>
      <c r="E1135" s="43">
        <v>1</v>
      </c>
      <c r="F1135" s="44">
        <f ca="1">INDIRECT(ADDRESS(ROW(),COLUMN()-2,4))*INDIRECT(ADDRESS(ROW(),COLUMN()-1,4))</f>
        <v>1</v>
      </c>
    </row>
    <row r="1136" spans="1:6" x14ac:dyDescent="0.25">
      <c r="E1136" s="45" t="s">
        <v>47</v>
      </c>
      <c r="F1136" s="46">
        <f ca="1">SUM(Table99[MONTO TOTAL ESTIMADO])</f>
        <v>1</v>
      </c>
    </row>
    <row r="1137" spans="1:6" ht="17.25" thickBot="1" x14ac:dyDescent="0.3"/>
    <row r="1138" spans="1:6" ht="23.25" thickBot="1" x14ac:dyDescent="0.3">
      <c r="A1138" s="30" t="s">
        <v>18</v>
      </c>
      <c r="B1138" s="30" t="s">
        <v>19</v>
      </c>
      <c r="C1138" s="30" t="s">
        <v>20</v>
      </c>
      <c r="D1138" s="30" t="s">
        <v>21</v>
      </c>
      <c r="E1138" s="30" t="s">
        <v>22</v>
      </c>
      <c r="F1138" s="30" t="s">
        <v>23</v>
      </c>
    </row>
    <row r="1139" spans="1:6" ht="17.25" thickBot="1" x14ac:dyDescent="0.3">
      <c r="A1139" s="31" t="s">
        <v>247</v>
      </c>
      <c r="B1139" s="31" t="s">
        <v>145</v>
      </c>
      <c r="C1139" s="31" t="s">
        <v>92</v>
      </c>
      <c r="D1139" s="31" t="s">
        <v>27</v>
      </c>
      <c r="E1139" s="31" t="s">
        <v>58</v>
      </c>
      <c r="F1139" s="31"/>
    </row>
    <row r="1140" spans="1:6" ht="17.25" thickBot="1" x14ac:dyDescent="0.3">
      <c r="A1140" s="32" t="s">
        <v>29</v>
      </c>
      <c r="B1140" s="33" t="s">
        <v>30</v>
      </c>
      <c r="C1140" s="34">
        <v>45107</v>
      </c>
      <c r="D1140" s="32" t="s">
        <v>31</v>
      </c>
      <c r="E1140" s="35" t="s">
        <v>32</v>
      </c>
      <c r="F1140" s="36" t="s">
        <v>33</v>
      </c>
    </row>
    <row r="1141" spans="1:6" ht="17.25" thickBot="1" x14ac:dyDescent="0.3">
      <c r="A1141" s="37"/>
      <c r="B1141" s="33" t="s">
        <v>34</v>
      </c>
      <c r="C1141" s="38">
        <f>IF(C1140="","",IF(AND(MONTH(C1140)&gt;=1,MONTH(C1140)&lt;=3),1,IF(AND(MONTH(C1140)&gt;=4,MONTH(C1140)&lt;=6),2,IF(AND(MONTH(C1140)&gt;=7,MONTH(C1140)&lt;=9),3,4))))</f>
        <v>2</v>
      </c>
      <c r="D1141" s="37"/>
      <c r="E1141" s="35" t="s">
        <v>35</v>
      </c>
      <c r="F1141" s="36" t="s">
        <v>36</v>
      </c>
    </row>
    <row r="1142" spans="1:6" ht="17.25" thickBot="1" x14ac:dyDescent="0.3">
      <c r="A1142" s="37"/>
      <c r="B1142" s="33" t="s">
        <v>37</v>
      </c>
      <c r="C1142" s="34">
        <v>45198</v>
      </c>
      <c r="D1142" s="37"/>
      <c r="E1142" s="35" t="s">
        <v>38</v>
      </c>
      <c r="F1142" s="36" t="s">
        <v>36</v>
      </c>
    </row>
    <row r="1143" spans="1:6" ht="17.25" thickBot="1" x14ac:dyDescent="0.3">
      <c r="A1143" s="37"/>
      <c r="B1143" s="33" t="s">
        <v>34</v>
      </c>
      <c r="C1143" s="38">
        <f>IF(C1142="","",IF(AND(MONTH(C1142)&gt;=1,MONTH(C1142)&lt;=3),1,IF(AND(MONTH(C1142)&gt;=4,MONTH(C1142)&lt;=6),2,IF(AND(MONTH(C1142)&gt;=7,MONTH(C1142)&lt;=9),3,4))))</f>
        <v>3</v>
      </c>
      <c r="D1143" s="37"/>
      <c r="E1143" s="35" t="s">
        <v>39</v>
      </c>
      <c r="F1143" s="36" t="s">
        <v>36</v>
      </c>
    </row>
    <row r="1144" spans="1:6" ht="17.25" thickBot="1" x14ac:dyDescent="0.3"/>
    <row r="1145" spans="1:6" ht="17.25" thickBot="1" x14ac:dyDescent="0.3">
      <c r="A1145" s="39" t="s">
        <v>40</v>
      </c>
      <c r="B1145" s="39" t="s">
        <v>41</v>
      </c>
      <c r="C1145" s="39" t="s">
        <v>42</v>
      </c>
      <c r="D1145" s="39" t="s">
        <v>43</v>
      </c>
      <c r="E1145" s="39" t="s">
        <v>44</v>
      </c>
      <c r="F1145" s="39" t="s">
        <v>45</v>
      </c>
    </row>
    <row r="1146" spans="1:6" x14ac:dyDescent="0.25">
      <c r="A1146" s="40" t="s">
        <v>248</v>
      </c>
      <c r="B1146" s="41" t="str">
        <f ca="1">IFERROR(INDEX(UNSPSCDes,MATCH(INDIRECT(ADDRESS(ROW(),COLUMN()-1,4)),UNSPSCCode,0)),IF(INDIRECT(ADDRESS(ROW(),COLUMN()-1,4))="31162307","Placas de montaje",""))</f>
        <v>Placas de montaje</v>
      </c>
      <c r="C1146" s="42" t="str">
        <f>IFERROR(VLOOKUP("UD",'[1]Informacion '!P:Q,2,FALSE),"")</f>
        <v>Unidad</v>
      </c>
      <c r="D1146" s="40">
        <v>1</v>
      </c>
      <c r="E1146" s="43">
        <v>1</v>
      </c>
      <c r="F1146" s="44">
        <f t="shared" ref="F1146:F1153" ca="1" si="6">INDIRECT(ADDRESS(ROW(),COLUMN()-2,4))*INDIRECT(ADDRESS(ROW(),COLUMN()-1,4))</f>
        <v>1</v>
      </c>
    </row>
    <row r="1147" spans="1:6" x14ac:dyDescent="0.25">
      <c r="A1147" s="40" t="s">
        <v>249</v>
      </c>
      <c r="B1147" s="41" t="str">
        <f ca="1">IFERROR(INDEX(UNSPSCDes,MATCH(INDIRECT(ADDRESS(ROW(),COLUMN()-1,4)),UNSPSCCode,0)),IF(INDIRECT(ADDRESS(ROW(),COLUMN()-1,4))="31161511","Tornillos de apriete",""))</f>
        <v>Tornillos de apriete</v>
      </c>
      <c r="C1147" s="42" t="str">
        <f>IFERROR(VLOOKUP("UD",'[1]Informacion '!P:Q,2,FALSE),"")</f>
        <v>Unidad</v>
      </c>
      <c r="D1147" s="40">
        <v>1</v>
      </c>
      <c r="E1147" s="43">
        <v>1</v>
      </c>
      <c r="F1147" s="44">
        <f t="shared" ca="1" si="6"/>
        <v>1</v>
      </c>
    </row>
    <row r="1148" spans="1:6" x14ac:dyDescent="0.25">
      <c r="A1148" s="40" t="s">
        <v>250</v>
      </c>
      <c r="B1148" s="41" t="str">
        <f ca="1">IFERROR(INDEX(UNSPSCDes,MATCH(INDIRECT(ADDRESS(ROW(),COLUMN()-1,4)),UNSPSCCode,0)),IF(INDIRECT(ADDRESS(ROW(),COLUMN()-1,4))="40142327","Juntas de rótula de tuberías",""))</f>
        <v>Juntas de rótula de tuberías</v>
      </c>
      <c r="C1148" s="42" t="str">
        <f>IFERROR(VLOOKUP("UD",'[1]Informacion '!P:Q,2,FALSE),"")</f>
        <v>Unidad</v>
      </c>
      <c r="D1148" s="40">
        <v>1</v>
      </c>
      <c r="E1148" s="43">
        <v>1</v>
      </c>
      <c r="F1148" s="44">
        <f t="shared" ca="1" si="6"/>
        <v>1</v>
      </c>
    </row>
    <row r="1149" spans="1:6" x14ac:dyDescent="0.25">
      <c r="A1149" s="40" t="s">
        <v>251</v>
      </c>
      <c r="B1149" s="41" t="str">
        <f ca="1">IFERROR(INDEX(UNSPSCDes,MATCH(INDIRECT(ADDRESS(ROW(),COLUMN()-1,4)),UNSPSCCode,0)),IF(INDIRECT(ADDRESS(ROW(),COLUMN()-1,4))="30102903","Postes de metal",""))</f>
        <v>Postes de metal</v>
      </c>
      <c r="C1149" s="42" t="str">
        <f>IFERROR(VLOOKUP("UD",'[1]Informacion '!P:Q,2,FALSE),"")</f>
        <v>Unidad</v>
      </c>
      <c r="D1149" s="40">
        <v>8</v>
      </c>
      <c r="E1149" s="43">
        <v>1</v>
      </c>
      <c r="F1149" s="44">
        <f t="shared" ca="1" si="6"/>
        <v>8</v>
      </c>
    </row>
    <row r="1150" spans="1:6" x14ac:dyDescent="0.25">
      <c r="A1150" s="40" t="s">
        <v>252</v>
      </c>
      <c r="B1150" s="41" t="str">
        <f ca="1">IFERROR(INDEX(UNSPSCDes,MATCH(INDIRECT(ADDRESS(ROW(),COLUMN()-1,4)),UNSPSCCode,0)),IF(INDIRECT(ADDRESS(ROW(),COLUMN()-1,4))="31231302","Tubería de cobre",""))</f>
        <v>Tubería de cobre</v>
      </c>
      <c r="C1150" s="42" t="str">
        <f>IFERROR(VLOOKUP("UD",'[1]Informacion '!P:Q,2,FALSE),"")</f>
        <v>Unidad</v>
      </c>
      <c r="D1150" s="40">
        <v>1</v>
      </c>
      <c r="E1150" s="43">
        <v>1</v>
      </c>
      <c r="F1150" s="44">
        <f t="shared" ca="1" si="6"/>
        <v>1</v>
      </c>
    </row>
    <row r="1151" spans="1:6" x14ac:dyDescent="0.25">
      <c r="A1151" s="40">
        <v>40142604</v>
      </c>
      <c r="B1151" s="41" t="str">
        <f ca="1">IFERROR(INDEX(UNSPSCDes,MATCH(INDIRECT(ADDRESS(ROW(),COLUMN()-1,4)),UNSPSCCode,0)),IF(INDIRECT(ADDRESS(ROW(),COLUMN()-1,4))="31231302","Tubería de cobre",""))</f>
        <v>Codos de tubo</v>
      </c>
      <c r="C1151" s="42" t="str">
        <f>IFERROR(VLOOKUP("UD",'[1]Informacion '!P:Q,2,FALSE),"")</f>
        <v>Unidad</v>
      </c>
      <c r="D1151" s="40">
        <v>20</v>
      </c>
      <c r="E1151" s="43">
        <v>1</v>
      </c>
      <c r="F1151" s="44">
        <f t="shared" ca="1" si="6"/>
        <v>20</v>
      </c>
    </row>
    <row r="1152" spans="1:6" x14ac:dyDescent="0.25">
      <c r="A1152" s="40">
        <v>40142315</v>
      </c>
      <c r="B1152" s="41" t="str">
        <f ca="1">IFERROR(INDEX(UNSPSCDes,MATCH(INDIRECT(ADDRESS(ROW(),COLUMN()-1,4)),UNSPSCCode,0)),IF(INDIRECT(ADDRESS(ROW(),COLUMN()-1,4))="31231302","Tubería de cobre",""))</f>
        <v>Acoplamientos de tubería</v>
      </c>
      <c r="C1152" s="42" t="str">
        <f>IFERROR(VLOOKUP("UD",'[1]Informacion '!P:Q,2,FALSE),"")</f>
        <v>Unidad</v>
      </c>
      <c r="D1152" s="40">
        <v>20</v>
      </c>
      <c r="E1152" s="43">
        <v>1</v>
      </c>
      <c r="F1152" s="44">
        <f t="shared" ca="1" si="6"/>
        <v>20</v>
      </c>
    </row>
    <row r="1153" spans="1:6" x14ac:dyDescent="0.25">
      <c r="A1153" s="40">
        <v>27111701</v>
      </c>
      <c r="B1153" s="41" t="str">
        <f ca="1">IFERROR(INDEX(UNSPSCDes,MATCH(INDIRECT(ADDRESS(ROW(),COLUMN()-1,4)),UNSPSCCode,0)),IF(INDIRECT(ADDRESS(ROW(),COLUMN()-1,4))="31231302","Tubería de cobre",""))</f>
        <v>Destornilladores</v>
      </c>
      <c r="C1153" s="42" t="str">
        <f>IFERROR(VLOOKUP("UD",'[1]Informacion '!P:Q,2,FALSE),"")</f>
        <v>Unidad</v>
      </c>
      <c r="D1153" s="40">
        <v>4</v>
      </c>
      <c r="E1153" s="43">
        <v>1</v>
      </c>
      <c r="F1153" s="44">
        <f t="shared" ca="1" si="6"/>
        <v>4</v>
      </c>
    </row>
    <row r="1154" spans="1:6" x14ac:dyDescent="0.25">
      <c r="E1154" s="45" t="s">
        <v>47</v>
      </c>
      <c r="F1154" s="46">
        <f ca="1">SUM(Table100[MONTO TOTAL ESTIMADO])</f>
        <v>56</v>
      </c>
    </row>
    <row r="1155" spans="1:6" ht="17.25" thickBot="1" x14ac:dyDescent="0.3"/>
    <row r="1156" spans="1:6" ht="23.25" thickBot="1" x14ac:dyDescent="0.3">
      <c r="A1156" s="30" t="s">
        <v>18</v>
      </c>
      <c r="B1156" s="30" t="s">
        <v>19</v>
      </c>
      <c r="C1156" s="30" t="s">
        <v>20</v>
      </c>
      <c r="D1156" s="30" t="s">
        <v>21</v>
      </c>
      <c r="E1156" s="30" t="s">
        <v>22</v>
      </c>
      <c r="F1156" s="30" t="s">
        <v>23</v>
      </c>
    </row>
    <row r="1157" spans="1:6" ht="17.25" thickBot="1" x14ac:dyDescent="0.3">
      <c r="A1157" s="31" t="s">
        <v>253</v>
      </c>
      <c r="B1157" s="31" t="s">
        <v>254</v>
      </c>
      <c r="C1157" s="31" t="s">
        <v>92</v>
      </c>
      <c r="D1157" s="31" t="s">
        <v>27</v>
      </c>
      <c r="E1157" s="31" t="s">
        <v>58</v>
      </c>
      <c r="F1157" s="31"/>
    </row>
    <row r="1158" spans="1:6" ht="17.25" thickBot="1" x14ac:dyDescent="0.3">
      <c r="A1158" s="32" t="s">
        <v>29</v>
      </c>
      <c r="B1158" s="33" t="s">
        <v>30</v>
      </c>
      <c r="C1158" s="34">
        <v>44975</v>
      </c>
      <c r="D1158" s="32" t="s">
        <v>31</v>
      </c>
      <c r="E1158" s="35" t="s">
        <v>32</v>
      </c>
      <c r="F1158" s="36" t="s">
        <v>33</v>
      </c>
    </row>
    <row r="1159" spans="1:6" ht="17.25" thickBot="1" x14ac:dyDescent="0.3">
      <c r="A1159" s="37"/>
      <c r="B1159" s="33" t="s">
        <v>34</v>
      </c>
      <c r="C1159" s="38">
        <f>IF(C1158="","",IF(AND(MONTH(C1158)&gt;=1,MONTH(C1158)&lt;=3),1,IF(AND(MONTH(C1158)&gt;=4,MONTH(C1158)&lt;=6),2,IF(AND(MONTH(C1158)&gt;=7,MONTH(C1158)&lt;=9),3,4))))</f>
        <v>1</v>
      </c>
      <c r="D1159" s="37"/>
      <c r="E1159" s="35" t="s">
        <v>35</v>
      </c>
      <c r="F1159" s="36" t="s">
        <v>36</v>
      </c>
    </row>
    <row r="1160" spans="1:6" ht="17.25" thickBot="1" x14ac:dyDescent="0.3">
      <c r="A1160" s="37"/>
      <c r="B1160" s="33" t="s">
        <v>37</v>
      </c>
      <c r="C1160" s="34">
        <v>45015</v>
      </c>
      <c r="D1160" s="37"/>
      <c r="E1160" s="35" t="s">
        <v>38</v>
      </c>
      <c r="F1160" s="36" t="s">
        <v>36</v>
      </c>
    </row>
    <row r="1161" spans="1:6" ht="17.25" thickBot="1" x14ac:dyDescent="0.3">
      <c r="A1161" s="37"/>
      <c r="B1161" s="33" t="s">
        <v>34</v>
      </c>
      <c r="C1161" s="38">
        <f>IF(C1160="","",IF(AND(MONTH(C1160)&gt;=1,MONTH(C1160)&lt;=3),1,IF(AND(MONTH(C1160)&gt;=4,MONTH(C1160)&lt;=6),2,IF(AND(MONTH(C1160)&gt;=7,MONTH(C1160)&lt;=9),3,4))))</f>
        <v>1</v>
      </c>
      <c r="D1161" s="37"/>
      <c r="E1161" s="35" t="s">
        <v>39</v>
      </c>
      <c r="F1161" s="36" t="s">
        <v>36</v>
      </c>
    </row>
    <row r="1162" spans="1:6" ht="17.25" thickBot="1" x14ac:dyDescent="0.3"/>
    <row r="1163" spans="1:6" ht="17.25" thickBot="1" x14ac:dyDescent="0.3">
      <c r="A1163" s="39" t="s">
        <v>40</v>
      </c>
      <c r="B1163" s="39" t="s">
        <v>41</v>
      </c>
      <c r="C1163" s="39" t="s">
        <v>42</v>
      </c>
      <c r="D1163" s="39" t="s">
        <v>43</v>
      </c>
      <c r="E1163" s="39" t="s">
        <v>44</v>
      </c>
      <c r="F1163" s="39" t="s">
        <v>45</v>
      </c>
    </row>
    <row r="1164" spans="1:6" x14ac:dyDescent="0.25">
      <c r="A1164" s="40" t="s">
        <v>255</v>
      </c>
      <c r="B1164" s="41" t="str">
        <f ca="1">IFERROR(INDEX(UNSPSCDes,MATCH(INDIRECT(ADDRESS(ROW(),COLUMN()-1,4)),UNSPSCCode,0)),IF(INDIRECT(ADDRESS(ROW(),COLUMN()-1,4))="11111602","Travertino",""))</f>
        <v>Travertino</v>
      </c>
      <c r="C1164" s="42" t="str">
        <f>IFERROR(VLOOKUP("UD",'[1]Informacion '!P:Q,2,FALSE),"")</f>
        <v>Unidad</v>
      </c>
      <c r="D1164" s="40">
        <v>1</v>
      </c>
      <c r="E1164" s="43">
        <v>5000</v>
      </c>
      <c r="F1164" s="44">
        <f ca="1">INDIRECT(ADDRESS(ROW(),COLUMN()-2,4))*INDIRECT(ADDRESS(ROW(),COLUMN()-1,4))</f>
        <v>5000</v>
      </c>
    </row>
    <row r="1165" spans="1:6" x14ac:dyDescent="0.25">
      <c r="E1165" s="45" t="s">
        <v>47</v>
      </c>
      <c r="F1165" s="46">
        <f ca="1">SUM(Table101[MONTO TOTAL ESTIMADO])</f>
        <v>5000</v>
      </c>
    </row>
    <row r="1166" spans="1:6" ht="17.25" thickBot="1" x14ac:dyDescent="0.3"/>
    <row r="1167" spans="1:6" ht="23.25" thickBot="1" x14ac:dyDescent="0.3">
      <c r="A1167" s="30" t="s">
        <v>18</v>
      </c>
      <c r="B1167" s="30" t="s">
        <v>19</v>
      </c>
      <c r="C1167" s="30" t="s">
        <v>20</v>
      </c>
      <c r="D1167" s="30" t="s">
        <v>21</v>
      </c>
      <c r="E1167" s="30" t="s">
        <v>22</v>
      </c>
      <c r="F1167" s="30" t="s">
        <v>23</v>
      </c>
    </row>
    <row r="1168" spans="1:6" ht="17.25" thickBot="1" x14ac:dyDescent="0.3">
      <c r="A1168" s="31" t="s">
        <v>253</v>
      </c>
      <c r="B1168" s="31" t="s">
        <v>145</v>
      </c>
      <c r="C1168" s="31" t="s">
        <v>92</v>
      </c>
      <c r="D1168" s="31" t="s">
        <v>27</v>
      </c>
      <c r="E1168" s="31" t="s">
        <v>58</v>
      </c>
      <c r="F1168" s="31"/>
    </row>
    <row r="1169" spans="1:6" ht="17.25" thickBot="1" x14ac:dyDescent="0.3">
      <c r="A1169" s="32" t="s">
        <v>29</v>
      </c>
      <c r="B1169" s="33" t="s">
        <v>30</v>
      </c>
      <c r="C1169" s="34">
        <v>45107</v>
      </c>
      <c r="D1169" s="32" t="s">
        <v>31</v>
      </c>
      <c r="E1169" s="35" t="s">
        <v>32</v>
      </c>
      <c r="F1169" s="36" t="s">
        <v>33</v>
      </c>
    </row>
    <row r="1170" spans="1:6" ht="17.25" thickBot="1" x14ac:dyDescent="0.3">
      <c r="A1170" s="37"/>
      <c r="B1170" s="33" t="s">
        <v>34</v>
      </c>
      <c r="C1170" s="38">
        <f>IF(C1169="","",IF(AND(MONTH(C1169)&gt;=1,MONTH(C1169)&lt;=3),1,IF(AND(MONTH(C1169)&gt;=4,MONTH(C1169)&lt;=6),2,IF(AND(MONTH(C1169)&gt;=7,MONTH(C1169)&lt;=9),3,4))))</f>
        <v>2</v>
      </c>
      <c r="D1170" s="37"/>
      <c r="E1170" s="35" t="s">
        <v>35</v>
      </c>
      <c r="F1170" s="36" t="s">
        <v>36</v>
      </c>
    </row>
    <row r="1171" spans="1:6" ht="17.25" thickBot="1" x14ac:dyDescent="0.3">
      <c r="A1171" s="37"/>
      <c r="B1171" s="33" t="s">
        <v>37</v>
      </c>
      <c r="C1171" s="34">
        <v>45198</v>
      </c>
      <c r="D1171" s="37"/>
      <c r="E1171" s="35" t="s">
        <v>38</v>
      </c>
      <c r="F1171" s="36" t="s">
        <v>36</v>
      </c>
    </row>
    <row r="1172" spans="1:6" ht="17.25" thickBot="1" x14ac:dyDescent="0.3">
      <c r="A1172" s="37"/>
      <c r="B1172" s="33" t="s">
        <v>34</v>
      </c>
      <c r="C1172" s="38">
        <f>IF(C1171="","",IF(AND(MONTH(C1171)&gt;=1,MONTH(C1171)&lt;=3),1,IF(AND(MONTH(C1171)&gt;=4,MONTH(C1171)&lt;=6),2,IF(AND(MONTH(C1171)&gt;=7,MONTH(C1171)&lt;=9),3,4))))</f>
        <v>3</v>
      </c>
      <c r="D1172" s="37"/>
      <c r="E1172" s="35" t="s">
        <v>39</v>
      </c>
      <c r="F1172" s="36" t="s">
        <v>36</v>
      </c>
    </row>
    <row r="1173" spans="1:6" ht="17.25" thickBot="1" x14ac:dyDescent="0.3"/>
    <row r="1174" spans="1:6" ht="17.25" thickBot="1" x14ac:dyDescent="0.3">
      <c r="A1174" s="39" t="s">
        <v>40</v>
      </c>
      <c r="B1174" s="39" t="s">
        <v>41</v>
      </c>
      <c r="C1174" s="39" t="s">
        <v>42</v>
      </c>
      <c r="D1174" s="39" t="s">
        <v>43</v>
      </c>
      <c r="E1174" s="39" t="s">
        <v>44</v>
      </c>
      <c r="F1174" s="39" t="s">
        <v>45</v>
      </c>
    </row>
    <row r="1175" spans="1:6" x14ac:dyDescent="0.25">
      <c r="A1175" s="40" t="s">
        <v>255</v>
      </c>
      <c r="B1175" s="41" t="str">
        <f ca="1">IFERROR(INDEX(UNSPSCDes,MATCH(INDIRECT(ADDRESS(ROW(),COLUMN()-1,4)),UNSPSCCode,0)),IF(INDIRECT(ADDRESS(ROW(),COLUMN()-1,4))="11111602","Travertino",""))</f>
        <v>Travertino</v>
      </c>
      <c r="C1175" s="42" t="s">
        <v>66</v>
      </c>
      <c r="D1175" s="40">
        <v>1</v>
      </c>
      <c r="E1175" s="43">
        <v>10000</v>
      </c>
      <c r="F1175" s="44">
        <f ca="1">INDIRECT(ADDRESS(ROW(),COLUMN()-2,4))*INDIRECT(ADDRESS(ROW(),COLUMN()-1,4))</f>
        <v>10000</v>
      </c>
    </row>
    <row r="1176" spans="1:6" x14ac:dyDescent="0.25">
      <c r="E1176" s="45" t="s">
        <v>47</v>
      </c>
      <c r="F1176" s="46">
        <f ca="1">SUM(Table102[MONTO TOTAL ESTIMADO])</f>
        <v>10000</v>
      </c>
    </row>
    <row r="1177" spans="1:6" ht="17.25" thickBot="1" x14ac:dyDescent="0.3"/>
    <row r="1178" spans="1:6" ht="23.25" thickBot="1" x14ac:dyDescent="0.3">
      <c r="A1178" s="30" t="s">
        <v>18</v>
      </c>
      <c r="B1178" s="30" t="s">
        <v>19</v>
      </c>
      <c r="C1178" s="30" t="s">
        <v>20</v>
      </c>
      <c r="D1178" s="30" t="s">
        <v>21</v>
      </c>
      <c r="E1178" s="30" t="s">
        <v>22</v>
      </c>
      <c r="F1178" s="30" t="s">
        <v>23</v>
      </c>
    </row>
    <row r="1179" spans="1:6" ht="17.25" thickBot="1" x14ac:dyDescent="0.3">
      <c r="A1179" s="31" t="s">
        <v>256</v>
      </c>
      <c r="B1179" s="31" t="s">
        <v>257</v>
      </c>
      <c r="C1179" s="31" t="s">
        <v>92</v>
      </c>
      <c r="D1179" s="31" t="s">
        <v>52</v>
      </c>
      <c r="E1179" s="31" t="s">
        <v>75</v>
      </c>
      <c r="F1179" s="31"/>
    </row>
    <row r="1180" spans="1:6" ht="17.25" thickBot="1" x14ac:dyDescent="0.3">
      <c r="A1180" s="32" t="s">
        <v>29</v>
      </c>
      <c r="B1180" s="33" t="s">
        <v>30</v>
      </c>
      <c r="C1180" s="34">
        <v>44927</v>
      </c>
      <c r="D1180" s="32" t="s">
        <v>31</v>
      </c>
      <c r="E1180" s="35" t="s">
        <v>32</v>
      </c>
      <c r="F1180" s="36" t="s">
        <v>33</v>
      </c>
    </row>
    <row r="1181" spans="1:6" ht="17.25" thickBot="1" x14ac:dyDescent="0.3">
      <c r="A1181" s="37"/>
      <c r="B1181" s="33" t="s">
        <v>34</v>
      </c>
      <c r="C1181" s="38">
        <f>IF(C1180="","",IF(AND(MONTH(C1180)&gt;=1,MONTH(C1180)&lt;=3),1,IF(AND(MONTH(C1180)&gt;=4,MONTH(C1180)&lt;=6),2,IF(AND(MONTH(C1180)&gt;=7,MONTH(C1180)&lt;=9),3,4))))</f>
        <v>1</v>
      </c>
      <c r="D1181" s="37"/>
      <c r="E1181" s="35" t="s">
        <v>35</v>
      </c>
      <c r="F1181" s="36" t="s">
        <v>36</v>
      </c>
    </row>
    <row r="1182" spans="1:6" ht="17.25" thickBot="1" x14ac:dyDescent="0.3">
      <c r="A1182" s="37"/>
      <c r="B1182" s="33" t="s">
        <v>37</v>
      </c>
      <c r="C1182" s="34">
        <v>45015</v>
      </c>
      <c r="D1182" s="37"/>
      <c r="E1182" s="35" t="s">
        <v>38</v>
      </c>
      <c r="F1182" s="36" t="s">
        <v>36</v>
      </c>
    </row>
    <row r="1183" spans="1:6" ht="17.25" thickBot="1" x14ac:dyDescent="0.3">
      <c r="A1183" s="37"/>
      <c r="B1183" s="33" t="s">
        <v>34</v>
      </c>
      <c r="C1183" s="38">
        <f>IF(C1182="","",IF(AND(MONTH(C1182)&gt;=1,MONTH(C1182)&lt;=3),1,IF(AND(MONTH(C1182)&gt;=4,MONTH(C1182)&lt;=6),2,IF(AND(MONTH(C1182)&gt;=7,MONTH(C1182)&lt;=9),3,4))))</f>
        <v>1</v>
      </c>
      <c r="D1183" s="37"/>
      <c r="E1183" s="35" t="s">
        <v>39</v>
      </c>
      <c r="F1183" s="36" t="s">
        <v>36</v>
      </c>
    </row>
    <row r="1184" spans="1:6" ht="17.25" thickBot="1" x14ac:dyDescent="0.3"/>
    <row r="1185" spans="1:6" ht="17.25" thickBot="1" x14ac:dyDescent="0.3">
      <c r="A1185" s="39" t="s">
        <v>40</v>
      </c>
      <c r="B1185" s="39" t="s">
        <v>41</v>
      </c>
      <c r="C1185" s="39" t="s">
        <v>42</v>
      </c>
      <c r="D1185" s="39" t="s">
        <v>43</v>
      </c>
      <c r="E1185" s="39" t="s">
        <v>44</v>
      </c>
      <c r="F1185" s="39" t="s">
        <v>45</v>
      </c>
    </row>
    <row r="1186" spans="1:6" x14ac:dyDescent="0.25">
      <c r="A1186" s="40" t="s">
        <v>258</v>
      </c>
      <c r="B1186" s="41" t="str">
        <f ca="1">IFERROR(INDEX(UNSPSCDes,MATCH(INDIRECT(ADDRESS(ROW(),COLUMN()-1,4)),UNSPSCCode,0)),IF(INDIRECT(ADDRESS(ROW(),COLUMN()-1,4))="15101506","Gasolina",""))</f>
        <v>Gasolina</v>
      </c>
      <c r="C1186" s="42" t="str">
        <f>IFERROR(VLOOKUP("UD",'[1]Informacion '!P:Q,2,FALSE),"")</f>
        <v>Unidad</v>
      </c>
      <c r="D1186" s="40">
        <v>1</v>
      </c>
      <c r="E1186" s="43">
        <v>1810000</v>
      </c>
      <c r="F1186" s="44">
        <f ca="1">INDIRECT(ADDRESS(ROW(),COLUMN()-2,4))*INDIRECT(ADDRESS(ROW(),COLUMN()-1,4))</f>
        <v>1810000</v>
      </c>
    </row>
    <row r="1187" spans="1:6" x14ac:dyDescent="0.25">
      <c r="E1187" s="45" t="s">
        <v>47</v>
      </c>
      <c r="F1187" s="46">
        <f ca="1">SUM(Table103[MONTO TOTAL ESTIMADO])</f>
        <v>1810000</v>
      </c>
    </row>
    <row r="1188" spans="1:6" ht="17.25" thickBot="1" x14ac:dyDescent="0.3"/>
    <row r="1189" spans="1:6" ht="23.25" thickBot="1" x14ac:dyDescent="0.3">
      <c r="A1189" s="30" t="s">
        <v>18</v>
      </c>
      <c r="B1189" s="30" t="s">
        <v>19</v>
      </c>
      <c r="C1189" s="30" t="s">
        <v>20</v>
      </c>
      <c r="D1189" s="30" t="s">
        <v>21</v>
      </c>
      <c r="E1189" s="30" t="s">
        <v>22</v>
      </c>
      <c r="F1189" s="30" t="s">
        <v>23</v>
      </c>
    </row>
    <row r="1190" spans="1:6" ht="17.25" thickBot="1" x14ac:dyDescent="0.3">
      <c r="A1190" s="31" t="s">
        <v>256</v>
      </c>
      <c r="B1190" s="31" t="s">
        <v>257</v>
      </c>
      <c r="C1190" s="31" t="s">
        <v>92</v>
      </c>
      <c r="D1190" s="31" t="s">
        <v>52</v>
      </c>
      <c r="E1190" s="31" t="s">
        <v>75</v>
      </c>
      <c r="F1190" s="31"/>
    </row>
    <row r="1191" spans="1:6" ht="17.25" thickBot="1" x14ac:dyDescent="0.3">
      <c r="A1191" s="32" t="s">
        <v>29</v>
      </c>
      <c r="B1191" s="33" t="s">
        <v>30</v>
      </c>
      <c r="C1191" s="34">
        <v>45108</v>
      </c>
      <c r="D1191" s="32" t="s">
        <v>31</v>
      </c>
      <c r="E1191" s="35" t="s">
        <v>32</v>
      </c>
      <c r="F1191" s="36" t="s">
        <v>33</v>
      </c>
    </row>
    <row r="1192" spans="1:6" ht="17.25" thickBot="1" x14ac:dyDescent="0.3">
      <c r="A1192" s="37"/>
      <c r="B1192" s="33" t="s">
        <v>34</v>
      </c>
      <c r="C1192" s="38">
        <f>IF(C1191="","",IF(AND(MONTH(C1191)&gt;=1,MONTH(C1191)&lt;=3),1,IF(AND(MONTH(C1191)&gt;=4,MONTH(C1191)&lt;=6),2,IF(AND(MONTH(C1191)&gt;=7,MONTH(C1191)&lt;=9),3,4))))</f>
        <v>3</v>
      </c>
      <c r="D1192" s="37"/>
      <c r="E1192" s="35" t="s">
        <v>35</v>
      </c>
      <c r="F1192" s="36" t="s">
        <v>36</v>
      </c>
    </row>
    <row r="1193" spans="1:6" ht="17.25" thickBot="1" x14ac:dyDescent="0.3">
      <c r="A1193" s="37"/>
      <c r="B1193" s="33" t="s">
        <v>37</v>
      </c>
      <c r="C1193" s="34">
        <v>45199</v>
      </c>
      <c r="D1193" s="37"/>
      <c r="E1193" s="35" t="s">
        <v>38</v>
      </c>
      <c r="F1193" s="36" t="s">
        <v>36</v>
      </c>
    </row>
    <row r="1194" spans="1:6" ht="17.25" thickBot="1" x14ac:dyDescent="0.3">
      <c r="A1194" s="37"/>
      <c r="B1194" s="33" t="s">
        <v>34</v>
      </c>
      <c r="C1194" s="38">
        <f>IF(C1193="","",IF(AND(MONTH(C1193)&gt;=1,MONTH(C1193)&lt;=3),1,IF(AND(MONTH(C1193)&gt;=4,MONTH(C1193)&lt;=6),2,IF(AND(MONTH(C1193)&gt;=7,MONTH(C1193)&lt;=9),3,4))))</f>
        <v>3</v>
      </c>
      <c r="D1194" s="37"/>
      <c r="E1194" s="35" t="s">
        <v>39</v>
      </c>
      <c r="F1194" s="36" t="s">
        <v>36</v>
      </c>
    </row>
    <row r="1195" spans="1:6" ht="17.25" thickBot="1" x14ac:dyDescent="0.3"/>
    <row r="1196" spans="1:6" ht="17.25" thickBot="1" x14ac:dyDescent="0.3">
      <c r="A1196" s="39" t="s">
        <v>40</v>
      </c>
      <c r="B1196" s="39" t="s">
        <v>41</v>
      </c>
      <c r="C1196" s="39" t="s">
        <v>42</v>
      </c>
      <c r="D1196" s="39" t="s">
        <v>43</v>
      </c>
      <c r="E1196" s="39" t="s">
        <v>44</v>
      </c>
      <c r="F1196" s="39" t="s">
        <v>45</v>
      </c>
    </row>
    <row r="1197" spans="1:6" x14ac:dyDescent="0.25">
      <c r="A1197" s="40" t="s">
        <v>258</v>
      </c>
      <c r="B1197" s="41" t="str">
        <f ca="1">IFERROR(INDEX(UNSPSCDes,MATCH(INDIRECT(ADDRESS(ROW(),COLUMN()-1,4)),UNSPSCCode,0)),IF(INDIRECT(ADDRESS(ROW(),COLUMN()-1,4))="15101506","Gasolina",""))</f>
        <v>Gasolina</v>
      </c>
      <c r="C1197" s="42" t="str">
        <f>IFERROR(VLOOKUP("UD",'[1]Informacion '!P:Q,2,FALSE),"")</f>
        <v>Unidad</v>
      </c>
      <c r="D1197" s="40">
        <v>1</v>
      </c>
      <c r="E1197" s="43">
        <v>1810000</v>
      </c>
      <c r="F1197" s="44">
        <f ca="1">INDIRECT(ADDRESS(ROW(),COLUMN()-2,4))*INDIRECT(ADDRESS(ROW(),COLUMN()-1,4))</f>
        <v>1810000</v>
      </c>
    </row>
    <row r="1198" spans="1:6" x14ac:dyDescent="0.25">
      <c r="E1198" s="45" t="s">
        <v>47</v>
      </c>
      <c r="F1198" s="46">
        <f ca="1">SUM(Table104[MONTO TOTAL ESTIMADO])</f>
        <v>1810000</v>
      </c>
    </row>
    <row r="1199" spans="1:6" ht="17.25" thickBot="1" x14ac:dyDescent="0.3"/>
    <row r="1200" spans="1:6" ht="23.25" thickBot="1" x14ac:dyDescent="0.3">
      <c r="A1200" s="30" t="s">
        <v>18</v>
      </c>
      <c r="B1200" s="30" t="s">
        <v>19</v>
      </c>
      <c r="C1200" s="30" t="s">
        <v>20</v>
      </c>
      <c r="D1200" s="30" t="s">
        <v>21</v>
      </c>
      <c r="E1200" s="30" t="s">
        <v>22</v>
      </c>
      <c r="F1200" s="30" t="s">
        <v>23</v>
      </c>
    </row>
    <row r="1201" spans="1:6" ht="17.25" thickBot="1" x14ac:dyDescent="0.3">
      <c r="A1201" s="31" t="s">
        <v>259</v>
      </c>
      <c r="B1201" s="31" t="s">
        <v>257</v>
      </c>
      <c r="C1201" s="31" t="s">
        <v>92</v>
      </c>
      <c r="D1201" s="31" t="s">
        <v>52</v>
      </c>
      <c r="E1201" s="31" t="s">
        <v>75</v>
      </c>
      <c r="F1201" s="31"/>
    </row>
    <row r="1202" spans="1:6" ht="17.25" thickBot="1" x14ac:dyDescent="0.3">
      <c r="A1202" s="32" t="s">
        <v>29</v>
      </c>
      <c r="B1202" s="33" t="s">
        <v>30</v>
      </c>
      <c r="C1202" s="34">
        <v>44927</v>
      </c>
      <c r="D1202" s="32" t="s">
        <v>31</v>
      </c>
      <c r="E1202" s="35" t="s">
        <v>32</v>
      </c>
      <c r="F1202" s="36" t="s">
        <v>33</v>
      </c>
    </row>
    <row r="1203" spans="1:6" ht="17.25" thickBot="1" x14ac:dyDescent="0.3">
      <c r="A1203" s="37"/>
      <c r="B1203" s="33" t="s">
        <v>34</v>
      </c>
      <c r="C1203" s="38">
        <f>IF(C1202="","",IF(AND(MONTH(C1202)&gt;=1,MONTH(C1202)&lt;=3),1,IF(AND(MONTH(C1202)&gt;=4,MONTH(C1202)&lt;=6),2,IF(AND(MONTH(C1202)&gt;=7,MONTH(C1202)&lt;=9),3,4))))</f>
        <v>1</v>
      </c>
      <c r="D1203" s="37"/>
      <c r="E1203" s="35" t="s">
        <v>35</v>
      </c>
      <c r="F1203" s="36" t="s">
        <v>36</v>
      </c>
    </row>
    <row r="1204" spans="1:6" ht="17.25" thickBot="1" x14ac:dyDescent="0.3">
      <c r="A1204" s="37"/>
      <c r="B1204" s="33" t="s">
        <v>37</v>
      </c>
      <c r="C1204" s="34">
        <v>45015</v>
      </c>
      <c r="D1204" s="37"/>
      <c r="E1204" s="35" t="s">
        <v>38</v>
      </c>
      <c r="F1204" s="36" t="s">
        <v>36</v>
      </c>
    </row>
    <row r="1205" spans="1:6" ht="17.25" thickBot="1" x14ac:dyDescent="0.3">
      <c r="A1205" s="37"/>
      <c r="B1205" s="33" t="s">
        <v>34</v>
      </c>
      <c r="C1205" s="38">
        <f>IF(C1204="","",IF(AND(MONTH(C1204)&gt;=1,MONTH(C1204)&lt;=3),1,IF(AND(MONTH(C1204)&gt;=4,MONTH(C1204)&lt;=6),2,IF(AND(MONTH(C1204)&gt;=7,MONTH(C1204)&lt;=9),3,4))))</f>
        <v>1</v>
      </c>
      <c r="D1205" s="37"/>
      <c r="E1205" s="35" t="s">
        <v>39</v>
      </c>
      <c r="F1205" s="36" t="s">
        <v>36</v>
      </c>
    </row>
    <row r="1206" spans="1:6" ht="17.25" thickBot="1" x14ac:dyDescent="0.3"/>
    <row r="1207" spans="1:6" ht="17.25" thickBot="1" x14ac:dyDescent="0.3">
      <c r="A1207" s="39" t="s">
        <v>40</v>
      </c>
      <c r="B1207" s="39" t="s">
        <v>41</v>
      </c>
      <c r="C1207" s="39" t="s">
        <v>42</v>
      </c>
      <c r="D1207" s="39" t="s">
        <v>43</v>
      </c>
      <c r="E1207" s="39" t="s">
        <v>44</v>
      </c>
      <c r="F1207" s="39" t="s">
        <v>45</v>
      </c>
    </row>
    <row r="1208" spans="1:6" x14ac:dyDescent="0.25">
      <c r="A1208" s="40" t="s">
        <v>260</v>
      </c>
      <c r="B1208" s="41" t="str">
        <f ca="1">IFERROR(INDEX(UNSPSCDes,MATCH(INDIRECT(ADDRESS(ROW(),COLUMN()-1,4)),UNSPSCCode,0)),IF(INDIRECT(ADDRESS(ROW(),COLUMN()-1,4))="15101505","Combustible diesel",""))</f>
        <v>Combustible diesel</v>
      </c>
      <c r="C1208" s="42" t="str">
        <f>IFERROR(VLOOKUP("UD",'[1]Informacion '!P:Q,2,FALSE),"")</f>
        <v>Unidad</v>
      </c>
      <c r="D1208" s="40">
        <v>1</v>
      </c>
      <c r="E1208" s="43">
        <v>1810000</v>
      </c>
      <c r="F1208" s="44">
        <f ca="1">INDIRECT(ADDRESS(ROW(),COLUMN()-2,4))*INDIRECT(ADDRESS(ROW(),COLUMN()-1,4))</f>
        <v>1810000</v>
      </c>
    </row>
    <row r="1209" spans="1:6" x14ac:dyDescent="0.25">
      <c r="E1209" s="45" t="s">
        <v>47</v>
      </c>
      <c r="F1209" s="46">
        <f ca="1">SUM(Table105[MONTO TOTAL ESTIMADO])</f>
        <v>1810000</v>
      </c>
    </row>
    <row r="1210" spans="1:6" ht="17.25" thickBot="1" x14ac:dyDescent="0.3"/>
    <row r="1211" spans="1:6" ht="23.25" thickBot="1" x14ac:dyDescent="0.3">
      <c r="A1211" s="30" t="s">
        <v>18</v>
      </c>
      <c r="B1211" s="30" t="s">
        <v>19</v>
      </c>
      <c r="C1211" s="30" t="s">
        <v>20</v>
      </c>
      <c r="D1211" s="30" t="s">
        <v>21</v>
      </c>
      <c r="E1211" s="30" t="s">
        <v>22</v>
      </c>
      <c r="F1211" s="30" t="s">
        <v>23</v>
      </c>
    </row>
    <row r="1212" spans="1:6" ht="17.25" thickBot="1" x14ac:dyDescent="0.3">
      <c r="A1212" s="31" t="s">
        <v>259</v>
      </c>
      <c r="B1212" s="31" t="s">
        <v>257</v>
      </c>
      <c r="C1212" s="31" t="s">
        <v>92</v>
      </c>
      <c r="D1212" s="31" t="s">
        <v>52</v>
      </c>
      <c r="E1212" s="31" t="s">
        <v>75</v>
      </c>
      <c r="F1212" s="31"/>
    </row>
    <row r="1213" spans="1:6" ht="17.25" thickBot="1" x14ac:dyDescent="0.3">
      <c r="A1213" s="32" t="s">
        <v>29</v>
      </c>
      <c r="B1213" s="33" t="s">
        <v>30</v>
      </c>
      <c r="C1213" s="34">
        <v>45108</v>
      </c>
      <c r="D1213" s="32" t="s">
        <v>31</v>
      </c>
      <c r="E1213" s="35" t="s">
        <v>32</v>
      </c>
      <c r="F1213" s="36" t="s">
        <v>33</v>
      </c>
    </row>
    <row r="1214" spans="1:6" ht="17.25" thickBot="1" x14ac:dyDescent="0.3">
      <c r="A1214" s="37"/>
      <c r="B1214" s="33" t="s">
        <v>34</v>
      </c>
      <c r="C1214" s="38">
        <f>IF(C1213="","",IF(AND(MONTH(C1213)&gt;=1,MONTH(C1213)&lt;=3),1,IF(AND(MONTH(C1213)&gt;=4,MONTH(C1213)&lt;=6),2,IF(AND(MONTH(C1213)&gt;=7,MONTH(C1213)&lt;=9),3,4))))</f>
        <v>3</v>
      </c>
      <c r="D1214" s="37"/>
      <c r="E1214" s="35" t="s">
        <v>35</v>
      </c>
      <c r="F1214" s="36" t="s">
        <v>36</v>
      </c>
    </row>
    <row r="1215" spans="1:6" ht="17.25" thickBot="1" x14ac:dyDescent="0.3">
      <c r="A1215" s="37"/>
      <c r="B1215" s="33" t="s">
        <v>37</v>
      </c>
      <c r="C1215" s="34">
        <v>45199</v>
      </c>
      <c r="D1215" s="37"/>
      <c r="E1215" s="35" t="s">
        <v>38</v>
      </c>
      <c r="F1215" s="36" t="s">
        <v>36</v>
      </c>
    </row>
    <row r="1216" spans="1:6" ht="17.25" thickBot="1" x14ac:dyDescent="0.3">
      <c r="A1216" s="37"/>
      <c r="B1216" s="33" t="s">
        <v>34</v>
      </c>
      <c r="C1216" s="38">
        <f>IF(C1215="","",IF(AND(MONTH(C1215)&gt;=1,MONTH(C1215)&lt;=3),1,IF(AND(MONTH(C1215)&gt;=4,MONTH(C1215)&lt;=6),2,IF(AND(MONTH(C1215)&gt;=7,MONTH(C1215)&lt;=9),3,4))))</f>
        <v>3</v>
      </c>
      <c r="D1216" s="37"/>
      <c r="E1216" s="35" t="s">
        <v>39</v>
      </c>
      <c r="F1216" s="36" t="s">
        <v>36</v>
      </c>
    </row>
    <row r="1217" spans="1:6" ht="17.25" thickBot="1" x14ac:dyDescent="0.3"/>
    <row r="1218" spans="1:6" ht="17.25" thickBot="1" x14ac:dyDescent="0.3">
      <c r="A1218" s="39" t="s">
        <v>40</v>
      </c>
      <c r="B1218" s="39" t="s">
        <v>41</v>
      </c>
      <c r="C1218" s="39" t="s">
        <v>42</v>
      </c>
      <c r="D1218" s="39" t="s">
        <v>43</v>
      </c>
      <c r="E1218" s="39" t="s">
        <v>44</v>
      </c>
      <c r="F1218" s="39" t="s">
        <v>45</v>
      </c>
    </row>
    <row r="1219" spans="1:6" x14ac:dyDescent="0.25">
      <c r="A1219" s="40" t="s">
        <v>260</v>
      </c>
      <c r="B1219" s="41" t="str">
        <f ca="1">IFERROR(INDEX(UNSPSCDes,MATCH(INDIRECT(ADDRESS(ROW(),COLUMN()-1,4)),UNSPSCCode,0)),IF(INDIRECT(ADDRESS(ROW(),COLUMN()-1,4))="15101505","Combustible diesel",""))</f>
        <v>Combustible diesel</v>
      </c>
      <c r="C1219" s="42" t="str">
        <f>IFERROR(VLOOKUP("UD",'[1]Informacion '!P:Q,2,FALSE),"")</f>
        <v>Unidad</v>
      </c>
      <c r="D1219" s="40">
        <v>1</v>
      </c>
      <c r="E1219" s="43">
        <v>1810000</v>
      </c>
      <c r="F1219" s="44">
        <f ca="1">INDIRECT(ADDRESS(ROW(),COLUMN()-2,4))*INDIRECT(ADDRESS(ROW(),COLUMN()-1,4))</f>
        <v>1810000</v>
      </c>
    </row>
    <row r="1220" spans="1:6" x14ac:dyDescent="0.25">
      <c r="E1220" s="45" t="s">
        <v>47</v>
      </c>
      <c r="F1220" s="46">
        <f ca="1">SUM(Table106[MONTO TOTAL ESTIMADO])</f>
        <v>1810000</v>
      </c>
    </row>
    <row r="1221" spans="1:6" ht="17.25" thickBot="1" x14ac:dyDescent="0.3"/>
    <row r="1222" spans="1:6" ht="23.25" thickBot="1" x14ac:dyDescent="0.3">
      <c r="A1222" s="30" t="s">
        <v>18</v>
      </c>
      <c r="B1222" s="30" t="s">
        <v>19</v>
      </c>
      <c r="C1222" s="30" t="s">
        <v>20</v>
      </c>
      <c r="D1222" s="30" t="s">
        <v>21</v>
      </c>
      <c r="E1222" s="30" t="s">
        <v>22</v>
      </c>
      <c r="F1222" s="30" t="s">
        <v>23</v>
      </c>
    </row>
    <row r="1223" spans="1:6" ht="17.25" thickBot="1" x14ac:dyDescent="0.3">
      <c r="A1223" s="31" t="s">
        <v>261</v>
      </c>
      <c r="B1223" s="31" t="s">
        <v>145</v>
      </c>
      <c r="C1223" s="31" t="s">
        <v>92</v>
      </c>
      <c r="D1223" s="31" t="s">
        <v>27</v>
      </c>
      <c r="E1223" s="31" t="s">
        <v>58</v>
      </c>
      <c r="F1223" s="31" t="s">
        <v>17</v>
      </c>
    </row>
    <row r="1224" spans="1:6" ht="17.25" thickBot="1" x14ac:dyDescent="0.3">
      <c r="A1224" s="32" t="s">
        <v>29</v>
      </c>
      <c r="B1224" s="33" t="s">
        <v>30</v>
      </c>
      <c r="C1224" s="34">
        <v>44958</v>
      </c>
      <c r="D1224" s="32" t="s">
        <v>31</v>
      </c>
      <c r="E1224" s="35" t="s">
        <v>32</v>
      </c>
      <c r="F1224" s="36" t="s">
        <v>33</v>
      </c>
    </row>
    <row r="1225" spans="1:6" ht="17.25" thickBot="1" x14ac:dyDescent="0.3">
      <c r="A1225" s="37"/>
      <c r="B1225" s="33" t="s">
        <v>34</v>
      </c>
      <c r="C1225" s="38">
        <f>IF(C1224="","",IF(AND(MONTH(C1224)&gt;=1,MONTH(C1224)&lt;=3),1,IF(AND(MONTH(C1224)&gt;=4,MONTH(C1224)&lt;=6),2,IF(AND(MONTH(C1224)&gt;=7,MONTH(C1224)&lt;=9),3,4))))</f>
        <v>1</v>
      </c>
      <c r="D1225" s="37"/>
      <c r="E1225" s="35" t="s">
        <v>35</v>
      </c>
      <c r="F1225" s="36" t="s">
        <v>36</v>
      </c>
    </row>
    <row r="1226" spans="1:6" ht="17.25" thickBot="1" x14ac:dyDescent="0.3">
      <c r="A1226" s="37"/>
      <c r="B1226" s="33" t="s">
        <v>37</v>
      </c>
      <c r="C1226" s="34">
        <v>45016</v>
      </c>
      <c r="D1226" s="37"/>
      <c r="E1226" s="35" t="s">
        <v>38</v>
      </c>
      <c r="F1226" s="36" t="s">
        <v>36</v>
      </c>
    </row>
    <row r="1227" spans="1:6" ht="17.25" thickBot="1" x14ac:dyDescent="0.3">
      <c r="A1227" s="37"/>
      <c r="B1227" s="33" t="s">
        <v>34</v>
      </c>
      <c r="C1227" s="38">
        <f>IF(C1226="","",IF(AND(MONTH(C1226)&gt;=1,MONTH(C1226)&lt;=3),1,IF(AND(MONTH(C1226)&gt;=4,MONTH(C1226)&lt;=6),2,IF(AND(MONTH(C1226)&gt;=7,MONTH(C1226)&lt;=9),3,4))))</f>
        <v>1</v>
      </c>
      <c r="D1227" s="37"/>
      <c r="E1227" s="35" t="s">
        <v>39</v>
      </c>
      <c r="F1227" s="36"/>
    </row>
    <row r="1228" spans="1:6" ht="17.25" thickBot="1" x14ac:dyDescent="0.3"/>
    <row r="1229" spans="1:6" ht="17.25" thickBot="1" x14ac:dyDescent="0.3">
      <c r="A1229" s="39" t="s">
        <v>40</v>
      </c>
      <c r="B1229" s="39" t="s">
        <v>41</v>
      </c>
      <c r="C1229" s="39" t="s">
        <v>42</v>
      </c>
      <c r="D1229" s="39" t="s">
        <v>43</v>
      </c>
      <c r="E1229" s="39" t="s">
        <v>44</v>
      </c>
      <c r="F1229" s="39" t="s">
        <v>45</v>
      </c>
    </row>
    <row r="1230" spans="1:6" x14ac:dyDescent="0.25">
      <c r="A1230" s="40">
        <v>15111510</v>
      </c>
      <c r="B1230" s="41" t="str">
        <f ca="1">IFERROR(INDEX(UNSPSCDes,MATCH(INDIRECT(ADDRESS(ROW(),COLUMN()-1,4)),UNSPSCCode,0)),IF(INDIRECT(ADDRESS(ROW(),COLUMN()-1,4))="15111510","Gas licuado de petróleo",""))</f>
        <v>Gas licuado de petróleo</v>
      </c>
      <c r="C1230" s="42" t="s">
        <v>66</v>
      </c>
      <c r="D1230" s="40">
        <v>1</v>
      </c>
      <c r="E1230" s="43">
        <v>1</v>
      </c>
      <c r="F1230" s="44">
        <f ca="1">INDIRECT(ADDRESS(ROW(),COLUMN()-2,4))*INDIRECT(ADDRESS(ROW(),COLUMN()-1,4))</f>
        <v>1</v>
      </c>
    </row>
    <row r="1231" spans="1:6" x14ac:dyDescent="0.25">
      <c r="E1231" s="45" t="s">
        <v>47</v>
      </c>
      <c r="F1231" s="46">
        <f ca="1">SUM(Table107[MONTO TOTAL ESTIMADO])</f>
        <v>1</v>
      </c>
    </row>
    <row r="1232" spans="1:6" ht="17.25" thickBot="1" x14ac:dyDescent="0.3"/>
    <row r="1233" spans="1:6" ht="23.25" thickBot="1" x14ac:dyDescent="0.3">
      <c r="A1233" s="30" t="s">
        <v>18</v>
      </c>
      <c r="B1233" s="30" t="s">
        <v>19</v>
      </c>
      <c r="C1233" s="30" t="s">
        <v>20</v>
      </c>
      <c r="D1233" s="30" t="s">
        <v>21</v>
      </c>
      <c r="E1233" s="30" t="s">
        <v>22</v>
      </c>
      <c r="F1233" s="30" t="s">
        <v>23</v>
      </c>
    </row>
    <row r="1234" spans="1:6" ht="17.25" thickBot="1" x14ac:dyDescent="0.3">
      <c r="A1234" s="31" t="s">
        <v>261</v>
      </c>
      <c r="B1234" s="31" t="s">
        <v>145</v>
      </c>
      <c r="C1234" s="31" t="s">
        <v>92</v>
      </c>
      <c r="D1234" s="31" t="s">
        <v>27</v>
      </c>
      <c r="E1234" s="31" t="s">
        <v>75</v>
      </c>
      <c r="F1234" s="31"/>
    </row>
    <row r="1235" spans="1:6" ht="17.25" thickBot="1" x14ac:dyDescent="0.3">
      <c r="A1235" s="32" t="s">
        <v>29</v>
      </c>
      <c r="B1235" s="33" t="s">
        <v>30</v>
      </c>
      <c r="C1235" s="34">
        <v>45107</v>
      </c>
      <c r="D1235" s="32" t="s">
        <v>31</v>
      </c>
      <c r="E1235" s="35" t="s">
        <v>32</v>
      </c>
      <c r="F1235" s="36" t="s">
        <v>33</v>
      </c>
    </row>
    <row r="1236" spans="1:6" ht="17.25" thickBot="1" x14ac:dyDescent="0.3">
      <c r="A1236" s="37"/>
      <c r="B1236" s="33" t="s">
        <v>34</v>
      </c>
      <c r="C1236" s="38">
        <f>IF(C1235="","",IF(AND(MONTH(C1235)&gt;=1,MONTH(C1235)&lt;=3),1,IF(AND(MONTH(C1235)&gt;=4,MONTH(C1235)&lt;=6),2,IF(AND(MONTH(C1235)&gt;=7,MONTH(C1235)&lt;=9),3,4))))</f>
        <v>2</v>
      </c>
      <c r="D1236" s="37"/>
      <c r="E1236" s="35" t="s">
        <v>35</v>
      </c>
      <c r="F1236" s="36" t="s">
        <v>36</v>
      </c>
    </row>
    <row r="1237" spans="1:6" ht="17.25" thickBot="1" x14ac:dyDescent="0.3">
      <c r="A1237" s="37"/>
      <c r="B1237" s="33" t="s">
        <v>37</v>
      </c>
      <c r="C1237" s="34">
        <v>45198</v>
      </c>
      <c r="D1237" s="37"/>
      <c r="E1237" s="35" t="s">
        <v>38</v>
      </c>
      <c r="F1237" s="36" t="s">
        <v>36</v>
      </c>
    </row>
    <row r="1238" spans="1:6" ht="17.25" thickBot="1" x14ac:dyDescent="0.3">
      <c r="A1238" s="37"/>
      <c r="B1238" s="33" t="s">
        <v>34</v>
      </c>
      <c r="C1238" s="38">
        <f>IF(C1237="","",IF(AND(MONTH(C1237)&gt;=1,MONTH(C1237)&lt;=3),1,IF(AND(MONTH(C1237)&gt;=4,MONTH(C1237)&lt;=6),2,IF(AND(MONTH(C1237)&gt;=7,MONTH(C1237)&lt;=9),3,4))))</f>
        <v>3</v>
      </c>
      <c r="D1238" s="37"/>
      <c r="E1238" s="35" t="s">
        <v>39</v>
      </c>
      <c r="F1238" s="36"/>
    </row>
    <row r="1239" spans="1:6" ht="17.25" thickBot="1" x14ac:dyDescent="0.3"/>
    <row r="1240" spans="1:6" ht="17.25" thickBot="1" x14ac:dyDescent="0.3">
      <c r="A1240" s="39" t="s">
        <v>40</v>
      </c>
      <c r="B1240" s="39" t="s">
        <v>41</v>
      </c>
      <c r="C1240" s="39" t="s">
        <v>42</v>
      </c>
      <c r="D1240" s="39" t="s">
        <v>43</v>
      </c>
      <c r="E1240" s="39" t="s">
        <v>44</v>
      </c>
      <c r="F1240" s="39" t="s">
        <v>45</v>
      </c>
    </row>
    <row r="1241" spans="1:6" x14ac:dyDescent="0.25">
      <c r="A1241" s="40" t="s">
        <v>262</v>
      </c>
      <c r="B1241" s="41" t="str">
        <f ca="1">IFERROR(INDEX(UNSPSCDes,MATCH(INDIRECT(ADDRESS(ROW(),COLUMN()-1,4)),UNSPSCCode,0)),IF(INDIRECT(ADDRESS(ROW(),COLUMN()-1,4))="15111510","Gas licuado de petróleo",""))</f>
        <v>Gas licuado de petróleo</v>
      </c>
      <c r="C1241" s="42" t="str">
        <f>IFERROR(VLOOKUP("UD",'[1]Informacion '!P:Q,2,FALSE),"")</f>
        <v>Unidad</v>
      </c>
      <c r="D1241" s="40">
        <v>1</v>
      </c>
      <c r="E1241" s="43">
        <v>1</v>
      </c>
      <c r="F1241" s="44">
        <f ca="1">INDIRECT(ADDRESS(ROW(),COLUMN()-2,4))*INDIRECT(ADDRESS(ROW(),COLUMN()-1,4))</f>
        <v>1</v>
      </c>
    </row>
    <row r="1242" spans="1:6" x14ac:dyDescent="0.25">
      <c r="E1242" s="45" t="s">
        <v>47</v>
      </c>
      <c r="F1242" s="46">
        <f ca="1">SUM(Table108[MONTO TOTAL ESTIMADO])</f>
        <v>1</v>
      </c>
    </row>
    <row r="1243" spans="1:6" ht="17.25" thickBot="1" x14ac:dyDescent="0.3"/>
    <row r="1244" spans="1:6" ht="23.25" thickBot="1" x14ac:dyDescent="0.3">
      <c r="A1244" s="30" t="s">
        <v>18</v>
      </c>
      <c r="B1244" s="30" t="s">
        <v>19</v>
      </c>
      <c r="C1244" s="30" t="s">
        <v>20</v>
      </c>
      <c r="D1244" s="30" t="s">
        <v>21</v>
      </c>
      <c r="E1244" s="30" t="s">
        <v>22</v>
      </c>
      <c r="F1244" s="30" t="s">
        <v>23</v>
      </c>
    </row>
    <row r="1245" spans="1:6" ht="17.25" thickBot="1" x14ac:dyDescent="0.3">
      <c r="A1245" s="31" t="s">
        <v>263</v>
      </c>
      <c r="B1245" s="31" t="s">
        <v>264</v>
      </c>
      <c r="C1245" s="31" t="s">
        <v>92</v>
      </c>
      <c r="D1245" s="31" t="s">
        <v>50</v>
      </c>
      <c r="E1245" s="31" t="s">
        <v>58</v>
      </c>
      <c r="F1245" s="31"/>
    </row>
    <row r="1246" spans="1:6" ht="17.25" thickBot="1" x14ac:dyDescent="0.3">
      <c r="A1246" s="32" t="s">
        <v>29</v>
      </c>
      <c r="B1246" s="33" t="s">
        <v>30</v>
      </c>
      <c r="C1246" s="34">
        <v>45200</v>
      </c>
      <c r="D1246" s="32" t="s">
        <v>31</v>
      </c>
      <c r="E1246" s="35" t="s">
        <v>32</v>
      </c>
      <c r="F1246" s="36" t="s">
        <v>33</v>
      </c>
    </row>
    <row r="1247" spans="1:6" ht="17.25" thickBot="1" x14ac:dyDescent="0.3">
      <c r="A1247" s="37"/>
      <c r="B1247" s="33" t="s">
        <v>34</v>
      </c>
      <c r="C1247" s="38">
        <f>IF(C1246="","",IF(AND(MONTH(C1246)&gt;=1,MONTH(C1246)&lt;=3),1,IF(AND(MONTH(C1246)&gt;=4,MONTH(C1246)&lt;=6),2,IF(AND(MONTH(C1246)&gt;=7,MONTH(C1246)&lt;=9),3,4))))</f>
        <v>4</v>
      </c>
      <c r="D1247" s="37"/>
      <c r="E1247" s="35" t="s">
        <v>35</v>
      </c>
      <c r="F1247" s="36" t="s">
        <v>36</v>
      </c>
    </row>
    <row r="1248" spans="1:6" ht="17.25" thickBot="1" x14ac:dyDescent="0.3">
      <c r="A1248" s="37"/>
      <c r="B1248" s="33" t="s">
        <v>37</v>
      </c>
      <c r="C1248" s="34">
        <v>45291</v>
      </c>
      <c r="D1248" s="37"/>
      <c r="E1248" s="35" t="s">
        <v>38</v>
      </c>
      <c r="F1248" s="36" t="s">
        <v>36</v>
      </c>
    </row>
    <row r="1249" spans="1:6" ht="17.25" thickBot="1" x14ac:dyDescent="0.3">
      <c r="A1249" s="37"/>
      <c r="B1249" s="33" t="s">
        <v>34</v>
      </c>
      <c r="C1249" s="38">
        <f>IF(C1248="","",IF(AND(MONTH(C1248)&gt;=1,MONTH(C1248)&lt;=3),1,IF(AND(MONTH(C1248)&gt;=4,MONTH(C1248)&lt;=6),2,IF(AND(MONTH(C1248)&gt;=7,MONTH(C1248)&lt;=9),3,4))))</f>
        <v>4</v>
      </c>
      <c r="D1249" s="37"/>
      <c r="E1249" s="35" t="s">
        <v>39</v>
      </c>
      <c r="F1249" s="36"/>
    </row>
    <row r="1250" spans="1:6" ht="17.25" thickBot="1" x14ac:dyDescent="0.3"/>
    <row r="1251" spans="1:6" ht="17.25" thickBot="1" x14ac:dyDescent="0.3">
      <c r="A1251" s="39" t="s">
        <v>40</v>
      </c>
      <c r="B1251" s="39" t="s">
        <v>41</v>
      </c>
      <c r="C1251" s="39" t="s">
        <v>42</v>
      </c>
      <c r="D1251" s="39" t="s">
        <v>43</v>
      </c>
      <c r="E1251" s="39" t="s">
        <v>44</v>
      </c>
      <c r="F1251" s="39" t="s">
        <v>45</v>
      </c>
    </row>
    <row r="1252" spans="1:6" x14ac:dyDescent="0.25">
      <c r="A1252" s="40" t="s">
        <v>265</v>
      </c>
      <c r="B1252" s="41" t="str">
        <f ca="1">IFERROR(INDEX(UNSPSCDes,MATCH(INDIRECT(ADDRESS(ROW(),COLUMN()-1,4)),UNSPSCCode,0)),IF(INDIRECT(ADDRESS(ROW(),COLUMN()-1,4))="15121501","Aceite motor",""))</f>
        <v>Aceite motor</v>
      </c>
      <c r="C1252" s="42" t="str">
        <f>IFERROR(VLOOKUP("UD",'[1]Informacion '!P:Q,2,FALSE),"")</f>
        <v>Unidad</v>
      </c>
      <c r="D1252" s="40">
        <v>1</v>
      </c>
      <c r="E1252" s="43">
        <v>20000</v>
      </c>
      <c r="F1252" s="44">
        <f ca="1">INDIRECT(ADDRESS(ROW(),COLUMN()-2,4))*INDIRECT(ADDRESS(ROW(),COLUMN()-1,4))</f>
        <v>20000</v>
      </c>
    </row>
    <row r="1253" spans="1:6" x14ac:dyDescent="0.25">
      <c r="E1253" s="45" t="s">
        <v>47</v>
      </c>
      <c r="F1253" s="46">
        <f ca="1">SUM(Table109[MONTO TOTAL ESTIMADO])</f>
        <v>20000</v>
      </c>
    </row>
    <row r="1254" spans="1:6" ht="17.25" thickBot="1" x14ac:dyDescent="0.3"/>
    <row r="1255" spans="1:6" ht="23.25" thickBot="1" x14ac:dyDescent="0.3">
      <c r="A1255" s="30" t="s">
        <v>18</v>
      </c>
      <c r="B1255" s="30" t="s">
        <v>19</v>
      </c>
      <c r="C1255" s="30" t="s">
        <v>20</v>
      </c>
      <c r="D1255" s="30" t="s">
        <v>21</v>
      </c>
      <c r="E1255" s="30" t="s">
        <v>22</v>
      </c>
      <c r="F1255" s="30" t="s">
        <v>23</v>
      </c>
    </row>
    <row r="1256" spans="1:6" ht="17.25" thickBot="1" x14ac:dyDescent="0.3">
      <c r="A1256" s="31" t="s">
        <v>263</v>
      </c>
      <c r="B1256" s="31" t="s">
        <v>264</v>
      </c>
      <c r="C1256" s="31" t="s">
        <v>92</v>
      </c>
      <c r="D1256" s="31" t="s">
        <v>50</v>
      </c>
      <c r="E1256" s="31" t="s">
        <v>58</v>
      </c>
      <c r="F1256" s="31"/>
    </row>
    <row r="1257" spans="1:6" ht="17.25" thickBot="1" x14ac:dyDescent="0.3">
      <c r="A1257" s="32" t="s">
        <v>29</v>
      </c>
      <c r="B1257" s="33" t="s">
        <v>30</v>
      </c>
      <c r="C1257" s="34">
        <v>45016</v>
      </c>
      <c r="D1257" s="32" t="s">
        <v>31</v>
      </c>
      <c r="E1257" s="35" t="s">
        <v>32</v>
      </c>
      <c r="F1257" s="36" t="s">
        <v>33</v>
      </c>
    </row>
    <row r="1258" spans="1:6" ht="17.25" thickBot="1" x14ac:dyDescent="0.3">
      <c r="A1258" s="37"/>
      <c r="B1258" s="33" t="s">
        <v>34</v>
      </c>
      <c r="C1258" s="38">
        <f>IF(C1257="","",IF(AND(MONTH(C1257)&gt;=1,MONTH(C1257)&lt;=3),1,IF(AND(MONTH(C1257)&gt;=4,MONTH(C1257)&lt;=6),2,IF(AND(MONTH(C1257)&gt;=7,MONTH(C1257)&lt;=9),3,4))))</f>
        <v>1</v>
      </c>
      <c r="D1258" s="37"/>
      <c r="E1258" s="35" t="s">
        <v>35</v>
      </c>
      <c r="F1258" s="36" t="s">
        <v>36</v>
      </c>
    </row>
    <row r="1259" spans="1:6" ht="17.25" thickBot="1" x14ac:dyDescent="0.3">
      <c r="A1259" s="37"/>
      <c r="B1259" s="33" t="s">
        <v>37</v>
      </c>
      <c r="C1259" s="34">
        <v>45106</v>
      </c>
      <c r="D1259" s="37"/>
      <c r="E1259" s="35" t="s">
        <v>38</v>
      </c>
      <c r="F1259" s="36" t="s">
        <v>36</v>
      </c>
    </row>
    <row r="1260" spans="1:6" ht="17.25" thickBot="1" x14ac:dyDescent="0.3">
      <c r="A1260" s="37"/>
      <c r="B1260" s="33" t="s">
        <v>34</v>
      </c>
      <c r="C1260" s="38">
        <f>IF(C1259="","",IF(AND(MONTH(C1259)&gt;=1,MONTH(C1259)&lt;=3),1,IF(AND(MONTH(C1259)&gt;=4,MONTH(C1259)&lt;=6),2,IF(AND(MONTH(C1259)&gt;=7,MONTH(C1259)&lt;=9),3,4))))</f>
        <v>2</v>
      </c>
      <c r="D1260" s="37"/>
      <c r="E1260" s="35" t="s">
        <v>39</v>
      </c>
      <c r="F1260" s="36"/>
    </row>
    <row r="1261" spans="1:6" ht="17.25" thickBot="1" x14ac:dyDescent="0.3"/>
    <row r="1262" spans="1:6" ht="17.25" thickBot="1" x14ac:dyDescent="0.3">
      <c r="A1262" s="39" t="s">
        <v>40</v>
      </c>
      <c r="B1262" s="39" t="s">
        <v>41</v>
      </c>
      <c r="C1262" s="39" t="s">
        <v>42</v>
      </c>
      <c r="D1262" s="39" t="s">
        <v>43</v>
      </c>
      <c r="E1262" s="39" t="s">
        <v>44</v>
      </c>
      <c r="F1262" s="39" t="s">
        <v>45</v>
      </c>
    </row>
    <row r="1263" spans="1:6" x14ac:dyDescent="0.25">
      <c r="A1263" s="40" t="s">
        <v>265</v>
      </c>
      <c r="B1263" s="41" t="str">
        <f ca="1">IFERROR(INDEX(UNSPSCDes,MATCH(INDIRECT(ADDRESS(ROW(),COLUMN()-1,4)),UNSPSCCode,0)),IF(INDIRECT(ADDRESS(ROW(),COLUMN()-1,4))="15121501","Aceite motor",""))</f>
        <v>Aceite motor</v>
      </c>
      <c r="C1263" s="42" t="str">
        <f>IFERROR(VLOOKUP("UD",'[1]Informacion '!P:Q,2,FALSE),"")</f>
        <v>Unidad</v>
      </c>
      <c r="D1263" s="40">
        <v>1</v>
      </c>
      <c r="E1263" s="43">
        <v>1</v>
      </c>
      <c r="F1263" s="44">
        <f ca="1">INDIRECT(ADDRESS(ROW(),COLUMN()-2,4))*INDIRECT(ADDRESS(ROW(),COLUMN()-1,4))</f>
        <v>1</v>
      </c>
    </row>
    <row r="1264" spans="1:6" x14ac:dyDescent="0.25">
      <c r="E1264" s="45" t="s">
        <v>47</v>
      </c>
      <c r="F1264" s="46">
        <f ca="1">SUM(Table110[MONTO TOTAL ESTIMADO])</f>
        <v>1</v>
      </c>
    </row>
    <row r="1265" spans="1:6" ht="17.25" thickBot="1" x14ac:dyDescent="0.3"/>
    <row r="1266" spans="1:6" ht="23.25" thickBot="1" x14ac:dyDescent="0.3">
      <c r="A1266" s="30" t="s">
        <v>18</v>
      </c>
      <c r="B1266" s="30" t="s">
        <v>19</v>
      </c>
      <c r="C1266" s="30" t="s">
        <v>20</v>
      </c>
      <c r="D1266" s="30" t="s">
        <v>21</v>
      </c>
      <c r="E1266" s="30" t="s">
        <v>22</v>
      </c>
      <c r="F1266" s="30" t="s">
        <v>23</v>
      </c>
    </row>
    <row r="1267" spans="1:6" ht="17.25" thickBot="1" x14ac:dyDescent="0.3">
      <c r="A1267" s="31" t="s">
        <v>263</v>
      </c>
      <c r="B1267" s="31" t="s">
        <v>264</v>
      </c>
      <c r="C1267" s="31" t="s">
        <v>92</v>
      </c>
      <c r="D1267" s="31" t="s">
        <v>50</v>
      </c>
      <c r="E1267" s="31" t="s">
        <v>58</v>
      </c>
      <c r="F1267" s="31"/>
    </row>
    <row r="1268" spans="1:6" ht="17.25" thickBot="1" x14ac:dyDescent="0.3">
      <c r="A1268" s="32" t="s">
        <v>29</v>
      </c>
      <c r="B1268" s="33" t="s">
        <v>30</v>
      </c>
      <c r="C1268" s="34">
        <v>45107</v>
      </c>
      <c r="D1268" s="32" t="s">
        <v>31</v>
      </c>
      <c r="E1268" s="35" t="s">
        <v>32</v>
      </c>
      <c r="F1268" s="36" t="s">
        <v>33</v>
      </c>
    </row>
    <row r="1269" spans="1:6" ht="17.25" thickBot="1" x14ac:dyDescent="0.3">
      <c r="A1269" s="37"/>
      <c r="B1269" s="33" t="s">
        <v>34</v>
      </c>
      <c r="C1269" s="38">
        <f>IF(C1268="","",IF(AND(MONTH(C1268)&gt;=1,MONTH(C1268)&lt;=3),1,IF(AND(MONTH(C1268)&gt;=4,MONTH(C1268)&lt;=6),2,IF(AND(MONTH(C1268)&gt;=7,MONTH(C1268)&lt;=9),3,4))))</f>
        <v>2</v>
      </c>
      <c r="D1269" s="37"/>
      <c r="E1269" s="35" t="s">
        <v>35</v>
      </c>
      <c r="F1269" s="36" t="s">
        <v>36</v>
      </c>
    </row>
    <row r="1270" spans="1:6" ht="17.25" thickBot="1" x14ac:dyDescent="0.3">
      <c r="A1270" s="37"/>
      <c r="B1270" s="33" t="s">
        <v>37</v>
      </c>
      <c r="C1270" s="34">
        <v>45198</v>
      </c>
      <c r="D1270" s="37"/>
      <c r="E1270" s="35" t="s">
        <v>38</v>
      </c>
      <c r="F1270" s="36" t="s">
        <v>36</v>
      </c>
    </row>
    <row r="1271" spans="1:6" ht="17.25" thickBot="1" x14ac:dyDescent="0.3">
      <c r="A1271" s="37"/>
      <c r="B1271" s="33" t="s">
        <v>34</v>
      </c>
      <c r="C1271" s="38">
        <f>IF(C1270="","",IF(AND(MONTH(C1270)&gt;=1,MONTH(C1270)&lt;=3),1,IF(AND(MONTH(C1270)&gt;=4,MONTH(C1270)&lt;=6),2,IF(AND(MONTH(C1270)&gt;=7,MONTH(C1270)&lt;=9),3,4))))</f>
        <v>3</v>
      </c>
      <c r="D1271" s="37"/>
      <c r="E1271" s="35" t="s">
        <v>39</v>
      </c>
      <c r="F1271" s="36" t="s">
        <v>36</v>
      </c>
    </row>
    <row r="1272" spans="1:6" ht="17.25" thickBot="1" x14ac:dyDescent="0.3"/>
    <row r="1273" spans="1:6" ht="17.25" thickBot="1" x14ac:dyDescent="0.3">
      <c r="A1273" s="39" t="s">
        <v>40</v>
      </c>
      <c r="B1273" s="39" t="s">
        <v>41</v>
      </c>
      <c r="C1273" s="39" t="s">
        <v>42</v>
      </c>
      <c r="D1273" s="39" t="s">
        <v>43</v>
      </c>
      <c r="E1273" s="39" t="s">
        <v>44</v>
      </c>
      <c r="F1273" s="39" t="s">
        <v>45</v>
      </c>
    </row>
    <row r="1274" spans="1:6" x14ac:dyDescent="0.25">
      <c r="A1274" s="40" t="s">
        <v>265</v>
      </c>
      <c r="B1274" s="41" t="str">
        <f ca="1">IFERROR(INDEX(UNSPSCDes,MATCH(INDIRECT(ADDRESS(ROW(),COLUMN()-1,4)),UNSPSCCode,0)),IF(INDIRECT(ADDRESS(ROW(),COLUMN()-1,4))="15121501","Aceite motor",""))</f>
        <v>Aceite motor</v>
      </c>
      <c r="C1274" s="42" t="str">
        <f>IFERROR(VLOOKUP("UD",'[1]Informacion '!P:Q,2,FALSE),"")</f>
        <v>Unidad</v>
      </c>
      <c r="D1274" s="40">
        <v>1</v>
      </c>
      <c r="E1274" s="43">
        <v>1</v>
      </c>
      <c r="F1274" s="44">
        <f ca="1">INDIRECT(ADDRESS(ROW(),COLUMN()-2,4))*INDIRECT(ADDRESS(ROW(),COLUMN()-1,4))</f>
        <v>1</v>
      </c>
    </row>
    <row r="1275" spans="1:6" x14ac:dyDescent="0.25">
      <c r="E1275" s="45" t="s">
        <v>47</v>
      </c>
      <c r="F1275" s="46">
        <f ca="1">SUM(Table111[MONTO TOTAL ESTIMADO])</f>
        <v>1</v>
      </c>
    </row>
    <row r="1276" spans="1:6" ht="17.25" thickBot="1" x14ac:dyDescent="0.3"/>
    <row r="1277" spans="1:6" ht="23.25" thickBot="1" x14ac:dyDescent="0.3">
      <c r="A1277" s="30" t="s">
        <v>18</v>
      </c>
      <c r="B1277" s="30" t="s">
        <v>19</v>
      </c>
      <c r="C1277" s="30" t="s">
        <v>20</v>
      </c>
      <c r="D1277" s="30" t="s">
        <v>21</v>
      </c>
      <c r="E1277" s="30" t="s">
        <v>22</v>
      </c>
      <c r="F1277" s="30" t="s">
        <v>23</v>
      </c>
    </row>
    <row r="1278" spans="1:6" ht="17.25" thickBot="1" x14ac:dyDescent="0.3">
      <c r="A1278" s="31" t="s">
        <v>266</v>
      </c>
      <c r="B1278" s="31" t="s">
        <v>155</v>
      </c>
      <c r="C1278" s="31" t="s">
        <v>92</v>
      </c>
      <c r="D1278" s="31" t="s">
        <v>27</v>
      </c>
      <c r="E1278" s="31" t="s">
        <v>58</v>
      </c>
      <c r="F1278" s="31"/>
    </row>
    <row r="1279" spans="1:6" ht="17.25" thickBot="1" x14ac:dyDescent="0.3">
      <c r="A1279" s="32" t="s">
        <v>29</v>
      </c>
      <c r="B1279" s="33" t="s">
        <v>30</v>
      </c>
      <c r="C1279" s="34">
        <v>45016</v>
      </c>
      <c r="D1279" s="32" t="s">
        <v>31</v>
      </c>
      <c r="E1279" s="35" t="s">
        <v>32</v>
      </c>
      <c r="F1279" s="36" t="s">
        <v>33</v>
      </c>
    </row>
    <row r="1280" spans="1:6" ht="17.25" thickBot="1" x14ac:dyDescent="0.3">
      <c r="A1280" s="37"/>
      <c r="B1280" s="33" t="s">
        <v>34</v>
      </c>
      <c r="C1280" s="38">
        <f>IF(C1279="","",IF(AND(MONTH(C1279)&gt;=1,MONTH(C1279)&lt;=3),1,IF(AND(MONTH(C1279)&gt;=4,MONTH(C1279)&lt;=6),2,IF(AND(MONTH(C1279)&gt;=7,MONTH(C1279)&lt;=9),3,4))))</f>
        <v>1</v>
      </c>
      <c r="D1280" s="37"/>
      <c r="E1280" s="35" t="s">
        <v>35</v>
      </c>
      <c r="F1280" s="36" t="s">
        <v>36</v>
      </c>
    </row>
    <row r="1281" spans="1:6" ht="17.25" thickBot="1" x14ac:dyDescent="0.3">
      <c r="A1281" s="37"/>
      <c r="B1281" s="33" t="s">
        <v>37</v>
      </c>
      <c r="C1281" s="34">
        <v>45106</v>
      </c>
      <c r="D1281" s="37"/>
      <c r="E1281" s="35" t="s">
        <v>38</v>
      </c>
      <c r="F1281" s="36" t="s">
        <v>36</v>
      </c>
    </row>
    <row r="1282" spans="1:6" ht="17.25" thickBot="1" x14ac:dyDescent="0.3">
      <c r="A1282" s="37"/>
      <c r="B1282" s="33" t="s">
        <v>34</v>
      </c>
      <c r="C1282" s="38">
        <f>IF(C1281="","",IF(AND(MONTH(C1281)&gt;=1,MONTH(C1281)&lt;=3),1,IF(AND(MONTH(C1281)&gt;=4,MONTH(C1281)&lt;=6),2,IF(AND(MONTH(C1281)&gt;=7,MONTH(C1281)&lt;=9),3,4))))</f>
        <v>2</v>
      </c>
      <c r="D1282" s="37"/>
      <c r="E1282" s="35" t="s">
        <v>39</v>
      </c>
      <c r="F1282" s="36" t="s">
        <v>36</v>
      </c>
    </row>
    <row r="1283" spans="1:6" ht="17.25" thickBot="1" x14ac:dyDescent="0.3"/>
    <row r="1284" spans="1:6" ht="17.25" thickBot="1" x14ac:dyDescent="0.3">
      <c r="A1284" s="39" t="s">
        <v>40</v>
      </c>
      <c r="B1284" s="39" t="s">
        <v>41</v>
      </c>
      <c r="C1284" s="39" t="s">
        <v>42</v>
      </c>
      <c r="D1284" s="39" t="s">
        <v>43</v>
      </c>
      <c r="E1284" s="39" t="s">
        <v>44</v>
      </c>
      <c r="F1284" s="39" t="s">
        <v>45</v>
      </c>
    </row>
    <row r="1285" spans="1:6" x14ac:dyDescent="0.25">
      <c r="A1285" s="40">
        <v>53131627</v>
      </c>
      <c r="B1285" s="41" t="str">
        <f ca="1">IFERROR(INDEX(UNSPSCDes,MATCH(INDIRECT(ADDRESS(ROW(),COLUMN()-1,4)),UNSPSCCode,0)),IF(INDIRECT(ADDRESS(ROW(),COLUMN()-1,4))="53131627","Limpiador de manos",""))</f>
        <v>Limpiador de manos</v>
      </c>
      <c r="C1285" s="42" t="str">
        <f>IFERROR(VLOOKUP("UD",'[1]Informacion '!P:Q,2,FALSE),"")</f>
        <v>Unidad</v>
      </c>
      <c r="D1285" s="40">
        <v>1</v>
      </c>
      <c r="E1285" s="43">
        <v>1</v>
      </c>
      <c r="F1285" s="44">
        <f ca="1">INDIRECT(ADDRESS(ROW(),COLUMN()-2,4))*INDIRECT(ADDRESS(ROW(),COLUMN()-1,4))</f>
        <v>1</v>
      </c>
    </row>
    <row r="1286" spans="1:6" x14ac:dyDescent="0.25">
      <c r="A1286" s="40" t="s">
        <v>267</v>
      </c>
      <c r="B1286" s="41" t="str">
        <f ca="1">IFERROR(INDEX(UNSPSCDes,MATCH(INDIRECT(ADDRESS(ROW(),COLUMN()-1,4)),UNSPSCCode,0)),IF(INDIRECT(ADDRESS(ROW(),COLUMN()-1,4))="53131626","Desinfectante de manos",""))</f>
        <v>Desinfectante de manos</v>
      </c>
      <c r="C1286" s="42" t="str">
        <f>IFERROR(VLOOKUP("UD",'[1]Informacion '!P:Q,2,FALSE),"")</f>
        <v>Unidad</v>
      </c>
      <c r="D1286" s="40">
        <v>1</v>
      </c>
      <c r="E1286" s="43">
        <v>1</v>
      </c>
      <c r="F1286" s="44">
        <f ca="1">INDIRECT(ADDRESS(ROW(),COLUMN()-2,4))*INDIRECT(ADDRESS(ROW(),COLUMN()-1,4))</f>
        <v>1</v>
      </c>
    </row>
    <row r="1287" spans="1:6" x14ac:dyDescent="0.25">
      <c r="E1287" s="45" t="s">
        <v>47</v>
      </c>
      <c r="F1287" s="46">
        <f ca="1">SUM(Table113[MONTO TOTAL ESTIMADO])</f>
        <v>2</v>
      </c>
    </row>
    <row r="1288" spans="1:6" ht="17.25" thickBot="1" x14ac:dyDescent="0.3"/>
    <row r="1289" spans="1:6" ht="23.25" thickBot="1" x14ac:dyDescent="0.3">
      <c r="A1289" s="30" t="s">
        <v>18</v>
      </c>
      <c r="B1289" s="30" t="s">
        <v>19</v>
      </c>
      <c r="C1289" s="30" t="s">
        <v>20</v>
      </c>
      <c r="D1289" s="30" t="s">
        <v>21</v>
      </c>
      <c r="E1289" s="30" t="s">
        <v>22</v>
      </c>
      <c r="F1289" s="30" t="s">
        <v>23</v>
      </c>
    </row>
    <row r="1290" spans="1:6" ht="17.25" thickBot="1" x14ac:dyDescent="0.3">
      <c r="A1290" s="31" t="s">
        <v>268</v>
      </c>
      <c r="B1290" s="31" t="s">
        <v>155</v>
      </c>
      <c r="C1290" s="31" t="s">
        <v>92</v>
      </c>
      <c r="D1290" s="31" t="s">
        <v>27</v>
      </c>
      <c r="E1290" s="31" t="s">
        <v>58</v>
      </c>
      <c r="F1290" s="31"/>
    </row>
    <row r="1291" spans="1:6" ht="17.25" thickBot="1" x14ac:dyDescent="0.3">
      <c r="A1291" s="32" t="s">
        <v>29</v>
      </c>
      <c r="B1291" s="33" t="s">
        <v>30</v>
      </c>
      <c r="C1291" s="34">
        <v>45108</v>
      </c>
      <c r="D1291" s="32" t="s">
        <v>31</v>
      </c>
      <c r="E1291" s="35" t="s">
        <v>32</v>
      </c>
      <c r="F1291" s="36" t="s">
        <v>33</v>
      </c>
    </row>
    <row r="1292" spans="1:6" ht="17.25" thickBot="1" x14ac:dyDescent="0.3">
      <c r="A1292" s="37"/>
      <c r="B1292" s="33" t="s">
        <v>34</v>
      </c>
      <c r="C1292" s="38">
        <f>IF(C1291="","",IF(AND(MONTH(C1291)&gt;=1,MONTH(C1291)&lt;=3),1,IF(AND(MONTH(C1291)&gt;=4,MONTH(C1291)&lt;=6),2,IF(AND(MONTH(C1291)&gt;=7,MONTH(C1291)&lt;=9),3,4))))</f>
        <v>3</v>
      </c>
      <c r="D1292" s="37"/>
      <c r="E1292" s="35" t="s">
        <v>35</v>
      </c>
      <c r="F1292" s="36" t="s">
        <v>36</v>
      </c>
    </row>
    <row r="1293" spans="1:6" ht="17.25" thickBot="1" x14ac:dyDescent="0.3">
      <c r="A1293" s="37"/>
      <c r="B1293" s="33" t="s">
        <v>37</v>
      </c>
      <c r="C1293" s="34">
        <v>45199</v>
      </c>
      <c r="D1293" s="37"/>
      <c r="E1293" s="35" t="s">
        <v>38</v>
      </c>
      <c r="F1293" s="36" t="s">
        <v>36</v>
      </c>
    </row>
    <row r="1294" spans="1:6" ht="17.25" thickBot="1" x14ac:dyDescent="0.3">
      <c r="A1294" s="37"/>
      <c r="B1294" s="33" t="s">
        <v>34</v>
      </c>
      <c r="C1294" s="38">
        <f>IF(C1293="","",IF(AND(MONTH(C1293)&gt;=1,MONTH(C1293)&lt;=3),1,IF(AND(MONTH(C1293)&gt;=4,MONTH(C1293)&lt;=6),2,IF(AND(MONTH(C1293)&gt;=7,MONTH(C1293)&lt;=9),3,4))))</f>
        <v>3</v>
      </c>
      <c r="D1294" s="37"/>
      <c r="E1294" s="35" t="s">
        <v>39</v>
      </c>
      <c r="F1294" s="36" t="s">
        <v>36</v>
      </c>
    </row>
    <row r="1295" spans="1:6" ht="17.25" thickBot="1" x14ac:dyDescent="0.3"/>
    <row r="1296" spans="1:6" ht="17.25" thickBot="1" x14ac:dyDescent="0.3">
      <c r="A1296" s="39" t="s">
        <v>40</v>
      </c>
      <c r="B1296" s="39" t="s">
        <v>41</v>
      </c>
      <c r="C1296" s="39" t="s">
        <v>42</v>
      </c>
      <c r="D1296" s="39" t="s">
        <v>43</v>
      </c>
      <c r="E1296" s="39" t="s">
        <v>44</v>
      </c>
      <c r="F1296" s="39" t="s">
        <v>45</v>
      </c>
    </row>
    <row r="1297" spans="1:6" x14ac:dyDescent="0.25">
      <c r="A1297" s="40" t="s">
        <v>269</v>
      </c>
      <c r="B1297" s="41" t="str">
        <f ca="1">IFERROR(INDEX(UNSPSCDes,MATCH(INDIRECT(ADDRESS(ROW(),COLUMN()-1,4)),UNSPSCCode,0)),IF(INDIRECT(ADDRESS(ROW(),COLUMN()-1,4))="31211504","Pinturas de revestimiento",""))</f>
        <v>Pinturas de revestimiento</v>
      </c>
      <c r="C1297" s="42" t="str">
        <f>IFERROR(VLOOKUP("UD",'[1]Informacion '!P:Q,2,FALSE),"")</f>
        <v>Unidad</v>
      </c>
      <c r="D1297" s="40">
        <v>1</v>
      </c>
      <c r="E1297" s="43">
        <v>35000</v>
      </c>
      <c r="F1297" s="44">
        <f ca="1">INDIRECT(ADDRESS(ROW(),COLUMN()-2,4))*INDIRECT(ADDRESS(ROW(),COLUMN()-1,4))</f>
        <v>35000</v>
      </c>
    </row>
    <row r="1298" spans="1:6" x14ac:dyDescent="0.25">
      <c r="A1298" s="40" t="s">
        <v>270</v>
      </c>
      <c r="B1298" s="41" t="str">
        <f ca="1">IFERROR(INDEX(UNSPSCDes,MATCH(INDIRECT(ADDRESS(ROW(),COLUMN()-1,4)),UNSPSCCode,0)),IF(INDIRECT(ADDRESS(ROW(),COLUMN()-1,4))="12191602","Solventes activos",""))</f>
        <v>Solventes activos</v>
      </c>
      <c r="C1298" s="42" t="str">
        <f>IFERROR(VLOOKUP("UD",'[1]Informacion '!P:Q,2,FALSE),"")</f>
        <v>Unidad</v>
      </c>
      <c r="D1298" s="40">
        <v>1</v>
      </c>
      <c r="E1298" s="43">
        <v>35000</v>
      </c>
      <c r="F1298" s="44">
        <f ca="1">INDIRECT(ADDRESS(ROW(),COLUMN()-2,4))*INDIRECT(ADDRESS(ROW(),COLUMN()-1,4))</f>
        <v>35000</v>
      </c>
    </row>
    <row r="1299" spans="1:6" x14ac:dyDescent="0.25">
      <c r="E1299" s="45" t="s">
        <v>47</v>
      </c>
      <c r="F1299" s="46">
        <f ca="1">SUM(Table114[MONTO TOTAL ESTIMADO])</f>
        <v>70000</v>
      </c>
    </row>
    <row r="1300" spans="1:6" ht="17.25" thickBot="1" x14ac:dyDescent="0.3"/>
    <row r="1301" spans="1:6" ht="23.25" thickBot="1" x14ac:dyDescent="0.3">
      <c r="A1301" s="30" t="s">
        <v>18</v>
      </c>
      <c r="B1301" s="30" t="s">
        <v>19</v>
      </c>
      <c r="C1301" s="30" t="s">
        <v>20</v>
      </c>
      <c r="D1301" s="30" t="s">
        <v>21</v>
      </c>
      <c r="E1301" s="30" t="s">
        <v>22</v>
      </c>
      <c r="F1301" s="30" t="s">
        <v>23</v>
      </c>
    </row>
    <row r="1302" spans="1:6" ht="17.25" thickBot="1" x14ac:dyDescent="0.3">
      <c r="A1302" s="31" t="s">
        <v>268</v>
      </c>
      <c r="B1302" s="31" t="s">
        <v>155</v>
      </c>
      <c r="C1302" s="31" t="s">
        <v>92</v>
      </c>
      <c r="D1302" s="31" t="s">
        <v>27</v>
      </c>
      <c r="E1302" s="31" t="s">
        <v>58</v>
      </c>
      <c r="F1302" s="31"/>
    </row>
    <row r="1303" spans="1:6" ht="17.25" thickBot="1" x14ac:dyDescent="0.3">
      <c r="A1303" s="32" t="s">
        <v>29</v>
      </c>
      <c r="B1303" s="33" t="s">
        <v>30</v>
      </c>
      <c r="C1303" s="34">
        <v>45017</v>
      </c>
      <c r="D1303" s="32" t="s">
        <v>31</v>
      </c>
      <c r="E1303" s="35" t="s">
        <v>32</v>
      </c>
      <c r="F1303" s="36" t="s">
        <v>33</v>
      </c>
    </row>
    <row r="1304" spans="1:6" ht="17.25" thickBot="1" x14ac:dyDescent="0.3">
      <c r="A1304" s="37"/>
      <c r="B1304" s="33" t="s">
        <v>34</v>
      </c>
      <c r="C1304" s="38">
        <f>IF(C1303="","",IF(AND(MONTH(C1303)&gt;=1,MONTH(C1303)&lt;=3),1,IF(AND(MONTH(C1303)&gt;=4,MONTH(C1303)&lt;=6),2,IF(AND(MONTH(C1303)&gt;=7,MONTH(C1303)&lt;=9),3,4))))</f>
        <v>2</v>
      </c>
      <c r="D1304" s="37"/>
      <c r="E1304" s="35" t="s">
        <v>35</v>
      </c>
      <c r="F1304" s="36" t="s">
        <v>36</v>
      </c>
    </row>
    <row r="1305" spans="1:6" ht="17.25" thickBot="1" x14ac:dyDescent="0.3">
      <c r="A1305" s="37"/>
      <c r="B1305" s="33" t="s">
        <v>37</v>
      </c>
      <c r="C1305" s="34">
        <v>45107</v>
      </c>
      <c r="D1305" s="37"/>
      <c r="E1305" s="35" t="s">
        <v>38</v>
      </c>
      <c r="F1305" s="36" t="s">
        <v>36</v>
      </c>
    </row>
    <row r="1306" spans="1:6" ht="17.25" thickBot="1" x14ac:dyDescent="0.3">
      <c r="A1306" s="37"/>
      <c r="B1306" s="33" t="s">
        <v>34</v>
      </c>
      <c r="C1306" s="38">
        <f>IF(C1305="","",IF(AND(MONTH(C1305)&gt;=1,MONTH(C1305)&lt;=3),1,IF(AND(MONTH(C1305)&gt;=4,MONTH(C1305)&lt;=6),2,IF(AND(MONTH(C1305)&gt;=7,MONTH(C1305)&lt;=9),3,4))))</f>
        <v>2</v>
      </c>
      <c r="D1306" s="37"/>
      <c r="E1306" s="35" t="s">
        <v>39</v>
      </c>
      <c r="F1306" s="36" t="s">
        <v>36</v>
      </c>
    </row>
    <row r="1307" spans="1:6" ht="17.25" thickBot="1" x14ac:dyDescent="0.3"/>
    <row r="1308" spans="1:6" ht="17.25" thickBot="1" x14ac:dyDescent="0.3">
      <c r="A1308" s="39" t="s">
        <v>40</v>
      </c>
      <c r="B1308" s="39" t="s">
        <v>41</v>
      </c>
      <c r="C1308" s="39" t="s">
        <v>42</v>
      </c>
      <c r="D1308" s="39" t="s">
        <v>43</v>
      </c>
      <c r="E1308" s="39" t="s">
        <v>44</v>
      </c>
      <c r="F1308" s="39" t="s">
        <v>45</v>
      </c>
    </row>
    <row r="1309" spans="1:6" x14ac:dyDescent="0.25">
      <c r="A1309" s="40" t="s">
        <v>269</v>
      </c>
      <c r="B1309" s="41" t="str">
        <f ca="1">IFERROR(INDEX(UNSPSCDes,MATCH(INDIRECT(ADDRESS(ROW(),COLUMN()-1,4)),UNSPSCCode,0)),IF(INDIRECT(ADDRESS(ROW(),COLUMN()-1,4))="31211504","Pinturas de revestimiento",""))</f>
        <v>Pinturas de revestimiento</v>
      </c>
      <c r="C1309" s="42" t="str">
        <f>IFERROR(VLOOKUP("UD",'[1]Informacion '!P:Q,2,FALSE),"")</f>
        <v>Unidad</v>
      </c>
      <c r="D1309" s="40">
        <v>1</v>
      </c>
      <c r="E1309" s="43">
        <v>10000</v>
      </c>
      <c r="F1309" s="44">
        <f t="shared" ref="F1309:F1316" ca="1" si="7">INDIRECT(ADDRESS(ROW(),COLUMN()-2,4))*INDIRECT(ADDRESS(ROW(),COLUMN()-1,4))</f>
        <v>10000</v>
      </c>
    </row>
    <row r="1310" spans="1:6" x14ac:dyDescent="0.25">
      <c r="A1310" s="40" t="s">
        <v>271</v>
      </c>
      <c r="B1310" s="41" t="str">
        <f ca="1">IFERROR(INDEX(UNSPSCDes,MATCH(INDIRECT(ADDRESS(ROW(),COLUMN()-1,4)),UNSPSCCode,0)),IF(INDIRECT(ADDRESS(ROW(),COLUMN()-1,4))="31211501","Pinturas de esmalte",""))</f>
        <v>Pinturas de esmalte</v>
      </c>
      <c r="C1310" s="42" t="str">
        <f>IFERROR(VLOOKUP("UD",'[1]Informacion '!P:Q,2,FALSE),"")</f>
        <v>Unidad</v>
      </c>
      <c r="D1310" s="40">
        <v>1</v>
      </c>
      <c r="E1310" s="43">
        <v>10000</v>
      </c>
      <c r="F1310" s="44">
        <f t="shared" ca="1" si="7"/>
        <v>10000</v>
      </c>
    </row>
    <row r="1311" spans="1:6" x14ac:dyDescent="0.25">
      <c r="A1311" s="40" t="s">
        <v>272</v>
      </c>
      <c r="B1311" s="41" t="str">
        <f ca="1">IFERROR(INDEX(UNSPSCDes,MATCH(INDIRECT(ADDRESS(ROW(),COLUMN()-1,4)),UNSPSCCode,0)),IF(INDIRECT(ADDRESS(ROW(),COLUMN()-1,4))="53131608","Jabones",""))</f>
        <v>Jabones</v>
      </c>
      <c r="C1311" s="42" t="str">
        <f>IFERROR(VLOOKUP("UD",'[1]Informacion '!P:Q,2,FALSE),"")</f>
        <v>Unidad</v>
      </c>
      <c r="D1311" s="40">
        <v>1</v>
      </c>
      <c r="E1311" s="43">
        <v>10000</v>
      </c>
      <c r="F1311" s="44">
        <f t="shared" ca="1" si="7"/>
        <v>10000</v>
      </c>
    </row>
    <row r="1312" spans="1:6" x14ac:dyDescent="0.25">
      <c r="A1312" s="40" t="s">
        <v>273</v>
      </c>
      <c r="B1312" s="41" t="str">
        <f ca="1">IFERROR(INDEX(UNSPSCDes,MATCH(INDIRECT(ADDRESS(ROW(),COLUMN()-1,4)),UNSPSCCode,0)),IF(INDIRECT(ADDRESS(ROW(),COLUMN()-1,4))="31211803","Diluyentes para pinturas y barnices",""))</f>
        <v>Diluyentes para pinturas y barnices</v>
      </c>
      <c r="C1312" s="42" t="str">
        <f>IFERROR(VLOOKUP("UD",'[1]Informacion '!P:Q,2,FALSE),"")</f>
        <v>Unidad</v>
      </c>
      <c r="D1312" s="40">
        <v>1</v>
      </c>
      <c r="E1312" s="43">
        <v>10000</v>
      </c>
      <c r="F1312" s="44">
        <f t="shared" ca="1" si="7"/>
        <v>10000</v>
      </c>
    </row>
    <row r="1313" spans="1:6" x14ac:dyDescent="0.25">
      <c r="A1313" s="40" t="s">
        <v>274</v>
      </c>
      <c r="B1313" s="41" t="str">
        <f ca="1">IFERROR(INDEX(UNSPSCDes,MATCH(INDIRECT(ADDRESS(ROW(),COLUMN()-1,4)),UNSPSCCode,0)),IF(INDIRECT(ADDRESS(ROW(),COLUMN()-1,4))="31211704","Sellantes",""))</f>
        <v>Sellantes</v>
      </c>
      <c r="C1313" s="42" t="str">
        <f>IFERROR(VLOOKUP("UD",'[1]Informacion '!P:Q,2,FALSE),"")</f>
        <v>Unidad</v>
      </c>
      <c r="D1313" s="40">
        <v>1</v>
      </c>
      <c r="E1313" s="43">
        <v>10000</v>
      </c>
      <c r="F1313" s="44">
        <f t="shared" ca="1" si="7"/>
        <v>10000</v>
      </c>
    </row>
    <row r="1314" spans="1:6" x14ac:dyDescent="0.25">
      <c r="A1314" s="40" t="s">
        <v>275</v>
      </c>
      <c r="B1314" s="41" t="str">
        <f ca="1">IFERROR(INDEX(UNSPSCDes,MATCH(INDIRECT(ADDRESS(ROW(),COLUMN()-1,4)),UNSPSCCode,0)),IF(INDIRECT(ADDRESS(ROW(),COLUMN()-1,4))="31201605","Masillas",""))</f>
        <v>Masillas</v>
      </c>
      <c r="C1314" s="42" t="str">
        <f>IFERROR(VLOOKUP("UD",'[1]Informacion '!P:Q,2,FALSE),"")</f>
        <v>Unidad</v>
      </c>
      <c r="D1314" s="40">
        <v>1</v>
      </c>
      <c r="E1314" s="43">
        <v>60000</v>
      </c>
      <c r="F1314" s="44">
        <f t="shared" ca="1" si="7"/>
        <v>60000</v>
      </c>
    </row>
    <row r="1315" spans="1:6" x14ac:dyDescent="0.25">
      <c r="A1315" s="40" t="s">
        <v>276</v>
      </c>
      <c r="B1315" s="41" t="str">
        <f ca="1">IFERROR(INDEX(UNSPSCDes,MATCH(INDIRECT(ADDRESS(ROW(),COLUMN()-1,4)),UNSPSCCode,0)),IF(INDIRECT(ADDRESS(ROW(),COLUMN()-1,4))="31211508","Pinturas acrílicas",""))</f>
        <v>Pinturas acrílicas</v>
      </c>
      <c r="C1315" s="42" t="str">
        <f>IFERROR(VLOOKUP("UD",'[1]Informacion '!P:Q,2,FALSE),"")</f>
        <v>Unidad</v>
      </c>
      <c r="D1315" s="40">
        <v>1</v>
      </c>
      <c r="E1315" s="43">
        <v>50000</v>
      </c>
      <c r="F1315" s="44">
        <f t="shared" ca="1" si="7"/>
        <v>50000</v>
      </c>
    </row>
    <row r="1316" spans="1:6" x14ac:dyDescent="0.25">
      <c r="A1316" s="40" t="s">
        <v>270</v>
      </c>
      <c r="B1316" s="41" t="str">
        <f ca="1">IFERROR(INDEX(UNSPSCDes,MATCH(INDIRECT(ADDRESS(ROW(),COLUMN()-1,4)),UNSPSCCode,0)),IF(INDIRECT(ADDRESS(ROW(),COLUMN()-1,4))="12191602","Solventes activos",""))</f>
        <v>Solventes activos</v>
      </c>
      <c r="C1316" s="42" t="str">
        <f>IFERROR(VLOOKUP("UD",'[1]Informacion '!P:Q,2,FALSE),"")</f>
        <v>Unidad</v>
      </c>
      <c r="D1316" s="40">
        <v>1</v>
      </c>
      <c r="E1316" s="43">
        <v>10000</v>
      </c>
      <c r="F1316" s="44">
        <f t="shared" ca="1" si="7"/>
        <v>10000</v>
      </c>
    </row>
    <row r="1317" spans="1:6" x14ac:dyDescent="0.25">
      <c r="E1317" s="45" t="s">
        <v>47</v>
      </c>
      <c r="F1317" s="46">
        <f ca="1">SUM(Table115[MONTO TOTAL ESTIMADO])</f>
        <v>170000</v>
      </c>
    </row>
    <row r="1318" spans="1:6" ht="17.25" thickBot="1" x14ac:dyDescent="0.3"/>
    <row r="1319" spans="1:6" ht="23.25" thickBot="1" x14ac:dyDescent="0.3">
      <c r="A1319" s="30" t="s">
        <v>18</v>
      </c>
      <c r="B1319" s="30" t="s">
        <v>19</v>
      </c>
      <c r="C1319" s="30" t="s">
        <v>20</v>
      </c>
      <c r="D1319" s="30" t="s">
        <v>21</v>
      </c>
      <c r="E1319" s="30" t="s">
        <v>22</v>
      </c>
      <c r="F1319" s="30" t="s">
        <v>23</v>
      </c>
    </row>
    <row r="1320" spans="1:6" ht="17.25" thickBot="1" x14ac:dyDescent="0.3">
      <c r="A1320" s="31" t="s">
        <v>277</v>
      </c>
      <c r="B1320" s="31" t="s">
        <v>155</v>
      </c>
      <c r="C1320" s="31" t="s">
        <v>92</v>
      </c>
      <c r="D1320" s="31" t="s">
        <v>27</v>
      </c>
      <c r="E1320" s="31" t="s">
        <v>58</v>
      </c>
      <c r="F1320" s="31"/>
    </row>
    <row r="1321" spans="1:6" ht="17.25" thickBot="1" x14ac:dyDescent="0.3">
      <c r="A1321" s="32" t="s">
        <v>29</v>
      </c>
      <c r="B1321" s="33" t="s">
        <v>30</v>
      </c>
      <c r="C1321" s="34">
        <v>44958</v>
      </c>
      <c r="D1321" s="32" t="s">
        <v>31</v>
      </c>
      <c r="E1321" s="35" t="s">
        <v>32</v>
      </c>
      <c r="F1321" s="36" t="s">
        <v>33</v>
      </c>
    </row>
    <row r="1322" spans="1:6" ht="17.25" thickBot="1" x14ac:dyDescent="0.3">
      <c r="A1322" s="37"/>
      <c r="B1322" s="33" t="s">
        <v>34</v>
      </c>
      <c r="C1322" s="38">
        <f>IF(C1321="","",IF(AND(MONTH(C1321)&gt;=1,MONTH(C1321)&lt;=3),1,IF(AND(MONTH(C1321)&gt;=4,MONTH(C1321)&lt;=6),2,IF(AND(MONTH(C1321)&gt;=7,MONTH(C1321)&lt;=9),3,4))))</f>
        <v>1</v>
      </c>
      <c r="D1322" s="37"/>
      <c r="E1322" s="35" t="s">
        <v>35</v>
      </c>
      <c r="F1322" s="36" t="s">
        <v>36</v>
      </c>
    </row>
    <row r="1323" spans="1:6" ht="17.25" thickBot="1" x14ac:dyDescent="0.3">
      <c r="A1323" s="37"/>
      <c r="B1323" s="33" t="s">
        <v>37</v>
      </c>
      <c r="C1323" s="34">
        <v>45015</v>
      </c>
      <c r="D1323" s="37"/>
      <c r="E1323" s="35" t="s">
        <v>38</v>
      </c>
      <c r="F1323" s="36" t="s">
        <v>36</v>
      </c>
    </row>
    <row r="1324" spans="1:6" ht="17.25" thickBot="1" x14ac:dyDescent="0.3">
      <c r="A1324" s="37"/>
      <c r="B1324" s="33" t="s">
        <v>34</v>
      </c>
      <c r="C1324" s="38">
        <f>IF(C1323="","",IF(AND(MONTH(C1323)&gt;=1,MONTH(C1323)&lt;=3),1,IF(AND(MONTH(C1323)&gt;=4,MONTH(C1323)&lt;=6),2,IF(AND(MONTH(C1323)&gt;=7,MONTH(C1323)&lt;=9),3,4))))</f>
        <v>1</v>
      </c>
      <c r="D1324" s="37"/>
      <c r="E1324" s="35" t="s">
        <v>39</v>
      </c>
      <c r="F1324" s="36" t="s">
        <v>36</v>
      </c>
    </row>
    <row r="1325" spans="1:6" ht="17.25" thickBot="1" x14ac:dyDescent="0.3"/>
    <row r="1326" spans="1:6" ht="17.25" thickBot="1" x14ac:dyDescent="0.3">
      <c r="A1326" s="39" t="s">
        <v>40</v>
      </c>
      <c r="B1326" s="39" t="s">
        <v>41</v>
      </c>
      <c r="C1326" s="39" t="s">
        <v>42</v>
      </c>
      <c r="D1326" s="39" t="s">
        <v>43</v>
      </c>
      <c r="E1326" s="39" t="s">
        <v>44</v>
      </c>
      <c r="F1326" s="39" t="s">
        <v>45</v>
      </c>
    </row>
    <row r="1327" spans="1:6" x14ac:dyDescent="0.25">
      <c r="A1327" s="40" t="s">
        <v>278</v>
      </c>
      <c r="B1327" s="41" t="str">
        <f ca="1">IFERROR(INDEX(UNSPSCDes,MATCH(INDIRECT(ADDRESS(ROW(),COLUMN()-1,4)),UNSPSCCode,0)),IF(INDIRECT(ADDRESS(ROW(),COLUMN()-1,4))="12141901","Cloro cl",""))</f>
        <v>Cloro cl</v>
      </c>
      <c r="C1327" s="42" t="str">
        <f>IFERROR(VLOOKUP("UD",'[1]Informacion '!P:Q,2,FALSE),"")</f>
        <v>Unidad</v>
      </c>
      <c r="D1327" s="40">
        <v>1</v>
      </c>
      <c r="E1327" s="43">
        <v>1</v>
      </c>
      <c r="F1327" s="44">
        <f ca="1">INDIRECT(ADDRESS(ROW(),COLUMN()-2,4))*INDIRECT(ADDRESS(ROW(),COLUMN()-1,4))</f>
        <v>1</v>
      </c>
    </row>
    <row r="1328" spans="1:6" x14ac:dyDescent="0.25">
      <c r="A1328" s="40">
        <v>24111802</v>
      </c>
      <c r="B1328" s="41" t="str">
        <f ca="1">IFERROR(INDEX(UNSPSCDes,MATCH(INDIRECT(ADDRESS(ROW(),COLUMN()-1,4)),UNSPSCCode,0)),IF(INDIRECT(ADDRESS(ROW(),COLUMN()-1,4))="12141901","Cloro cl",""))</f>
        <v>Tanques o cilindros de aire o gas</v>
      </c>
      <c r="C1328" s="42" t="str">
        <f>IFERROR(VLOOKUP("UD",'[1]Informacion '!P:Q,2,FALSE),"")</f>
        <v>Unidad</v>
      </c>
      <c r="D1328" s="40">
        <v>1</v>
      </c>
      <c r="E1328" s="43">
        <v>1</v>
      </c>
      <c r="F1328" s="44">
        <f ca="1">INDIRECT(ADDRESS(ROW(),COLUMN()-2,4))*INDIRECT(ADDRESS(ROW(),COLUMN()-1,4))</f>
        <v>1</v>
      </c>
    </row>
    <row r="1329" spans="1:6" x14ac:dyDescent="0.25">
      <c r="A1329" s="40">
        <v>23171522</v>
      </c>
      <c r="B1329" s="41" t="str">
        <f ca="1">IFERROR(INDEX(UNSPSCDes,MATCH(INDIRECT(ADDRESS(ROW(),COLUMN()-1,4)),UNSPSCCode,0)),IF(INDIRECT(ADDRESS(ROW(),COLUMN()-1,4))="12141901","Cloro cl",""))</f>
        <v>Fundentes para soldar</v>
      </c>
      <c r="C1329" s="42" t="str">
        <f>IFERROR(VLOOKUP("UD",'[1]Informacion '!P:Q,2,FALSE),"")</f>
        <v>Unidad</v>
      </c>
      <c r="D1329" s="40">
        <v>1</v>
      </c>
      <c r="E1329" s="43">
        <v>1</v>
      </c>
      <c r="F1329" s="44">
        <f ca="1">INDIRECT(ADDRESS(ROW(),COLUMN()-2,4))*INDIRECT(ADDRESS(ROW(),COLUMN()-1,4))</f>
        <v>1</v>
      </c>
    </row>
    <row r="1330" spans="1:6" x14ac:dyDescent="0.25">
      <c r="E1330" s="45" t="s">
        <v>47</v>
      </c>
      <c r="F1330" s="46">
        <f ca="1">SUM(Table116[MONTO TOTAL ESTIMADO])</f>
        <v>3</v>
      </c>
    </row>
    <row r="1331" spans="1:6" ht="17.25" thickBot="1" x14ac:dyDescent="0.3"/>
    <row r="1332" spans="1:6" ht="23.25" thickBot="1" x14ac:dyDescent="0.3">
      <c r="A1332" s="30" t="s">
        <v>18</v>
      </c>
      <c r="B1332" s="30" t="s">
        <v>19</v>
      </c>
      <c r="C1332" s="30" t="s">
        <v>20</v>
      </c>
      <c r="D1332" s="30" t="s">
        <v>21</v>
      </c>
      <c r="E1332" s="30" t="s">
        <v>22</v>
      </c>
      <c r="F1332" s="30" t="s">
        <v>23</v>
      </c>
    </row>
    <row r="1333" spans="1:6" ht="17.25" thickBot="1" x14ac:dyDescent="0.3">
      <c r="A1333" s="31" t="s">
        <v>277</v>
      </c>
      <c r="B1333" s="31" t="s">
        <v>155</v>
      </c>
      <c r="C1333" s="31" t="s">
        <v>92</v>
      </c>
      <c r="D1333" s="31" t="s">
        <v>27</v>
      </c>
      <c r="E1333" s="31" t="s">
        <v>58</v>
      </c>
      <c r="F1333" s="31"/>
    </row>
    <row r="1334" spans="1:6" ht="17.25" thickBot="1" x14ac:dyDescent="0.3">
      <c r="A1334" s="32" t="s">
        <v>29</v>
      </c>
      <c r="B1334" s="33" t="s">
        <v>30</v>
      </c>
      <c r="C1334" s="34">
        <v>45107</v>
      </c>
      <c r="D1334" s="32" t="s">
        <v>31</v>
      </c>
      <c r="E1334" s="35" t="s">
        <v>32</v>
      </c>
      <c r="F1334" s="36" t="s">
        <v>33</v>
      </c>
    </row>
    <row r="1335" spans="1:6" ht="17.25" thickBot="1" x14ac:dyDescent="0.3">
      <c r="A1335" s="37"/>
      <c r="B1335" s="33" t="s">
        <v>34</v>
      </c>
      <c r="C1335" s="38">
        <f>IF(C1334="","",IF(AND(MONTH(C1334)&gt;=1,MONTH(C1334)&lt;=3),1,IF(AND(MONTH(C1334)&gt;=4,MONTH(C1334)&lt;=6),2,IF(AND(MONTH(C1334)&gt;=7,MONTH(C1334)&lt;=9),3,4))))</f>
        <v>2</v>
      </c>
      <c r="D1335" s="37"/>
      <c r="E1335" s="35" t="s">
        <v>35</v>
      </c>
      <c r="F1335" s="36" t="s">
        <v>36</v>
      </c>
    </row>
    <row r="1336" spans="1:6" ht="17.25" thickBot="1" x14ac:dyDescent="0.3">
      <c r="A1336" s="37"/>
      <c r="B1336" s="33" t="s">
        <v>37</v>
      </c>
      <c r="C1336" s="34">
        <v>45198</v>
      </c>
      <c r="D1336" s="37"/>
      <c r="E1336" s="35" t="s">
        <v>38</v>
      </c>
      <c r="F1336" s="36" t="s">
        <v>36</v>
      </c>
    </row>
    <row r="1337" spans="1:6" ht="17.25" thickBot="1" x14ac:dyDescent="0.3">
      <c r="A1337" s="37"/>
      <c r="B1337" s="33" t="s">
        <v>34</v>
      </c>
      <c r="C1337" s="38">
        <f>IF(C1336="","",IF(AND(MONTH(C1336)&gt;=1,MONTH(C1336)&lt;=3),1,IF(AND(MONTH(C1336)&gt;=4,MONTH(C1336)&lt;=6),2,IF(AND(MONTH(C1336)&gt;=7,MONTH(C1336)&lt;=9),3,4))))</f>
        <v>3</v>
      </c>
      <c r="D1337" s="37"/>
      <c r="E1337" s="35" t="s">
        <v>39</v>
      </c>
      <c r="F1337" s="36" t="s">
        <v>36</v>
      </c>
    </row>
    <row r="1338" spans="1:6" ht="17.25" thickBot="1" x14ac:dyDescent="0.3"/>
    <row r="1339" spans="1:6" ht="17.25" thickBot="1" x14ac:dyDescent="0.3">
      <c r="A1339" s="39" t="s">
        <v>40</v>
      </c>
      <c r="B1339" s="39" t="s">
        <v>41</v>
      </c>
      <c r="C1339" s="39" t="s">
        <v>42</v>
      </c>
      <c r="D1339" s="39" t="s">
        <v>43</v>
      </c>
      <c r="E1339" s="39" t="s">
        <v>44</v>
      </c>
      <c r="F1339" s="39" t="s">
        <v>45</v>
      </c>
    </row>
    <row r="1340" spans="1:6" x14ac:dyDescent="0.25">
      <c r="A1340" s="40" t="s">
        <v>278</v>
      </c>
      <c r="B1340" s="41" t="str">
        <f ca="1">IFERROR(INDEX(UNSPSCDes,MATCH(INDIRECT(ADDRESS(ROW(),COLUMN()-1,4)),UNSPSCCode,0)),IF(INDIRECT(ADDRESS(ROW(),COLUMN()-1,4))="12141901","Cloro cl",""))</f>
        <v>Cloro cl</v>
      </c>
      <c r="C1340" s="42" t="str">
        <f>IFERROR(VLOOKUP("UD",'[1]Informacion '!P:Q,2,FALSE),"")</f>
        <v>Unidad</v>
      </c>
      <c r="D1340" s="40">
        <v>1</v>
      </c>
      <c r="E1340" s="43">
        <v>1</v>
      </c>
      <c r="F1340" s="44">
        <f ca="1">INDIRECT(ADDRESS(ROW(),COLUMN()-2,4))*INDIRECT(ADDRESS(ROW(),COLUMN()-1,4))</f>
        <v>1</v>
      </c>
    </row>
    <row r="1341" spans="1:6" x14ac:dyDescent="0.25">
      <c r="A1341" s="40" t="s">
        <v>279</v>
      </c>
      <c r="B1341" s="41" t="str">
        <f ca="1">IFERROR(INDEX(UNSPSCDes,MATCH(INDIRECT(ADDRESS(ROW(),COLUMN()-1,4)),UNSPSCCode,0)),IF(INDIRECT(ADDRESS(ROW(),COLUMN()-1,4))="12181501","Ceras sintéticas",""))</f>
        <v>Ceras sintéticas</v>
      </c>
      <c r="C1341" s="42" t="str">
        <f>IFERROR(VLOOKUP("UD",'[1]Informacion '!P:Q,2,FALSE),"")</f>
        <v>Unidad</v>
      </c>
      <c r="D1341" s="40">
        <v>1</v>
      </c>
      <c r="E1341" s="43">
        <v>1</v>
      </c>
      <c r="F1341" s="44">
        <f ca="1">INDIRECT(ADDRESS(ROW(),COLUMN()-2,4))*INDIRECT(ADDRESS(ROW(),COLUMN()-1,4))</f>
        <v>1</v>
      </c>
    </row>
    <row r="1342" spans="1:6" x14ac:dyDescent="0.25">
      <c r="A1342" s="40" t="s">
        <v>280</v>
      </c>
      <c r="B1342" s="41" t="str">
        <f ca="1">IFERROR(INDEX(UNSPSCDes,MATCH(INDIRECT(ADDRESS(ROW(),COLUMN()-1,4)),UNSPSCCode,0)),IF(INDIRECT(ADDRESS(ROW(),COLUMN()-1,4))="12352104","Alcoholes o sus sustitutos",""))</f>
        <v>Alcoholes o sus sustitutos</v>
      </c>
      <c r="C1342" s="42" t="str">
        <f>IFERROR(VLOOKUP("UD",'[1]Informacion '!P:Q,2,FALSE),"")</f>
        <v>Unidad</v>
      </c>
      <c r="D1342" s="40">
        <v>1</v>
      </c>
      <c r="E1342" s="43">
        <v>1</v>
      </c>
      <c r="F1342" s="44">
        <f ca="1">INDIRECT(ADDRESS(ROW(),COLUMN()-2,4))*INDIRECT(ADDRESS(ROW(),COLUMN()-1,4))</f>
        <v>1</v>
      </c>
    </row>
    <row r="1343" spans="1:6" x14ac:dyDescent="0.25">
      <c r="A1343" s="40" t="s">
        <v>281</v>
      </c>
      <c r="B1343" s="41" t="str">
        <f ca="1">IFERROR(INDEX(UNSPSCDes,MATCH(INDIRECT(ADDRESS(ROW(),COLUMN()-1,4)),UNSPSCCode,0)),IF(INDIRECT(ADDRESS(ROW(),COLUMN()-1,4))="31201617","Cementos disolventes",""))</f>
        <v>Cementos disolventes</v>
      </c>
      <c r="C1343" s="42" t="str">
        <f>IFERROR(VLOOKUP("UD",'[1]Informacion '!P:Q,2,FALSE),"")</f>
        <v>Unidad</v>
      </c>
      <c r="D1343" s="40">
        <v>1</v>
      </c>
      <c r="E1343" s="43">
        <v>1</v>
      </c>
      <c r="F1343" s="44">
        <f ca="1">INDIRECT(ADDRESS(ROW(),COLUMN()-2,4))*INDIRECT(ADDRESS(ROW(),COLUMN()-1,4))</f>
        <v>1</v>
      </c>
    </row>
    <row r="1344" spans="1:6" x14ac:dyDescent="0.25">
      <c r="A1344" s="40" t="s">
        <v>275</v>
      </c>
      <c r="B1344" s="41" t="str">
        <f ca="1">IFERROR(INDEX(UNSPSCDes,MATCH(INDIRECT(ADDRESS(ROW(),COLUMN()-1,4)),UNSPSCCode,0)),IF(INDIRECT(ADDRESS(ROW(),COLUMN()-1,4))="31201605","Masillas",""))</f>
        <v>Masillas</v>
      </c>
      <c r="C1344" s="42" t="str">
        <f>IFERROR(VLOOKUP("UD",'[1]Informacion '!P:Q,2,FALSE),"")</f>
        <v>Unidad</v>
      </c>
      <c r="D1344" s="40">
        <v>1</v>
      </c>
      <c r="E1344" s="43">
        <v>1</v>
      </c>
      <c r="F1344" s="44">
        <f ca="1">INDIRECT(ADDRESS(ROW(),COLUMN()-2,4))*INDIRECT(ADDRESS(ROW(),COLUMN()-1,4))</f>
        <v>1</v>
      </c>
    </row>
    <row r="1345" spans="1:6" x14ac:dyDescent="0.25">
      <c r="E1345" s="45" t="s">
        <v>47</v>
      </c>
      <c r="F1345" s="46">
        <f ca="1">SUM(Table117[MONTO TOTAL ESTIMADO])</f>
        <v>5</v>
      </c>
    </row>
    <row r="1346" spans="1:6" ht="17.25" thickBot="1" x14ac:dyDescent="0.3"/>
    <row r="1347" spans="1:6" ht="23.25" thickBot="1" x14ac:dyDescent="0.3">
      <c r="A1347" s="30" t="s">
        <v>18</v>
      </c>
      <c r="B1347" s="30" t="s">
        <v>19</v>
      </c>
      <c r="C1347" s="30" t="s">
        <v>20</v>
      </c>
      <c r="D1347" s="30" t="s">
        <v>21</v>
      </c>
      <c r="E1347" s="30" t="s">
        <v>22</v>
      </c>
      <c r="F1347" s="30" t="s">
        <v>23</v>
      </c>
    </row>
    <row r="1348" spans="1:6" ht="17.25" thickBot="1" x14ac:dyDescent="0.3">
      <c r="A1348" s="31" t="s">
        <v>282</v>
      </c>
      <c r="B1348" s="31" t="s">
        <v>283</v>
      </c>
      <c r="C1348" s="31" t="s">
        <v>92</v>
      </c>
      <c r="D1348" s="31" t="s">
        <v>50</v>
      </c>
      <c r="E1348" s="31" t="s">
        <v>58</v>
      </c>
      <c r="F1348" s="31"/>
    </row>
    <row r="1349" spans="1:6" ht="17.25" thickBot="1" x14ac:dyDescent="0.3">
      <c r="A1349" s="32" t="s">
        <v>29</v>
      </c>
      <c r="B1349" s="33" t="s">
        <v>30</v>
      </c>
      <c r="C1349" s="34">
        <v>44958</v>
      </c>
      <c r="D1349" s="32" t="s">
        <v>31</v>
      </c>
      <c r="E1349" s="35" t="s">
        <v>32</v>
      </c>
      <c r="F1349" s="36" t="s">
        <v>33</v>
      </c>
    </row>
    <row r="1350" spans="1:6" ht="17.25" thickBot="1" x14ac:dyDescent="0.3">
      <c r="A1350" s="37"/>
      <c r="B1350" s="33" t="s">
        <v>34</v>
      </c>
      <c r="C1350" s="38">
        <f>IF(C1349="","",IF(AND(MONTH(C1349)&gt;=1,MONTH(C1349)&lt;=3),1,IF(AND(MONTH(C1349)&gt;=4,MONTH(C1349)&lt;=6),2,IF(AND(MONTH(C1349)&gt;=7,MONTH(C1349)&lt;=9),3,4))))</f>
        <v>1</v>
      </c>
      <c r="D1350" s="37"/>
      <c r="E1350" s="35" t="s">
        <v>35</v>
      </c>
      <c r="F1350" s="36" t="s">
        <v>36</v>
      </c>
    </row>
    <row r="1351" spans="1:6" ht="17.25" thickBot="1" x14ac:dyDescent="0.3">
      <c r="A1351" s="37"/>
      <c r="B1351" s="33" t="s">
        <v>37</v>
      </c>
      <c r="C1351" s="34">
        <v>45015</v>
      </c>
      <c r="D1351" s="37"/>
      <c r="E1351" s="35" t="s">
        <v>38</v>
      </c>
      <c r="F1351" s="36" t="s">
        <v>36</v>
      </c>
    </row>
    <row r="1352" spans="1:6" ht="17.25" thickBot="1" x14ac:dyDescent="0.3">
      <c r="A1352" s="37"/>
      <c r="B1352" s="33" t="s">
        <v>34</v>
      </c>
      <c r="C1352" s="38">
        <f>IF(C1351="","",IF(AND(MONTH(C1351)&gt;=1,MONTH(C1351)&lt;=3),1,IF(AND(MONTH(C1351)&gt;=4,MONTH(C1351)&lt;=6),2,IF(AND(MONTH(C1351)&gt;=7,MONTH(C1351)&lt;=9),3,4))))</f>
        <v>1</v>
      </c>
      <c r="D1352" s="37"/>
      <c r="E1352" s="35" t="s">
        <v>39</v>
      </c>
      <c r="F1352" s="36" t="s">
        <v>36</v>
      </c>
    </row>
    <row r="1353" spans="1:6" ht="17.25" thickBot="1" x14ac:dyDescent="0.3"/>
    <row r="1354" spans="1:6" ht="17.25" thickBot="1" x14ac:dyDescent="0.3">
      <c r="A1354" s="39" t="s">
        <v>40</v>
      </c>
      <c r="B1354" s="39" t="s">
        <v>41</v>
      </c>
      <c r="C1354" s="39" t="s">
        <v>42</v>
      </c>
      <c r="D1354" s="39" t="s">
        <v>43</v>
      </c>
      <c r="E1354" s="39" t="s">
        <v>44</v>
      </c>
      <c r="F1354" s="39" t="s">
        <v>45</v>
      </c>
    </row>
    <row r="1355" spans="1:6" x14ac:dyDescent="0.25">
      <c r="A1355" s="40" t="s">
        <v>284</v>
      </c>
      <c r="B1355" s="41" t="str">
        <f ca="1">IFERROR(INDEX(UNSPSCDes,MATCH(INDIRECT(ADDRESS(ROW(),COLUMN()-1,4)),UNSPSCCode,0)),IF(INDIRECT(ADDRESS(ROW(),COLUMN()-1,4))="47131805","Limpiadores de propósito general",""))</f>
        <v>Limpiadores de propósito general</v>
      </c>
      <c r="C1355" s="42" t="str">
        <f>IFERROR(VLOOKUP("UD",'[1]Informacion '!P:Q,2,FALSE),"")</f>
        <v>Unidad</v>
      </c>
      <c r="D1355" s="40">
        <v>1</v>
      </c>
      <c r="E1355" s="43">
        <v>1</v>
      </c>
      <c r="F1355" s="44">
        <f t="shared" ref="F1355:F1363" ca="1" si="8">INDIRECT(ADDRESS(ROW(),COLUMN()-2,4))*INDIRECT(ADDRESS(ROW(),COLUMN()-1,4))</f>
        <v>1</v>
      </c>
    </row>
    <row r="1356" spans="1:6" x14ac:dyDescent="0.25">
      <c r="A1356" s="40" t="s">
        <v>285</v>
      </c>
      <c r="B1356" s="41" t="str">
        <f ca="1">IFERROR(INDEX(UNSPSCDes,MATCH(INDIRECT(ADDRESS(ROW(),COLUMN()-1,4)),UNSPSCCode,0)),IF(INDIRECT(ADDRESS(ROW(),COLUMN()-1,4))="47131602","Almohadillas para restregar",""))</f>
        <v>Almohadillas para restregar</v>
      </c>
      <c r="C1356" s="42" t="str">
        <f>IFERROR(VLOOKUP("UD",'[1]Informacion '!P:Q,2,FALSE),"")</f>
        <v>Unidad</v>
      </c>
      <c r="D1356" s="40">
        <v>1</v>
      </c>
      <c r="E1356" s="43">
        <v>1</v>
      </c>
      <c r="F1356" s="44">
        <f t="shared" ca="1" si="8"/>
        <v>1</v>
      </c>
    </row>
    <row r="1357" spans="1:6" x14ac:dyDescent="0.25">
      <c r="A1357" s="40" t="s">
        <v>286</v>
      </c>
      <c r="B1357" s="41" t="str">
        <f ca="1">IFERROR(INDEX(UNSPSCDes,MATCH(INDIRECT(ADDRESS(ROW(),COLUMN()-1,4)),UNSPSCCode,0)),IF(INDIRECT(ADDRESS(ROW(),COLUMN()-1,4))="47131502","Pañitos o toallas para limpiar",""))</f>
        <v>Pañitos o toallas para limpiar</v>
      </c>
      <c r="C1357" s="42" t="str">
        <f>IFERROR(VLOOKUP("UD",'[1]Informacion '!P:Q,2,FALSE),"")</f>
        <v>Unidad</v>
      </c>
      <c r="D1357" s="40">
        <v>1</v>
      </c>
      <c r="E1357" s="43">
        <v>1</v>
      </c>
      <c r="F1357" s="44">
        <f t="shared" ca="1" si="8"/>
        <v>1</v>
      </c>
    </row>
    <row r="1358" spans="1:6" x14ac:dyDescent="0.25">
      <c r="A1358" s="40" t="s">
        <v>287</v>
      </c>
      <c r="B1358" s="41" t="str">
        <f ca="1">IFERROR(INDEX(UNSPSCDes,MATCH(INDIRECT(ADDRESS(ROW(),COLUMN()-1,4)),UNSPSCCode,0)),IF(INDIRECT(ADDRESS(ROW(),COLUMN()-1,4))="46181504","Guantes de protección",""))</f>
        <v>Guantes de protección</v>
      </c>
      <c r="C1358" s="42" t="str">
        <f>IFERROR(VLOOKUP("UD",'[1]Informacion '!P:Q,2,FALSE),"")</f>
        <v>Unidad</v>
      </c>
      <c r="D1358" s="40">
        <v>1</v>
      </c>
      <c r="E1358" s="43">
        <v>1</v>
      </c>
      <c r="F1358" s="44">
        <f t="shared" ca="1" si="8"/>
        <v>1</v>
      </c>
    </row>
    <row r="1359" spans="1:6" x14ac:dyDescent="0.25">
      <c r="A1359" s="40" t="s">
        <v>288</v>
      </c>
      <c r="B1359" s="41" t="str">
        <f ca="1">IFERROR(INDEX(UNSPSCDes,MATCH(INDIRECT(ADDRESS(ROW(),COLUMN()-1,4)),UNSPSCCode,0)),IF(INDIRECT(ADDRESS(ROW(),COLUMN()-1,4))="47131801","Limpiadores de pisos",""))</f>
        <v>Limpiadores de pisos</v>
      </c>
      <c r="C1359" s="42" t="str">
        <f>IFERROR(VLOOKUP("UD",'[1]Informacion '!P:Q,2,FALSE),"")</f>
        <v>Unidad</v>
      </c>
      <c r="D1359" s="40">
        <v>1</v>
      </c>
      <c r="E1359" s="43">
        <v>1</v>
      </c>
      <c r="F1359" s="44">
        <f t="shared" ca="1" si="8"/>
        <v>1</v>
      </c>
    </row>
    <row r="1360" spans="1:6" x14ac:dyDescent="0.25">
      <c r="A1360" s="40">
        <v>47131816</v>
      </c>
      <c r="B1360" s="41" t="str">
        <f ca="1">IFERROR(INDEX(UNSPSCDes,MATCH(INDIRECT(ADDRESS(ROW(),COLUMN()-1,4)),UNSPSCCode,0)),IF(INDIRECT(ADDRESS(ROW(),COLUMN()-1,4))="47131801","Limpiadores de pisos",""))</f>
        <v>Desodorantes</v>
      </c>
      <c r="C1360" s="42" t="str">
        <f>IFERROR(VLOOKUP("UD",'[1]Informacion '!P:Q,2,FALSE),"")</f>
        <v>Unidad</v>
      </c>
      <c r="D1360" s="40">
        <v>1</v>
      </c>
      <c r="E1360" s="43">
        <v>1</v>
      </c>
      <c r="F1360" s="44">
        <f t="shared" ca="1" si="8"/>
        <v>1</v>
      </c>
    </row>
    <row r="1361" spans="1:6" x14ac:dyDescent="0.25">
      <c r="A1361" s="40">
        <v>47131803</v>
      </c>
      <c r="B1361" s="41" t="str">
        <f ca="1">IFERROR(INDEX(UNSPSCDes,MATCH(INDIRECT(ADDRESS(ROW(),COLUMN()-1,4)),UNSPSCCode,0)),IF(INDIRECT(ADDRESS(ROW(),COLUMN()-1,4))="47131801","Limpiadores de pisos",""))</f>
        <v>Desinfectantes para uso doméstico</v>
      </c>
      <c r="C1361" s="42" t="str">
        <f>IFERROR(VLOOKUP("UD",'[1]Informacion '!P:Q,2,FALSE),"")</f>
        <v>Unidad</v>
      </c>
      <c r="D1361" s="40">
        <v>1</v>
      </c>
      <c r="E1361" s="43">
        <v>1</v>
      </c>
      <c r="F1361" s="44">
        <f t="shared" ca="1" si="8"/>
        <v>1</v>
      </c>
    </row>
    <row r="1362" spans="1:6" x14ac:dyDescent="0.25">
      <c r="A1362" s="40">
        <v>47131618</v>
      </c>
      <c r="B1362" s="41" t="str">
        <f ca="1">IFERROR(INDEX(UNSPSCDes,MATCH(INDIRECT(ADDRESS(ROW(),COLUMN()-1,4)),UNSPSCCode,0)),IF(INDIRECT(ADDRESS(ROW(),COLUMN()-1,4))="47131801","Limpiadores de pisos",""))</f>
        <v>Traperos húmedos</v>
      </c>
      <c r="C1362" s="42" t="str">
        <f>IFERROR(VLOOKUP("UD",'[1]Informacion '!P:Q,2,FALSE),"")</f>
        <v>Unidad</v>
      </c>
      <c r="D1362" s="40">
        <v>1</v>
      </c>
      <c r="E1362" s="43">
        <v>1</v>
      </c>
      <c r="F1362" s="44">
        <f t="shared" ca="1" si="8"/>
        <v>1</v>
      </c>
    </row>
    <row r="1363" spans="1:6" x14ac:dyDescent="0.25">
      <c r="A1363" s="40">
        <v>47131604</v>
      </c>
      <c r="B1363" s="41" t="str">
        <f ca="1">IFERROR(INDEX(UNSPSCDes,MATCH(INDIRECT(ADDRESS(ROW(),COLUMN()-1,4)),UNSPSCCode,0)),IF(INDIRECT(ADDRESS(ROW(),COLUMN()-1,4))="47131801","Limpiadores de pisos",""))</f>
        <v>Escobas</v>
      </c>
      <c r="C1363" s="42" t="str">
        <f>IFERROR(VLOOKUP("UD",'[1]Informacion '!P:Q,2,FALSE),"")</f>
        <v>Unidad</v>
      </c>
      <c r="D1363" s="40">
        <v>1</v>
      </c>
      <c r="E1363" s="43">
        <v>1</v>
      </c>
      <c r="F1363" s="44">
        <f t="shared" ca="1" si="8"/>
        <v>1</v>
      </c>
    </row>
    <row r="1364" spans="1:6" x14ac:dyDescent="0.25">
      <c r="E1364" s="45" t="s">
        <v>47</v>
      </c>
      <c r="F1364" s="46">
        <f ca="1">SUM(Table118[MONTO TOTAL ESTIMADO])</f>
        <v>9</v>
      </c>
    </row>
    <row r="1365" spans="1:6" ht="17.25" thickBot="1" x14ac:dyDescent="0.3"/>
    <row r="1366" spans="1:6" ht="23.25" thickBot="1" x14ac:dyDescent="0.3">
      <c r="A1366" s="30" t="s">
        <v>18</v>
      </c>
      <c r="B1366" s="30" t="s">
        <v>19</v>
      </c>
      <c r="C1366" s="30" t="s">
        <v>20</v>
      </c>
      <c r="D1366" s="30" t="s">
        <v>21</v>
      </c>
      <c r="E1366" s="30" t="s">
        <v>22</v>
      </c>
      <c r="F1366" s="30" t="s">
        <v>23</v>
      </c>
    </row>
    <row r="1367" spans="1:6" ht="17.25" thickBot="1" x14ac:dyDescent="0.3">
      <c r="A1367" s="31" t="s">
        <v>282</v>
      </c>
      <c r="B1367" s="31" t="s">
        <v>155</v>
      </c>
      <c r="C1367" s="31" t="s">
        <v>92</v>
      </c>
      <c r="D1367" s="31" t="s">
        <v>50</v>
      </c>
      <c r="E1367" s="31" t="s">
        <v>58</v>
      </c>
      <c r="F1367" s="31"/>
    </row>
    <row r="1368" spans="1:6" ht="17.25" thickBot="1" x14ac:dyDescent="0.3">
      <c r="A1368" s="32" t="s">
        <v>29</v>
      </c>
      <c r="B1368" s="33" t="s">
        <v>30</v>
      </c>
      <c r="C1368" s="34">
        <v>45017</v>
      </c>
      <c r="D1368" s="32" t="s">
        <v>31</v>
      </c>
      <c r="E1368" s="35" t="s">
        <v>32</v>
      </c>
      <c r="F1368" s="36" t="s">
        <v>33</v>
      </c>
    </row>
    <row r="1369" spans="1:6" ht="17.25" thickBot="1" x14ac:dyDescent="0.3">
      <c r="A1369" s="37"/>
      <c r="B1369" s="33" t="s">
        <v>34</v>
      </c>
      <c r="C1369" s="38">
        <f>IF(C1368="","",IF(AND(MONTH(C1368)&gt;=1,MONTH(C1368)&lt;=3),1,IF(AND(MONTH(C1368)&gt;=4,MONTH(C1368)&lt;=6),2,IF(AND(MONTH(C1368)&gt;=7,MONTH(C1368)&lt;=9),3,4))))</f>
        <v>2</v>
      </c>
      <c r="D1369" s="37"/>
      <c r="E1369" s="35" t="s">
        <v>35</v>
      </c>
      <c r="F1369" s="36" t="s">
        <v>36</v>
      </c>
    </row>
    <row r="1370" spans="1:6" ht="17.25" thickBot="1" x14ac:dyDescent="0.3">
      <c r="A1370" s="37"/>
      <c r="B1370" s="33" t="s">
        <v>37</v>
      </c>
      <c r="C1370" s="34">
        <v>45106</v>
      </c>
      <c r="D1370" s="37"/>
      <c r="E1370" s="35" t="s">
        <v>38</v>
      </c>
      <c r="F1370" s="36" t="s">
        <v>36</v>
      </c>
    </row>
    <row r="1371" spans="1:6" ht="17.25" thickBot="1" x14ac:dyDescent="0.3">
      <c r="A1371" s="37"/>
      <c r="B1371" s="33" t="s">
        <v>34</v>
      </c>
      <c r="C1371" s="38">
        <f>IF(C1370="","",IF(AND(MONTH(C1370)&gt;=1,MONTH(C1370)&lt;=3),1,IF(AND(MONTH(C1370)&gt;=4,MONTH(C1370)&lt;=6),2,IF(AND(MONTH(C1370)&gt;=7,MONTH(C1370)&lt;=9),3,4))))</f>
        <v>2</v>
      </c>
      <c r="D1371" s="37"/>
      <c r="E1371" s="35" t="s">
        <v>39</v>
      </c>
      <c r="F1371" s="36" t="s">
        <v>36</v>
      </c>
    </row>
    <row r="1372" spans="1:6" ht="17.25" thickBot="1" x14ac:dyDescent="0.3"/>
    <row r="1373" spans="1:6" ht="17.25" thickBot="1" x14ac:dyDescent="0.3">
      <c r="A1373" s="39" t="s">
        <v>40</v>
      </c>
      <c r="B1373" s="39" t="s">
        <v>41</v>
      </c>
      <c r="C1373" s="39" t="s">
        <v>42</v>
      </c>
      <c r="D1373" s="39" t="s">
        <v>43</v>
      </c>
      <c r="E1373" s="39" t="s">
        <v>44</v>
      </c>
      <c r="F1373" s="39" t="s">
        <v>45</v>
      </c>
    </row>
    <row r="1374" spans="1:6" x14ac:dyDescent="0.25">
      <c r="A1374" s="40" t="s">
        <v>284</v>
      </c>
      <c r="B1374" s="41" t="str">
        <f t="shared" ref="B1374:B1382" ca="1" si="9">IFERROR(INDEX(UNSPSCDes,MATCH(INDIRECT(ADDRESS(ROW(),COLUMN()-1,4)),UNSPSCCode,0)),IF(INDIRECT(ADDRESS(ROW(),COLUMN()-1,4))="47131805","Limpiadores de propósito general",""))</f>
        <v>Limpiadores de propósito general</v>
      </c>
      <c r="C1374" s="42" t="str">
        <f>IFERROR(VLOOKUP("UD",'[1]Informacion '!P:Q,2,FALSE),"")</f>
        <v>Unidad</v>
      </c>
      <c r="D1374" s="40">
        <v>1</v>
      </c>
      <c r="E1374" s="43">
        <v>70000</v>
      </c>
      <c r="F1374" s="44">
        <f t="shared" ref="F1374:F1382" ca="1" si="10">INDIRECT(ADDRESS(ROW(),COLUMN()-2,4))*INDIRECT(ADDRESS(ROW(),COLUMN()-1,4))</f>
        <v>70000</v>
      </c>
    </row>
    <row r="1375" spans="1:6" x14ac:dyDescent="0.25">
      <c r="A1375" s="40">
        <v>47131816</v>
      </c>
      <c r="B1375" s="41" t="str">
        <f t="shared" ca="1" si="9"/>
        <v>Desodorantes</v>
      </c>
      <c r="C1375" s="42" t="str">
        <f>IFERROR(VLOOKUP("UD",'[1]Informacion '!P:Q,2,FALSE),"")</f>
        <v>Unidad</v>
      </c>
      <c r="D1375" s="40">
        <v>1</v>
      </c>
      <c r="E1375" s="43">
        <v>60000</v>
      </c>
      <c r="F1375" s="44">
        <f t="shared" ca="1" si="10"/>
        <v>60000</v>
      </c>
    </row>
    <row r="1376" spans="1:6" x14ac:dyDescent="0.25">
      <c r="A1376" s="40">
        <v>47131803</v>
      </c>
      <c r="B1376" s="41" t="str">
        <f t="shared" ca="1" si="9"/>
        <v>Desinfectantes para uso doméstico</v>
      </c>
      <c r="C1376" s="42" t="str">
        <f>IFERROR(VLOOKUP("UD",'[1]Informacion '!P:Q,2,FALSE),"")</f>
        <v>Unidad</v>
      </c>
      <c r="D1376" s="40">
        <v>1</v>
      </c>
      <c r="E1376" s="43">
        <v>50000</v>
      </c>
      <c r="F1376" s="44">
        <f t="shared" ca="1" si="10"/>
        <v>50000</v>
      </c>
    </row>
    <row r="1377" spans="1:6" x14ac:dyDescent="0.25">
      <c r="A1377" s="40">
        <v>47131807</v>
      </c>
      <c r="B1377" s="41" t="str">
        <f t="shared" ca="1" si="9"/>
        <v>Blanqueadores</v>
      </c>
      <c r="C1377" s="42" t="str">
        <f>IFERROR(VLOOKUP("UD",'[1]Informacion '!P:Q,2,FALSE),"")</f>
        <v>Unidad</v>
      </c>
      <c r="D1377" s="40">
        <v>1</v>
      </c>
      <c r="E1377" s="43">
        <v>79000</v>
      </c>
      <c r="F1377" s="44">
        <f t="shared" ca="1" si="10"/>
        <v>79000</v>
      </c>
    </row>
    <row r="1378" spans="1:6" x14ac:dyDescent="0.25">
      <c r="A1378" s="40">
        <v>47131502</v>
      </c>
      <c r="B1378" s="41" t="str">
        <f t="shared" ca="1" si="9"/>
        <v>Pañitos o toallas para limpiar</v>
      </c>
      <c r="C1378" s="42" t="str">
        <f>IFERROR(VLOOKUP("UD",'[1]Informacion '!P:Q,2,FALSE),"")</f>
        <v>Unidad</v>
      </c>
      <c r="D1378" s="40">
        <v>1</v>
      </c>
      <c r="E1378" s="43">
        <v>60000</v>
      </c>
      <c r="F1378" s="44">
        <f t="shared" ca="1" si="10"/>
        <v>60000</v>
      </c>
    </row>
    <row r="1379" spans="1:6" x14ac:dyDescent="0.25">
      <c r="A1379" s="40">
        <v>47131706</v>
      </c>
      <c r="B1379" s="41" t="str">
        <f t="shared" ca="1" si="9"/>
        <v>Dispensadores de ambientadores</v>
      </c>
      <c r="C1379" s="42" t="str">
        <f>IFERROR(VLOOKUP("UD",'[1]Informacion '!P:Q,2,FALSE),"")</f>
        <v>Unidad</v>
      </c>
      <c r="D1379" s="40">
        <v>1</v>
      </c>
      <c r="E1379" s="43">
        <v>50000</v>
      </c>
      <c r="F1379" s="44">
        <f t="shared" ca="1" si="10"/>
        <v>50000</v>
      </c>
    </row>
    <row r="1380" spans="1:6" x14ac:dyDescent="0.25">
      <c r="A1380" s="40">
        <v>47131618</v>
      </c>
      <c r="B1380" s="41" t="str">
        <f t="shared" ca="1" si="9"/>
        <v>Traperos húmedos</v>
      </c>
      <c r="C1380" s="42" t="str">
        <f>IFERROR(VLOOKUP("UD",'[1]Informacion '!P:Q,2,FALSE),"")</f>
        <v>Unidad</v>
      </c>
      <c r="D1380" s="40">
        <v>1</v>
      </c>
      <c r="E1380" s="43">
        <v>40000</v>
      </c>
      <c r="F1380" s="44">
        <f t="shared" ca="1" si="10"/>
        <v>40000</v>
      </c>
    </row>
    <row r="1381" spans="1:6" x14ac:dyDescent="0.25">
      <c r="A1381" s="40">
        <v>47131604</v>
      </c>
      <c r="B1381" s="41" t="str">
        <f t="shared" ca="1" si="9"/>
        <v>Escobas</v>
      </c>
      <c r="C1381" s="42" t="str">
        <f>IFERROR(VLOOKUP("UD",'[1]Informacion '!P:Q,2,FALSE),"")</f>
        <v>Unidad</v>
      </c>
      <c r="D1381" s="40">
        <v>1</v>
      </c>
      <c r="E1381" s="43">
        <v>1000</v>
      </c>
      <c r="F1381" s="44">
        <f t="shared" ca="1" si="10"/>
        <v>1000</v>
      </c>
    </row>
    <row r="1382" spans="1:6" x14ac:dyDescent="0.25">
      <c r="A1382" s="40">
        <v>47121702</v>
      </c>
      <c r="B1382" s="41" t="str">
        <f t="shared" ca="1" si="9"/>
        <v>Contenedores de desperdicios o revestimientos rígidos</v>
      </c>
      <c r="C1382" s="42" t="str">
        <f>IFERROR(VLOOKUP("UD",'[1]Informacion '!P:Q,2,FALSE),"")</f>
        <v>Unidad</v>
      </c>
      <c r="D1382" s="40">
        <v>1</v>
      </c>
      <c r="E1382" s="43">
        <v>90000</v>
      </c>
      <c r="F1382" s="44">
        <f t="shared" ca="1" si="10"/>
        <v>90000</v>
      </c>
    </row>
    <row r="1383" spans="1:6" x14ac:dyDescent="0.25">
      <c r="E1383" s="45" t="s">
        <v>47</v>
      </c>
      <c r="F1383" s="46">
        <f ca="1">SUM(Table119[MONTO TOTAL ESTIMADO])</f>
        <v>500000</v>
      </c>
    </row>
    <row r="1384" spans="1:6" ht="17.25" thickBot="1" x14ac:dyDescent="0.3"/>
    <row r="1385" spans="1:6" ht="23.25" thickBot="1" x14ac:dyDescent="0.3">
      <c r="A1385" s="30" t="s">
        <v>18</v>
      </c>
      <c r="B1385" s="30" t="s">
        <v>19</v>
      </c>
      <c r="C1385" s="30" t="s">
        <v>20</v>
      </c>
      <c r="D1385" s="30" t="s">
        <v>21</v>
      </c>
      <c r="E1385" s="30" t="s">
        <v>22</v>
      </c>
      <c r="F1385" s="30" t="s">
        <v>23</v>
      </c>
    </row>
    <row r="1386" spans="1:6" ht="17.25" thickBot="1" x14ac:dyDescent="0.3">
      <c r="A1386" s="31" t="s">
        <v>282</v>
      </c>
      <c r="B1386" s="31" t="s">
        <v>155</v>
      </c>
      <c r="C1386" s="31" t="s">
        <v>92</v>
      </c>
      <c r="D1386" s="31" t="s">
        <v>50</v>
      </c>
      <c r="E1386" s="31" t="s">
        <v>58</v>
      </c>
      <c r="F1386" s="31"/>
    </row>
    <row r="1387" spans="1:6" ht="17.25" thickBot="1" x14ac:dyDescent="0.3">
      <c r="A1387" s="32" t="s">
        <v>29</v>
      </c>
      <c r="B1387" s="33" t="s">
        <v>30</v>
      </c>
      <c r="C1387" s="34">
        <v>45108</v>
      </c>
      <c r="D1387" s="32" t="s">
        <v>31</v>
      </c>
      <c r="E1387" s="35" t="s">
        <v>32</v>
      </c>
      <c r="F1387" s="36" t="s">
        <v>33</v>
      </c>
    </row>
    <row r="1388" spans="1:6" ht="17.25" thickBot="1" x14ac:dyDescent="0.3">
      <c r="A1388" s="37"/>
      <c r="B1388" s="33" t="s">
        <v>34</v>
      </c>
      <c r="C1388" s="38">
        <f>IF(C1387="","",IF(AND(MONTH(C1387)&gt;=1,MONTH(C1387)&lt;=3),1,IF(AND(MONTH(C1387)&gt;=4,MONTH(C1387)&lt;=6),2,IF(AND(MONTH(C1387)&gt;=7,MONTH(C1387)&lt;=9),3,4))))</f>
        <v>3</v>
      </c>
      <c r="D1388" s="37"/>
      <c r="E1388" s="35" t="s">
        <v>35</v>
      </c>
      <c r="F1388" s="36" t="s">
        <v>36</v>
      </c>
    </row>
    <row r="1389" spans="1:6" ht="17.25" thickBot="1" x14ac:dyDescent="0.3">
      <c r="A1389" s="37"/>
      <c r="B1389" s="33" t="s">
        <v>37</v>
      </c>
      <c r="C1389" s="34">
        <v>45198</v>
      </c>
      <c r="D1389" s="37"/>
      <c r="E1389" s="35" t="s">
        <v>38</v>
      </c>
      <c r="F1389" s="36" t="s">
        <v>36</v>
      </c>
    </row>
    <row r="1390" spans="1:6" ht="17.25" thickBot="1" x14ac:dyDescent="0.3">
      <c r="A1390" s="37"/>
      <c r="B1390" s="33" t="s">
        <v>34</v>
      </c>
      <c r="C1390" s="38">
        <f>IF(C1389="","",IF(AND(MONTH(C1389)&gt;=1,MONTH(C1389)&lt;=3),1,IF(AND(MONTH(C1389)&gt;=4,MONTH(C1389)&lt;=6),2,IF(AND(MONTH(C1389)&gt;=7,MONTH(C1389)&lt;=9),3,4))))</f>
        <v>3</v>
      </c>
      <c r="D1390" s="37"/>
      <c r="E1390" s="35" t="s">
        <v>39</v>
      </c>
      <c r="F1390" s="36" t="s">
        <v>36</v>
      </c>
    </row>
    <row r="1391" spans="1:6" ht="17.25" thickBot="1" x14ac:dyDescent="0.3"/>
    <row r="1392" spans="1:6" ht="17.25" thickBot="1" x14ac:dyDescent="0.3">
      <c r="A1392" s="39" t="s">
        <v>40</v>
      </c>
      <c r="B1392" s="39" t="s">
        <v>41</v>
      </c>
      <c r="C1392" s="39" t="s">
        <v>42</v>
      </c>
      <c r="D1392" s="39" t="s">
        <v>43</v>
      </c>
      <c r="E1392" s="39" t="s">
        <v>44</v>
      </c>
      <c r="F1392" s="39" t="s">
        <v>45</v>
      </c>
    </row>
    <row r="1393" spans="1:6" x14ac:dyDescent="0.25">
      <c r="A1393" s="40" t="s">
        <v>289</v>
      </c>
      <c r="B1393" s="41" t="str">
        <f t="shared" ref="B1393:B1401" ca="1" si="11">IFERROR(INDEX(UNSPSCDes,MATCH(INDIRECT(ADDRESS(ROW(),COLUMN()-1,4)),UNSPSCCode,0)),IF(INDIRECT(ADDRESS(ROW(),COLUMN()-1,4))="47131708","Dispensador de papel de seda del cuarto de baño",""))</f>
        <v>Dispensador de papel de seda del cuarto de baño</v>
      </c>
      <c r="C1393" s="42" t="str">
        <f>IFERROR(VLOOKUP("UD",'[1]Informacion '!P:Q,2,FALSE),"")</f>
        <v>Unidad</v>
      </c>
      <c r="D1393" s="40">
        <v>1</v>
      </c>
      <c r="E1393" s="43">
        <v>10000</v>
      </c>
      <c r="F1393" s="44">
        <f t="shared" ref="F1393:F1401" ca="1" si="12">INDIRECT(ADDRESS(ROW(),COLUMN()-2,4))*INDIRECT(ADDRESS(ROW(),COLUMN()-1,4))</f>
        <v>10000</v>
      </c>
    </row>
    <row r="1394" spans="1:6" x14ac:dyDescent="0.25">
      <c r="A1394" s="40">
        <v>47131816</v>
      </c>
      <c r="B1394" s="41" t="str">
        <f t="shared" ca="1" si="11"/>
        <v>Desodorantes</v>
      </c>
      <c r="C1394" s="42" t="str">
        <f>IFERROR(VLOOKUP("UD",'[1]Informacion '!P:Q,2,FALSE),"")</f>
        <v>Unidad</v>
      </c>
      <c r="D1394" s="40">
        <v>1</v>
      </c>
      <c r="E1394" s="43">
        <v>10000</v>
      </c>
      <c r="F1394" s="44">
        <f t="shared" ca="1" si="12"/>
        <v>10000</v>
      </c>
    </row>
    <row r="1395" spans="1:6" x14ac:dyDescent="0.25">
      <c r="A1395" s="40">
        <v>47131803</v>
      </c>
      <c r="B1395" s="41" t="str">
        <f t="shared" ca="1" si="11"/>
        <v>Desinfectantes para uso doméstico</v>
      </c>
      <c r="C1395" s="42" t="str">
        <f>IFERROR(VLOOKUP("UD",'[1]Informacion '!P:Q,2,FALSE),"")</f>
        <v>Unidad</v>
      </c>
      <c r="D1395" s="40">
        <v>1</v>
      </c>
      <c r="E1395" s="43">
        <v>60000</v>
      </c>
      <c r="F1395" s="44">
        <f t="shared" ca="1" si="12"/>
        <v>60000</v>
      </c>
    </row>
    <row r="1396" spans="1:6" x14ac:dyDescent="0.25">
      <c r="A1396" s="40">
        <v>47131807</v>
      </c>
      <c r="B1396" s="41" t="str">
        <f t="shared" ca="1" si="11"/>
        <v>Blanqueadores</v>
      </c>
      <c r="C1396" s="42" t="str">
        <f>IFERROR(VLOOKUP("UD",'[1]Informacion '!P:Q,2,FALSE),"")</f>
        <v>Unidad</v>
      </c>
      <c r="D1396" s="40">
        <v>1</v>
      </c>
      <c r="E1396" s="43">
        <v>60000</v>
      </c>
      <c r="F1396" s="44">
        <f t="shared" ca="1" si="12"/>
        <v>60000</v>
      </c>
    </row>
    <row r="1397" spans="1:6" x14ac:dyDescent="0.25">
      <c r="A1397" s="40">
        <v>47131502</v>
      </c>
      <c r="B1397" s="41" t="str">
        <f t="shared" ca="1" si="11"/>
        <v>Pañitos o toallas para limpiar</v>
      </c>
      <c r="C1397" s="42" t="str">
        <f>IFERROR(VLOOKUP("UD",'[1]Informacion '!P:Q,2,FALSE),"")</f>
        <v>Unidad</v>
      </c>
      <c r="D1397" s="40">
        <v>1</v>
      </c>
      <c r="E1397" s="43">
        <v>50000</v>
      </c>
      <c r="F1397" s="44">
        <f t="shared" ca="1" si="12"/>
        <v>50000</v>
      </c>
    </row>
    <row r="1398" spans="1:6" x14ac:dyDescent="0.25">
      <c r="A1398" s="40">
        <v>47131706</v>
      </c>
      <c r="B1398" s="41" t="str">
        <f t="shared" ca="1" si="11"/>
        <v>Dispensadores de ambientadores</v>
      </c>
      <c r="C1398" s="42" t="str">
        <f>IFERROR(VLOOKUP("UD",'[1]Informacion '!P:Q,2,FALSE),"")</f>
        <v>Unidad</v>
      </c>
      <c r="D1398" s="40">
        <v>1</v>
      </c>
      <c r="E1398" s="43">
        <v>40000</v>
      </c>
      <c r="F1398" s="44">
        <f t="shared" ca="1" si="12"/>
        <v>40000</v>
      </c>
    </row>
    <row r="1399" spans="1:6" x14ac:dyDescent="0.25">
      <c r="A1399" s="40">
        <v>47131618</v>
      </c>
      <c r="B1399" s="41" t="str">
        <f t="shared" ca="1" si="11"/>
        <v>Traperos húmedos</v>
      </c>
      <c r="C1399" s="42" t="str">
        <f>IFERROR(VLOOKUP("UD",'[1]Informacion '!P:Q,2,FALSE),"")</f>
        <v>Unidad</v>
      </c>
      <c r="D1399" s="40">
        <v>1</v>
      </c>
      <c r="E1399" s="43">
        <v>30000</v>
      </c>
      <c r="F1399" s="44">
        <f t="shared" ca="1" si="12"/>
        <v>30000</v>
      </c>
    </row>
    <row r="1400" spans="1:6" x14ac:dyDescent="0.25">
      <c r="A1400" s="40">
        <v>47131604</v>
      </c>
      <c r="B1400" s="41" t="str">
        <f t="shared" ca="1" si="11"/>
        <v>Escobas</v>
      </c>
      <c r="C1400" s="42" t="str">
        <f>IFERROR(VLOOKUP("UD",'[1]Informacion '!P:Q,2,FALSE),"")</f>
        <v>Unidad</v>
      </c>
      <c r="D1400" s="40">
        <v>1</v>
      </c>
      <c r="E1400" s="43">
        <v>20000</v>
      </c>
      <c r="F1400" s="44">
        <f t="shared" ca="1" si="12"/>
        <v>20000</v>
      </c>
    </row>
    <row r="1401" spans="1:6" x14ac:dyDescent="0.25">
      <c r="A1401" s="40">
        <v>47121702</v>
      </c>
      <c r="B1401" s="41" t="str">
        <f t="shared" ca="1" si="11"/>
        <v>Contenedores de desperdicios o revestimientos rígidos</v>
      </c>
      <c r="C1401" s="42" t="str">
        <f>IFERROR(VLOOKUP("UD",'[1]Informacion '!P:Q,2,FALSE),"")</f>
        <v>Unidad</v>
      </c>
      <c r="D1401" s="40">
        <v>1</v>
      </c>
      <c r="E1401" s="43">
        <v>20000</v>
      </c>
      <c r="F1401" s="44">
        <f t="shared" ca="1" si="12"/>
        <v>20000</v>
      </c>
    </row>
    <row r="1402" spans="1:6" x14ac:dyDescent="0.25">
      <c r="E1402" s="45" t="s">
        <v>47</v>
      </c>
      <c r="F1402" s="46">
        <f ca="1">SUM(Table120[MONTO TOTAL ESTIMADO])</f>
        <v>300000</v>
      </c>
    </row>
    <row r="1403" spans="1:6" ht="17.25" thickBot="1" x14ac:dyDescent="0.3"/>
    <row r="1404" spans="1:6" ht="23.25" thickBot="1" x14ac:dyDescent="0.3">
      <c r="A1404" s="30" t="s">
        <v>18</v>
      </c>
      <c r="B1404" s="30" t="s">
        <v>19</v>
      </c>
      <c r="C1404" s="30" t="s">
        <v>20</v>
      </c>
      <c r="D1404" s="30" t="s">
        <v>21</v>
      </c>
      <c r="E1404" s="30" t="s">
        <v>22</v>
      </c>
      <c r="F1404" s="30" t="s">
        <v>23</v>
      </c>
    </row>
    <row r="1405" spans="1:6" ht="17.25" thickBot="1" x14ac:dyDescent="0.3">
      <c r="A1405" s="31" t="s">
        <v>282</v>
      </c>
      <c r="B1405" s="31" t="s">
        <v>155</v>
      </c>
      <c r="C1405" s="31" t="s">
        <v>92</v>
      </c>
      <c r="D1405" s="31" t="s">
        <v>50</v>
      </c>
      <c r="E1405" s="31" t="s">
        <v>58</v>
      </c>
      <c r="F1405" s="31"/>
    </row>
    <row r="1406" spans="1:6" ht="17.25" thickBot="1" x14ac:dyDescent="0.3">
      <c r="A1406" s="32" t="s">
        <v>29</v>
      </c>
      <c r="B1406" s="33" t="s">
        <v>30</v>
      </c>
      <c r="C1406" s="34">
        <v>45200</v>
      </c>
      <c r="D1406" s="32" t="s">
        <v>31</v>
      </c>
      <c r="E1406" s="35" t="s">
        <v>32</v>
      </c>
      <c r="F1406" s="36" t="s">
        <v>33</v>
      </c>
    </row>
    <row r="1407" spans="1:6" ht="17.25" thickBot="1" x14ac:dyDescent="0.3">
      <c r="A1407" s="37"/>
      <c r="B1407" s="33" t="s">
        <v>34</v>
      </c>
      <c r="C1407" s="38">
        <f>IF(C1406="","",IF(AND(MONTH(C1406)&gt;=1,MONTH(C1406)&lt;=3),1,IF(AND(MONTH(C1406)&gt;=4,MONTH(C1406)&lt;=6),2,IF(AND(MONTH(C1406)&gt;=7,MONTH(C1406)&lt;=9),3,4))))</f>
        <v>4</v>
      </c>
      <c r="D1407" s="37"/>
      <c r="E1407" s="35" t="s">
        <v>35</v>
      </c>
      <c r="F1407" s="36" t="s">
        <v>36</v>
      </c>
    </row>
    <row r="1408" spans="1:6" ht="17.25" thickBot="1" x14ac:dyDescent="0.3">
      <c r="A1408" s="37"/>
      <c r="B1408" s="33" t="s">
        <v>37</v>
      </c>
      <c r="C1408" s="34">
        <v>45290</v>
      </c>
      <c r="D1408" s="37"/>
      <c r="E1408" s="35" t="s">
        <v>38</v>
      </c>
      <c r="F1408" s="36" t="s">
        <v>36</v>
      </c>
    </row>
    <row r="1409" spans="1:6" ht="17.25" thickBot="1" x14ac:dyDescent="0.3">
      <c r="A1409" s="37"/>
      <c r="B1409" s="33" t="s">
        <v>34</v>
      </c>
      <c r="C1409" s="38">
        <f>IF(C1408="","",IF(AND(MONTH(C1408)&gt;=1,MONTH(C1408)&lt;=3),1,IF(AND(MONTH(C1408)&gt;=4,MONTH(C1408)&lt;=6),2,IF(AND(MONTH(C1408)&gt;=7,MONTH(C1408)&lt;=9),3,4))))</f>
        <v>4</v>
      </c>
      <c r="D1409" s="37"/>
      <c r="E1409" s="35" t="s">
        <v>39</v>
      </c>
      <c r="F1409" s="36" t="s">
        <v>36</v>
      </c>
    </row>
    <row r="1410" spans="1:6" ht="17.25" thickBot="1" x14ac:dyDescent="0.3"/>
    <row r="1411" spans="1:6" ht="17.25" thickBot="1" x14ac:dyDescent="0.3">
      <c r="A1411" s="39" t="s">
        <v>40</v>
      </c>
      <c r="B1411" s="39" t="s">
        <v>41</v>
      </c>
      <c r="C1411" s="39" t="s">
        <v>42</v>
      </c>
      <c r="D1411" s="39" t="s">
        <v>43</v>
      </c>
      <c r="E1411" s="39" t="s">
        <v>44</v>
      </c>
      <c r="F1411" s="39" t="s">
        <v>45</v>
      </c>
    </row>
    <row r="1412" spans="1:6" x14ac:dyDescent="0.25">
      <c r="A1412" s="40" t="s">
        <v>284</v>
      </c>
      <c r="B1412" s="41" t="str">
        <f ca="1">IFERROR(INDEX(UNSPSCDes,MATCH(INDIRECT(ADDRESS(ROW(),COLUMN()-1,4)),UNSPSCCode,0)),IF(INDIRECT(ADDRESS(ROW(),COLUMN()-1,4))="47131805","Limpiadores de propósito general",""))</f>
        <v>Limpiadores de propósito general</v>
      </c>
      <c r="C1412" s="42" t="str">
        <f>IFERROR(VLOOKUP("UD",'[1]Informacion '!P:Q,2,FALSE),"")</f>
        <v>Unidad</v>
      </c>
      <c r="D1412" s="40">
        <v>1</v>
      </c>
      <c r="E1412" s="43">
        <v>60000</v>
      </c>
      <c r="F1412" s="44">
        <f t="shared" ref="F1412:F1421" ca="1" si="13">INDIRECT(ADDRESS(ROW(),COLUMN()-2,4))*INDIRECT(ADDRESS(ROW(),COLUMN()-1,4))</f>
        <v>60000</v>
      </c>
    </row>
    <row r="1413" spans="1:6" x14ac:dyDescent="0.25">
      <c r="A1413" s="40">
        <v>47131816</v>
      </c>
      <c r="B1413" s="41" t="str">
        <f ca="1">IFERROR(INDEX(UNSPSCDes,MATCH(INDIRECT(ADDRESS(ROW(),COLUMN()-1,4)),UNSPSCCode,0)),IF(INDIRECT(ADDRESS(ROW(),COLUMN()-1,4))="47131816","Desodorantes",""))</f>
        <v>Desodorantes</v>
      </c>
      <c r="C1413" s="42" t="str">
        <f>IFERROR(VLOOKUP("UD",'[1]Informacion '!P:Q,2,FALSE),"")</f>
        <v>Unidad</v>
      </c>
      <c r="D1413" s="40">
        <v>1</v>
      </c>
      <c r="E1413" s="43">
        <v>70000</v>
      </c>
      <c r="F1413" s="44">
        <f t="shared" ca="1" si="13"/>
        <v>70000</v>
      </c>
    </row>
    <row r="1414" spans="1:6" x14ac:dyDescent="0.25">
      <c r="A1414" s="40" t="s">
        <v>290</v>
      </c>
      <c r="B1414" s="41" t="str">
        <f ca="1">IFERROR(INDEX(UNSPSCDes,MATCH(INDIRECT(ADDRESS(ROW(),COLUMN()-1,4)),UNSPSCCode,0)),IF(INDIRECT(ADDRESS(ROW(),COLUMN()-1,4))="47131803","Desinfectantes para uso doméstico",""))</f>
        <v>Desinfectantes para uso doméstico</v>
      </c>
      <c r="C1414" s="42" t="str">
        <f>IFERROR(VLOOKUP("UD",'[1]Informacion '!P:Q,2,FALSE),"")</f>
        <v>Unidad</v>
      </c>
      <c r="D1414" s="40">
        <v>1</v>
      </c>
      <c r="E1414" s="43">
        <v>70000</v>
      </c>
      <c r="F1414" s="44">
        <f t="shared" ca="1" si="13"/>
        <v>70000</v>
      </c>
    </row>
    <row r="1415" spans="1:6" x14ac:dyDescent="0.25">
      <c r="A1415" s="40" t="s">
        <v>291</v>
      </c>
      <c r="B1415" s="41" t="str">
        <f ca="1">IFERROR(INDEX(UNSPSCDes,MATCH(INDIRECT(ADDRESS(ROW(),COLUMN()-1,4)),UNSPSCCode,0)),IF(INDIRECT(ADDRESS(ROW(),COLUMN()-1,4))="47131807","Blanqueadores",""))</f>
        <v>Blanqueadores</v>
      </c>
      <c r="C1415" s="42" t="str">
        <f>IFERROR(VLOOKUP("UD",'[1]Informacion '!P:Q,2,FALSE),"")</f>
        <v>Unidad</v>
      </c>
      <c r="D1415" s="40">
        <v>1</v>
      </c>
      <c r="E1415" s="43">
        <v>60000</v>
      </c>
      <c r="F1415" s="44">
        <f t="shared" ca="1" si="13"/>
        <v>60000</v>
      </c>
    </row>
    <row r="1416" spans="1:6" x14ac:dyDescent="0.25">
      <c r="A1416" s="40" t="s">
        <v>286</v>
      </c>
      <c r="B1416" s="41" t="str">
        <f ca="1">IFERROR(INDEX(UNSPSCDes,MATCH(INDIRECT(ADDRESS(ROW(),COLUMN()-1,4)),UNSPSCCode,0)),IF(INDIRECT(ADDRESS(ROW(),COLUMN()-1,4))="47131502","Pañitos o toallas para limpiar",""))</f>
        <v>Pañitos o toallas para limpiar</v>
      </c>
      <c r="C1416" s="42" t="str">
        <f>IFERROR(VLOOKUP("UD",'[1]Informacion '!P:Q,2,FALSE),"")</f>
        <v>Unidad</v>
      </c>
      <c r="D1416" s="40">
        <v>1</v>
      </c>
      <c r="E1416" s="43">
        <v>100000</v>
      </c>
      <c r="F1416" s="44">
        <f t="shared" ca="1" si="13"/>
        <v>100000</v>
      </c>
    </row>
    <row r="1417" spans="1:6" x14ac:dyDescent="0.25">
      <c r="A1417" s="40" t="s">
        <v>292</v>
      </c>
      <c r="B1417" s="41" t="str">
        <f ca="1">IFERROR(INDEX(UNSPSCDes,MATCH(INDIRECT(ADDRESS(ROW(),COLUMN()-1,4)),UNSPSCCode,0)),IF(INDIRECT(ADDRESS(ROW(),COLUMN()-1,4))="47131706","Dispensadores de ambientadores",""))</f>
        <v>Dispensadores de ambientadores</v>
      </c>
      <c r="C1417" s="42" t="str">
        <f>IFERROR(VLOOKUP("UD",'[1]Informacion '!P:Q,2,FALSE),"")</f>
        <v>Unidad</v>
      </c>
      <c r="D1417" s="40">
        <v>1</v>
      </c>
      <c r="E1417" s="43">
        <v>100000</v>
      </c>
      <c r="F1417" s="44">
        <f t="shared" ca="1" si="13"/>
        <v>100000</v>
      </c>
    </row>
    <row r="1418" spans="1:6" x14ac:dyDescent="0.25">
      <c r="A1418" s="40" t="s">
        <v>293</v>
      </c>
      <c r="B1418" s="41" t="str">
        <f ca="1">IFERROR(INDEX(UNSPSCDes,MATCH(INDIRECT(ADDRESS(ROW(),COLUMN()-1,4)),UNSPSCCode,0)),IF(INDIRECT(ADDRESS(ROW(),COLUMN()-1,4))="47131618","Traperos húmedos",""))</f>
        <v>Traperos húmedos</v>
      </c>
      <c r="C1418" s="42" t="str">
        <f>IFERROR(VLOOKUP("UD",'[1]Informacion '!P:Q,2,FALSE),"")</f>
        <v>Unidad</v>
      </c>
      <c r="D1418" s="40">
        <v>1</v>
      </c>
      <c r="E1418" s="43">
        <v>60000</v>
      </c>
      <c r="F1418" s="44">
        <f t="shared" ca="1" si="13"/>
        <v>60000</v>
      </c>
    </row>
    <row r="1419" spans="1:6" x14ac:dyDescent="0.25">
      <c r="A1419" s="40" t="s">
        <v>294</v>
      </c>
      <c r="B1419" s="41" t="str">
        <f ca="1">IFERROR(INDEX(UNSPSCDes,MATCH(INDIRECT(ADDRESS(ROW(),COLUMN()-1,4)),UNSPSCCode,0)),IF(INDIRECT(ADDRESS(ROW(),COLUMN()-1,4))="47131604","Escobas",""))</f>
        <v>Escobas</v>
      </c>
      <c r="C1419" s="42" t="str">
        <f>IFERROR(VLOOKUP("UD",'[1]Informacion '!P:Q,2,FALSE),"")</f>
        <v>Unidad</v>
      </c>
      <c r="D1419" s="40">
        <v>1</v>
      </c>
      <c r="E1419" s="43">
        <v>90000</v>
      </c>
      <c r="F1419" s="44">
        <f t="shared" ca="1" si="13"/>
        <v>90000</v>
      </c>
    </row>
    <row r="1420" spans="1:6" x14ac:dyDescent="0.25">
      <c r="A1420" s="40" t="s">
        <v>286</v>
      </c>
      <c r="B1420" s="41" t="str">
        <f ca="1">IFERROR(INDEX(UNSPSCDes,MATCH(INDIRECT(ADDRESS(ROW(),COLUMN()-1,4)),UNSPSCCode,0)),IF(INDIRECT(ADDRESS(ROW(),COLUMN()-1,4))="47131502","Pañitos o toallas para limpiar",""))</f>
        <v>Pañitos o toallas para limpiar</v>
      </c>
      <c r="C1420" s="42" t="str">
        <f>IFERROR(VLOOKUP("UD",'[1]Informacion '!P:Q,2,FALSE),"")</f>
        <v>Unidad</v>
      </c>
      <c r="D1420" s="40">
        <v>1</v>
      </c>
      <c r="E1420" s="43">
        <v>100000</v>
      </c>
      <c r="F1420" s="44">
        <f t="shared" ca="1" si="13"/>
        <v>100000</v>
      </c>
    </row>
    <row r="1421" spans="1:6" x14ac:dyDescent="0.25">
      <c r="A1421" s="40">
        <v>47121702</v>
      </c>
      <c r="B1421" s="41" t="str">
        <f ca="1">IFERROR(INDEX(UNSPSCDes,MATCH(INDIRECT(ADDRESS(ROW(),COLUMN()-1,4)),UNSPSCCode,0)),IF(INDIRECT(ADDRESS(ROW(),COLUMN()-1,4))="47131502","Pañitos o toallas para limpiar",""))</f>
        <v>Contenedores de desperdicios o revestimientos rígidos</v>
      </c>
      <c r="C1421" s="42" t="str">
        <f>IFERROR(VLOOKUP("UD",'[1]Informacion '!P:Q,2,FALSE),"")</f>
        <v>Unidad</v>
      </c>
      <c r="D1421" s="40">
        <v>1</v>
      </c>
      <c r="E1421" s="43">
        <v>90000</v>
      </c>
      <c r="F1421" s="44">
        <f t="shared" ca="1" si="13"/>
        <v>90000</v>
      </c>
    </row>
    <row r="1422" spans="1:6" x14ac:dyDescent="0.25">
      <c r="E1422" s="45" t="s">
        <v>47</v>
      </c>
      <c r="F1422" s="46">
        <f ca="1">SUM(Table121[MONTO TOTAL ESTIMADO])</f>
        <v>800000</v>
      </c>
    </row>
    <row r="1423" spans="1:6" ht="17.25" thickBot="1" x14ac:dyDescent="0.3"/>
    <row r="1424" spans="1:6" ht="23.25" thickBot="1" x14ac:dyDescent="0.3">
      <c r="A1424" s="30" t="s">
        <v>18</v>
      </c>
      <c r="B1424" s="30" t="s">
        <v>19</v>
      </c>
      <c r="C1424" s="30" t="s">
        <v>20</v>
      </c>
      <c r="D1424" s="30" t="s">
        <v>21</v>
      </c>
      <c r="E1424" s="30" t="s">
        <v>22</v>
      </c>
      <c r="F1424" s="30" t="s">
        <v>23</v>
      </c>
    </row>
    <row r="1425" spans="1:6" ht="17.25" thickBot="1" x14ac:dyDescent="0.3">
      <c r="A1425" s="31" t="s">
        <v>295</v>
      </c>
      <c r="B1425" s="31" t="s">
        <v>296</v>
      </c>
      <c r="C1425" s="31" t="s">
        <v>92</v>
      </c>
      <c r="D1425" s="31" t="s">
        <v>50</v>
      </c>
      <c r="E1425" s="31" t="s">
        <v>58</v>
      </c>
      <c r="F1425" s="31"/>
    </row>
    <row r="1426" spans="1:6" ht="17.25" thickBot="1" x14ac:dyDescent="0.3">
      <c r="A1426" s="32" t="s">
        <v>29</v>
      </c>
      <c r="B1426" s="33" t="s">
        <v>30</v>
      </c>
      <c r="C1426" s="34">
        <v>44958</v>
      </c>
      <c r="D1426" s="32" t="s">
        <v>31</v>
      </c>
      <c r="E1426" s="35" t="s">
        <v>32</v>
      </c>
      <c r="F1426" s="36" t="s">
        <v>33</v>
      </c>
    </row>
    <row r="1427" spans="1:6" ht="17.25" thickBot="1" x14ac:dyDescent="0.3">
      <c r="A1427" s="37"/>
      <c r="B1427" s="33" t="s">
        <v>34</v>
      </c>
      <c r="C1427" s="38">
        <f>IF(C1426="","",IF(AND(MONTH(C1426)&gt;=1,MONTH(C1426)&lt;=3),1,IF(AND(MONTH(C1426)&gt;=4,MONTH(C1426)&lt;=6),2,IF(AND(MONTH(C1426)&gt;=7,MONTH(C1426)&lt;=9),3,4))))</f>
        <v>1</v>
      </c>
      <c r="D1427" s="37"/>
      <c r="E1427" s="35" t="s">
        <v>35</v>
      </c>
      <c r="F1427" s="36" t="s">
        <v>36</v>
      </c>
    </row>
    <row r="1428" spans="1:6" ht="17.25" thickBot="1" x14ac:dyDescent="0.3">
      <c r="A1428" s="37"/>
      <c r="B1428" s="33" t="s">
        <v>37</v>
      </c>
      <c r="C1428" s="34">
        <v>45015</v>
      </c>
      <c r="D1428" s="37"/>
      <c r="E1428" s="35" t="s">
        <v>38</v>
      </c>
      <c r="F1428" s="36" t="s">
        <v>36</v>
      </c>
    </row>
    <row r="1429" spans="1:6" ht="17.25" thickBot="1" x14ac:dyDescent="0.3">
      <c r="A1429" s="37"/>
      <c r="B1429" s="33" t="s">
        <v>34</v>
      </c>
      <c r="C1429" s="38">
        <f>IF(C1428="","",IF(AND(MONTH(C1428)&gt;=1,MONTH(C1428)&lt;=3),1,IF(AND(MONTH(C1428)&gt;=4,MONTH(C1428)&lt;=6),2,IF(AND(MONTH(C1428)&gt;=7,MONTH(C1428)&lt;=9),3,4))))</f>
        <v>1</v>
      </c>
      <c r="D1429" s="37"/>
      <c r="E1429" s="35" t="s">
        <v>39</v>
      </c>
      <c r="F1429" s="36" t="s">
        <v>36</v>
      </c>
    </row>
    <row r="1430" spans="1:6" ht="17.25" thickBot="1" x14ac:dyDescent="0.3"/>
    <row r="1431" spans="1:6" ht="17.25" thickBot="1" x14ac:dyDescent="0.3">
      <c r="A1431" s="39" t="s">
        <v>40</v>
      </c>
      <c r="B1431" s="39" t="s">
        <v>41</v>
      </c>
      <c r="C1431" s="39" t="s">
        <v>42</v>
      </c>
      <c r="D1431" s="39" t="s">
        <v>43</v>
      </c>
      <c r="E1431" s="39" t="s">
        <v>44</v>
      </c>
      <c r="F1431" s="39" t="s">
        <v>45</v>
      </c>
    </row>
    <row r="1432" spans="1:6" x14ac:dyDescent="0.25">
      <c r="A1432" s="40" t="s">
        <v>297</v>
      </c>
      <c r="B1432" s="41" t="str">
        <f ca="1">IFERROR(INDEX(UNSPSCDes,MATCH(INDIRECT(ADDRESS(ROW(),COLUMN()-1,4)),UNSPSCCode,0)),IF(INDIRECT(ADDRESS(ROW(),COLUMN()-1,4))="44103105","Cartuchos de tinta",""))</f>
        <v>Cartuchos de tinta</v>
      </c>
      <c r="C1432" s="42" t="str">
        <f>IFERROR(VLOOKUP("UD",'[1]Informacion '!P:Q,2,FALSE),"")</f>
        <v>Unidad</v>
      </c>
      <c r="D1432" s="40">
        <v>1</v>
      </c>
      <c r="E1432" s="43">
        <v>482600</v>
      </c>
      <c r="F1432" s="44">
        <f t="shared" ref="F1432:F1442" ca="1" si="14">INDIRECT(ADDRESS(ROW(),COLUMN()-2,4))*INDIRECT(ADDRESS(ROW(),COLUMN()-1,4))</f>
        <v>482600</v>
      </c>
    </row>
    <row r="1433" spans="1:6" x14ac:dyDescent="0.25">
      <c r="A1433" s="40" t="s">
        <v>298</v>
      </c>
      <c r="B1433" s="41" t="str">
        <f ca="1">IFERROR(INDEX(UNSPSCDes,MATCH(INDIRECT(ADDRESS(ROW(),COLUMN()-1,4)),UNSPSCCode,0)),IF(INDIRECT(ADDRESS(ROW(),COLUMN()-1,4))="43201803","Unidades de disco duro",""))</f>
        <v>Unidades de disco duro</v>
      </c>
      <c r="C1433" s="42" t="str">
        <f>IFERROR(VLOOKUP("UD",'[1]Informacion '!P:Q,2,FALSE),"")</f>
        <v>Unidad</v>
      </c>
      <c r="D1433" s="40">
        <v>40</v>
      </c>
      <c r="E1433" s="43">
        <v>20000</v>
      </c>
      <c r="F1433" s="44">
        <f t="shared" ca="1" si="14"/>
        <v>800000</v>
      </c>
    </row>
    <row r="1434" spans="1:6" x14ac:dyDescent="0.25">
      <c r="A1434" s="40" t="s">
        <v>299</v>
      </c>
      <c r="B1434" s="41" t="str">
        <f ca="1">IFERROR(INDEX(UNSPSCDes,MATCH(INDIRECT(ADDRESS(ROW(),COLUMN()-1,4)),UNSPSCCode,0)),IF(INDIRECT(ADDRESS(ROW(),COLUMN()-1,4))="43201402","Tarjetas de módulos de memoria",""))</f>
        <v>Tarjetas de módulos de memoria</v>
      </c>
      <c r="C1434" s="42" t="str">
        <f>IFERROR(VLOOKUP("UD",'[1]Informacion '!P:Q,2,FALSE),"")</f>
        <v>Unidad</v>
      </c>
      <c r="D1434" s="40">
        <v>200</v>
      </c>
      <c r="E1434" s="43">
        <v>300</v>
      </c>
      <c r="F1434" s="44">
        <f t="shared" ca="1" si="14"/>
        <v>60000</v>
      </c>
    </row>
    <row r="1435" spans="1:6" x14ac:dyDescent="0.25">
      <c r="A1435" s="40" t="s">
        <v>300</v>
      </c>
      <c r="B1435" s="41" t="str">
        <f ca="1">IFERROR(INDEX(UNSPSCDes,MATCH(INDIRECT(ADDRESS(ROW(),COLUMN()-1,4)),UNSPSCCode,0)),IF(INDIRECT(ADDRESS(ROW(),COLUMN()-1,4))="44103202","Máquinas estampadoras de tiempo",""))</f>
        <v>Máquinas estampadoras de tiempo</v>
      </c>
      <c r="C1435" s="42" t="str">
        <f>IFERROR(VLOOKUP("UD",'[1]Informacion '!P:Q,2,FALSE),"")</f>
        <v>Unidad</v>
      </c>
      <c r="D1435" s="40">
        <v>1</v>
      </c>
      <c r="E1435" s="43">
        <v>57000</v>
      </c>
      <c r="F1435" s="44">
        <f t="shared" ca="1" si="14"/>
        <v>57000</v>
      </c>
    </row>
    <row r="1436" spans="1:6" x14ac:dyDescent="0.25">
      <c r="A1436" s="40" t="s">
        <v>301</v>
      </c>
      <c r="B1436" s="41" t="str">
        <f ca="1">IFERROR(INDEX(UNSPSCDes,MATCH(INDIRECT(ADDRESS(ROW(),COLUMN()-1,4)),UNSPSCCode,0)),IF(INDIRECT(ADDRESS(ROW(),COLUMN()-1,4))="44103104","Rollos de transferencia",""))</f>
        <v>Rollos de transferencia</v>
      </c>
      <c r="C1436" s="42" t="str">
        <f>IFERROR(VLOOKUP("UD",'[1]Informacion '!P:Q,2,FALSE),"")</f>
        <v>Unidad</v>
      </c>
      <c r="D1436" s="40">
        <v>1</v>
      </c>
      <c r="E1436" s="43">
        <v>10000</v>
      </c>
      <c r="F1436" s="44">
        <f t="shared" ca="1" si="14"/>
        <v>10000</v>
      </c>
    </row>
    <row r="1437" spans="1:6" x14ac:dyDescent="0.25">
      <c r="A1437" s="40" t="s">
        <v>119</v>
      </c>
      <c r="B1437" s="41" t="str">
        <f ca="1">IFERROR(INDEX(UNSPSCDes,MATCH(INDIRECT(ADDRESS(ROW(),COLUMN()-1,4)),UNSPSCCode,0)),IF(INDIRECT(ADDRESS(ROW(),COLUMN()-1,4))="53121603","Morrales",""))</f>
        <v>Morrales</v>
      </c>
      <c r="C1437" s="42" t="str">
        <f>IFERROR(VLOOKUP("UD",'[1]Informacion '!P:Q,2,FALSE),"")</f>
        <v>Unidad</v>
      </c>
      <c r="D1437" s="40">
        <v>3</v>
      </c>
      <c r="E1437" s="43">
        <v>10000</v>
      </c>
      <c r="F1437" s="44">
        <f t="shared" ca="1" si="14"/>
        <v>30000</v>
      </c>
    </row>
    <row r="1438" spans="1:6" x14ac:dyDescent="0.25">
      <c r="A1438" s="40" t="s">
        <v>302</v>
      </c>
      <c r="B1438" s="41" t="str">
        <f ca="1">IFERROR(INDEX(UNSPSCDes,MATCH(INDIRECT(ADDRESS(ROW(),COLUMN()-1,4)),UNSPSCCode,0)),IF(INDIRECT(ADDRESS(ROW(),COLUMN()-1,4))="44121706","Lápices de madera",""))</f>
        <v>Lápices de madera</v>
      </c>
      <c r="C1438" s="42" t="str">
        <f>IFERROR(VLOOKUP("UD",'[1]Informacion '!P:Q,2,FALSE),"")</f>
        <v>Unidad</v>
      </c>
      <c r="D1438" s="40">
        <v>1</v>
      </c>
      <c r="E1438" s="43">
        <v>100</v>
      </c>
      <c r="F1438" s="44">
        <f t="shared" ca="1" si="14"/>
        <v>100</v>
      </c>
    </row>
    <row r="1439" spans="1:6" x14ac:dyDescent="0.25">
      <c r="A1439" s="40" t="s">
        <v>303</v>
      </c>
      <c r="B1439" s="41" t="str">
        <f ca="1">IFERROR(INDEX(UNSPSCDes,MATCH(INDIRECT(ADDRESS(ROW(),COLUMN()-1,4)),UNSPSCCode,0)),IF(INDIRECT(ADDRESS(ROW(),COLUMN()-1,4))="44103504","Alambres o espirales de encuadernación",""))</f>
        <v>Alambres o espirales de encuadernación</v>
      </c>
      <c r="C1439" s="42" t="str">
        <f>IFERROR(VLOOKUP("UD",'[1]Informacion '!P:Q,2,FALSE),"")</f>
        <v>Unidad</v>
      </c>
      <c r="D1439" s="40">
        <v>1</v>
      </c>
      <c r="E1439" s="43">
        <v>100</v>
      </c>
      <c r="F1439" s="44">
        <f t="shared" ca="1" si="14"/>
        <v>100</v>
      </c>
    </row>
    <row r="1440" spans="1:6" x14ac:dyDescent="0.25">
      <c r="A1440" s="40" t="s">
        <v>304</v>
      </c>
      <c r="B1440" s="41" t="str">
        <f ca="1">IFERROR(INDEX(UNSPSCDes,MATCH(INDIRECT(ADDRESS(ROW(),COLUMN()-1,4)),UNSPSCCode,0)),IF(INDIRECT(ADDRESS(ROW(),COLUMN()-1,4))="44122002","Protectores de hojas",""))</f>
        <v>Protectores de hojas</v>
      </c>
      <c r="C1440" s="42" t="str">
        <f>IFERROR(VLOOKUP("UD",'[1]Informacion '!P:Q,2,FALSE),"")</f>
        <v>Unidad</v>
      </c>
      <c r="D1440" s="40">
        <v>1</v>
      </c>
      <c r="E1440" s="43">
        <v>100</v>
      </c>
      <c r="F1440" s="44">
        <f t="shared" ca="1" si="14"/>
        <v>100</v>
      </c>
    </row>
    <row r="1441" spans="1:6" x14ac:dyDescent="0.25">
      <c r="A1441" s="40">
        <v>43212001</v>
      </c>
      <c r="B1441" s="41" t="str">
        <f ca="1">IFERROR(INDEX(UNSPSCDes,MATCH(INDIRECT(ADDRESS(ROW(),COLUMN()-1,4)),UNSPSCCode,0)),IF(INDIRECT(ADDRESS(ROW(),COLUMN()-1,4))="44122002","Protectores de hojas",""))</f>
        <v>Protectores de brillo para pantallas de computador</v>
      </c>
      <c r="C1441" s="42" t="str">
        <f>IFERROR(VLOOKUP("UD",'[1]Informacion '!P:Q,2,FALSE),"")</f>
        <v>Unidad</v>
      </c>
      <c r="D1441" s="40">
        <v>10</v>
      </c>
      <c r="E1441" s="43">
        <v>1000</v>
      </c>
      <c r="F1441" s="44">
        <f t="shared" ca="1" si="14"/>
        <v>10000</v>
      </c>
    </row>
    <row r="1442" spans="1:6" x14ac:dyDescent="0.25">
      <c r="A1442" s="40">
        <v>43201553</v>
      </c>
      <c r="B1442" s="41" t="str">
        <f ca="1">IFERROR(INDEX(UNSPSCDes,MATCH(INDIRECT(ADDRESS(ROW(),COLUMN()-1,4)),UNSPSCCode,0)),IF(INDIRECT(ADDRESS(ROW(),COLUMN()-1,4))="44122002","Protectores de hojas",""))</f>
        <v>Convertidores de transceptores y medios</v>
      </c>
      <c r="C1442" s="42" t="str">
        <f>IFERROR(VLOOKUP("UD",'[1]Informacion '!P:Q,2,FALSE),"")</f>
        <v>Unidad</v>
      </c>
      <c r="D1442" s="40">
        <v>1</v>
      </c>
      <c r="E1442" s="43">
        <v>100</v>
      </c>
      <c r="F1442" s="44">
        <f t="shared" ca="1" si="14"/>
        <v>100</v>
      </c>
    </row>
    <row r="1443" spans="1:6" x14ac:dyDescent="0.25">
      <c r="E1443" s="45" t="s">
        <v>47</v>
      </c>
      <c r="F1443" s="46">
        <f ca="1">SUM(Table122[MONTO TOTAL ESTIMADO])</f>
        <v>1450000</v>
      </c>
    </row>
    <row r="1444" spans="1:6" ht="17.25" thickBot="1" x14ac:dyDescent="0.3"/>
    <row r="1445" spans="1:6" ht="23.25" thickBot="1" x14ac:dyDescent="0.3">
      <c r="A1445" s="30" t="s">
        <v>18</v>
      </c>
      <c r="B1445" s="30" t="s">
        <v>19</v>
      </c>
      <c r="C1445" s="30" t="s">
        <v>20</v>
      </c>
      <c r="D1445" s="30" t="s">
        <v>21</v>
      </c>
      <c r="E1445" s="30" t="s">
        <v>22</v>
      </c>
      <c r="F1445" s="30" t="s">
        <v>23</v>
      </c>
    </row>
    <row r="1446" spans="1:6" ht="17.25" thickBot="1" x14ac:dyDescent="0.3">
      <c r="A1446" s="31" t="s">
        <v>295</v>
      </c>
      <c r="B1446" s="31" t="s">
        <v>296</v>
      </c>
      <c r="C1446" s="31" t="s">
        <v>92</v>
      </c>
      <c r="D1446" s="31" t="s">
        <v>50</v>
      </c>
      <c r="E1446" s="31" t="s">
        <v>58</v>
      </c>
      <c r="F1446" s="31" t="s">
        <v>17</v>
      </c>
    </row>
    <row r="1447" spans="1:6" ht="17.25" thickBot="1" x14ac:dyDescent="0.3">
      <c r="A1447" s="32" t="s">
        <v>29</v>
      </c>
      <c r="B1447" s="33" t="s">
        <v>30</v>
      </c>
      <c r="C1447" s="34">
        <v>45017</v>
      </c>
      <c r="D1447" s="32" t="s">
        <v>31</v>
      </c>
      <c r="E1447" s="35" t="s">
        <v>32</v>
      </c>
      <c r="F1447" s="36" t="s">
        <v>33</v>
      </c>
    </row>
    <row r="1448" spans="1:6" ht="17.25" thickBot="1" x14ac:dyDescent="0.3">
      <c r="A1448" s="37"/>
      <c r="B1448" s="33" t="s">
        <v>34</v>
      </c>
      <c r="C1448" s="38">
        <f>IF(C1447="","",IF(AND(MONTH(C1447)&gt;=1,MONTH(C1447)&lt;=3),1,IF(AND(MONTH(C1447)&gt;=4,MONTH(C1447)&lt;=6),2,IF(AND(MONTH(C1447)&gt;=7,MONTH(C1447)&lt;=9),3,4))))</f>
        <v>2</v>
      </c>
      <c r="D1448" s="37"/>
      <c r="E1448" s="35" t="s">
        <v>35</v>
      </c>
      <c r="F1448" s="36" t="s">
        <v>36</v>
      </c>
    </row>
    <row r="1449" spans="1:6" ht="17.25" thickBot="1" x14ac:dyDescent="0.3">
      <c r="A1449" s="37"/>
      <c r="B1449" s="33" t="s">
        <v>37</v>
      </c>
      <c r="C1449" s="34">
        <v>45107</v>
      </c>
      <c r="D1449" s="37"/>
      <c r="E1449" s="35" t="s">
        <v>38</v>
      </c>
      <c r="F1449" s="36" t="s">
        <v>36</v>
      </c>
    </row>
    <row r="1450" spans="1:6" ht="17.25" thickBot="1" x14ac:dyDescent="0.3">
      <c r="A1450" s="37"/>
      <c r="B1450" s="33" t="s">
        <v>34</v>
      </c>
      <c r="C1450" s="38">
        <f>IF(C1449="","",IF(AND(MONTH(C1449)&gt;=1,MONTH(C1449)&lt;=3),1,IF(AND(MONTH(C1449)&gt;=4,MONTH(C1449)&lt;=6),2,IF(AND(MONTH(C1449)&gt;=7,MONTH(C1449)&lt;=9),3,4))))</f>
        <v>2</v>
      </c>
      <c r="D1450" s="37"/>
      <c r="E1450" s="35" t="s">
        <v>39</v>
      </c>
      <c r="F1450" s="36" t="s">
        <v>36</v>
      </c>
    </row>
    <row r="1451" spans="1:6" ht="17.25" thickBot="1" x14ac:dyDescent="0.3"/>
    <row r="1452" spans="1:6" ht="17.25" thickBot="1" x14ac:dyDescent="0.3">
      <c r="A1452" s="39" t="s">
        <v>40</v>
      </c>
      <c r="B1452" s="39" t="s">
        <v>41</v>
      </c>
      <c r="C1452" s="39" t="s">
        <v>42</v>
      </c>
      <c r="D1452" s="39" t="s">
        <v>43</v>
      </c>
      <c r="E1452" s="39" t="s">
        <v>44</v>
      </c>
      <c r="F1452" s="39" t="s">
        <v>45</v>
      </c>
    </row>
    <row r="1453" spans="1:6" x14ac:dyDescent="0.25">
      <c r="A1453" s="40" t="s">
        <v>297</v>
      </c>
      <c r="B1453" s="41" t="str">
        <f ca="1">IFERROR(INDEX(UNSPSCDes,MATCH(INDIRECT(ADDRESS(ROW(),COLUMN()-1,4)),UNSPSCCode,0)),IF(INDIRECT(ADDRESS(ROW(),COLUMN()-1,4))="44103105","Cartuchos de tinta",""))</f>
        <v>Cartuchos de tinta</v>
      </c>
      <c r="C1453" s="42" t="s">
        <v>66</v>
      </c>
      <c r="D1453" s="40">
        <v>1</v>
      </c>
      <c r="E1453" s="43">
        <v>1450000</v>
      </c>
      <c r="F1453" s="44">
        <f ca="1">INDIRECT(ADDRESS(ROW(),COLUMN()-2,4))*INDIRECT(ADDRESS(ROW(),COLUMN()-1,4))</f>
        <v>1450000</v>
      </c>
    </row>
    <row r="1454" spans="1:6" x14ac:dyDescent="0.25">
      <c r="E1454" s="45" t="s">
        <v>47</v>
      </c>
      <c r="F1454" s="46">
        <f ca="1">SUM(Table123[MONTO TOTAL ESTIMADO])</f>
        <v>1450000</v>
      </c>
    </row>
    <row r="1455" spans="1:6" ht="17.25" thickBot="1" x14ac:dyDescent="0.3"/>
    <row r="1456" spans="1:6" ht="23.25" thickBot="1" x14ac:dyDescent="0.3">
      <c r="A1456" s="30" t="s">
        <v>18</v>
      </c>
      <c r="B1456" s="30" t="s">
        <v>19</v>
      </c>
      <c r="C1456" s="30" t="s">
        <v>20</v>
      </c>
      <c r="D1456" s="30" t="s">
        <v>21</v>
      </c>
      <c r="E1456" s="30" t="s">
        <v>22</v>
      </c>
      <c r="F1456" s="30" t="s">
        <v>23</v>
      </c>
    </row>
    <row r="1457" spans="1:6" ht="17.25" thickBot="1" x14ac:dyDescent="0.3">
      <c r="A1457" s="31" t="s">
        <v>295</v>
      </c>
      <c r="B1457" s="31" t="s">
        <v>296</v>
      </c>
      <c r="C1457" s="31" t="s">
        <v>92</v>
      </c>
      <c r="D1457" s="31" t="s">
        <v>50</v>
      </c>
      <c r="E1457" s="31" t="s">
        <v>58</v>
      </c>
      <c r="F1457" s="31"/>
    </row>
    <row r="1458" spans="1:6" ht="17.25" thickBot="1" x14ac:dyDescent="0.3">
      <c r="A1458" s="32" t="s">
        <v>29</v>
      </c>
      <c r="B1458" s="33" t="s">
        <v>30</v>
      </c>
      <c r="C1458" s="34">
        <v>45108</v>
      </c>
      <c r="D1458" s="32" t="s">
        <v>31</v>
      </c>
      <c r="E1458" s="35" t="s">
        <v>32</v>
      </c>
      <c r="F1458" s="36" t="s">
        <v>33</v>
      </c>
    </row>
    <row r="1459" spans="1:6" ht="17.25" thickBot="1" x14ac:dyDescent="0.3">
      <c r="A1459" s="37"/>
      <c r="B1459" s="33" t="s">
        <v>34</v>
      </c>
      <c r="C1459" s="38">
        <f>IF(C1458="","",IF(AND(MONTH(C1458)&gt;=1,MONTH(C1458)&lt;=3),1,IF(AND(MONTH(C1458)&gt;=4,MONTH(C1458)&lt;=6),2,IF(AND(MONTH(C1458)&gt;=7,MONTH(C1458)&lt;=9),3,4))))</f>
        <v>3</v>
      </c>
      <c r="D1459" s="37"/>
      <c r="E1459" s="35" t="s">
        <v>35</v>
      </c>
      <c r="F1459" s="36" t="s">
        <v>36</v>
      </c>
    </row>
    <row r="1460" spans="1:6" ht="17.25" thickBot="1" x14ac:dyDescent="0.3">
      <c r="A1460" s="37"/>
      <c r="B1460" s="33" t="s">
        <v>37</v>
      </c>
      <c r="C1460" s="34">
        <v>45198</v>
      </c>
      <c r="D1460" s="37"/>
      <c r="E1460" s="35" t="s">
        <v>38</v>
      </c>
      <c r="F1460" s="36" t="s">
        <v>36</v>
      </c>
    </row>
    <row r="1461" spans="1:6" ht="17.25" thickBot="1" x14ac:dyDescent="0.3">
      <c r="A1461" s="37"/>
      <c r="B1461" s="33" t="s">
        <v>34</v>
      </c>
      <c r="C1461" s="38">
        <f>IF(C1460="","",IF(AND(MONTH(C1460)&gt;=1,MONTH(C1460)&lt;=3),1,IF(AND(MONTH(C1460)&gt;=4,MONTH(C1460)&lt;=6),2,IF(AND(MONTH(C1460)&gt;=7,MONTH(C1460)&lt;=9),3,4))))</f>
        <v>3</v>
      </c>
      <c r="D1461" s="37"/>
      <c r="E1461" s="35" t="s">
        <v>39</v>
      </c>
      <c r="F1461" s="36" t="s">
        <v>36</v>
      </c>
    </row>
    <row r="1462" spans="1:6" ht="17.25" thickBot="1" x14ac:dyDescent="0.3"/>
    <row r="1463" spans="1:6" ht="17.25" thickBot="1" x14ac:dyDescent="0.3">
      <c r="A1463" s="39" t="s">
        <v>40</v>
      </c>
      <c r="B1463" s="39" t="s">
        <v>41</v>
      </c>
      <c r="C1463" s="39" t="s">
        <v>42</v>
      </c>
      <c r="D1463" s="39" t="s">
        <v>43</v>
      </c>
      <c r="E1463" s="39" t="s">
        <v>44</v>
      </c>
      <c r="F1463" s="39" t="s">
        <v>45</v>
      </c>
    </row>
    <row r="1464" spans="1:6" x14ac:dyDescent="0.25">
      <c r="A1464" s="40" t="s">
        <v>297</v>
      </c>
      <c r="B1464" s="41" t="str">
        <f ca="1">IFERROR(INDEX(UNSPSCDes,MATCH(INDIRECT(ADDRESS(ROW(),COLUMN()-1,4)),UNSPSCCode,0)),IF(INDIRECT(ADDRESS(ROW(),COLUMN()-1,4))="44103105","Cartuchos de tinta",""))</f>
        <v>Cartuchos de tinta</v>
      </c>
      <c r="C1464" s="42" t="str">
        <f>IFERROR(VLOOKUP("UD",'[1]Informacion '!P:Q,2,FALSE),"")</f>
        <v>Unidad</v>
      </c>
      <c r="D1464" s="40">
        <v>1</v>
      </c>
      <c r="E1464" s="43">
        <v>1000000</v>
      </c>
      <c r="F1464" s="44">
        <f t="shared" ref="F1464:F1485" ca="1" si="15">INDIRECT(ADDRESS(ROW(),COLUMN()-2,4))*INDIRECT(ADDRESS(ROW(),COLUMN()-1,4))</f>
        <v>1000000</v>
      </c>
    </row>
    <row r="1465" spans="1:6" x14ac:dyDescent="0.25">
      <c r="A1465" s="40" t="s">
        <v>305</v>
      </c>
      <c r="B1465" s="41" t="str">
        <f ca="1">IFERROR(INDEX(UNSPSCDes,MATCH(INDIRECT(ADDRESS(ROW(),COLUMN()-1,4)),UNSPSCCode,0)),IF(INDIRECT(ADDRESS(ROW(),COLUMN()-1,4))="44121505","Sobres especiales",""))</f>
        <v>Sobres especiales</v>
      </c>
      <c r="C1465" s="42" t="str">
        <f>IFERROR(VLOOKUP("UD",'[1]Informacion '!P:Q,2,FALSE),"")</f>
        <v>Unidad</v>
      </c>
      <c r="D1465" s="40">
        <v>1</v>
      </c>
      <c r="E1465" s="43">
        <v>12000</v>
      </c>
      <c r="F1465" s="44">
        <f t="shared" ca="1" si="15"/>
        <v>12000</v>
      </c>
    </row>
    <row r="1466" spans="1:6" x14ac:dyDescent="0.25">
      <c r="A1466" s="40" t="s">
        <v>306</v>
      </c>
      <c r="B1466" s="41" t="str">
        <f ca="1">IFERROR(INDEX(UNSPSCDes,MATCH(INDIRECT(ADDRESS(ROW(),COLUMN()-1,4)),UNSPSCCode,0)),IF(INDIRECT(ADDRESS(ROW(),COLUMN()-1,4))="44121613","Removedores de grapas (saca ganchos)",""))</f>
        <v>Removedores de grapas (saca ganchos)</v>
      </c>
      <c r="C1466" s="42" t="str">
        <f>IFERROR(VLOOKUP("UD",'[1]Informacion '!P:Q,2,FALSE),"")</f>
        <v>Unidad</v>
      </c>
      <c r="D1466" s="40">
        <v>12</v>
      </c>
      <c r="E1466" s="43">
        <v>50</v>
      </c>
      <c r="F1466" s="44">
        <f t="shared" ca="1" si="15"/>
        <v>600</v>
      </c>
    </row>
    <row r="1467" spans="1:6" x14ac:dyDescent="0.25">
      <c r="A1467" s="40" t="s">
        <v>307</v>
      </c>
      <c r="B1467" s="41" t="str">
        <f ca="1">IFERROR(INDEX(UNSPSCDes,MATCH(INDIRECT(ADDRESS(ROW(),COLUMN()-1,4)),UNSPSCCode,0)),IF(INDIRECT(ADDRESS(ROW(),COLUMN()-1,4))="44121802","Fluido de corrección",""))</f>
        <v>Fluido de corrección</v>
      </c>
      <c r="C1467" s="42" t="str">
        <f>IFERROR(VLOOKUP("UD",'[1]Informacion '!P:Q,2,FALSE),"")</f>
        <v>Unidad</v>
      </c>
      <c r="D1467" s="40">
        <v>12</v>
      </c>
      <c r="E1467" s="43">
        <v>50</v>
      </c>
      <c r="F1467" s="44">
        <f t="shared" ca="1" si="15"/>
        <v>600</v>
      </c>
    </row>
    <row r="1468" spans="1:6" x14ac:dyDescent="0.25">
      <c r="A1468" s="40" t="s">
        <v>308</v>
      </c>
      <c r="B1468" s="41" t="str">
        <f ca="1">IFERROR(INDEX(UNSPSCDes,MATCH(INDIRECT(ADDRESS(ROW(),COLUMN()-1,4)),UNSPSCCode,0)),IF(INDIRECT(ADDRESS(ROW(),COLUMN()-1,4))="31201610","Pegamentos",""))</f>
        <v>Pegamentos</v>
      </c>
      <c r="C1468" s="42" t="str">
        <f>IFERROR(VLOOKUP("UD",'[1]Informacion '!P:Q,2,FALSE),"")</f>
        <v>Unidad</v>
      </c>
      <c r="D1468" s="40">
        <v>12</v>
      </c>
      <c r="E1468" s="43">
        <v>50</v>
      </c>
      <c r="F1468" s="44">
        <f t="shared" ca="1" si="15"/>
        <v>600</v>
      </c>
    </row>
    <row r="1469" spans="1:6" x14ac:dyDescent="0.25">
      <c r="A1469" s="40" t="s">
        <v>309</v>
      </c>
      <c r="B1469" s="41" t="str">
        <f ca="1">IFERROR(INDEX(UNSPSCDes,MATCH(INDIRECT(ADDRESS(ROW(),COLUMN()-1,4)),UNSPSCCode,0)),IF(INDIRECT(ADDRESS(ROW(),COLUMN()-1,4))="44122003","Carpetas",""))</f>
        <v>Carpetas</v>
      </c>
      <c r="C1469" s="42" t="str">
        <f>IFERROR(VLOOKUP("UD",'[1]Informacion '!P:Q,2,FALSE),"")</f>
        <v>Unidad</v>
      </c>
      <c r="D1469" s="40">
        <v>10</v>
      </c>
      <c r="E1469" s="43">
        <v>100</v>
      </c>
      <c r="F1469" s="44">
        <f t="shared" ca="1" si="15"/>
        <v>1000</v>
      </c>
    </row>
    <row r="1470" spans="1:6" x14ac:dyDescent="0.25">
      <c r="A1470" s="40" t="s">
        <v>310</v>
      </c>
      <c r="B1470" s="41" t="str">
        <f ca="1">IFERROR(INDEX(UNSPSCDes,MATCH(INDIRECT(ADDRESS(ROW(),COLUMN()-1,4)),UNSPSCCode,0)),IF(INDIRECT(ADDRESS(ROW(),COLUMN()-1,4))="44122011","Folders",""))</f>
        <v>Folders</v>
      </c>
      <c r="C1470" s="42" t="str">
        <f>IFERROR(VLOOKUP("UD",'[1]Informacion '!P:Q,2,FALSE),"")</f>
        <v>Unidad</v>
      </c>
      <c r="D1470" s="40">
        <v>1</v>
      </c>
      <c r="E1470" s="43">
        <v>213900</v>
      </c>
      <c r="F1470" s="44">
        <f t="shared" ca="1" si="15"/>
        <v>213900</v>
      </c>
    </row>
    <row r="1471" spans="1:6" x14ac:dyDescent="0.25">
      <c r="A1471" s="40" t="s">
        <v>311</v>
      </c>
      <c r="B1471" s="41" t="str">
        <f ca="1">IFERROR(INDEX(UNSPSCDes,MATCH(INDIRECT(ADDRESS(ROW(),COLUMN()-1,4)),UNSPSCCode,0)),IF(INDIRECT(ADDRESS(ROW(),COLUMN()-1,4))="14111530","Papel de notas autoadhesivas",""))</f>
        <v>Papel de notas autoadhesivas</v>
      </c>
      <c r="C1471" s="42" t="str">
        <f>IFERROR(VLOOKUP("UD",'[1]Informacion '!P:Q,2,FALSE),"")</f>
        <v>Unidad</v>
      </c>
      <c r="D1471" s="40">
        <v>12</v>
      </c>
      <c r="E1471" s="43">
        <v>1000</v>
      </c>
      <c r="F1471" s="44">
        <f t="shared" ca="1" si="15"/>
        <v>12000</v>
      </c>
    </row>
    <row r="1472" spans="1:6" x14ac:dyDescent="0.25">
      <c r="A1472" s="40" t="s">
        <v>312</v>
      </c>
      <c r="B1472" s="41" t="str">
        <f ca="1">IFERROR(INDEX(UNSPSCDes,MATCH(INDIRECT(ADDRESS(ROW(),COLUMN()-1,4)),UNSPSCCode,0)),IF(INDIRECT(ADDRESS(ROW(),COLUMN()-1,4))="41111604","Reglas",""))</f>
        <v>Reglas</v>
      </c>
      <c r="C1472" s="42" t="str">
        <f>IFERROR(VLOOKUP("UD",'[1]Informacion '!P:Q,2,FALSE),"")</f>
        <v>Unidad</v>
      </c>
      <c r="D1472" s="40">
        <v>12</v>
      </c>
      <c r="E1472" s="43">
        <v>1000</v>
      </c>
      <c r="F1472" s="44">
        <f t="shared" ca="1" si="15"/>
        <v>12000</v>
      </c>
    </row>
    <row r="1473" spans="1:6" x14ac:dyDescent="0.25">
      <c r="A1473" s="40" t="s">
        <v>313</v>
      </c>
      <c r="B1473" s="41" t="str">
        <f ca="1">IFERROR(INDEX(UNSPSCDes,MATCH(INDIRECT(ADDRESS(ROW(),COLUMN()-1,4)),UNSPSCCode,0)),IF(INDIRECT(ADDRESS(ROW(),COLUMN()-1,4))="44121618","Tijeras",""))</f>
        <v>Tijeras</v>
      </c>
      <c r="C1473" s="42" t="str">
        <f>IFERROR(VLOOKUP("UD",'[1]Informacion '!P:Q,2,FALSE),"")</f>
        <v>Unidad</v>
      </c>
      <c r="D1473" s="40">
        <v>12</v>
      </c>
      <c r="E1473" s="43">
        <v>15000</v>
      </c>
      <c r="F1473" s="44">
        <f t="shared" ca="1" si="15"/>
        <v>180000</v>
      </c>
    </row>
    <row r="1474" spans="1:6" x14ac:dyDescent="0.25">
      <c r="A1474" s="40" t="s">
        <v>314</v>
      </c>
      <c r="B1474" s="41" t="str">
        <f ca="1">IFERROR(INDEX(UNSPSCDes,MATCH(INDIRECT(ADDRESS(ROW(),COLUMN()-1,4)),UNSPSCCode,0)),IF(INDIRECT(ADDRESS(ROW(),COLUMN()-1,4))="31201512","Cinta transparente",""))</f>
        <v>Cinta transparente</v>
      </c>
      <c r="C1474" s="42" t="str">
        <f>IFERROR(VLOOKUP("UD",'[1]Informacion '!P:Q,2,FALSE),"")</f>
        <v>Unidad</v>
      </c>
      <c r="D1474" s="40">
        <v>12</v>
      </c>
      <c r="E1474" s="43">
        <v>250</v>
      </c>
      <c r="F1474" s="44">
        <f t="shared" ca="1" si="15"/>
        <v>3000</v>
      </c>
    </row>
    <row r="1475" spans="1:6" x14ac:dyDescent="0.25">
      <c r="A1475" s="40" t="s">
        <v>315</v>
      </c>
      <c r="B1475" s="41" t="str">
        <f ca="1">IFERROR(INDEX(UNSPSCDes,MATCH(INDIRECT(ADDRESS(ROW(),COLUMN()-1,4)),UNSPSCCode,0)),IF(INDIRECT(ADDRESS(ROW(),COLUMN()-1,4))="44121605","Dispensadores de cinta",""))</f>
        <v>Dispensadores de cinta</v>
      </c>
      <c r="C1475" s="42" t="str">
        <f>IFERROR(VLOOKUP("UD",'[1]Informacion '!P:Q,2,FALSE),"")</f>
        <v>Unidad</v>
      </c>
      <c r="D1475" s="40">
        <v>5</v>
      </c>
      <c r="E1475" s="43">
        <v>100</v>
      </c>
      <c r="F1475" s="44">
        <f t="shared" ca="1" si="15"/>
        <v>500</v>
      </c>
    </row>
    <row r="1476" spans="1:6" x14ac:dyDescent="0.25">
      <c r="A1476" s="40" t="s">
        <v>314</v>
      </c>
      <c r="B1476" s="41" t="str">
        <f ca="1">IFERROR(INDEX(UNSPSCDes,MATCH(INDIRECT(ADDRESS(ROW(),COLUMN()-1,4)),UNSPSCCode,0)),IF(INDIRECT(ADDRESS(ROW(),COLUMN()-1,4))="31201512","Cinta transparente",""))</f>
        <v>Cinta transparente</v>
      </c>
      <c r="C1476" s="42" t="str">
        <f>IFERROR(VLOOKUP("UD",'[1]Informacion '!P:Q,2,FALSE),"")</f>
        <v>Unidad</v>
      </c>
      <c r="D1476" s="40">
        <v>12</v>
      </c>
      <c r="E1476" s="43">
        <v>100</v>
      </c>
      <c r="F1476" s="44">
        <f t="shared" ca="1" si="15"/>
        <v>1200</v>
      </c>
    </row>
    <row r="1477" spans="1:6" x14ac:dyDescent="0.25">
      <c r="A1477" s="40" t="s">
        <v>316</v>
      </c>
      <c r="B1477" s="41" t="str">
        <f ca="1">IFERROR(INDEX(UNSPSCDes,MATCH(INDIRECT(ADDRESS(ROW(),COLUMN()-1,4)),UNSPSCCode,0)),IF(INDIRECT(ADDRESS(ROW(),COLUMN()-1,4))="44121701","Bolígrafos",""))</f>
        <v>Bolígrafos</v>
      </c>
      <c r="C1477" s="42" t="str">
        <f>IFERROR(VLOOKUP("UD",'[1]Informacion '!P:Q,2,FALSE),"")</f>
        <v>Unidad</v>
      </c>
      <c r="D1477" s="40">
        <v>10</v>
      </c>
      <c r="E1477" s="43">
        <v>100</v>
      </c>
      <c r="F1477" s="44">
        <f t="shared" ca="1" si="15"/>
        <v>1000</v>
      </c>
    </row>
    <row r="1478" spans="1:6" x14ac:dyDescent="0.25">
      <c r="A1478" s="40" t="s">
        <v>304</v>
      </c>
      <c r="B1478" s="41" t="str">
        <f ca="1">IFERROR(INDEX(UNSPSCDes,MATCH(INDIRECT(ADDRESS(ROW(),COLUMN()-1,4)),UNSPSCCode,0)),IF(INDIRECT(ADDRESS(ROW(),COLUMN()-1,4))="44122002","Protectores de hojas",""))</f>
        <v>Protectores de hojas</v>
      </c>
      <c r="C1478" s="42" t="str">
        <f>IFERROR(VLOOKUP("UD",'[1]Informacion '!P:Q,2,FALSE),"")</f>
        <v>Unidad</v>
      </c>
      <c r="D1478" s="40">
        <v>8</v>
      </c>
      <c r="E1478" s="43">
        <v>100</v>
      </c>
      <c r="F1478" s="44">
        <f t="shared" ca="1" si="15"/>
        <v>800</v>
      </c>
    </row>
    <row r="1479" spans="1:6" x14ac:dyDescent="0.25">
      <c r="A1479" s="40" t="s">
        <v>317</v>
      </c>
      <c r="B1479" s="41" t="str">
        <f ca="1">IFERROR(INDEX(UNSPSCDes,MATCH(INDIRECT(ADDRESS(ROW(),COLUMN()-1,4)),UNSPSCCode,0)),IF(INDIRECT(ADDRESS(ROW(),COLUMN()-1,4))="44111901","Tableros de planeación o accesorios",""))</f>
        <v>Tableros de planeación o accesorios</v>
      </c>
      <c r="C1479" s="42" t="str">
        <f>IFERROR(VLOOKUP("UD",'[1]Informacion '!P:Q,2,FALSE),"")</f>
        <v>Unidad</v>
      </c>
      <c r="D1479" s="40">
        <v>10</v>
      </c>
      <c r="E1479" s="43">
        <v>100</v>
      </c>
      <c r="F1479" s="44">
        <f t="shared" ca="1" si="15"/>
        <v>1000</v>
      </c>
    </row>
    <row r="1480" spans="1:6" x14ac:dyDescent="0.25">
      <c r="A1480" s="40" t="s">
        <v>318</v>
      </c>
      <c r="B1480" s="41" t="str">
        <f ca="1">IFERROR(INDEX(UNSPSCDes,MATCH(INDIRECT(ADDRESS(ROW(),COLUMN()-1,4)),UNSPSCCode,0)),IF(INDIRECT(ADDRESS(ROW(),COLUMN()-1,4))="44112001","Libretas de direcciones o repuestos",""))</f>
        <v>Libretas de direcciones o repuestos</v>
      </c>
      <c r="C1480" s="42" t="str">
        <f>IFERROR(VLOOKUP("UD",'[1]Informacion '!P:Q,2,FALSE),"")</f>
        <v>Unidad</v>
      </c>
      <c r="D1480" s="40">
        <v>30</v>
      </c>
      <c r="E1480" s="43">
        <v>100</v>
      </c>
      <c r="F1480" s="44">
        <f t="shared" ca="1" si="15"/>
        <v>3000</v>
      </c>
    </row>
    <row r="1481" spans="1:6" x14ac:dyDescent="0.25">
      <c r="A1481" s="40" t="s">
        <v>319</v>
      </c>
      <c r="B1481" s="41" t="str">
        <f ca="1">IFERROR(INDEX(UNSPSCDes,MATCH(INDIRECT(ADDRESS(ROW(),COLUMN()-1,4)),UNSPSCCode,0)),IF(INDIRECT(ADDRESS(ROW(),COLUMN()-1,4))="44101707","Unidades de grapadoras",""))</f>
        <v>Unidades de grapadoras</v>
      </c>
      <c r="C1481" s="42" t="str">
        <f>IFERROR(VLOOKUP("UD",'[1]Informacion '!P:Q,2,FALSE),"")</f>
        <v>Unidad</v>
      </c>
      <c r="D1481" s="40">
        <v>8</v>
      </c>
      <c r="E1481" s="43">
        <v>125</v>
      </c>
      <c r="F1481" s="44">
        <f t="shared" ca="1" si="15"/>
        <v>1000</v>
      </c>
    </row>
    <row r="1482" spans="1:6" x14ac:dyDescent="0.25">
      <c r="A1482" s="40" t="s">
        <v>320</v>
      </c>
      <c r="B1482" s="41" t="str">
        <f ca="1">IFERROR(INDEX(UNSPSCDes,MATCH(INDIRECT(ADDRESS(ROW(),COLUMN()-1,4)),UNSPSCCode,0)),IF(INDIRECT(ADDRESS(ROW(),COLUMN()-1,4))="44122101","Cauchos",""))</f>
        <v>Cauchos</v>
      </c>
      <c r="C1482" s="42" t="str">
        <f>IFERROR(VLOOKUP("UD",'[1]Informacion '!P:Q,2,FALSE),"")</f>
        <v>Unidad</v>
      </c>
      <c r="D1482" s="40">
        <v>20</v>
      </c>
      <c r="E1482" s="43">
        <v>100</v>
      </c>
      <c r="F1482" s="44">
        <f t="shared" ca="1" si="15"/>
        <v>2000</v>
      </c>
    </row>
    <row r="1483" spans="1:6" x14ac:dyDescent="0.25">
      <c r="A1483" s="40" t="s">
        <v>321</v>
      </c>
      <c r="B1483" s="41" t="str">
        <f ca="1">IFERROR(INDEX(UNSPSCDes,MATCH(INDIRECT(ADDRESS(ROW(),COLUMN()-1,4)),UNSPSCCode,0)),IF(INDIRECT(ADDRESS(ROW(),COLUMN()-1,4))="44101716","Unidades de perforación de orificios",""))</f>
        <v>Unidades de perforación de orificios</v>
      </c>
      <c r="C1483" s="42" t="str">
        <f>IFERROR(VLOOKUP("UD",'[1]Informacion '!P:Q,2,FALSE),"")</f>
        <v>Unidad</v>
      </c>
      <c r="D1483" s="40">
        <v>4</v>
      </c>
      <c r="E1483" s="43">
        <v>500</v>
      </c>
      <c r="F1483" s="44">
        <f t="shared" ca="1" si="15"/>
        <v>2000</v>
      </c>
    </row>
    <row r="1484" spans="1:6" x14ac:dyDescent="0.25">
      <c r="A1484" s="40" t="s">
        <v>322</v>
      </c>
      <c r="B1484" s="41" t="str">
        <f ca="1">IFERROR(INDEX(UNSPSCDes,MATCH(INDIRECT(ADDRESS(ROW(),COLUMN()-1,4)),UNSPSCCode,0)),IF(INDIRECT(ADDRESS(ROW(),COLUMN()-1,4))="44122027","Folders de archivo expandibles",""))</f>
        <v>Folders de archivo expandibles</v>
      </c>
      <c r="C1484" s="42" t="str">
        <f>IFERROR(VLOOKUP("UD",'[1]Informacion '!P:Q,2,FALSE),"")</f>
        <v>Unidad</v>
      </c>
      <c r="D1484" s="40">
        <v>10</v>
      </c>
      <c r="E1484" s="43">
        <v>100</v>
      </c>
      <c r="F1484" s="44">
        <f t="shared" ca="1" si="15"/>
        <v>1000</v>
      </c>
    </row>
    <row r="1485" spans="1:6" x14ac:dyDescent="0.25">
      <c r="A1485" s="40" t="s">
        <v>323</v>
      </c>
      <c r="B1485" s="41" t="str">
        <f ca="1">IFERROR(INDEX(UNSPSCDes,MATCH(INDIRECT(ADDRESS(ROW(),COLUMN()-1,4)),UNSPSCCode,0)),IF(INDIRECT(ADDRESS(ROW(),COLUMN()-1,4))="44103111","Rollos de tinta",""))</f>
        <v>Rollos de tinta</v>
      </c>
      <c r="C1485" s="42" t="str">
        <f>IFERROR(VLOOKUP("UD",'[1]Informacion '!P:Q,2,FALSE),"")</f>
        <v>Unidad</v>
      </c>
      <c r="D1485" s="40">
        <v>8</v>
      </c>
      <c r="E1485" s="43">
        <v>100</v>
      </c>
      <c r="F1485" s="44">
        <f t="shared" ca="1" si="15"/>
        <v>800</v>
      </c>
    </row>
    <row r="1486" spans="1:6" x14ac:dyDescent="0.25">
      <c r="E1486" s="45" t="s">
        <v>47</v>
      </c>
      <c r="F1486" s="46">
        <f ca="1">SUM(Table124[MONTO TOTAL ESTIMADO])</f>
        <v>1450000</v>
      </c>
    </row>
    <row r="1487" spans="1:6" ht="17.25" thickBot="1" x14ac:dyDescent="0.3"/>
    <row r="1488" spans="1:6" ht="23.25" thickBot="1" x14ac:dyDescent="0.3">
      <c r="A1488" s="30" t="s">
        <v>18</v>
      </c>
      <c r="B1488" s="30" t="s">
        <v>19</v>
      </c>
      <c r="C1488" s="30" t="s">
        <v>20</v>
      </c>
      <c r="D1488" s="30" t="s">
        <v>21</v>
      </c>
      <c r="E1488" s="30" t="s">
        <v>22</v>
      </c>
      <c r="F1488" s="30" t="s">
        <v>23</v>
      </c>
    </row>
    <row r="1489" spans="1:6" ht="17.25" thickBot="1" x14ac:dyDescent="0.3">
      <c r="A1489" s="31" t="s">
        <v>295</v>
      </c>
      <c r="B1489" s="31" t="s">
        <v>296</v>
      </c>
      <c r="C1489" s="31" t="s">
        <v>92</v>
      </c>
      <c r="D1489" s="31" t="s">
        <v>50</v>
      </c>
      <c r="E1489" s="31" t="s">
        <v>58</v>
      </c>
      <c r="F1489" s="31"/>
    </row>
    <row r="1490" spans="1:6" ht="17.25" thickBot="1" x14ac:dyDescent="0.3">
      <c r="A1490" s="32" t="s">
        <v>29</v>
      </c>
      <c r="B1490" s="33" t="s">
        <v>30</v>
      </c>
      <c r="C1490" s="34">
        <v>45200</v>
      </c>
      <c r="D1490" s="32" t="s">
        <v>31</v>
      </c>
      <c r="E1490" s="35" t="s">
        <v>32</v>
      </c>
      <c r="F1490" s="36" t="s">
        <v>33</v>
      </c>
    </row>
    <row r="1491" spans="1:6" ht="17.25" thickBot="1" x14ac:dyDescent="0.3">
      <c r="A1491" s="37"/>
      <c r="B1491" s="33" t="s">
        <v>34</v>
      </c>
      <c r="C1491" s="38">
        <f>IF(C1490="","",IF(AND(MONTH(C1490)&gt;=1,MONTH(C1490)&lt;=3),1,IF(AND(MONTH(C1490)&gt;=4,MONTH(C1490)&lt;=6),2,IF(AND(MONTH(C1490)&gt;=7,MONTH(C1490)&lt;=9),3,4))))</f>
        <v>4</v>
      </c>
      <c r="D1491" s="37"/>
      <c r="E1491" s="35" t="s">
        <v>35</v>
      </c>
      <c r="F1491" s="36" t="s">
        <v>36</v>
      </c>
    </row>
    <row r="1492" spans="1:6" ht="17.25" thickBot="1" x14ac:dyDescent="0.3">
      <c r="A1492" s="37"/>
      <c r="B1492" s="33" t="s">
        <v>37</v>
      </c>
      <c r="C1492" s="34">
        <v>45290</v>
      </c>
      <c r="D1492" s="37"/>
      <c r="E1492" s="35" t="s">
        <v>38</v>
      </c>
      <c r="F1492" s="36" t="s">
        <v>36</v>
      </c>
    </row>
    <row r="1493" spans="1:6" ht="17.25" thickBot="1" x14ac:dyDescent="0.3">
      <c r="A1493" s="37"/>
      <c r="B1493" s="33" t="s">
        <v>34</v>
      </c>
      <c r="C1493" s="38">
        <f>IF(C1492="","",IF(AND(MONTH(C1492)&gt;=1,MONTH(C1492)&lt;=3),1,IF(AND(MONTH(C1492)&gt;=4,MONTH(C1492)&lt;=6),2,IF(AND(MONTH(C1492)&gt;=7,MONTH(C1492)&lt;=9),3,4))))</f>
        <v>4</v>
      </c>
      <c r="D1493" s="37"/>
      <c r="E1493" s="35" t="s">
        <v>39</v>
      </c>
      <c r="F1493" s="36" t="s">
        <v>36</v>
      </c>
    </row>
    <row r="1494" spans="1:6" ht="17.25" thickBot="1" x14ac:dyDescent="0.3"/>
    <row r="1495" spans="1:6" ht="17.25" thickBot="1" x14ac:dyDescent="0.3">
      <c r="A1495" s="39" t="s">
        <v>40</v>
      </c>
      <c r="B1495" s="39" t="s">
        <v>41</v>
      </c>
      <c r="C1495" s="39" t="s">
        <v>42</v>
      </c>
      <c r="D1495" s="39" t="s">
        <v>43</v>
      </c>
      <c r="E1495" s="39" t="s">
        <v>44</v>
      </c>
      <c r="F1495" s="39" t="s">
        <v>45</v>
      </c>
    </row>
    <row r="1496" spans="1:6" x14ac:dyDescent="0.25">
      <c r="A1496" s="40" t="s">
        <v>297</v>
      </c>
      <c r="B1496" s="41" t="str">
        <f ca="1">IFERROR(INDEX(UNSPSCDes,MATCH(INDIRECT(ADDRESS(ROW(),COLUMN()-1,4)),UNSPSCCode,0)),IF(INDIRECT(ADDRESS(ROW(),COLUMN()-1,4))="44103105","Cartuchos de tinta",""))</f>
        <v>Cartuchos de tinta</v>
      </c>
      <c r="C1496" s="42" t="str">
        <f>IFERROR(VLOOKUP("UD",'[1]Informacion '!P:Q,2,FALSE),"")</f>
        <v>Unidad</v>
      </c>
      <c r="D1496" s="40">
        <v>1</v>
      </c>
      <c r="E1496" s="43">
        <v>800000</v>
      </c>
      <c r="F1496" s="44">
        <f t="shared" ref="F1496:F1502" ca="1" si="16">INDIRECT(ADDRESS(ROW(),COLUMN()-2,4))*INDIRECT(ADDRESS(ROW(),COLUMN()-1,4))</f>
        <v>800000</v>
      </c>
    </row>
    <row r="1497" spans="1:6" x14ac:dyDescent="0.25">
      <c r="A1497" s="40" t="s">
        <v>324</v>
      </c>
      <c r="B1497" s="41" t="str">
        <f ca="1">IFERROR(INDEX(UNSPSCDes,MATCH(INDIRECT(ADDRESS(ROW(),COLUMN()-1,4)),UNSPSCCode,0)),IF(INDIRECT(ADDRESS(ROW(),COLUMN()-1,4))="32101602","Memoria ram dinámica (dram)",""))</f>
        <v>Memoria ram dinámica (dram)</v>
      </c>
      <c r="C1497" s="42" t="str">
        <f>IFERROR(VLOOKUP("UD",'[1]Informacion '!P:Q,2,FALSE),"")</f>
        <v>Unidad</v>
      </c>
      <c r="D1497" s="40">
        <v>1</v>
      </c>
      <c r="E1497" s="43">
        <v>80000</v>
      </c>
      <c r="F1497" s="44">
        <f t="shared" ca="1" si="16"/>
        <v>80000</v>
      </c>
    </row>
    <row r="1498" spans="1:6" x14ac:dyDescent="0.25">
      <c r="A1498" s="40" t="s">
        <v>325</v>
      </c>
      <c r="B1498" s="41" t="str">
        <f ca="1">IFERROR(INDEX(UNSPSCDes,MATCH(INDIRECT(ADDRESS(ROW(),COLUMN()-1,4)),UNSPSCCode,0)),IF(INDIRECT(ADDRESS(ROW(),COLUMN()-1,4))="43211708","Mouse o bola de seguimiento para computador",""))</f>
        <v>Mouse o bola de seguimiento para computador</v>
      </c>
      <c r="C1498" s="42" t="str">
        <f>IFERROR(VLOOKUP("UD",'[1]Informacion '!P:Q,2,FALSE),"")</f>
        <v>Unidad</v>
      </c>
      <c r="D1498" s="40">
        <v>1</v>
      </c>
      <c r="E1498" s="43">
        <v>12500</v>
      </c>
      <c r="F1498" s="44">
        <f t="shared" ca="1" si="16"/>
        <v>12500</v>
      </c>
    </row>
    <row r="1499" spans="1:6" x14ac:dyDescent="0.25">
      <c r="A1499" s="40" t="s">
        <v>326</v>
      </c>
      <c r="B1499" s="41" t="str">
        <f ca="1">IFERROR(INDEX(UNSPSCDes,MATCH(INDIRECT(ADDRESS(ROW(),COLUMN()-1,4)),UNSPSCCode,0)),IF(INDIRECT(ADDRESS(ROW(),COLUMN()-1,4))="43211805","Dispositivos para almacenamiento de kits de servicio",""))</f>
        <v>Dispositivos para almacenamiento de kits de servicio</v>
      </c>
      <c r="C1499" s="42" t="str">
        <f>IFERROR(VLOOKUP("UD",'[1]Informacion '!P:Q,2,FALSE),"")</f>
        <v>Unidad</v>
      </c>
      <c r="D1499" s="40">
        <v>1</v>
      </c>
      <c r="E1499" s="43">
        <v>27000</v>
      </c>
      <c r="F1499" s="44">
        <f t="shared" ca="1" si="16"/>
        <v>27000</v>
      </c>
    </row>
    <row r="1500" spans="1:6" x14ac:dyDescent="0.25">
      <c r="A1500" s="40" t="s">
        <v>327</v>
      </c>
      <c r="B1500" s="41" t="str">
        <f ca="1">IFERROR(INDEX(UNSPSCDes,MATCH(INDIRECT(ADDRESS(ROW(),COLUMN()-1,4)),UNSPSCCode,0)),IF(INDIRECT(ADDRESS(ROW(),COLUMN()-1,4))="44101718","Adaptadores infrarrojos",""))</f>
        <v>Adaptadores infrarrojos</v>
      </c>
      <c r="C1500" s="42" t="str">
        <f>IFERROR(VLOOKUP("UD",'[1]Informacion '!P:Q,2,FALSE),"")</f>
        <v>Unidad</v>
      </c>
      <c r="D1500" s="40">
        <v>1</v>
      </c>
      <c r="E1500" s="43">
        <v>5600</v>
      </c>
      <c r="F1500" s="44">
        <f t="shared" ca="1" si="16"/>
        <v>5600</v>
      </c>
    </row>
    <row r="1501" spans="1:6" x14ac:dyDescent="0.25">
      <c r="A1501" s="40" t="s">
        <v>305</v>
      </c>
      <c r="B1501" s="41" t="str">
        <f ca="1">IFERROR(INDEX(UNSPSCDes,MATCH(INDIRECT(ADDRESS(ROW(),COLUMN()-1,4)),UNSPSCCode,0)),IF(INDIRECT(ADDRESS(ROW(),COLUMN()-1,4))="44121505","Sobres especiales",""))</f>
        <v>Sobres especiales</v>
      </c>
      <c r="C1501" s="42" t="str">
        <f>IFERROR(VLOOKUP("UD",'[1]Informacion '!P:Q,2,FALSE),"")</f>
        <v>Unidad</v>
      </c>
      <c r="D1501" s="40">
        <v>1</v>
      </c>
      <c r="E1501" s="43">
        <v>24900</v>
      </c>
      <c r="F1501" s="44">
        <f t="shared" ca="1" si="16"/>
        <v>24900</v>
      </c>
    </row>
    <row r="1502" spans="1:6" x14ac:dyDescent="0.25">
      <c r="A1502" s="40" t="s">
        <v>328</v>
      </c>
      <c r="B1502" s="41" t="str">
        <f ca="1">IFERROR(INDEX(UNSPSCDes,MATCH(INDIRECT(ADDRESS(ROW(),COLUMN()-1,4)),UNSPSCCode,0)),IF(INDIRECT(ADDRESS(ROW(),COLUMN()-1,4))="44103103","Tóner para impresoras o fax",""))</f>
        <v>Tóner para impresoras o fax</v>
      </c>
      <c r="C1502" s="42" t="str">
        <f>IFERROR(VLOOKUP("UD",'[1]Informacion '!P:Q,2,FALSE),"")</f>
        <v>Unidad</v>
      </c>
      <c r="D1502" s="40">
        <v>1</v>
      </c>
      <c r="E1502" s="43">
        <v>710000</v>
      </c>
      <c r="F1502" s="44">
        <f t="shared" ca="1" si="16"/>
        <v>710000</v>
      </c>
    </row>
    <row r="1503" spans="1:6" x14ac:dyDescent="0.25">
      <c r="E1503" s="45" t="s">
        <v>47</v>
      </c>
      <c r="F1503" s="46">
        <f ca="1">SUM(Table125[MONTO TOTAL ESTIMADO])</f>
        <v>1660000</v>
      </c>
    </row>
    <row r="1504" spans="1:6" ht="17.25" thickBot="1" x14ac:dyDescent="0.3"/>
    <row r="1505" spans="1:6" ht="23.25" thickBot="1" x14ac:dyDescent="0.3">
      <c r="A1505" s="30" t="s">
        <v>18</v>
      </c>
      <c r="B1505" s="30" t="s">
        <v>19</v>
      </c>
      <c r="C1505" s="30" t="s">
        <v>20</v>
      </c>
      <c r="D1505" s="30" t="s">
        <v>21</v>
      </c>
      <c r="E1505" s="30" t="s">
        <v>22</v>
      </c>
      <c r="F1505" s="30" t="s">
        <v>23</v>
      </c>
    </row>
    <row r="1506" spans="1:6" ht="17.25" thickBot="1" x14ac:dyDescent="0.3">
      <c r="A1506" s="31" t="s">
        <v>329</v>
      </c>
      <c r="B1506" s="31" t="s">
        <v>330</v>
      </c>
      <c r="C1506" s="31" t="s">
        <v>92</v>
      </c>
      <c r="D1506" s="31" t="s">
        <v>27</v>
      </c>
      <c r="E1506" s="31" t="s">
        <v>58</v>
      </c>
      <c r="F1506" s="31"/>
    </row>
    <row r="1507" spans="1:6" ht="17.25" thickBot="1" x14ac:dyDescent="0.3">
      <c r="A1507" s="32" t="s">
        <v>29</v>
      </c>
      <c r="B1507" s="33" t="s">
        <v>30</v>
      </c>
      <c r="C1507" s="34">
        <v>44958</v>
      </c>
      <c r="D1507" s="32" t="s">
        <v>31</v>
      </c>
      <c r="E1507" s="35" t="s">
        <v>32</v>
      </c>
      <c r="F1507" s="36" t="s">
        <v>33</v>
      </c>
    </row>
    <row r="1508" spans="1:6" ht="17.25" thickBot="1" x14ac:dyDescent="0.3">
      <c r="A1508" s="37"/>
      <c r="B1508" s="33" t="s">
        <v>34</v>
      </c>
      <c r="C1508" s="38">
        <f>IF(C1507="","",IF(AND(MONTH(C1507)&gt;=1,MONTH(C1507)&lt;=3),1,IF(AND(MONTH(C1507)&gt;=4,MONTH(C1507)&lt;=6),2,IF(AND(MONTH(C1507)&gt;=7,MONTH(C1507)&lt;=9),3,4))))</f>
        <v>1</v>
      </c>
      <c r="D1508" s="37"/>
      <c r="E1508" s="35" t="s">
        <v>35</v>
      </c>
      <c r="F1508" s="36" t="s">
        <v>36</v>
      </c>
    </row>
    <row r="1509" spans="1:6" ht="17.25" thickBot="1" x14ac:dyDescent="0.3">
      <c r="A1509" s="37"/>
      <c r="B1509" s="33" t="s">
        <v>37</v>
      </c>
      <c r="C1509" s="34">
        <v>45015</v>
      </c>
      <c r="D1509" s="37"/>
      <c r="E1509" s="35" t="s">
        <v>38</v>
      </c>
      <c r="F1509" s="36" t="s">
        <v>36</v>
      </c>
    </row>
    <row r="1510" spans="1:6" ht="17.25" thickBot="1" x14ac:dyDescent="0.3">
      <c r="A1510" s="37"/>
      <c r="B1510" s="33" t="s">
        <v>34</v>
      </c>
      <c r="C1510" s="38">
        <f>IF(C1509="","",IF(AND(MONTH(C1509)&gt;=1,MONTH(C1509)&lt;=3),1,IF(AND(MONTH(C1509)&gt;=4,MONTH(C1509)&lt;=6),2,IF(AND(MONTH(C1509)&gt;=7,MONTH(C1509)&lt;=9),3,4))))</f>
        <v>1</v>
      </c>
      <c r="D1510" s="37"/>
      <c r="E1510" s="35" t="s">
        <v>39</v>
      </c>
      <c r="F1510" s="36" t="s">
        <v>36</v>
      </c>
    </row>
    <row r="1511" spans="1:6" ht="17.25" thickBot="1" x14ac:dyDescent="0.3"/>
    <row r="1512" spans="1:6" ht="17.25" thickBot="1" x14ac:dyDescent="0.3">
      <c r="A1512" s="39" t="s">
        <v>40</v>
      </c>
      <c r="B1512" s="39" t="s">
        <v>41</v>
      </c>
      <c r="C1512" s="39" t="s">
        <v>42</v>
      </c>
      <c r="D1512" s="39" t="s">
        <v>43</v>
      </c>
      <c r="E1512" s="39" t="s">
        <v>44</v>
      </c>
      <c r="F1512" s="39" t="s">
        <v>45</v>
      </c>
    </row>
    <row r="1513" spans="1:6" x14ac:dyDescent="0.25">
      <c r="A1513" s="40">
        <v>60141111</v>
      </c>
      <c r="B1513" s="41" t="str">
        <f ca="1">IFERROR(INDEX(UNSPSCDes,MATCH(INDIRECT(ADDRESS(ROW(),COLUMN()-1,4)),UNSPSCCode,0)),IF(INDIRECT(ADDRESS(ROW(),COLUMN()-1,4))="60141111","Accesorios para juegos",""))</f>
        <v>Accesorios para juegos</v>
      </c>
      <c r="C1513" s="42" t="str">
        <f>IFERROR(VLOOKUP("UD",'[1]Informacion '!P:Q,2,FALSE),"")</f>
        <v>Unidad</v>
      </c>
      <c r="D1513" s="40">
        <v>1</v>
      </c>
      <c r="E1513" s="43">
        <v>1</v>
      </c>
      <c r="F1513" s="44">
        <f ca="1">INDIRECT(ADDRESS(ROW(),COLUMN()-2,4))*INDIRECT(ADDRESS(ROW(),COLUMN()-1,4))</f>
        <v>1</v>
      </c>
    </row>
    <row r="1514" spans="1:6" x14ac:dyDescent="0.25">
      <c r="A1514" s="40">
        <v>60121233</v>
      </c>
      <c r="B1514" s="41" t="str">
        <f ca="1">IFERROR(INDEX(UNSPSCDes,MATCH(INDIRECT(ADDRESS(ROW(),COLUMN()-1,4)),UNSPSCCode,0)),IF(INDIRECT(ADDRESS(ROW(),COLUMN()-1,4))="60141111","Accesorios para juegos",""))</f>
        <v>Sellos de esponja</v>
      </c>
      <c r="C1514" s="42" t="str">
        <f>IFERROR(VLOOKUP("UD",'[1]Informacion '!P:Q,2,FALSE),"")</f>
        <v>Unidad</v>
      </c>
      <c r="D1514" s="40">
        <v>1</v>
      </c>
      <c r="E1514" s="43">
        <v>1</v>
      </c>
      <c r="F1514" s="44">
        <f ca="1">INDIRECT(ADDRESS(ROW(),COLUMN()-2,4))*INDIRECT(ADDRESS(ROW(),COLUMN()-1,4))</f>
        <v>1</v>
      </c>
    </row>
    <row r="1515" spans="1:6" x14ac:dyDescent="0.25">
      <c r="E1515" s="45" t="s">
        <v>47</v>
      </c>
      <c r="F1515" s="46">
        <f ca="1">SUM(Table126[MONTO TOTAL ESTIMADO])</f>
        <v>2</v>
      </c>
    </row>
    <row r="1516" spans="1:6" ht="17.25" thickBot="1" x14ac:dyDescent="0.3"/>
    <row r="1517" spans="1:6" ht="23.25" thickBot="1" x14ac:dyDescent="0.3">
      <c r="A1517" s="30" t="s">
        <v>18</v>
      </c>
      <c r="B1517" s="30" t="s">
        <v>19</v>
      </c>
      <c r="C1517" s="30" t="s">
        <v>20</v>
      </c>
      <c r="D1517" s="30" t="s">
        <v>21</v>
      </c>
      <c r="E1517" s="30" t="s">
        <v>22</v>
      </c>
      <c r="F1517" s="30" t="s">
        <v>23</v>
      </c>
    </row>
    <row r="1518" spans="1:6" ht="17.25" thickBot="1" x14ac:dyDescent="0.3">
      <c r="A1518" s="31" t="s">
        <v>329</v>
      </c>
      <c r="B1518" s="31" t="s">
        <v>330</v>
      </c>
      <c r="C1518" s="31" t="s">
        <v>92</v>
      </c>
      <c r="D1518" s="31" t="s">
        <v>27</v>
      </c>
      <c r="E1518" s="31" t="s">
        <v>58</v>
      </c>
      <c r="F1518" s="31"/>
    </row>
    <row r="1519" spans="1:6" ht="17.25" thickBot="1" x14ac:dyDescent="0.3">
      <c r="A1519" s="32" t="s">
        <v>29</v>
      </c>
      <c r="B1519" s="33" t="s">
        <v>30</v>
      </c>
      <c r="C1519" s="34">
        <v>45107</v>
      </c>
      <c r="D1519" s="32" t="s">
        <v>31</v>
      </c>
      <c r="E1519" s="35" t="s">
        <v>32</v>
      </c>
      <c r="F1519" s="36" t="s">
        <v>33</v>
      </c>
    </row>
    <row r="1520" spans="1:6" ht="17.25" thickBot="1" x14ac:dyDescent="0.3">
      <c r="A1520" s="37"/>
      <c r="B1520" s="33" t="s">
        <v>34</v>
      </c>
      <c r="C1520" s="38">
        <f>IF(C1519="","",IF(AND(MONTH(C1519)&gt;=1,MONTH(C1519)&lt;=3),1,IF(AND(MONTH(C1519)&gt;=4,MONTH(C1519)&lt;=6),2,IF(AND(MONTH(C1519)&gt;=7,MONTH(C1519)&lt;=9),3,4))))</f>
        <v>2</v>
      </c>
      <c r="D1520" s="37"/>
      <c r="E1520" s="35" t="s">
        <v>35</v>
      </c>
      <c r="F1520" s="36" t="s">
        <v>36</v>
      </c>
    </row>
    <row r="1521" spans="1:6" ht="17.25" thickBot="1" x14ac:dyDescent="0.3">
      <c r="A1521" s="37"/>
      <c r="B1521" s="33" t="s">
        <v>37</v>
      </c>
      <c r="C1521" s="34">
        <v>45198</v>
      </c>
      <c r="D1521" s="37"/>
      <c r="E1521" s="35" t="s">
        <v>38</v>
      </c>
      <c r="F1521" s="36" t="s">
        <v>36</v>
      </c>
    </row>
    <row r="1522" spans="1:6" ht="17.25" thickBot="1" x14ac:dyDescent="0.3">
      <c r="A1522" s="37"/>
      <c r="B1522" s="33" t="s">
        <v>34</v>
      </c>
      <c r="C1522" s="38">
        <f>IF(C1521="","",IF(AND(MONTH(C1521)&gt;=1,MONTH(C1521)&lt;=3),1,IF(AND(MONTH(C1521)&gt;=4,MONTH(C1521)&lt;=6),2,IF(AND(MONTH(C1521)&gt;=7,MONTH(C1521)&lt;=9),3,4))))</f>
        <v>3</v>
      </c>
      <c r="D1522" s="37"/>
      <c r="E1522" s="35" t="s">
        <v>39</v>
      </c>
      <c r="F1522" s="36" t="s">
        <v>36</v>
      </c>
    </row>
    <row r="1523" spans="1:6" ht="17.25" thickBot="1" x14ac:dyDescent="0.3"/>
    <row r="1524" spans="1:6" ht="17.25" thickBot="1" x14ac:dyDescent="0.3">
      <c r="A1524" s="39" t="s">
        <v>40</v>
      </c>
      <c r="B1524" s="39" t="s">
        <v>41</v>
      </c>
      <c r="C1524" s="39" t="s">
        <v>42</v>
      </c>
      <c r="D1524" s="39" t="s">
        <v>43</v>
      </c>
      <c r="E1524" s="39" t="s">
        <v>44</v>
      </c>
      <c r="F1524" s="39" t="s">
        <v>45</v>
      </c>
    </row>
    <row r="1525" spans="1:6" x14ac:dyDescent="0.25">
      <c r="A1525" s="40" t="s">
        <v>331</v>
      </c>
      <c r="B1525" s="41" t="str">
        <f ca="1">IFERROR(INDEX(UNSPSCDes,MATCH(INDIRECT(ADDRESS(ROW(),COLUMN()-1,4)),UNSPSCCode,0)),IF(INDIRECT(ADDRESS(ROW(),COLUMN()-1,4))="60141111","Accesorios para juegos",""))</f>
        <v>Accesorios para juegos</v>
      </c>
      <c r="C1525" s="42" t="str">
        <f>IFERROR(VLOOKUP("UD",'[1]Informacion '!P:Q,2,FALSE),"")</f>
        <v>Unidad</v>
      </c>
      <c r="D1525" s="40">
        <v>1</v>
      </c>
      <c r="E1525" s="43">
        <v>1</v>
      </c>
      <c r="F1525" s="44">
        <f t="shared" ref="F1525:F1530" ca="1" si="17">INDIRECT(ADDRESS(ROW(),COLUMN()-2,4))*INDIRECT(ADDRESS(ROW(),COLUMN()-1,4))</f>
        <v>1</v>
      </c>
    </row>
    <row r="1526" spans="1:6" x14ac:dyDescent="0.25">
      <c r="A1526" s="40" t="s">
        <v>332</v>
      </c>
      <c r="B1526" s="41" t="str">
        <f ca="1">IFERROR(INDEX(UNSPSCDes,MATCH(INDIRECT(ADDRESS(ROW(),COLUMN()-1,4)),UNSPSCCode,0)),IF(INDIRECT(ADDRESS(ROW(),COLUMN()-1,4))="49161503","Pelotas de beisbol",""))</f>
        <v>Pelotas de beisbol</v>
      </c>
      <c r="C1526" s="42" t="str">
        <f>IFERROR(VLOOKUP("UD",'[1]Informacion '!P:Q,2,FALSE),"")</f>
        <v>Unidad</v>
      </c>
      <c r="D1526" s="40">
        <v>1</v>
      </c>
      <c r="E1526" s="43">
        <v>1</v>
      </c>
      <c r="F1526" s="44">
        <f t="shared" ca="1" si="17"/>
        <v>1</v>
      </c>
    </row>
    <row r="1527" spans="1:6" x14ac:dyDescent="0.25">
      <c r="A1527" s="40" t="s">
        <v>333</v>
      </c>
      <c r="B1527" s="41" t="str">
        <f ca="1">IFERROR(INDEX(UNSPSCDes,MATCH(INDIRECT(ADDRESS(ROW(),COLUMN()-1,4)),UNSPSCCode,0)),IF(INDIRECT(ADDRESS(ROW(),COLUMN()-1,4))="49161521","Guantes de softbol",""))</f>
        <v>Guantes de softbol</v>
      </c>
      <c r="C1527" s="42" t="str">
        <f>IFERROR(VLOOKUP("UD",'[1]Informacion '!P:Q,2,FALSE),"")</f>
        <v>Unidad</v>
      </c>
      <c r="D1527" s="40">
        <v>1</v>
      </c>
      <c r="E1527" s="43">
        <v>1</v>
      </c>
      <c r="F1527" s="44">
        <f t="shared" ca="1" si="17"/>
        <v>1</v>
      </c>
    </row>
    <row r="1528" spans="1:6" x14ac:dyDescent="0.25">
      <c r="A1528" s="40" t="s">
        <v>334</v>
      </c>
      <c r="B1528" s="41" t="str">
        <f ca="1">IFERROR(INDEX(UNSPSCDes,MATCH(INDIRECT(ADDRESS(ROW(),COLUMN()-1,4)),UNSPSCCode,0)),IF(INDIRECT(ADDRESS(ROW(),COLUMN()-1,4))="49161520","Bates de softbol",""))</f>
        <v>Bates de softbol</v>
      </c>
      <c r="C1528" s="42" t="str">
        <f>IFERROR(VLOOKUP("UD",'[1]Informacion '!P:Q,2,FALSE),"")</f>
        <v>Unidad</v>
      </c>
      <c r="D1528" s="40">
        <v>1</v>
      </c>
      <c r="E1528" s="43">
        <v>1</v>
      </c>
      <c r="F1528" s="44">
        <f t="shared" ca="1" si="17"/>
        <v>1</v>
      </c>
    </row>
    <row r="1529" spans="1:6" x14ac:dyDescent="0.25">
      <c r="A1529" s="40" t="s">
        <v>335</v>
      </c>
      <c r="B1529" s="41" t="str">
        <f ca="1">IFERROR(INDEX(UNSPSCDes,MATCH(INDIRECT(ADDRESS(ROW(),COLUMN()-1,4)),UNSPSCCode,0)),IF(INDIRECT(ADDRESS(ROW(),COLUMN()-1,4))="46181701","Cascos",""))</f>
        <v>Cascos</v>
      </c>
      <c r="C1529" s="42" t="str">
        <f>IFERROR(VLOOKUP("UD",'[1]Informacion '!P:Q,2,FALSE),"")</f>
        <v>Unidad</v>
      </c>
      <c r="D1529" s="40">
        <v>1</v>
      </c>
      <c r="E1529" s="43">
        <v>1</v>
      </c>
      <c r="F1529" s="44">
        <f t="shared" ca="1" si="17"/>
        <v>1</v>
      </c>
    </row>
    <row r="1530" spans="1:6" x14ac:dyDescent="0.25">
      <c r="A1530" s="40" t="s">
        <v>336</v>
      </c>
      <c r="B1530" s="41" t="str">
        <f ca="1">IFERROR(INDEX(UNSPSCDes,MATCH(INDIRECT(ADDRESS(ROW(),COLUMN()-1,4)),UNSPSCCode,0)),IF(INDIRECT(ADDRESS(ROW(),COLUMN()-1,4))="45111802","Soportes para televisiones",""))</f>
        <v>Soportes para televisiones</v>
      </c>
      <c r="C1530" s="42" t="str">
        <f>IFERROR(VLOOKUP("UD",'[1]Informacion '!P:Q,2,FALSE),"")</f>
        <v>Unidad</v>
      </c>
      <c r="D1530" s="40">
        <v>1</v>
      </c>
      <c r="E1530" s="43">
        <v>1</v>
      </c>
      <c r="F1530" s="44">
        <f t="shared" ca="1" si="17"/>
        <v>1</v>
      </c>
    </row>
    <row r="1531" spans="1:6" x14ac:dyDescent="0.25">
      <c r="E1531" s="45" t="s">
        <v>47</v>
      </c>
      <c r="F1531" s="46">
        <f ca="1">SUM(Table127[MONTO TOTAL ESTIMADO])</f>
        <v>6</v>
      </c>
    </row>
    <row r="1532" spans="1:6" ht="17.25" thickBot="1" x14ac:dyDescent="0.3"/>
    <row r="1533" spans="1:6" ht="23.25" thickBot="1" x14ac:dyDescent="0.3">
      <c r="A1533" s="30" t="s">
        <v>18</v>
      </c>
      <c r="B1533" s="30" t="s">
        <v>19</v>
      </c>
      <c r="C1533" s="30" t="s">
        <v>20</v>
      </c>
      <c r="D1533" s="30" t="s">
        <v>21</v>
      </c>
      <c r="E1533" s="30" t="s">
        <v>22</v>
      </c>
      <c r="F1533" s="30" t="s">
        <v>23</v>
      </c>
    </row>
    <row r="1534" spans="1:6" ht="17.25" thickBot="1" x14ac:dyDescent="0.3">
      <c r="A1534" s="31" t="s">
        <v>337</v>
      </c>
      <c r="B1534" s="31" t="s">
        <v>330</v>
      </c>
      <c r="C1534" s="31" t="s">
        <v>92</v>
      </c>
      <c r="D1534" s="31" t="s">
        <v>50</v>
      </c>
      <c r="E1534" s="31" t="s">
        <v>58</v>
      </c>
      <c r="F1534" s="31"/>
    </row>
    <row r="1535" spans="1:6" ht="17.25" thickBot="1" x14ac:dyDescent="0.3">
      <c r="A1535" s="32" t="s">
        <v>29</v>
      </c>
      <c r="B1535" s="33" t="s">
        <v>30</v>
      </c>
      <c r="C1535" s="34">
        <v>44958</v>
      </c>
      <c r="D1535" s="32" t="s">
        <v>31</v>
      </c>
      <c r="E1535" s="35" t="s">
        <v>32</v>
      </c>
      <c r="F1535" s="36" t="s">
        <v>33</v>
      </c>
    </row>
    <row r="1536" spans="1:6" ht="17.25" thickBot="1" x14ac:dyDescent="0.3">
      <c r="A1536" s="37"/>
      <c r="B1536" s="33" t="s">
        <v>34</v>
      </c>
      <c r="C1536" s="38">
        <f>IF(C1535="","",IF(AND(MONTH(C1535)&gt;=1,MONTH(C1535)&lt;=3),1,IF(AND(MONTH(C1535)&gt;=4,MONTH(C1535)&lt;=6),2,IF(AND(MONTH(C1535)&gt;=7,MONTH(C1535)&lt;=9),3,4))))</f>
        <v>1</v>
      </c>
      <c r="D1536" s="37"/>
      <c r="E1536" s="35" t="s">
        <v>35</v>
      </c>
      <c r="F1536" s="36" t="s">
        <v>36</v>
      </c>
    </row>
    <row r="1537" spans="1:6" ht="17.25" thickBot="1" x14ac:dyDescent="0.3">
      <c r="A1537" s="37"/>
      <c r="B1537" s="33" t="s">
        <v>37</v>
      </c>
      <c r="C1537" s="34">
        <v>45015</v>
      </c>
      <c r="D1537" s="37"/>
      <c r="E1537" s="35" t="s">
        <v>38</v>
      </c>
      <c r="F1537" s="36" t="s">
        <v>36</v>
      </c>
    </row>
    <row r="1538" spans="1:6" ht="17.25" thickBot="1" x14ac:dyDescent="0.3">
      <c r="A1538" s="37"/>
      <c r="B1538" s="33" t="s">
        <v>34</v>
      </c>
      <c r="C1538" s="38">
        <f>IF(C1537="","",IF(AND(MONTH(C1537)&gt;=1,MONTH(C1537)&lt;=3),1,IF(AND(MONTH(C1537)&gt;=4,MONTH(C1537)&lt;=6),2,IF(AND(MONTH(C1537)&gt;=7,MONTH(C1537)&lt;=9),3,4))))</f>
        <v>1</v>
      </c>
      <c r="D1538" s="37"/>
      <c r="E1538" s="35" t="s">
        <v>39</v>
      </c>
      <c r="F1538" s="36" t="s">
        <v>36</v>
      </c>
    </row>
    <row r="1539" spans="1:6" ht="17.25" thickBot="1" x14ac:dyDescent="0.3"/>
    <row r="1540" spans="1:6" ht="17.25" thickBot="1" x14ac:dyDescent="0.3">
      <c r="A1540" s="39" t="s">
        <v>40</v>
      </c>
      <c r="B1540" s="39" t="s">
        <v>41</v>
      </c>
      <c r="C1540" s="39" t="s">
        <v>42</v>
      </c>
      <c r="D1540" s="39" t="s">
        <v>43</v>
      </c>
      <c r="E1540" s="39" t="s">
        <v>44</v>
      </c>
      <c r="F1540" s="39" t="s">
        <v>45</v>
      </c>
    </row>
    <row r="1541" spans="1:6" x14ac:dyDescent="0.25">
      <c r="A1541" s="40" t="s">
        <v>338</v>
      </c>
      <c r="B1541" s="41" t="str">
        <f ca="1">IFERROR(INDEX(UNSPSCDes,MATCH(INDIRECT(ADDRESS(ROW(),COLUMN()-1,4)),UNSPSCCode,0)),IF(INDIRECT(ADDRESS(ROW(),COLUMN()-1,4))="52151501","Utensilios de cocina desechables para uso doméstico",""))</f>
        <v>Utensilios de cocina desechables para uso doméstico</v>
      </c>
      <c r="C1541" s="42" t="str">
        <f>IFERROR(VLOOKUP("UD",'[1]Informacion '!P:Q,2,FALSE),"")</f>
        <v>Unidad</v>
      </c>
      <c r="D1541" s="40">
        <v>1</v>
      </c>
      <c r="E1541" s="43">
        <v>2000</v>
      </c>
      <c r="F1541" s="44">
        <f t="shared" ref="F1541:F1565" ca="1" si="18">INDIRECT(ADDRESS(ROW(),COLUMN()-2,4))*INDIRECT(ADDRESS(ROW(),COLUMN()-1,4))</f>
        <v>2000</v>
      </c>
    </row>
    <row r="1542" spans="1:6" x14ac:dyDescent="0.25">
      <c r="A1542" s="40" t="s">
        <v>339</v>
      </c>
      <c r="B1542" s="41" t="str">
        <f ca="1">IFERROR(INDEX(UNSPSCDes,MATCH(INDIRECT(ADDRESS(ROW(),COLUMN()-1,4)),UNSPSCCode,0)),IF(INDIRECT(ADDRESS(ROW(),COLUMN()-1,4))="52152104","Copas para uso doméstico",""))</f>
        <v>Copas para uso doméstico</v>
      </c>
      <c r="C1542" s="42" t="str">
        <f>IFERROR(VLOOKUP("UD",'[1]Informacion '!P:Q,2,FALSE),"")</f>
        <v>Unidad</v>
      </c>
      <c r="D1542" s="40">
        <v>1</v>
      </c>
      <c r="E1542" s="43">
        <v>2000</v>
      </c>
      <c r="F1542" s="44">
        <f t="shared" ca="1" si="18"/>
        <v>2000</v>
      </c>
    </row>
    <row r="1543" spans="1:6" x14ac:dyDescent="0.25">
      <c r="A1543" s="40">
        <v>52151709</v>
      </c>
      <c r="B1543" s="41" t="str">
        <f ca="1">IFERROR(INDEX(UNSPSCDes,MATCH(INDIRECT(ADDRESS(ROW(),COLUMN()-1,4)),UNSPSCCode,0)),IF(INDIRECT(ADDRESS(ROW(),COLUMN()-1,4))="52151709","Set de cubiertos",""))</f>
        <v>Set de cubiertos</v>
      </c>
      <c r="C1543" s="42" t="str">
        <f>IFERROR(VLOOKUP("UD",'[1]Informacion '!P:Q,2,FALSE),"")</f>
        <v>Unidad</v>
      </c>
      <c r="D1543" s="40">
        <v>1</v>
      </c>
      <c r="E1543" s="43">
        <v>3000</v>
      </c>
      <c r="F1543" s="44">
        <f t="shared" ca="1" si="18"/>
        <v>3000</v>
      </c>
    </row>
    <row r="1544" spans="1:6" x14ac:dyDescent="0.25">
      <c r="A1544" s="40" t="s">
        <v>340</v>
      </c>
      <c r="B1544" s="41" t="str">
        <f ca="1">IFERROR(INDEX(UNSPSCDes,MATCH(INDIRECT(ADDRESS(ROW(),COLUMN()-1,4)),UNSPSCCode,0)),IF(INDIRECT(ADDRESS(ROW(),COLUMN()-1,4))="52151707","Set de cuchillos para uso doméstico",""))</f>
        <v>Set de cuchillos para uso doméstico</v>
      </c>
      <c r="C1544" s="42" t="str">
        <f>IFERROR(VLOOKUP("UD",'[1]Informacion '!P:Q,2,FALSE),"")</f>
        <v>Unidad</v>
      </c>
      <c r="D1544" s="40">
        <v>1</v>
      </c>
      <c r="E1544" s="43">
        <v>1000</v>
      </c>
      <c r="F1544" s="44">
        <f t="shared" ca="1" si="18"/>
        <v>1000</v>
      </c>
    </row>
    <row r="1545" spans="1:6" x14ac:dyDescent="0.25">
      <c r="A1545" s="40" t="s">
        <v>341</v>
      </c>
      <c r="B1545" s="41" t="str">
        <f ca="1">IFERROR(INDEX(UNSPSCDes,MATCH(INDIRECT(ADDRESS(ROW(),COLUMN()-1,4)),UNSPSCCode,0)),IF(INDIRECT(ADDRESS(ROW(),COLUMN()-1,4))="52152004","Platos para uso doméstico",""))</f>
        <v>Platos para uso doméstico</v>
      </c>
      <c r="C1545" s="42" t="str">
        <f>IFERROR(VLOOKUP("UD",'[1]Informacion '!P:Q,2,FALSE),"")</f>
        <v>Unidad</v>
      </c>
      <c r="D1545" s="40">
        <v>1</v>
      </c>
      <c r="E1545" s="43">
        <v>1000</v>
      </c>
      <c r="F1545" s="44">
        <f t="shared" ca="1" si="18"/>
        <v>1000</v>
      </c>
    </row>
    <row r="1546" spans="1:6" x14ac:dyDescent="0.25">
      <c r="A1546" s="40" t="s">
        <v>341</v>
      </c>
      <c r="B1546" s="41" t="str">
        <f ca="1">IFERROR(INDEX(UNSPSCDes,MATCH(INDIRECT(ADDRESS(ROW(),COLUMN()-1,4)),UNSPSCCode,0)),IF(INDIRECT(ADDRESS(ROW(),COLUMN()-1,4))="52152004","Platos para uso doméstico",""))</f>
        <v>Platos para uso doméstico</v>
      </c>
      <c r="C1546" s="42" t="str">
        <f>IFERROR(VLOOKUP("UD",'[1]Informacion '!P:Q,2,FALSE),"")</f>
        <v>Unidad</v>
      </c>
      <c r="D1546" s="40">
        <v>1</v>
      </c>
      <c r="E1546" s="43">
        <v>1000</v>
      </c>
      <c r="F1546" s="44">
        <f t="shared" ca="1" si="18"/>
        <v>1000</v>
      </c>
    </row>
    <row r="1547" spans="1:6" x14ac:dyDescent="0.25">
      <c r="A1547" s="40" t="s">
        <v>342</v>
      </c>
      <c r="B1547" s="41" t="str">
        <f ca="1">IFERROR(INDEX(UNSPSCDes,MATCH(INDIRECT(ADDRESS(ROW(),COLUMN()-1,4)),UNSPSCCode,0)),IF(INDIRECT(ADDRESS(ROW(),COLUMN()-1,4))="48101916","Dispensadores de servilletas para servicio de comidas",""))</f>
        <v>Dispensadores de servilletas para servicio de comidas</v>
      </c>
      <c r="C1547" s="42" t="str">
        <f>IFERROR(VLOOKUP("UD",'[1]Informacion '!P:Q,2,FALSE),"")</f>
        <v>Unidad</v>
      </c>
      <c r="D1547" s="40">
        <v>1</v>
      </c>
      <c r="E1547" s="43">
        <v>1000</v>
      </c>
      <c r="F1547" s="44">
        <f t="shared" ca="1" si="18"/>
        <v>1000</v>
      </c>
    </row>
    <row r="1548" spans="1:6" x14ac:dyDescent="0.25">
      <c r="A1548" s="40" t="s">
        <v>343</v>
      </c>
      <c r="B1548" s="41" t="str">
        <f ca="1">IFERROR(INDEX(UNSPSCDes,MATCH(INDIRECT(ADDRESS(ROW(),COLUMN()-1,4)),UNSPSCCode,0)),IF(INDIRECT(ADDRESS(ROW(),COLUMN()-1,4))="48101815","Cucharas de servir para uso comercial",""))</f>
        <v>Cucharas de servir para uso comercial</v>
      </c>
      <c r="C1548" s="42" t="str">
        <f>IFERROR(VLOOKUP("UD",'[1]Informacion '!P:Q,2,FALSE),"")</f>
        <v>Unidad</v>
      </c>
      <c r="D1548" s="40">
        <v>1</v>
      </c>
      <c r="E1548" s="43">
        <v>1000</v>
      </c>
      <c r="F1548" s="44">
        <f t="shared" ca="1" si="18"/>
        <v>1000</v>
      </c>
    </row>
    <row r="1549" spans="1:6" x14ac:dyDescent="0.25">
      <c r="A1549" s="40" t="s">
        <v>344</v>
      </c>
      <c r="B1549" s="41" t="str">
        <f ca="1">IFERROR(INDEX(UNSPSCDes,MATCH(INDIRECT(ADDRESS(ROW(),COLUMN()-1,4)),UNSPSCCode,0)),IF(INDIRECT(ADDRESS(ROW(),COLUMN()-1,4))="52151704","Cucharas para uso doméstico",""))</f>
        <v>Cucharas para uso doméstico</v>
      </c>
      <c r="C1549" s="42" t="str">
        <f>IFERROR(VLOOKUP("UD",'[1]Informacion '!P:Q,2,FALSE),"")</f>
        <v>Unidad</v>
      </c>
      <c r="D1549" s="40">
        <v>1</v>
      </c>
      <c r="E1549" s="43">
        <v>1000</v>
      </c>
      <c r="F1549" s="44">
        <f t="shared" ca="1" si="18"/>
        <v>1000</v>
      </c>
    </row>
    <row r="1550" spans="1:6" x14ac:dyDescent="0.25">
      <c r="A1550" s="40" t="s">
        <v>344</v>
      </c>
      <c r="B1550" s="41" t="str">
        <f ca="1">IFERROR(INDEX(UNSPSCDes,MATCH(INDIRECT(ADDRESS(ROW(),COLUMN()-1,4)),UNSPSCCode,0)),IF(INDIRECT(ADDRESS(ROW(),COLUMN()-1,4))="52151704","Cucharas para uso doméstico",""))</f>
        <v>Cucharas para uso doméstico</v>
      </c>
      <c r="C1550" s="42" t="str">
        <f>IFERROR(VLOOKUP("UD",'[1]Informacion '!P:Q,2,FALSE),"")</f>
        <v>Unidad</v>
      </c>
      <c r="D1550" s="40">
        <v>1</v>
      </c>
      <c r="E1550" s="43">
        <v>1000</v>
      </c>
      <c r="F1550" s="44">
        <f t="shared" ca="1" si="18"/>
        <v>1000</v>
      </c>
    </row>
    <row r="1551" spans="1:6" x14ac:dyDescent="0.25">
      <c r="A1551" s="40" t="s">
        <v>345</v>
      </c>
      <c r="B1551" s="41" t="str">
        <f ca="1">IFERROR(INDEX(UNSPSCDes,MATCH(INDIRECT(ADDRESS(ROW(),COLUMN()-1,4)),UNSPSCCode,0)),IF(INDIRECT(ADDRESS(ROW(),COLUMN()-1,4))="48101909","Teteras o cafeteras para servicio de comidas",""))</f>
        <v>Teteras o cafeteras para servicio de comidas</v>
      </c>
      <c r="C1551" s="42" t="str">
        <f>IFERROR(VLOOKUP("UD",'[1]Informacion '!P:Q,2,FALSE),"")</f>
        <v>Unidad</v>
      </c>
      <c r="D1551" s="40">
        <v>1</v>
      </c>
      <c r="E1551" s="43">
        <v>1000</v>
      </c>
      <c r="F1551" s="44">
        <f t="shared" ca="1" si="18"/>
        <v>1000</v>
      </c>
    </row>
    <row r="1552" spans="1:6" x14ac:dyDescent="0.25">
      <c r="A1552" s="40" t="s">
        <v>346</v>
      </c>
      <c r="B1552" s="41" t="str">
        <f ca="1">IFERROR(INDEX(UNSPSCDes,MATCH(INDIRECT(ADDRESS(ROW(),COLUMN()-1,4)),UNSPSCCode,0)),IF(INDIRECT(ADDRESS(ROW(),COLUMN()-1,4))="48101905","Tazas o tazones (mugs) para servicio de comidas",""))</f>
        <v>Tazas o tazones (mugs) para servicio de comidas</v>
      </c>
      <c r="C1552" s="42" t="str">
        <f>IFERROR(VLOOKUP("UD",'[1]Informacion '!P:Q,2,FALSE),"")</f>
        <v>Unidad</v>
      </c>
      <c r="D1552" s="40">
        <v>1</v>
      </c>
      <c r="E1552" s="43">
        <v>1000</v>
      </c>
      <c r="F1552" s="44">
        <f t="shared" ca="1" si="18"/>
        <v>1000</v>
      </c>
    </row>
    <row r="1553" spans="1:6" x14ac:dyDescent="0.25">
      <c r="A1553" s="40" t="s">
        <v>344</v>
      </c>
      <c r="B1553" s="41" t="str">
        <f ca="1">IFERROR(INDEX(UNSPSCDes,MATCH(INDIRECT(ADDRESS(ROW(),COLUMN()-1,4)),UNSPSCCode,0)),IF(INDIRECT(ADDRESS(ROW(),COLUMN()-1,4))="52151704","Cucharas para uso doméstico",""))</f>
        <v>Cucharas para uso doméstico</v>
      </c>
      <c r="C1553" s="42" t="str">
        <f>IFERROR(VLOOKUP("UD",'[1]Informacion '!P:Q,2,FALSE),"")</f>
        <v>Unidad</v>
      </c>
      <c r="D1553" s="40">
        <v>1</v>
      </c>
      <c r="E1553" s="43">
        <v>1000</v>
      </c>
      <c r="F1553" s="44">
        <f t="shared" ca="1" si="18"/>
        <v>1000</v>
      </c>
    </row>
    <row r="1554" spans="1:6" x14ac:dyDescent="0.25">
      <c r="A1554" s="40" t="s">
        <v>347</v>
      </c>
      <c r="B1554" s="41" t="str">
        <f ca="1">IFERROR(INDEX(UNSPSCDes,MATCH(INDIRECT(ADDRESS(ROW(),COLUMN()-1,4)),UNSPSCCode,0)),IF(INDIRECT(ADDRESS(ROW(),COLUMN()-1,4))="52151602","Tazones mezcladores para uso doméstico",""))</f>
        <v>Tazones mezcladores para uso doméstico</v>
      </c>
      <c r="C1554" s="42" t="str">
        <f>IFERROR(VLOOKUP("UD",'[1]Informacion '!P:Q,2,FALSE),"")</f>
        <v>Unidad</v>
      </c>
      <c r="D1554" s="40">
        <v>1</v>
      </c>
      <c r="E1554" s="43">
        <v>1000</v>
      </c>
      <c r="F1554" s="44">
        <f t="shared" ca="1" si="18"/>
        <v>1000</v>
      </c>
    </row>
    <row r="1555" spans="1:6" x14ac:dyDescent="0.25">
      <c r="A1555" s="40" t="s">
        <v>341</v>
      </c>
      <c r="B1555" s="41" t="str">
        <f ca="1">IFERROR(INDEX(UNSPSCDes,MATCH(INDIRECT(ADDRESS(ROW(),COLUMN()-1,4)),UNSPSCCode,0)),IF(INDIRECT(ADDRESS(ROW(),COLUMN()-1,4))="52152004","Platos para uso doméstico",""))</f>
        <v>Platos para uso doméstico</v>
      </c>
      <c r="C1555" s="42" t="str">
        <f>IFERROR(VLOOKUP("UD",'[1]Informacion '!P:Q,2,FALSE),"")</f>
        <v>Unidad</v>
      </c>
      <c r="D1555" s="40">
        <v>1</v>
      </c>
      <c r="E1555" s="43">
        <v>1000</v>
      </c>
      <c r="F1555" s="44">
        <f t="shared" ca="1" si="18"/>
        <v>1000</v>
      </c>
    </row>
    <row r="1556" spans="1:6" x14ac:dyDescent="0.25">
      <c r="A1556" s="40" t="s">
        <v>348</v>
      </c>
      <c r="B1556" s="41" t="str">
        <f ca="1">IFERROR(INDEX(UNSPSCDes,MATCH(INDIRECT(ADDRESS(ROW(),COLUMN()-1,4)),UNSPSCCode,0)),IF(INDIRECT(ADDRESS(ROW(),COLUMN()-1,4))="49121505","Cajas de hielo",""))</f>
        <v>Cajas de hielo</v>
      </c>
      <c r="C1556" s="42" t="str">
        <f>IFERROR(VLOOKUP("UD",'[1]Informacion '!P:Q,2,FALSE),"")</f>
        <v>Unidad</v>
      </c>
      <c r="D1556" s="40">
        <v>1</v>
      </c>
      <c r="E1556" s="43">
        <v>1000</v>
      </c>
      <c r="F1556" s="44">
        <f t="shared" ca="1" si="18"/>
        <v>1000</v>
      </c>
    </row>
    <row r="1557" spans="1:6" x14ac:dyDescent="0.25">
      <c r="A1557" s="40" t="s">
        <v>349</v>
      </c>
      <c r="B1557" s="41" t="str">
        <f ca="1">IFERROR(INDEX(UNSPSCDes,MATCH(INDIRECT(ADDRESS(ROW(),COLUMN()-1,4)),UNSPSCCode,0)),IF(INDIRECT(ADDRESS(ROW(),COLUMN()-1,4))="52152001","Jarras para uso doméstico",""))</f>
        <v>Jarras para uso doméstico</v>
      </c>
      <c r="C1557" s="42" t="str">
        <f>IFERROR(VLOOKUP("UD",'[1]Informacion '!P:Q,2,FALSE),"")</f>
        <v>Unidad</v>
      </c>
      <c r="D1557" s="40">
        <v>1</v>
      </c>
      <c r="E1557" s="43">
        <v>1000</v>
      </c>
      <c r="F1557" s="44">
        <f t="shared" ca="1" si="18"/>
        <v>1000</v>
      </c>
    </row>
    <row r="1558" spans="1:6" x14ac:dyDescent="0.25">
      <c r="A1558" s="40" t="s">
        <v>350</v>
      </c>
      <c r="B1558" s="41" t="str">
        <f ca="1">IFERROR(INDEX(UNSPSCDes,MATCH(INDIRECT(ADDRESS(ROW(),COLUMN()-1,4)),UNSPSCCode,0)),IF(INDIRECT(ADDRESS(ROW(),COLUMN()-1,4))="52151702","Cuchillos para uso doméstico",""))</f>
        <v>Cuchillos para uso doméstico</v>
      </c>
      <c r="C1558" s="42" t="str">
        <f>IFERROR(VLOOKUP("UD",'[1]Informacion '!P:Q,2,FALSE),"")</f>
        <v>Unidad</v>
      </c>
      <c r="D1558" s="40">
        <v>1</v>
      </c>
      <c r="E1558" s="43">
        <v>1000</v>
      </c>
      <c r="F1558" s="44">
        <f t="shared" ca="1" si="18"/>
        <v>1000</v>
      </c>
    </row>
    <row r="1559" spans="1:6" x14ac:dyDescent="0.25">
      <c r="A1559" s="40" t="s">
        <v>344</v>
      </c>
      <c r="B1559" s="41" t="str">
        <f ca="1">IFERROR(INDEX(UNSPSCDes,MATCH(INDIRECT(ADDRESS(ROW(),COLUMN()-1,4)),UNSPSCCode,0)),IF(INDIRECT(ADDRESS(ROW(),COLUMN()-1,4))="52151704","Cucharas para uso doméstico",""))</f>
        <v>Cucharas para uso doméstico</v>
      </c>
      <c r="C1559" s="42" t="str">
        <f>IFERROR(VLOOKUP("UD",'[1]Informacion '!P:Q,2,FALSE),"")</f>
        <v>Unidad</v>
      </c>
      <c r="D1559" s="40">
        <v>1</v>
      </c>
      <c r="E1559" s="43">
        <v>1000</v>
      </c>
      <c r="F1559" s="44">
        <f t="shared" ca="1" si="18"/>
        <v>1000</v>
      </c>
    </row>
    <row r="1560" spans="1:6" x14ac:dyDescent="0.25">
      <c r="A1560" s="40" t="s">
        <v>347</v>
      </c>
      <c r="B1560" s="41" t="str">
        <f ca="1">IFERROR(INDEX(UNSPSCDes,MATCH(INDIRECT(ADDRESS(ROW(),COLUMN()-1,4)),UNSPSCCode,0)),IF(INDIRECT(ADDRESS(ROW(),COLUMN()-1,4))="52151602","Tazones mezcladores para uso doméstico",""))</f>
        <v>Tazones mezcladores para uso doméstico</v>
      </c>
      <c r="C1560" s="42" t="str">
        <f>IFERROR(VLOOKUP("UD",'[1]Informacion '!P:Q,2,FALSE),"")</f>
        <v>Unidad</v>
      </c>
      <c r="D1560" s="40">
        <v>1</v>
      </c>
      <c r="E1560" s="43">
        <v>1000</v>
      </c>
      <c r="F1560" s="44">
        <f t="shared" ca="1" si="18"/>
        <v>1000</v>
      </c>
    </row>
    <row r="1561" spans="1:6" x14ac:dyDescent="0.25">
      <c r="A1561" s="40" t="s">
        <v>351</v>
      </c>
      <c r="B1561" s="41" t="str">
        <f ca="1">IFERROR(INDEX(UNSPSCDes,MATCH(INDIRECT(ADDRESS(ROW(),COLUMN()-1,4)),UNSPSCCode,0)),IF(INDIRECT(ADDRESS(ROW(),COLUMN()-1,4))="52151709","Set de cubiertos",""))</f>
        <v>Set de cubiertos</v>
      </c>
      <c r="C1561" s="42" t="str">
        <f>IFERROR(VLOOKUP("UD",'[1]Informacion '!P:Q,2,FALSE),"")</f>
        <v>Unidad</v>
      </c>
      <c r="D1561" s="40">
        <v>1</v>
      </c>
      <c r="E1561" s="43">
        <v>1000</v>
      </c>
      <c r="F1561" s="44">
        <f t="shared" ca="1" si="18"/>
        <v>1000</v>
      </c>
    </row>
    <row r="1562" spans="1:6" x14ac:dyDescent="0.25">
      <c r="A1562" s="40" t="s">
        <v>352</v>
      </c>
      <c r="B1562" s="41" t="str">
        <f ca="1">IFERROR(INDEX(UNSPSCDes,MATCH(INDIRECT(ADDRESS(ROW(),COLUMN()-1,4)),UNSPSCCode,0)),IF(INDIRECT(ADDRESS(ROW(),COLUMN()-1,4))="52151705","Apoya cucharas",""))</f>
        <v>Apoya cucharas</v>
      </c>
      <c r="C1562" s="42" t="str">
        <f>IFERROR(VLOOKUP("UD",'[1]Informacion '!P:Q,2,FALSE),"")</f>
        <v>Unidad</v>
      </c>
      <c r="D1562" s="40">
        <v>1</v>
      </c>
      <c r="E1562" s="43">
        <v>1000</v>
      </c>
      <c r="F1562" s="44">
        <f t="shared" ca="1" si="18"/>
        <v>1000</v>
      </c>
    </row>
    <row r="1563" spans="1:6" x14ac:dyDescent="0.25">
      <c r="A1563" s="40" t="s">
        <v>353</v>
      </c>
      <c r="B1563" s="41" t="str">
        <f ca="1">IFERROR(INDEX(UNSPSCDes,MATCH(INDIRECT(ADDRESS(ROW(),COLUMN()-1,4)),UNSPSCCode,0)),IF(INDIRECT(ADDRESS(ROW(),COLUMN()-1,4))="48101803","Cucharones para uso comercial",""))</f>
        <v>Cucharones para uso comercial</v>
      </c>
      <c r="C1563" s="42" t="str">
        <f>IFERROR(VLOOKUP("UD",'[1]Informacion '!P:Q,2,FALSE),"")</f>
        <v>Unidad</v>
      </c>
      <c r="D1563" s="40">
        <v>1</v>
      </c>
      <c r="E1563" s="43">
        <v>2000</v>
      </c>
      <c r="F1563" s="44">
        <f t="shared" ca="1" si="18"/>
        <v>2000</v>
      </c>
    </row>
    <row r="1564" spans="1:6" x14ac:dyDescent="0.25">
      <c r="A1564" s="40" t="s">
        <v>354</v>
      </c>
      <c r="B1564" s="41" t="str">
        <f ca="1">IFERROR(INDEX(UNSPSCDes,MATCH(INDIRECT(ADDRESS(ROW(),COLUMN()-1,4)),UNSPSCCode,0)),IF(INDIRECT(ADDRESS(ROW(),COLUMN()-1,4))="48101808","Sartenes de salsa o para sofreír para uso comercial",""))</f>
        <v>Sartenes de salsa o para sofreír para uso comercial</v>
      </c>
      <c r="C1564" s="42" t="str">
        <f>IFERROR(VLOOKUP("UD",'[1]Informacion '!P:Q,2,FALSE),"")</f>
        <v>Unidad</v>
      </c>
      <c r="D1564" s="40">
        <v>1</v>
      </c>
      <c r="E1564" s="43">
        <v>7000</v>
      </c>
      <c r="F1564" s="44">
        <f t="shared" ca="1" si="18"/>
        <v>7000</v>
      </c>
    </row>
    <row r="1565" spans="1:6" x14ac:dyDescent="0.25">
      <c r="A1565" s="40" t="s">
        <v>355</v>
      </c>
      <c r="B1565" s="41" t="str">
        <f ca="1">IFERROR(INDEX(UNSPSCDes,MATCH(INDIRECT(ADDRESS(ROW(),COLUMN()-1,4)),UNSPSCCode,0)),IF(INDIRECT(ADDRESS(ROW(),COLUMN()-1,4))="52152006","Bandejas o fuentes para uso doméstico",""))</f>
        <v>Bandejas o fuentes para uso doméstico</v>
      </c>
      <c r="C1565" s="42" t="str">
        <f>IFERROR(VLOOKUP("UD",'[1]Informacion '!P:Q,2,FALSE),"")</f>
        <v>Unidad</v>
      </c>
      <c r="D1565" s="40">
        <v>1</v>
      </c>
      <c r="E1565" s="43">
        <v>5000</v>
      </c>
      <c r="F1565" s="44">
        <f t="shared" ca="1" si="18"/>
        <v>5000</v>
      </c>
    </row>
    <row r="1566" spans="1:6" x14ac:dyDescent="0.25">
      <c r="E1566" s="45" t="s">
        <v>47</v>
      </c>
      <c r="F1566" s="46">
        <f ca="1">SUM(Table128[MONTO TOTAL ESTIMADO])</f>
        <v>40000</v>
      </c>
    </row>
    <row r="1567" spans="1:6" ht="17.25" thickBot="1" x14ac:dyDescent="0.3"/>
    <row r="1568" spans="1:6" ht="23.25" thickBot="1" x14ac:dyDescent="0.3">
      <c r="A1568" s="30" t="s">
        <v>18</v>
      </c>
      <c r="B1568" s="30" t="s">
        <v>19</v>
      </c>
      <c r="C1568" s="30" t="s">
        <v>20</v>
      </c>
      <c r="D1568" s="30" t="s">
        <v>21</v>
      </c>
      <c r="E1568" s="30" t="s">
        <v>22</v>
      </c>
      <c r="F1568" s="30" t="s">
        <v>23</v>
      </c>
    </row>
    <row r="1569" spans="1:6" ht="17.25" thickBot="1" x14ac:dyDescent="0.3">
      <c r="A1569" s="31" t="s">
        <v>337</v>
      </c>
      <c r="B1569" s="31" t="s">
        <v>330</v>
      </c>
      <c r="C1569" s="31" t="s">
        <v>92</v>
      </c>
      <c r="D1569" s="31" t="s">
        <v>50</v>
      </c>
      <c r="E1569" s="31" t="s">
        <v>58</v>
      </c>
      <c r="F1569" s="31" t="s">
        <v>17</v>
      </c>
    </row>
    <row r="1570" spans="1:6" ht="17.25" thickBot="1" x14ac:dyDescent="0.3">
      <c r="A1570" s="32" t="s">
        <v>29</v>
      </c>
      <c r="B1570" s="33" t="s">
        <v>30</v>
      </c>
      <c r="C1570" s="34">
        <v>45108</v>
      </c>
      <c r="D1570" s="32" t="s">
        <v>31</v>
      </c>
      <c r="E1570" s="35" t="s">
        <v>32</v>
      </c>
      <c r="F1570" s="36" t="s">
        <v>33</v>
      </c>
    </row>
    <row r="1571" spans="1:6" ht="17.25" thickBot="1" x14ac:dyDescent="0.3">
      <c r="A1571" s="37"/>
      <c r="B1571" s="33" t="s">
        <v>34</v>
      </c>
      <c r="C1571" s="38">
        <f>IF(C1570="","",IF(AND(MONTH(C1570)&gt;=1,MONTH(C1570)&lt;=3),1,IF(AND(MONTH(C1570)&gt;=4,MONTH(C1570)&lt;=6),2,IF(AND(MONTH(C1570)&gt;=7,MONTH(C1570)&lt;=9),3,4))))</f>
        <v>3</v>
      </c>
      <c r="D1571" s="37"/>
      <c r="E1571" s="35" t="s">
        <v>35</v>
      </c>
      <c r="F1571" s="36" t="s">
        <v>36</v>
      </c>
    </row>
    <row r="1572" spans="1:6" ht="17.25" thickBot="1" x14ac:dyDescent="0.3">
      <c r="A1572" s="37"/>
      <c r="B1572" s="33" t="s">
        <v>37</v>
      </c>
      <c r="C1572" s="34">
        <v>45199</v>
      </c>
      <c r="D1572" s="37"/>
      <c r="E1572" s="35" t="s">
        <v>38</v>
      </c>
      <c r="F1572" s="36" t="s">
        <v>36</v>
      </c>
    </row>
    <row r="1573" spans="1:6" ht="17.25" thickBot="1" x14ac:dyDescent="0.3">
      <c r="A1573" s="37"/>
      <c r="B1573" s="33" t="s">
        <v>34</v>
      </c>
      <c r="C1573" s="38">
        <f>IF(C1572="","",IF(AND(MONTH(C1572)&gt;=1,MONTH(C1572)&lt;=3),1,IF(AND(MONTH(C1572)&gt;=4,MONTH(C1572)&lt;=6),2,IF(AND(MONTH(C1572)&gt;=7,MONTH(C1572)&lt;=9),3,4))))</f>
        <v>3</v>
      </c>
      <c r="D1573" s="37"/>
      <c r="E1573" s="35" t="s">
        <v>39</v>
      </c>
      <c r="F1573" s="36" t="s">
        <v>36</v>
      </c>
    </row>
    <row r="1574" spans="1:6" ht="17.25" thickBot="1" x14ac:dyDescent="0.3"/>
    <row r="1575" spans="1:6" ht="17.25" thickBot="1" x14ac:dyDescent="0.3">
      <c r="A1575" s="39" t="s">
        <v>40</v>
      </c>
      <c r="B1575" s="39" t="s">
        <v>41</v>
      </c>
      <c r="C1575" s="39" t="s">
        <v>42</v>
      </c>
      <c r="D1575" s="39" t="s">
        <v>43</v>
      </c>
      <c r="E1575" s="39" t="s">
        <v>44</v>
      </c>
      <c r="F1575" s="39" t="s">
        <v>45</v>
      </c>
    </row>
    <row r="1576" spans="1:6" x14ac:dyDescent="0.25">
      <c r="A1576" s="40" t="s">
        <v>338</v>
      </c>
      <c r="B1576" s="41" t="str">
        <f ca="1">IFERROR(INDEX(UNSPSCDes,MATCH(INDIRECT(ADDRESS(ROW(),COLUMN()-1,4)),UNSPSCCode,0)),IF(INDIRECT(ADDRESS(ROW(),COLUMN()-1,4))="52151501","Utensilios de cocina desechables para uso doméstico",""))</f>
        <v>Utensilios de cocina desechables para uso doméstico</v>
      </c>
      <c r="C1576" s="42" t="s">
        <v>66</v>
      </c>
      <c r="D1576" s="40">
        <v>1</v>
      </c>
      <c r="E1576" s="43">
        <v>15000</v>
      </c>
      <c r="F1576" s="44">
        <f ca="1">INDIRECT(ADDRESS(ROW(),COLUMN()-2,4))*INDIRECT(ADDRESS(ROW(),COLUMN()-1,4))</f>
        <v>15000</v>
      </c>
    </row>
    <row r="1577" spans="1:6" x14ac:dyDescent="0.25">
      <c r="E1577" s="45" t="s">
        <v>47</v>
      </c>
      <c r="F1577" s="46">
        <f ca="1">SUM(Table129[MONTO TOTAL ESTIMADO])</f>
        <v>15000</v>
      </c>
    </row>
    <row r="1578" spans="1:6" ht="17.25" thickBot="1" x14ac:dyDescent="0.3"/>
    <row r="1579" spans="1:6" ht="23.25" thickBot="1" x14ac:dyDescent="0.3">
      <c r="A1579" s="30" t="s">
        <v>18</v>
      </c>
      <c r="B1579" s="30" t="s">
        <v>19</v>
      </c>
      <c r="C1579" s="30" t="s">
        <v>20</v>
      </c>
      <c r="D1579" s="30" t="s">
        <v>21</v>
      </c>
      <c r="E1579" s="30" t="s">
        <v>22</v>
      </c>
      <c r="F1579" s="30" t="s">
        <v>23</v>
      </c>
    </row>
    <row r="1580" spans="1:6" ht="17.25" thickBot="1" x14ac:dyDescent="0.3">
      <c r="A1580" s="31" t="s">
        <v>356</v>
      </c>
      <c r="B1580" s="31" t="s">
        <v>357</v>
      </c>
      <c r="C1580" s="31" t="s">
        <v>92</v>
      </c>
      <c r="D1580" s="31" t="s">
        <v>50</v>
      </c>
      <c r="E1580" s="31" t="s">
        <v>58</v>
      </c>
      <c r="F1580" s="31" t="s">
        <v>17</v>
      </c>
    </row>
    <row r="1581" spans="1:6" ht="17.25" thickBot="1" x14ac:dyDescent="0.3">
      <c r="A1581" s="32" t="s">
        <v>29</v>
      </c>
      <c r="B1581" s="33" t="s">
        <v>30</v>
      </c>
      <c r="C1581" s="34">
        <v>44958</v>
      </c>
      <c r="D1581" s="32" t="s">
        <v>31</v>
      </c>
      <c r="E1581" s="35" t="s">
        <v>32</v>
      </c>
      <c r="F1581" s="36" t="s">
        <v>33</v>
      </c>
    </row>
    <row r="1582" spans="1:6" ht="17.25" thickBot="1" x14ac:dyDescent="0.3">
      <c r="A1582" s="37"/>
      <c r="B1582" s="33" t="s">
        <v>34</v>
      </c>
      <c r="C1582" s="38">
        <f>IF(C1581="","",IF(AND(MONTH(C1581)&gt;=1,MONTH(C1581)&lt;=3),1,IF(AND(MONTH(C1581)&gt;=4,MONTH(C1581)&lt;=6),2,IF(AND(MONTH(C1581)&gt;=7,MONTH(C1581)&lt;=9),3,4))))</f>
        <v>1</v>
      </c>
      <c r="D1582" s="37"/>
      <c r="E1582" s="35" t="s">
        <v>35</v>
      </c>
      <c r="F1582" s="36" t="s">
        <v>36</v>
      </c>
    </row>
    <row r="1583" spans="1:6" ht="17.25" thickBot="1" x14ac:dyDescent="0.3">
      <c r="A1583" s="37"/>
      <c r="B1583" s="33" t="s">
        <v>37</v>
      </c>
      <c r="C1583" s="34">
        <v>45016</v>
      </c>
      <c r="D1583" s="37"/>
      <c r="E1583" s="35" t="s">
        <v>38</v>
      </c>
      <c r="F1583" s="36" t="s">
        <v>36</v>
      </c>
    </row>
    <row r="1584" spans="1:6" ht="17.25" thickBot="1" x14ac:dyDescent="0.3">
      <c r="A1584" s="37"/>
      <c r="B1584" s="33" t="s">
        <v>34</v>
      </c>
      <c r="C1584" s="38">
        <f>IF(C1583="","",IF(AND(MONTH(C1583)&gt;=1,MONTH(C1583)&lt;=3),1,IF(AND(MONTH(C1583)&gt;=4,MONTH(C1583)&lt;=6),2,IF(AND(MONTH(C1583)&gt;=7,MONTH(C1583)&lt;=9),3,4))))</f>
        <v>1</v>
      </c>
      <c r="D1584" s="37"/>
      <c r="E1584" s="35" t="s">
        <v>39</v>
      </c>
      <c r="F1584" s="36" t="s">
        <v>36</v>
      </c>
    </row>
    <row r="1585" spans="1:6" ht="17.25" thickBot="1" x14ac:dyDescent="0.3"/>
    <row r="1586" spans="1:6" ht="17.25" thickBot="1" x14ac:dyDescent="0.3">
      <c r="A1586" s="39" t="s">
        <v>40</v>
      </c>
      <c r="B1586" s="39" t="s">
        <v>41</v>
      </c>
      <c r="C1586" s="39" t="s">
        <v>42</v>
      </c>
      <c r="D1586" s="39" t="s">
        <v>43</v>
      </c>
      <c r="E1586" s="39" t="s">
        <v>44</v>
      </c>
      <c r="F1586" s="39" t="s">
        <v>45</v>
      </c>
    </row>
    <row r="1587" spans="1:6" x14ac:dyDescent="0.25">
      <c r="A1587" s="40" t="s">
        <v>358</v>
      </c>
      <c r="B1587" s="41" t="str">
        <f ca="1">IFERROR(INDEX(UNSPSCDes,MATCH(INDIRECT(ADDRESS(ROW(),COLUMN()-1,4)),UNSPSCCode,0)),IF(INDIRECT(ADDRESS(ROW(),COLUMN()-1,4))="26111703","Baterías para vehículos",""))</f>
        <v>Baterías para vehículos</v>
      </c>
      <c r="C1587" s="42" t="s">
        <v>66</v>
      </c>
      <c r="D1587" s="40">
        <v>1</v>
      </c>
      <c r="E1587" s="43">
        <v>15000</v>
      </c>
      <c r="F1587" s="44">
        <f ca="1">INDIRECT(ADDRESS(ROW(),COLUMN()-2,4))*INDIRECT(ADDRESS(ROW(),COLUMN()-1,4))</f>
        <v>15000</v>
      </c>
    </row>
    <row r="1588" spans="1:6" x14ac:dyDescent="0.25">
      <c r="A1588" s="40">
        <v>39121721</v>
      </c>
      <c r="B1588" s="41" t="str">
        <f ca="1">IFERROR(INDEX(UNSPSCDes,MATCH(INDIRECT(ADDRESS(ROW(),COLUMN()-1,4)),UNSPSCCode,0)),IF(INDIRECT(ADDRESS(ROW(),COLUMN()-1,4))="26111703","Baterías para vehículos",""))</f>
        <v>Aislantes eléctricos</v>
      </c>
      <c r="C1588" s="42" t="s">
        <v>66</v>
      </c>
      <c r="D1588" s="40">
        <v>20</v>
      </c>
      <c r="E1588" s="43">
        <v>500</v>
      </c>
      <c r="F1588" s="44">
        <f ca="1">INDIRECT(ADDRESS(ROW(),COLUMN()-2,4))*INDIRECT(ADDRESS(ROW(),COLUMN()-1,4))</f>
        <v>10000</v>
      </c>
    </row>
    <row r="1589" spans="1:6" x14ac:dyDescent="0.25">
      <c r="A1589" s="40">
        <v>32121503</v>
      </c>
      <c r="B1589" s="41" t="str">
        <f ca="1">IFERROR(INDEX(UNSPSCDes,MATCH(INDIRECT(ADDRESS(ROW(),COLUMN()-1,4)),UNSPSCCode,0)),IF(INDIRECT(ADDRESS(ROW(),COLUMN()-1,4))="26111703","Baterías para vehículos",""))</f>
        <v>Capacitores ajustables pre - ajustados</v>
      </c>
      <c r="C1589" s="42" t="s">
        <v>66</v>
      </c>
      <c r="D1589" s="40">
        <v>30</v>
      </c>
      <c r="E1589" s="43">
        <v>500</v>
      </c>
      <c r="F1589" s="44">
        <f ca="1">INDIRECT(ADDRESS(ROW(),COLUMN()-2,4))*INDIRECT(ADDRESS(ROW(),COLUMN()-1,4))</f>
        <v>15000</v>
      </c>
    </row>
    <row r="1590" spans="1:6" x14ac:dyDescent="0.25">
      <c r="E1590" s="45" t="s">
        <v>47</v>
      </c>
      <c r="F1590" s="46">
        <f ca="1">SUM(Table130[MONTO TOTAL ESTIMADO])</f>
        <v>40000</v>
      </c>
    </row>
    <row r="1591" spans="1:6" ht="17.25" thickBot="1" x14ac:dyDescent="0.3"/>
    <row r="1592" spans="1:6" ht="23.25" thickBot="1" x14ac:dyDescent="0.3">
      <c r="A1592" s="30" t="s">
        <v>18</v>
      </c>
      <c r="B1592" s="30" t="s">
        <v>19</v>
      </c>
      <c r="C1592" s="30" t="s">
        <v>20</v>
      </c>
      <c r="D1592" s="30" t="s">
        <v>21</v>
      </c>
      <c r="E1592" s="30" t="s">
        <v>22</v>
      </c>
      <c r="F1592" s="30" t="s">
        <v>23</v>
      </c>
    </row>
    <row r="1593" spans="1:6" ht="17.25" thickBot="1" x14ac:dyDescent="0.3">
      <c r="A1593" s="31" t="s">
        <v>356</v>
      </c>
      <c r="B1593" s="31" t="s">
        <v>357</v>
      </c>
      <c r="C1593" s="31" t="s">
        <v>92</v>
      </c>
      <c r="D1593" s="31" t="s">
        <v>50</v>
      </c>
      <c r="E1593" s="31" t="s">
        <v>58</v>
      </c>
      <c r="F1593" s="31"/>
    </row>
    <row r="1594" spans="1:6" ht="17.25" thickBot="1" x14ac:dyDescent="0.3">
      <c r="A1594" s="32" t="s">
        <v>29</v>
      </c>
      <c r="B1594" s="33" t="s">
        <v>30</v>
      </c>
      <c r="C1594" s="34">
        <v>45017</v>
      </c>
      <c r="D1594" s="32" t="s">
        <v>31</v>
      </c>
      <c r="E1594" s="35" t="s">
        <v>32</v>
      </c>
      <c r="F1594" s="36" t="s">
        <v>33</v>
      </c>
    </row>
    <row r="1595" spans="1:6" ht="17.25" thickBot="1" x14ac:dyDescent="0.3">
      <c r="A1595" s="37"/>
      <c r="B1595" s="33" t="s">
        <v>34</v>
      </c>
      <c r="C1595" s="38">
        <f>IF(C1594="","",IF(AND(MONTH(C1594)&gt;=1,MONTH(C1594)&lt;=3),1,IF(AND(MONTH(C1594)&gt;=4,MONTH(C1594)&lt;=6),2,IF(AND(MONTH(C1594)&gt;=7,MONTH(C1594)&lt;=9),3,4))))</f>
        <v>2</v>
      </c>
      <c r="D1595" s="37"/>
      <c r="E1595" s="35" t="s">
        <v>35</v>
      </c>
      <c r="F1595" s="36" t="s">
        <v>36</v>
      </c>
    </row>
    <row r="1596" spans="1:6" ht="17.25" thickBot="1" x14ac:dyDescent="0.3">
      <c r="A1596" s="37"/>
      <c r="B1596" s="33" t="s">
        <v>37</v>
      </c>
      <c r="C1596" s="34">
        <v>45106</v>
      </c>
      <c r="D1596" s="37"/>
      <c r="E1596" s="35" t="s">
        <v>38</v>
      </c>
      <c r="F1596" s="36" t="s">
        <v>36</v>
      </c>
    </row>
    <row r="1597" spans="1:6" ht="17.25" thickBot="1" x14ac:dyDescent="0.3">
      <c r="A1597" s="37"/>
      <c r="B1597" s="33" t="s">
        <v>34</v>
      </c>
      <c r="C1597" s="38">
        <f>IF(C1596="","",IF(AND(MONTH(C1596)&gt;=1,MONTH(C1596)&lt;=3),1,IF(AND(MONTH(C1596)&gt;=4,MONTH(C1596)&lt;=6),2,IF(AND(MONTH(C1596)&gt;=7,MONTH(C1596)&lt;=9),3,4))))</f>
        <v>2</v>
      </c>
      <c r="D1597" s="37"/>
      <c r="E1597" s="35" t="s">
        <v>39</v>
      </c>
      <c r="F1597" s="36" t="s">
        <v>36</v>
      </c>
    </row>
    <row r="1598" spans="1:6" ht="17.25" thickBot="1" x14ac:dyDescent="0.3"/>
    <row r="1599" spans="1:6" ht="17.25" thickBot="1" x14ac:dyDescent="0.3">
      <c r="A1599" s="39" t="s">
        <v>40</v>
      </c>
      <c r="B1599" s="39" t="s">
        <v>41</v>
      </c>
      <c r="C1599" s="39" t="s">
        <v>42</v>
      </c>
      <c r="D1599" s="39" t="s">
        <v>43</v>
      </c>
      <c r="E1599" s="39" t="s">
        <v>44</v>
      </c>
      <c r="F1599" s="39" t="s">
        <v>45</v>
      </c>
    </row>
    <row r="1600" spans="1:6" x14ac:dyDescent="0.25">
      <c r="A1600" s="40" t="s">
        <v>358</v>
      </c>
      <c r="B1600" s="41" t="str">
        <f ca="1">IFERROR(INDEX(UNSPSCDes,MATCH(INDIRECT(ADDRESS(ROW(),COLUMN()-1,4)),UNSPSCCode,0)),IF(INDIRECT(ADDRESS(ROW(),COLUMN()-1,4))="26111703","Baterías para vehículos",""))</f>
        <v>Baterías para vehículos</v>
      </c>
      <c r="C1600" s="42" t="str">
        <f>IFERROR(VLOOKUP("UD",'[1]Informacion '!P:Q,2,FALSE),"")</f>
        <v>Unidad</v>
      </c>
      <c r="D1600" s="40">
        <v>1</v>
      </c>
      <c r="E1600" s="43">
        <v>1100</v>
      </c>
      <c r="F1600" s="44">
        <f t="shared" ref="F1600:F1608" ca="1" si="19">INDIRECT(ADDRESS(ROW(),COLUMN()-2,4))*INDIRECT(ADDRESS(ROW(),COLUMN()-1,4))</f>
        <v>1100</v>
      </c>
    </row>
    <row r="1601" spans="1:6" x14ac:dyDescent="0.25">
      <c r="A1601" s="40" t="s">
        <v>359</v>
      </c>
      <c r="B1601" s="41" t="str">
        <f ca="1">IFERROR(INDEX(UNSPSCDes,MATCH(INDIRECT(ADDRESS(ROW(),COLUMN()-1,4)),UNSPSCCode,0)),IF(INDIRECT(ADDRESS(ROW(),COLUMN()-1,4))="39121529","Contactores",""))</f>
        <v>Contactores</v>
      </c>
      <c r="C1601" s="42" t="str">
        <f>IFERROR(VLOOKUP("UD",'[1]Informacion '!P:Q,2,FALSE),"")</f>
        <v>Unidad</v>
      </c>
      <c r="D1601" s="40">
        <v>1</v>
      </c>
      <c r="E1601" s="43">
        <v>10000</v>
      </c>
      <c r="F1601" s="44">
        <f t="shared" ca="1" si="19"/>
        <v>10000</v>
      </c>
    </row>
    <row r="1602" spans="1:6" x14ac:dyDescent="0.25">
      <c r="A1602" s="40" t="s">
        <v>360</v>
      </c>
      <c r="B1602" s="41" t="str">
        <f ca="1">IFERROR(INDEX(UNSPSCDes,MATCH(INDIRECT(ADDRESS(ROW(),COLUMN()-1,4)),UNSPSCCode,0)),IF(INDIRECT(ADDRESS(ROW(),COLUMN()-1,4))="25172907","Luz frontal del vehículo",""))</f>
        <v>Luz frontal del vehículo</v>
      </c>
      <c r="C1602" s="42" t="str">
        <f>IFERROR(VLOOKUP("UD",'[1]Informacion '!P:Q,2,FALSE),"")</f>
        <v>Unidad</v>
      </c>
      <c r="D1602" s="40">
        <v>1</v>
      </c>
      <c r="E1602" s="43">
        <v>1000</v>
      </c>
      <c r="F1602" s="44">
        <f t="shared" ca="1" si="19"/>
        <v>1000</v>
      </c>
    </row>
    <row r="1603" spans="1:6" x14ac:dyDescent="0.25">
      <c r="A1603" s="40" t="s">
        <v>361</v>
      </c>
      <c r="B1603" s="41" t="str">
        <f ca="1">IFERROR(INDEX(UNSPSCDes,MATCH(INDIRECT(ADDRESS(ROW(),COLUMN()-1,4)),UNSPSCCode,0)),IF(INDIRECT(ADDRESS(ROW(),COLUMN()-1,4))="32121501","Capacitores fijos",""))</f>
        <v>Capacitores fijos</v>
      </c>
      <c r="C1603" s="42" t="str">
        <f>IFERROR(VLOOKUP("UD",'[1]Informacion '!P:Q,2,FALSE),"")</f>
        <v>Unidad</v>
      </c>
      <c r="D1603" s="40">
        <v>1</v>
      </c>
      <c r="E1603" s="43">
        <v>22600</v>
      </c>
      <c r="F1603" s="44">
        <f t="shared" ca="1" si="19"/>
        <v>22600</v>
      </c>
    </row>
    <row r="1604" spans="1:6" x14ac:dyDescent="0.25">
      <c r="A1604" s="40" t="s">
        <v>362</v>
      </c>
      <c r="B1604" s="41" t="str">
        <f ca="1">IFERROR(INDEX(UNSPSCDes,MATCH(INDIRECT(ADDRESS(ROW(),COLUMN()-1,4)),UNSPSCCode,0)),IF(INDIRECT(ADDRESS(ROW(),COLUMN()-1,4))="39121549","Termostato",""))</f>
        <v>Termostato</v>
      </c>
      <c r="C1604" s="42" t="str">
        <f>IFERROR(VLOOKUP("UD",'[1]Informacion '!P:Q,2,FALSE),"")</f>
        <v>Unidad</v>
      </c>
      <c r="D1604" s="40">
        <v>1</v>
      </c>
      <c r="E1604" s="43">
        <v>12000</v>
      </c>
      <c r="F1604" s="44">
        <f t="shared" ca="1" si="19"/>
        <v>12000</v>
      </c>
    </row>
    <row r="1605" spans="1:6" x14ac:dyDescent="0.25">
      <c r="A1605" s="40" t="s">
        <v>363</v>
      </c>
      <c r="B1605" s="41" t="str">
        <f ca="1">IFERROR(INDEX(UNSPSCDes,MATCH(INDIRECT(ADDRESS(ROW(),COLUMN()-1,4)),UNSPSCCode,0)),IF(INDIRECT(ADDRESS(ROW(),COLUMN()-1,4))="39121407","Strips de conexiones",""))</f>
        <v>Strips de conexiones</v>
      </c>
      <c r="C1605" s="42" t="str">
        <f>IFERROR(VLOOKUP("UD",'[1]Informacion '!P:Q,2,FALSE),"")</f>
        <v>Unidad</v>
      </c>
      <c r="D1605" s="40">
        <v>1</v>
      </c>
      <c r="E1605" s="43">
        <v>1100</v>
      </c>
      <c r="F1605" s="44">
        <f t="shared" ca="1" si="19"/>
        <v>1100</v>
      </c>
    </row>
    <row r="1606" spans="1:6" x14ac:dyDescent="0.25">
      <c r="A1606" s="40" t="s">
        <v>364</v>
      </c>
      <c r="B1606" s="41" t="str">
        <f ca="1">IFERROR(INDEX(UNSPSCDes,MATCH(INDIRECT(ADDRESS(ROW(),COLUMN()-1,4)),UNSPSCCode,0)),IF(INDIRECT(ADDRESS(ROW(),COLUMN()-1,4))="26111701","Baterías recargables",""))</f>
        <v>Baterías recargables</v>
      </c>
      <c r="C1606" s="42" t="str">
        <f>IFERROR(VLOOKUP("UD",'[1]Informacion '!P:Q,2,FALSE),"")</f>
        <v>Unidad</v>
      </c>
      <c r="D1606" s="40">
        <v>1</v>
      </c>
      <c r="E1606" s="43">
        <v>12000</v>
      </c>
      <c r="F1606" s="44">
        <f t="shared" ca="1" si="19"/>
        <v>12000</v>
      </c>
    </row>
    <row r="1607" spans="1:6" x14ac:dyDescent="0.25">
      <c r="A1607" s="40" t="s">
        <v>365</v>
      </c>
      <c r="B1607" s="41" t="str">
        <f ca="1">IFERROR(INDEX(UNSPSCDes,MATCH(INDIRECT(ADDRESS(ROW(),COLUMN()-1,4)),UNSPSCCode,0)),IF(INDIRECT(ADDRESS(ROW(),COLUMN()-1,4))="39111704","Luces proyectantes",""))</f>
        <v>Luces proyectantes</v>
      </c>
      <c r="C1607" s="42" t="str">
        <f>IFERROR(VLOOKUP("UD",'[1]Informacion '!P:Q,2,FALSE),"")</f>
        <v>Unidad</v>
      </c>
      <c r="D1607" s="40">
        <v>1</v>
      </c>
      <c r="E1607" s="43">
        <v>39000</v>
      </c>
      <c r="F1607" s="44">
        <f t="shared" ca="1" si="19"/>
        <v>39000</v>
      </c>
    </row>
    <row r="1608" spans="1:6" x14ac:dyDescent="0.25">
      <c r="A1608" s="40" t="s">
        <v>366</v>
      </c>
      <c r="B1608" s="41" t="str">
        <f ca="1">IFERROR(INDEX(UNSPSCDes,MATCH(INDIRECT(ADDRESS(ROW(),COLUMN()-1,4)),UNSPSCCode,0)),IF(INDIRECT(ADDRESS(ROW(),COLUMN()-1,4))="39101601","Lámparas halógenas",""))</f>
        <v>Lámparas halógenas</v>
      </c>
      <c r="C1608" s="42" t="str">
        <f>IFERROR(VLOOKUP("UD",'[1]Informacion '!P:Q,2,FALSE),"")</f>
        <v>Unidad</v>
      </c>
      <c r="D1608" s="40">
        <v>1</v>
      </c>
      <c r="E1608" s="43">
        <v>1200</v>
      </c>
      <c r="F1608" s="44">
        <f t="shared" ca="1" si="19"/>
        <v>1200</v>
      </c>
    </row>
    <row r="1609" spans="1:6" x14ac:dyDescent="0.25">
      <c r="E1609" s="45" t="s">
        <v>47</v>
      </c>
      <c r="F1609" s="46">
        <f ca="1">SUM(Table131[MONTO TOTAL ESTIMADO])</f>
        <v>100000</v>
      </c>
    </row>
    <row r="1610" spans="1:6" ht="17.25" thickBot="1" x14ac:dyDescent="0.3"/>
    <row r="1611" spans="1:6" ht="23.25" thickBot="1" x14ac:dyDescent="0.3">
      <c r="A1611" s="30" t="s">
        <v>18</v>
      </c>
      <c r="B1611" s="30" t="s">
        <v>19</v>
      </c>
      <c r="C1611" s="30" t="s">
        <v>20</v>
      </c>
      <c r="D1611" s="30" t="s">
        <v>21</v>
      </c>
      <c r="E1611" s="30" t="s">
        <v>22</v>
      </c>
      <c r="F1611" s="30" t="s">
        <v>23</v>
      </c>
    </row>
    <row r="1612" spans="1:6" ht="17.25" thickBot="1" x14ac:dyDescent="0.3">
      <c r="A1612" s="31" t="s">
        <v>356</v>
      </c>
      <c r="B1612" s="31" t="s">
        <v>357</v>
      </c>
      <c r="C1612" s="31" t="s">
        <v>92</v>
      </c>
      <c r="D1612" s="31" t="s">
        <v>50</v>
      </c>
      <c r="E1612" s="31" t="s">
        <v>58</v>
      </c>
      <c r="F1612" s="31"/>
    </row>
    <row r="1613" spans="1:6" ht="17.25" thickBot="1" x14ac:dyDescent="0.3">
      <c r="A1613" s="32" t="s">
        <v>29</v>
      </c>
      <c r="B1613" s="33" t="s">
        <v>30</v>
      </c>
      <c r="C1613" s="34">
        <v>45108</v>
      </c>
      <c r="D1613" s="32" t="s">
        <v>31</v>
      </c>
      <c r="E1613" s="35" t="s">
        <v>32</v>
      </c>
      <c r="F1613" s="36" t="s">
        <v>33</v>
      </c>
    </row>
    <row r="1614" spans="1:6" ht="17.25" thickBot="1" x14ac:dyDescent="0.3">
      <c r="A1614" s="37"/>
      <c r="B1614" s="33" t="s">
        <v>34</v>
      </c>
      <c r="C1614" s="38">
        <f>IF(C1613="","",IF(AND(MONTH(C1613)&gt;=1,MONTH(C1613)&lt;=3),1,IF(AND(MONTH(C1613)&gt;=4,MONTH(C1613)&lt;=6),2,IF(AND(MONTH(C1613)&gt;=7,MONTH(C1613)&lt;=9),3,4))))</f>
        <v>3</v>
      </c>
      <c r="D1614" s="37"/>
      <c r="E1614" s="35" t="s">
        <v>35</v>
      </c>
      <c r="F1614" s="36" t="s">
        <v>36</v>
      </c>
    </row>
    <row r="1615" spans="1:6" ht="17.25" thickBot="1" x14ac:dyDescent="0.3">
      <c r="A1615" s="37"/>
      <c r="B1615" s="33" t="s">
        <v>37</v>
      </c>
      <c r="C1615" s="34">
        <v>45198</v>
      </c>
      <c r="D1615" s="37"/>
      <c r="E1615" s="35" t="s">
        <v>38</v>
      </c>
      <c r="F1615" s="36" t="s">
        <v>36</v>
      </c>
    </row>
    <row r="1616" spans="1:6" ht="17.25" thickBot="1" x14ac:dyDescent="0.3">
      <c r="A1616" s="37"/>
      <c r="B1616" s="33" t="s">
        <v>34</v>
      </c>
      <c r="C1616" s="38">
        <f>IF(C1615="","",IF(AND(MONTH(C1615)&gt;=1,MONTH(C1615)&lt;=3),1,IF(AND(MONTH(C1615)&gt;=4,MONTH(C1615)&lt;=6),2,IF(AND(MONTH(C1615)&gt;=7,MONTH(C1615)&lt;=9),3,4))))</f>
        <v>3</v>
      </c>
      <c r="D1616" s="37"/>
      <c r="E1616" s="35" t="s">
        <v>39</v>
      </c>
      <c r="F1616" s="36" t="s">
        <v>36</v>
      </c>
    </row>
    <row r="1617" spans="1:6" ht="17.25" thickBot="1" x14ac:dyDescent="0.3"/>
    <row r="1618" spans="1:6" ht="17.25" thickBot="1" x14ac:dyDescent="0.3">
      <c r="A1618" s="39" t="s">
        <v>40</v>
      </c>
      <c r="B1618" s="39" t="s">
        <v>41</v>
      </c>
      <c r="C1618" s="39" t="s">
        <v>42</v>
      </c>
      <c r="D1618" s="39" t="s">
        <v>43</v>
      </c>
      <c r="E1618" s="39" t="s">
        <v>44</v>
      </c>
      <c r="F1618" s="39" t="s">
        <v>45</v>
      </c>
    </row>
    <row r="1619" spans="1:6" x14ac:dyDescent="0.25">
      <c r="A1619" s="40" t="s">
        <v>358</v>
      </c>
      <c r="B1619" s="41" t="str">
        <f ca="1">IFERROR(INDEX(UNSPSCDes,MATCH(INDIRECT(ADDRESS(ROW(),COLUMN()-1,4)),UNSPSCCode,0)),IF(INDIRECT(ADDRESS(ROW(),COLUMN()-1,4))="26111703","Baterías para vehículos",""))</f>
        <v>Baterías para vehículos</v>
      </c>
      <c r="C1619" s="42" t="str">
        <f>IFERROR(VLOOKUP("UD",'[1]Informacion '!P:Q,2,FALSE),"")</f>
        <v>Unidad</v>
      </c>
      <c r="D1619" s="40">
        <v>1</v>
      </c>
      <c r="E1619" s="43">
        <v>1</v>
      </c>
      <c r="F1619" s="44">
        <f ca="1">INDIRECT(ADDRESS(ROW(),COLUMN()-2,4))*INDIRECT(ADDRESS(ROW(),COLUMN()-1,4))</f>
        <v>1</v>
      </c>
    </row>
    <row r="1620" spans="1:6" x14ac:dyDescent="0.25">
      <c r="A1620" s="40" t="s">
        <v>367</v>
      </c>
      <c r="B1620" s="41" t="str">
        <f ca="1">IFERROR(INDEX(UNSPSCDes,MATCH(INDIRECT(ADDRESS(ROW(),COLUMN()-1,4)),UNSPSCCode,0)),IF(INDIRECT(ADDRESS(ROW(),COLUMN()-1,4))="26121609","Cable de redes",""))</f>
        <v>Cable de redes</v>
      </c>
      <c r="C1620" s="42" t="str">
        <f>IFERROR(VLOOKUP("UD",'[1]Informacion '!P:Q,2,FALSE),"")</f>
        <v>Unidad</v>
      </c>
      <c r="D1620" s="40">
        <v>1</v>
      </c>
      <c r="E1620" s="43">
        <v>1</v>
      </c>
      <c r="F1620" s="44">
        <f ca="1">INDIRECT(ADDRESS(ROW(),COLUMN()-2,4))*INDIRECT(ADDRESS(ROW(),COLUMN()-1,4))</f>
        <v>1</v>
      </c>
    </row>
    <row r="1621" spans="1:6" x14ac:dyDescent="0.25">
      <c r="A1621" s="40" t="s">
        <v>368</v>
      </c>
      <c r="B1621" s="41" t="str">
        <f ca="1">IFERROR(INDEX(UNSPSCDes,MATCH(INDIRECT(ADDRESS(ROW(),COLUMN()-1,4)),UNSPSCCode,0)),IF(INDIRECT(ADDRESS(ROW(),COLUMN()-1,4))="39121601","Breakers de circuito",""))</f>
        <v>Breakers de circuito</v>
      </c>
      <c r="C1621" s="42" t="str">
        <f>IFERROR(VLOOKUP("UD",'[1]Informacion '!P:Q,2,FALSE),"")</f>
        <v>Unidad</v>
      </c>
      <c r="D1621" s="40">
        <v>1</v>
      </c>
      <c r="E1621" s="43">
        <v>1</v>
      </c>
      <c r="F1621" s="44">
        <f ca="1">INDIRECT(ADDRESS(ROW(),COLUMN()-2,4))*INDIRECT(ADDRESS(ROW(),COLUMN()-1,4))</f>
        <v>1</v>
      </c>
    </row>
    <row r="1622" spans="1:6" x14ac:dyDescent="0.25">
      <c r="A1622" s="40" t="s">
        <v>369</v>
      </c>
      <c r="B1622" s="41" t="str">
        <f ca="1">IFERROR(INDEX(UNSPSCDes,MATCH(INDIRECT(ADDRESS(ROW(),COLUMN()-1,4)),UNSPSCCode,0)),IF(INDIRECT(ADDRESS(ROW(),COLUMN()-1,4))="39101605","Lámparas fluorescentes",""))</f>
        <v>Lámparas fluorescentes</v>
      </c>
      <c r="C1622" s="42" t="str">
        <f>IFERROR(VLOOKUP("UD",'[1]Informacion '!P:Q,2,FALSE),"")</f>
        <v>Unidad</v>
      </c>
      <c r="D1622" s="40">
        <v>1</v>
      </c>
      <c r="E1622" s="43">
        <v>1</v>
      </c>
      <c r="F1622" s="44">
        <f ca="1">INDIRECT(ADDRESS(ROW(),COLUMN()-2,4))*INDIRECT(ADDRESS(ROW(),COLUMN()-1,4))</f>
        <v>1</v>
      </c>
    </row>
    <row r="1623" spans="1:6" x14ac:dyDescent="0.25">
      <c r="A1623" s="40" t="s">
        <v>370</v>
      </c>
      <c r="B1623" s="41" t="str">
        <f ca="1">IFERROR(INDEX(UNSPSCDes,MATCH(INDIRECT(ADDRESS(ROW(),COLUMN()-1,4)),UNSPSCCode,0)),IF(INDIRECT(ADDRESS(ROW(),COLUMN()-1,4))="26111707","Baterías de plomo-ácido",""))</f>
        <v>Baterías de plomo-ácido</v>
      </c>
      <c r="C1623" s="42" t="str">
        <f>IFERROR(VLOOKUP("UD",'[1]Informacion '!P:Q,2,FALSE),"")</f>
        <v>Unidad</v>
      </c>
      <c r="D1623" s="40">
        <v>1</v>
      </c>
      <c r="E1623" s="43">
        <v>1</v>
      </c>
      <c r="F1623" s="44">
        <f ca="1">INDIRECT(ADDRESS(ROW(),COLUMN()-2,4))*INDIRECT(ADDRESS(ROW(),COLUMN()-1,4))</f>
        <v>1</v>
      </c>
    </row>
    <row r="1624" spans="1:6" x14ac:dyDescent="0.25">
      <c r="E1624" s="45" t="s">
        <v>47</v>
      </c>
      <c r="F1624" s="46">
        <f ca="1">SUM(Table132[MONTO TOTAL ESTIMADO])</f>
        <v>5</v>
      </c>
    </row>
    <row r="1625" spans="1:6" ht="17.25" thickBot="1" x14ac:dyDescent="0.3"/>
    <row r="1626" spans="1:6" ht="23.25" thickBot="1" x14ac:dyDescent="0.3">
      <c r="A1626" s="30" t="s">
        <v>18</v>
      </c>
      <c r="B1626" s="30" t="s">
        <v>19</v>
      </c>
      <c r="C1626" s="30" t="s">
        <v>20</v>
      </c>
      <c r="D1626" s="30" t="s">
        <v>21</v>
      </c>
      <c r="E1626" s="30" t="s">
        <v>22</v>
      </c>
      <c r="F1626" s="30" t="s">
        <v>23</v>
      </c>
    </row>
    <row r="1627" spans="1:6" ht="17.25" thickBot="1" x14ac:dyDescent="0.3">
      <c r="A1627" s="31" t="s">
        <v>356</v>
      </c>
      <c r="B1627" s="31" t="s">
        <v>357</v>
      </c>
      <c r="C1627" s="31" t="s">
        <v>92</v>
      </c>
      <c r="D1627" s="31" t="s">
        <v>50</v>
      </c>
      <c r="E1627" s="31" t="s">
        <v>58</v>
      </c>
      <c r="F1627" s="31"/>
    </row>
    <row r="1628" spans="1:6" ht="17.25" thickBot="1" x14ac:dyDescent="0.3">
      <c r="A1628" s="32" t="s">
        <v>29</v>
      </c>
      <c r="B1628" s="33" t="s">
        <v>30</v>
      </c>
      <c r="C1628" s="34">
        <v>45200</v>
      </c>
      <c r="D1628" s="32" t="s">
        <v>31</v>
      </c>
      <c r="E1628" s="35" t="s">
        <v>32</v>
      </c>
      <c r="F1628" s="36" t="s">
        <v>33</v>
      </c>
    </row>
    <row r="1629" spans="1:6" ht="17.25" thickBot="1" x14ac:dyDescent="0.3">
      <c r="A1629" s="37"/>
      <c r="B1629" s="33" t="s">
        <v>34</v>
      </c>
      <c r="C1629" s="38">
        <f>IF(C1628="","",IF(AND(MONTH(C1628)&gt;=1,MONTH(C1628)&lt;=3),1,IF(AND(MONTH(C1628)&gt;=4,MONTH(C1628)&lt;=6),2,IF(AND(MONTH(C1628)&gt;=7,MONTH(C1628)&lt;=9),3,4))))</f>
        <v>4</v>
      </c>
      <c r="D1629" s="37"/>
      <c r="E1629" s="35" t="s">
        <v>35</v>
      </c>
      <c r="F1629" s="36" t="s">
        <v>36</v>
      </c>
    </row>
    <row r="1630" spans="1:6" ht="17.25" thickBot="1" x14ac:dyDescent="0.3">
      <c r="A1630" s="37"/>
      <c r="B1630" s="33" t="s">
        <v>37</v>
      </c>
      <c r="C1630" s="34">
        <v>45290</v>
      </c>
      <c r="D1630" s="37"/>
      <c r="E1630" s="35" t="s">
        <v>38</v>
      </c>
      <c r="F1630" s="36" t="s">
        <v>36</v>
      </c>
    </row>
    <row r="1631" spans="1:6" ht="17.25" thickBot="1" x14ac:dyDescent="0.3">
      <c r="A1631" s="37"/>
      <c r="B1631" s="33" t="s">
        <v>34</v>
      </c>
      <c r="C1631" s="38">
        <f>IF(C1630="","",IF(AND(MONTH(C1630)&gt;=1,MONTH(C1630)&lt;=3),1,IF(AND(MONTH(C1630)&gt;=4,MONTH(C1630)&lt;=6),2,IF(AND(MONTH(C1630)&gt;=7,MONTH(C1630)&lt;=9),3,4))))</f>
        <v>4</v>
      </c>
      <c r="D1631" s="37"/>
      <c r="E1631" s="35" t="s">
        <v>39</v>
      </c>
      <c r="F1631" s="36" t="s">
        <v>36</v>
      </c>
    </row>
    <row r="1632" spans="1:6" ht="17.25" thickBot="1" x14ac:dyDescent="0.3"/>
    <row r="1633" spans="1:6" ht="17.25" thickBot="1" x14ac:dyDescent="0.3">
      <c r="A1633" s="39" t="s">
        <v>40</v>
      </c>
      <c r="B1633" s="39" t="s">
        <v>41</v>
      </c>
      <c r="C1633" s="39" t="s">
        <v>42</v>
      </c>
      <c r="D1633" s="39" t="s">
        <v>43</v>
      </c>
      <c r="E1633" s="39" t="s">
        <v>44</v>
      </c>
      <c r="F1633" s="39" t="s">
        <v>45</v>
      </c>
    </row>
    <row r="1634" spans="1:6" x14ac:dyDescent="0.25">
      <c r="A1634" s="40" t="s">
        <v>358</v>
      </c>
      <c r="B1634" s="41" t="str">
        <f ca="1">IFERROR(INDEX(UNSPSCDes,MATCH(INDIRECT(ADDRESS(ROW(),COLUMN()-1,4)),UNSPSCCode,0)),IF(INDIRECT(ADDRESS(ROW(),COLUMN()-1,4))="26111703","Baterías para vehículos",""))</f>
        <v>Baterías para vehículos</v>
      </c>
      <c r="C1634" s="42" t="str">
        <f>IFERROR(VLOOKUP("UD",'[1]Informacion '!P:Q,2,FALSE),"")</f>
        <v>Unidad</v>
      </c>
      <c r="D1634" s="40">
        <v>1</v>
      </c>
      <c r="E1634" s="43">
        <v>1000</v>
      </c>
      <c r="F1634" s="44">
        <f t="shared" ref="F1634:F1647" ca="1" si="20">INDIRECT(ADDRESS(ROW(),COLUMN()-2,4))*INDIRECT(ADDRESS(ROW(),COLUMN()-1,4))</f>
        <v>1000</v>
      </c>
    </row>
    <row r="1635" spans="1:6" x14ac:dyDescent="0.25">
      <c r="A1635" s="40" t="s">
        <v>359</v>
      </c>
      <c r="B1635" s="41" t="str">
        <f ca="1">IFERROR(INDEX(UNSPSCDes,MATCH(INDIRECT(ADDRESS(ROW(),COLUMN()-1,4)),UNSPSCCode,0)),IF(INDIRECT(ADDRESS(ROW(),COLUMN()-1,4))="39121529","Contactores",""))</f>
        <v>Contactores</v>
      </c>
      <c r="C1635" s="42" t="str">
        <f>IFERROR(VLOOKUP("UD",'[1]Informacion '!P:Q,2,FALSE),"")</f>
        <v>Unidad</v>
      </c>
      <c r="D1635" s="40">
        <v>1</v>
      </c>
      <c r="E1635" s="43">
        <v>72000</v>
      </c>
      <c r="F1635" s="44">
        <f t="shared" ca="1" si="20"/>
        <v>72000</v>
      </c>
    </row>
    <row r="1636" spans="1:6" x14ac:dyDescent="0.25">
      <c r="A1636" s="40" t="s">
        <v>364</v>
      </c>
      <c r="B1636" s="41" t="str">
        <f ca="1">IFERROR(INDEX(UNSPSCDes,MATCH(INDIRECT(ADDRESS(ROW(),COLUMN()-1,4)),UNSPSCCode,0)),IF(INDIRECT(ADDRESS(ROW(),COLUMN()-1,4))="26111701","Baterías recargables",""))</f>
        <v>Baterías recargables</v>
      </c>
      <c r="C1636" s="42" t="str">
        <f>IFERROR(VLOOKUP("UD",'[1]Informacion '!P:Q,2,FALSE),"")</f>
        <v>Unidad</v>
      </c>
      <c r="D1636" s="40">
        <v>8</v>
      </c>
      <c r="E1636" s="43">
        <v>2500</v>
      </c>
      <c r="F1636" s="44">
        <f t="shared" ca="1" si="20"/>
        <v>20000</v>
      </c>
    </row>
    <row r="1637" spans="1:6" x14ac:dyDescent="0.25">
      <c r="A1637" s="40" t="s">
        <v>371</v>
      </c>
      <c r="B1637" s="41" t="str">
        <f ca="1">IFERROR(INDEX(UNSPSCDes,MATCH(INDIRECT(ADDRESS(ROW(),COLUMN()-1,4)),UNSPSCCode,0)),IF(INDIRECT(ADDRESS(ROW(),COLUMN()-1,4))="26111704","Cargadores de baterías",""))</f>
        <v>Cargadores de baterías</v>
      </c>
      <c r="C1637" s="42" t="str">
        <f>IFERROR(VLOOKUP("UD",'[1]Informacion '!P:Q,2,FALSE),"")</f>
        <v>Unidad</v>
      </c>
      <c r="D1637" s="40">
        <v>8</v>
      </c>
      <c r="E1637" s="43">
        <v>2000</v>
      </c>
      <c r="F1637" s="44">
        <f t="shared" ca="1" si="20"/>
        <v>16000</v>
      </c>
    </row>
    <row r="1638" spans="1:6" x14ac:dyDescent="0.25">
      <c r="A1638" s="40" t="s">
        <v>372</v>
      </c>
      <c r="B1638" s="41" t="str">
        <f ca="1">IFERROR(INDEX(UNSPSCDes,MATCH(INDIRECT(ADDRESS(ROW(),COLUMN()-1,4)),UNSPSCCode,0)),IF(INDIRECT(ADDRESS(ROW(),COLUMN()-1,4))="60104912","Alambres o cables eléctricos",""))</f>
        <v>Alambres o cables eléctricos</v>
      </c>
      <c r="C1638" s="42" t="str">
        <f>IFERROR(VLOOKUP("UD",'[1]Informacion '!P:Q,2,FALSE),"")</f>
        <v>Unidad</v>
      </c>
      <c r="D1638" s="40">
        <v>1</v>
      </c>
      <c r="E1638" s="43">
        <v>1000</v>
      </c>
      <c r="F1638" s="44">
        <f t="shared" ca="1" si="20"/>
        <v>1000</v>
      </c>
    </row>
    <row r="1639" spans="1:6" x14ac:dyDescent="0.25">
      <c r="A1639" s="40" t="s">
        <v>373</v>
      </c>
      <c r="B1639" s="41" t="str">
        <f ca="1">IFERROR(INDEX(UNSPSCDes,MATCH(INDIRECT(ADDRESS(ROW(),COLUMN()-1,4)),UNSPSCCode,0)),IF(INDIRECT(ADDRESS(ROW(),COLUMN()-1,4))="39121506","Interruptores automáticos por caída de presión",""))</f>
        <v>Interruptores automáticos por caída de presión</v>
      </c>
      <c r="C1639" s="42" t="str">
        <f>IFERROR(VLOOKUP("UD",'[1]Informacion '!P:Q,2,FALSE),"")</f>
        <v>Unidad</v>
      </c>
      <c r="D1639" s="40">
        <v>12</v>
      </c>
      <c r="E1639" s="43">
        <v>100</v>
      </c>
      <c r="F1639" s="44">
        <f t="shared" ca="1" si="20"/>
        <v>1200</v>
      </c>
    </row>
    <row r="1640" spans="1:6" x14ac:dyDescent="0.25">
      <c r="A1640" s="40" t="s">
        <v>373</v>
      </c>
      <c r="B1640" s="41" t="str">
        <f ca="1">IFERROR(INDEX(UNSPSCDes,MATCH(INDIRECT(ADDRESS(ROW(),COLUMN()-1,4)),UNSPSCCode,0)),IF(INDIRECT(ADDRESS(ROW(),COLUMN()-1,4))="39121506","Interruptores automáticos por caída de presión",""))</f>
        <v>Interruptores automáticos por caída de presión</v>
      </c>
      <c r="C1640" s="42" t="str">
        <f>IFERROR(VLOOKUP("UD",'[1]Informacion '!P:Q,2,FALSE),"")</f>
        <v>Unidad</v>
      </c>
      <c r="D1640" s="40">
        <v>12</v>
      </c>
      <c r="E1640" s="43">
        <v>50</v>
      </c>
      <c r="F1640" s="44">
        <f t="shared" ca="1" si="20"/>
        <v>600</v>
      </c>
    </row>
    <row r="1641" spans="1:6" x14ac:dyDescent="0.25">
      <c r="A1641" s="40" t="s">
        <v>374</v>
      </c>
      <c r="B1641" s="41" t="str">
        <f ca="1">IFERROR(INDEX(UNSPSCDes,MATCH(INDIRECT(ADDRESS(ROW(),COLUMN()-1,4)),UNSPSCCode,0)),IF(INDIRECT(ADDRESS(ROW(),COLUMN()-1,4))="39121402","Enchufes eléctricos",""))</f>
        <v>Enchufes eléctricos</v>
      </c>
      <c r="C1641" s="42" t="str">
        <f>IFERROR(VLOOKUP("UD",'[1]Informacion '!P:Q,2,FALSE),"")</f>
        <v>Unidad</v>
      </c>
      <c r="D1641" s="40">
        <v>12</v>
      </c>
      <c r="E1641" s="43">
        <v>500</v>
      </c>
      <c r="F1641" s="44">
        <f t="shared" ca="1" si="20"/>
        <v>6000</v>
      </c>
    </row>
    <row r="1642" spans="1:6" x14ac:dyDescent="0.25">
      <c r="A1642" s="40" t="s">
        <v>375</v>
      </c>
      <c r="B1642" s="41" t="str">
        <f ca="1">IFERROR(INDEX(UNSPSCDes,MATCH(INDIRECT(ADDRESS(ROW(),COLUMN()-1,4)),UNSPSCCode,0)),IF(INDIRECT(ADDRESS(ROW(),COLUMN()-1,4))="26111702","Pilas alcalinas",""))</f>
        <v>Pilas alcalinas</v>
      </c>
      <c r="C1642" s="42" t="str">
        <f>IFERROR(VLOOKUP("UD",'[1]Informacion '!P:Q,2,FALSE),"")</f>
        <v>Unidad</v>
      </c>
      <c r="D1642" s="40">
        <v>10</v>
      </c>
      <c r="E1642" s="43">
        <v>200</v>
      </c>
      <c r="F1642" s="44">
        <f t="shared" ca="1" si="20"/>
        <v>2000</v>
      </c>
    </row>
    <row r="1643" spans="1:6" x14ac:dyDescent="0.25">
      <c r="A1643" s="40" t="s">
        <v>376</v>
      </c>
      <c r="B1643" s="41" t="str">
        <f ca="1">IFERROR(INDEX(UNSPSCDes,MATCH(INDIRECT(ADDRESS(ROW(),COLUMN()-1,4)),UNSPSCCode,0)),IF(INDIRECT(ADDRESS(ROW(),COLUMN()-1,4))="39121303","Cajas eléctricas",""))</f>
        <v>Cajas eléctricas</v>
      </c>
      <c r="C1643" s="42" t="str">
        <f>IFERROR(VLOOKUP("UD",'[1]Informacion '!P:Q,2,FALSE),"")</f>
        <v>Unidad</v>
      </c>
      <c r="D1643" s="40">
        <v>12</v>
      </c>
      <c r="E1643" s="43">
        <v>500</v>
      </c>
      <c r="F1643" s="44">
        <f t="shared" ca="1" si="20"/>
        <v>6000</v>
      </c>
    </row>
    <row r="1644" spans="1:6" x14ac:dyDescent="0.25">
      <c r="A1644" s="40" t="s">
        <v>377</v>
      </c>
      <c r="B1644" s="41" t="str">
        <f ca="1">IFERROR(INDEX(UNSPSCDes,MATCH(INDIRECT(ADDRESS(ROW(),COLUMN()-1,4)),UNSPSCCode,0)),IF(INDIRECT(ADDRESS(ROW(),COLUMN()-1,4))="26121524","Alambre aislado o forrado",""))</f>
        <v>Alambre aislado o forrado</v>
      </c>
      <c r="C1644" s="42" t="str">
        <f>IFERROR(VLOOKUP("UD",'[1]Informacion '!P:Q,2,FALSE),"")</f>
        <v>Unidad</v>
      </c>
      <c r="D1644" s="40">
        <v>1</v>
      </c>
      <c r="E1644" s="43">
        <v>8200</v>
      </c>
      <c r="F1644" s="44">
        <f t="shared" ca="1" si="20"/>
        <v>8200</v>
      </c>
    </row>
    <row r="1645" spans="1:6" x14ac:dyDescent="0.25">
      <c r="A1645" s="40" t="s">
        <v>366</v>
      </c>
      <c r="B1645" s="41" t="str">
        <f ca="1">IFERROR(INDEX(UNSPSCDes,MATCH(INDIRECT(ADDRESS(ROW(),COLUMN()-1,4)),UNSPSCCode,0)),IF(INDIRECT(ADDRESS(ROW(),COLUMN()-1,4))="39101601","Lámparas halógenas",""))</f>
        <v>Lámparas halógenas</v>
      </c>
      <c r="C1645" s="42" t="str">
        <f>IFERROR(VLOOKUP("UD",'[1]Informacion '!P:Q,2,FALSE),"")</f>
        <v>Unidad</v>
      </c>
      <c r="D1645" s="40">
        <v>60</v>
      </c>
      <c r="E1645" s="43">
        <v>800</v>
      </c>
      <c r="F1645" s="44">
        <f t="shared" ca="1" si="20"/>
        <v>48000</v>
      </c>
    </row>
    <row r="1646" spans="1:6" x14ac:dyDescent="0.25">
      <c r="A1646" s="40" t="s">
        <v>378</v>
      </c>
      <c r="B1646" s="41" t="str">
        <f ca="1">IFERROR(INDEX(UNSPSCDes,MATCH(INDIRECT(ADDRESS(ROW(),COLUMN()-1,4)),UNSPSCCode,0)),IF(INDIRECT(ADDRESS(ROW(),COLUMN()-1,4))="39121416","Tapas de conectores eléctricos",""))</f>
        <v>Tapas de conectores eléctricos</v>
      </c>
      <c r="C1646" s="42" t="str">
        <f>IFERROR(VLOOKUP("UD",'[1]Informacion '!P:Q,2,FALSE),"")</f>
        <v>Unidad</v>
      </c>
      <c r="D1646" s="40">
        <v>24</v>
      </c>
      <c r="E1646" s="43">
        <v>500</v>
      </c>
      <c r="F1646" s="44">
        <f t="shared" ca="1" si="20"/>
        <v>12000</v>
      </c>
    </row>
    <row r="1647" spans="1:6" x14ac:dyDescent="0.25">
      <c r="A1647" s="40" t="s">
        <v>379</v>
      </c>
      <c r="B1647" s="41" t="str">
        <f ca="1">IFERROR(INDEX(UNSPSCDes,MATCH(INDIRECT(ADDRESS(ROW(),COLUMN()-1,4)),UNSPSCCode,0)),IF(INDIRECT(ADDRESS(ROW(),COLUMN()-1,4))="31201502","Cinta aislante eléctrica",""))</f>
        <v>Cinta aislante eléctrica</v>
      </c>
      <c r="C1647" s="42" t="str">
        <f>IFERROR(VLOOKUP("UD",'[1]Informacion '!P:Q,2,FALSE),"")</f>
        <v>Unidad</v>
      </c>
      <c r="D1647" s="40">
        <v>12</v>
      </c>
      <c r="E1647" s="43">
        <v>500</v>
      </c>
      <c r="F1647" s="44">
        <f t="shared" ca="1" si="20"/>
        <v>6000</v>
      </c>
    </row>
    <row r="1648" spans="1:6" x14ac:dyDescent="0.25">
      <c r="E1648" s="45" t="s">
        <v>47</v>
      </c>
      <c r="F1648" s="46">
        <f ca="1">SUM(Table133[MONTO TOTAL ESTIMADO])</f>
        <v>200000</v>
      </c>
    </row>
    <row r="1649" spans="1:6" ht="17.25" thickBot="1" x14ac:dyDescent="0.3"/>
    <row r="1650" spans="1:6" ht="23.25" thickBot="1" x14ac:dyDescent="0.3">
      <c r="A1650" s="30" t="s">
        <v>18</v>
      </c>
      <c r="B1650" s="30" t="s">
        <v>19</v>
      </c>
      <c r="C1650" s="30" t="s">
        <v>20</v>
      </c>
      <c r="D1650" s="30" t="s">
        <v>21</v>
      </c>
      <c r="E1650" s="30" t="s">
        <v>22</v>
      </c>
      <c r="F1650" s="30" t="s">
        <v>23</v>
      </c>
    </row>
    <row r="1651" spans="1:6" ht="17.25" thickBot="1" x14ac:dyDescent="0.3">
      <c r="A1651" s="31" t="s">
        <v>380</v>
      </c>
      <c r="B1651" s="31" t="s">
        <v>380</v>
      </c>
      <c r="C1651" s="31" t="s">
        <v>92</v>
      </c>
      <c r="D1651" s="31" t="s">
        <v>27</v>
      </c>
      <c r="E1651" s="31" t="s">
        <v>58</v>
      </c>
      <c r="F1651" s="31" t="s">
        <v>17</v>
      </c>
    </row>
    <row r="1652" spans="1:6" ht="17.25" thickBot="1" x14ac:dyDescent="0.3">
      <c r="A1652" s="32" t="s">
        <v>29</v>
      </c>
      <c r="B1652" s="33" t="s">
        <v>30</v>
      </c>
      <c r="C1652" s="34">
        <v>44958</v>
      </c>
      <c r="D1652" s="32" t="s">
        <v>31</v>
      </c>
      <c r="E1652" s="35" t="s">
        <v>32</v>
      </c>
      <c r="F1652" s="36" t="s">
        <v>33</v>
      </c>
    </row>
    <row r="1653" spans="1:6" ht="17.25" thickBot="1" x14ac:dyDescent="0.3">
      <c r="A1653" s="37"/>
      <c r="B1653" s="33" t="s">
        <v>34</v>
      </c>
      <c r="C1653" s="38">
        <f>IF(C1652="","",IF(AND(MONTH(C1652)&gt;=1,MONTH(C1652)&lt;=3),1,IF(AND(MONTH(C1652)&gt;=4,MONTH(C1652)&lt;=6),2,IF(AND(MONTH(C1652)&gt;=7,MONTH(C1652)&lt;=9),3,4))))</f>
        <v>1</v>
      </c>
      <c r="D1653" s="37"/>
      <c r="E1653" s="35" t="s">
        <v>35</v>
      </c>
      <c r="F1653" s="36" t="s">
        <v>36</v>
      </c>
    </row>
    <row r="1654" spans="1:6" ht="17.25" thickBot="1" x14ac:dyDescent="0.3">
      <c r="A1654" s="37"/>
      <c r="B1654" s="33" t="s">
        <v>37</v>
      </c>
      <c r="C1654" s="34">
        <v>45016</v>
      </c>
      <c r="D1654" s="37"/>
      <c r="E1654" s="35" t="s">
        <v>38</v>
      </c>
      <c r="F1654" s="36" t="s">
        <v>36</v>
      </c>
    </row>
    <row r="1655" spans="1:6" ht="17.25" thickBot="1" x14ac:dyDescent="0.3">
      <c r="A1655" s="37"/>
      <c r="B1655" s="33" t="s">
        <v>34</v>
      </c>
      <c r="C1655" s="38">
        <f>IF(C1654="","",IF(AND(MONTH(C1654)&gt;=1,MONTH(C1654)&lt;=3),1,IF(AND(MONTH(C1654)&gt;=4,MONTH(C1654)&lt;=6),2,IF(AND(MONTH(C1654)&gt;=7,MONTH(C1654)&lt;=9),3,4))))</f>
        <v>1</v>
      </c>
      <c r="D1655" s="37"/>
      <c r="E1655" s="35" t="s">
        <v>39</v>
      </c>
      <c r="F1655" s="36" t="s">
        <v>36</v>
      </c>
    </row>
    <row r="1656" spans="1:6" ht="17.25" thickBot="1" x14ac:dyDescent="0.3"/>
    <row r="1657" spans="1:6" ht="17.25" thickBot="1" x14ac:dyDescent="0.3">
      <c r="A1657" s="39" t="s">
        <v>40</v>
      </c>
      <c r="B1657" s="39" t="s">
        <v>41</v>
      </c>
      <c r="C1657" s="39" t="s">
        <v>42</v>
      </c>
      <c r="D1657" s="39" t="s">
        <v>43</v>
      </c>
      <c r="E1657" s="39" t="s">
        <v>44</v>
      </c>
      <c r="F1657" s="39" t="s">
        <v>45</v>
      </c>
    </row>
    <row r="1658" spans="1:6" x14ac:dyDescent="0.25">
      <c r="A1658" s="40" t="s">
        <v>381</v>
      </c>
      <c r="B1658" s="41" t="str">
        <f ca="1">IFERROR(INDEX(UNSPSCDes,MATCH(INDIRECT(ADDRESS(ROW(),COLUMN()-1,4)),UNSPSCCode,0)),IF(INDIRECT(ADDRESS(ROW(),COLUMN()-1,4))="12161602","Catalizadores de combustión",""))</f>
        <v>Catalizadores de combustión</v>
      </c>
      <c r="C1658" s="42" t="s">
        <v>66</v>
      </c>
      <c r="D1658" s="40">
        <v>1</v>
      </c>
      <c r="E1658" s="43">
        <v>1</v>
      </c>
      <c r="F1658" s="44">
        <f ca="1">INDIRECT(ADDRESS(ROW(),COLUMN()-2,4))*INDIRECT(ADDRESS(ROW(),COLUMN()-1,4))</f>
        <v>1</v>
      </c>
    </row>
    <row r="1659" spans="1:6" x14ac:dyDescent="0.25">
      <c r="E1659" s="45" t="s">
        <v>47</v>
      </c>
      <c r="F1659" s="46">
        <f ca="1">SUM(Table134[MONTO TOTAL ESTIMADO])</f>
        <v>1</v>
      </c>
    </row>
    <row r="1660" spans="1:6" ht="17.25" thickBot="1" x14ac:dyDescent="0.3"/>
    <row r="1661" spans="1:6" ht="23.25" thickBot="1" x14ac:dyDescent="0.3">
      <c r="A1661" s="30" t="s">
        <v>18</v>
      </c>
      <c r="B1661" s="30" t="s">
        <v>19</v>
      </c>
      <c r="C1661" s="30" t="s">
        <v>20</v>
      </c>
      <c r="D1661" s="30" t="s">
        <v>21</v>
      </c>
      <c r="E1661" s="30" t="s">
        <v>22</v>
      </c>
      <c r="F1661" s="30" t="s">
        <v>23</v>
      </c>
    </row>
    <row r="1662" spans="1:6" ht="17.25" thickBot="1" x14ac:dyDescent="0.3">
      <c r="A1662" s="31" t="s">
        <v>380</v>
      </c>
      <c r="B1662" s="31" t="s">
        <v>382</v>
      </c>
      <c r="C1662" s="31" t="s">
        <v>92</v>
      </c>
      <c r="D1662" s="31" t="s">
        <v>50</v>
      </c>
      <c r="E1662" s="31" t="s">
        <v>58</v>
      </c>
      <c r="F1662" s="31"/>
    </row>
    <row r="1663" spans="1:6" ht="17.25" thickBot="1" x14ac:dyDescent="0.3">
      <c r="A1663" s="32" t="s">
        <v>29</v>
      </c>
      <c r="B1663" s="33" t="s">
        <v>30</v>
      </c>
      <c r="C1663" s="34">
        <v>45017</v>
      </c>
      <c r="D1663" s="32" t="s">
        <v>31</v>
      </c>
      <c r="E1663" s="35" t="s">
        <v>32</v>
      </c>
      <c r="F1663" s="36" t="s">
        <v>33</v>
      </c>
    </row>
    <row r="1664" spans="1:6" ht="17.25" thickBot="1" x14ac:dyDescent="0.3">
      <c r="A1664" s="37"/>
      <c r="B1664" s="33" t="s">
        <v>34</v>
      </c>
      <c r="C1664" s="38">
        <f>IF(C1663="","",IF(AND(MONTH(C1663)&gt;=1,MONTH(C1663)&lt;=3),1,IF(AND(MONTH(C1663)&gt;=4,MONTH(C1663)&lt;=6),2,IF(AND(MONTH(C1663)&gt;=7,MONTH(C1663)&lt;=9),3,4))))</f>
        <v>2</v>
      </c>
      <c r="D1664" s="37"/>
      <c r="E1664" s="35" t="s">
        <v>35</v>
      </c>
      <c r="F1664" s="36" t="s">
        <v>36</v>
      </c>
    </row>
    <row r="1665" spans="1:6" ht="17.25" thickBot="1" x14ac:dyDescent="0.3">
      <c r="A1665" s="37"/>
      <c r="B1665" s="33" t="s">
        <v>37</v>
      </c>
      <c r="C1665" s="34">
        <v>45106</v>
      </c>
      <c r="D1665" s="37"/>
      <c r="E1665" s="35" t="s">
        <v>38</v>
      </c>
      <c r="F1665" s="36" t="s">
        <v>36</v>
      </c>
    </row>
    <row r="1666" spans="1:6" ht="17.25" thickBot="1" x14ac:dyDescent="0.3">
      <c r="A1666" s="37"/>
      <c r="B1666" s="33" t="s">
        <v>34</v>
      </c>
      <c r="C1666" s="38">
        <f>IF(C1665="","",IF(AND(MONTH(C1665)&gt;=1,MONTH(C1665)&lt;=3),1,IF(AND(MONTH(C1665)&gt;=4,MONTH(C1665)&lt;=6),2,IF(AND(MONTH(C1665)&gt;=7,MONTH(C1665)&lt;=9),3,4))))</f>
        <v>2</v>
      </c>
      <c r="D1666" s="37"/>
      <c r="E1666" s="35" t="s">
        <v>39</v>
      </c>
      <c r="F1666" s="36" t="s">
        <v>36</v>
      </c>
    </row>
    <row r="1667" spans="1:6" ht="17.25" thickBot="1" x14ac:dyDescent="0.3"/>
    <row r="1668" spans="1:6" ht="17.25" thickBot="1" x14ac:dyDescent="0.3">
      <c r="A1668" s="39" t="s">
        <v>40</v>
      </c>
      <c r="B1668" s="39" t="s">
        <v>41</v>
      </c>
      <c r="C1668" s="39" t="s">
        <v>42</v>
      </c>
      <c r="D1668" s="39" t="s">
        <v>43</v>
      </c>
      <c r="E1668" s="39" t="s">
        <v>44</v>
      </c>
      <c r="F1668" s="39" t="s">
        <v>45</v>
      </c>
    </row>
    <row r="1669" spans="1:6" x14ac:dyDescent="0.25">
      <c r="A1669" s="40" t="s">
        <v>383</v>
      </c>
      <c r="B1669" s="41" t="str">
        <f ca="1">IFERROR(INDEX(UNSPSCDes,MATCH(INDIRECT(ADDRESS(ROW(),COLUMN()-1,4)),UNSPSCCode,0)),IF(INDIRECT(ADDRESS(ROW(),COLUMN()-1,4))="39121205","Canaletas para cables",""))</f>
        <v>Canaletas para cables</v>
      </c>
      <c r="C1669" s="42" t="str">
        <f>IFERROR(VLOOKUP("UD",'[1]Informacion '!P:Q,2,FALSE),"")</f>
        <v>Unidad</v>
      </c>
      <c r="D1669" s="40">
        <v>1</v>
      </c>
      <c r="E1669" s="43">
        <v>1</v>
      </c>
      <c r="F1669" s="44">
        <f ca="1">INDIRECT(ADDRESS(ROW(),COLUMN()-2,4))*INDIRECT(ADDRESS(ROW(),COLUMN()-1,4))</f>
        <v>1</v>
      </c>
    </row>
    <row r="1670" spans="1:6" x14ac:dyDescent="0.25">
      <c r="A1670" s="40" t="s">
        <v>384</v>
      </c>
      <c r="B1670" s="41" t="str">
        <f ca="1">IFERROR(INDEX(UNSPSCDes,MATCH(INDIRECT(ADDRESS(ROW(),COLUMN()-1,4)),UNSPSCCode,0)),IF(INDIRECT(ADDRESS(ROW(),COLUMN()-1,4))="25172607","Paneles laterales de vehículos",""))</f>
        <v>Paneles laterales de vehículos</v>
      </c>
      <c r="C1670" s="42" t="str">
        <f>IFERROR(VLOOKUP("UD",'[1]Informacion '!P:Q,2,FALSE),"")</f>
        <v>Unidad</v>
      </c>
      <c r="D1670" s="40">
        <v>1</v>
      </c>
      <c r="E1670" s="43">
        <v>1</v>
      </c>
      <c r="F1670" s="44">
        <f ca="1">INDIRECT(ADDRESS(ROW(),COLUMN()-2,4))*INDIRECT(ADDRESS(ROW(),COLUMN()-1,4))</f>
        <v>1</v>
      </c>
    </row>
    <row r="1671" spans="1:6" x14ac:dyDescent="0.25">
      <c r="A1671" s="40" t="s">
        <v>385</v>
      </c>
      <c r="B1671" s="41" t="str">
        <f ca="1">IFERROR(INDEX(UNSPSCDes,MATCH(INDIRECT(ADDRESS(ROW(),COLUMN()-1,4)),UNSPSCCode,0)),IF(INDIRECT(ADDRESS(ROW(),COLUMN()-1,4))="26101731","Brazos oscilantes",""))</f>
        <v>Brazos oscilantes</v>
      </c>
      <c r="C1671" s="42" t="str">
        <f>IFERROR(VLOOKUP("UD",'[1]Informacion '!P:Q,2,FALSE),"")</f>
        <v>Unidad</v>
      </c>
      <c r="D1671" s="40">
        <v>1</v>
      </c>
      <c r="E1671" s="43">
        <v>1</v>
      </c>
      <c r="F1671" s="44">
        <f ca="1">INDIRECT(ADDRESS(ROW(),COLUMN()-2,4))*INDIRECT(ADDRESS(ROW(),COLUMN()-1,4))</f>
        <v>1</v>
      </c>
    </row>
    <row r="1672" spans="1:6" x14ac:dyDescent="0.25">
      <c r="A1672" s="40" t="s">
        <v>386</v>
      </c>
      <c r="B1672" s="41" t="str">
        <f ca="1">IFERROR(INDEX(UNSPSCDes,MATCH(INDIRECT(ADDRESS(ROW(),COLUMN()-1,4)),UNSPSCCode,0)),IF(INDIRECT(ADDRESS(ROW(),COLUMN()-1,4))="40141702","Grifos",""))</f>
        <v>Grifos</v>
      </c>
      <c r="C1672" s="42" t="str">
        <f>IFERROR(VLOOKUP("UD",'[1]Informacion '!P:Q,2,FALSE),"")</f>
        <v>Unidad</v>
      </c>
      <c r="D1672" s="40">
        <v>1</v>
      </c>
      <c r="E1672" s="43">
        <v>1</v>
      </c>
      <c r="F1672" s="44">
        <f ca="1">INDIRECT(ADDRESS(ROW(),COLUMN()-2,4))*INDIRECT(ADDRESS(ROW(),COLUMN()-1,4))</f>
        <v>1</v>
      </c>
    </row>
    <row r="1673" spans="1:6" x14ac:dyDescent="0.25">
      <c r="E1673" s="45" t="s">
        <v>47</v>
      </c>
      <c r="F1673" s="46">
        <f ca="1">SUM(Table135[MONTO TOTAL ESTIMADO])</f>
        <v>4</v>
      </c>
    </row>
    <row r="1674" spans="1:6" ht="17.25" thickBot="1" x14ac:dyDescent="0.3"/>
    <row r="1675" spans="1:6" ht="23.25" thickBot="1" x14ac:dyDescent="0.3">
      <c r="A1675" s="30" t="s">
        <v>18</v>
      </c>
      <c r="B1675" s="30" t="s">
        <v>19</v>
      </c>
      <c r="C1675" s="30" t="s">
        <v>20</v>
      </c>
      <c r="D1675" s="30" t="s">
        <v>21</v>
      </c>
      <c r="E1675" s="30" t="s">
        <v>22</v>
      </c>
      <c r="F1675" s="30" t="s">
        <v>23</v>
      </c>
    </row>
    <row r="1676" spans="1:6" ht="17.25" thickBot="1" x14ac:dyDescent="0.3">
      <c r="A1676" s="31" t="s">
        <v>380</v>
      </c>
      <c r="B1676" s="31" t="s">
        <v>382</v>
      </c>
      <c r="C1676" s="31" t="s">
        <v>92</v>
      </c>
      <c r="D1676" s="31" t="s">
        <v>27</v>
      </c>
      <c r="E1676" s="31" t="s">
        <v>58</v>
      </c>
      <c r="F1676" s="31"/>
    </row>
    <row r="1677" spans="1:6" ht="17.25" thickBot="1" x14ac:dyDescent="0.3">
      <c r="A1677" s="32" t="s">
        <v>29</v>
      </c>
      <c r="B1677" s="33" t="s">
        <v>30</v>
      </c>
      <c r="C1677" s="34">
        <v>45108</v>
      </c>
      <c r="D1677" s="32" t="s">
        <v>31</v>
      </c>
      <c r="E1677" s="35" t="s">
        <v>32</v>
      </c>
      <c r="F1677" s="36" t="s">
        <v>33</v>
      </c>
    </row>
    <row r="1678" spans="1:6" ht="17.25" thickBot="1" x14ac:dyDescent="0.3">
      <c r="A1678" s="37"/>
      <c r="B1678" s="33" t="s">
        <v>34</v>
      </c>
      <c r="C1678" s="38">
        <f>IF(C1677="","",IF(AND(MONTH(C1677)&gt;=1,MONTH(C1677)&lt;=3),1,IF(AND(MONTH(C1677)&gt;=4,MONTH(C1677)&lt;=6),2,IF(AND(MONTH(C1677)&gt;=7,MONTH(C1677)&lt;=9),3,4))))</f>
        <v>3</v>
      </c>
      <c r="D1678" s="37"/>
      <c r="E1678" s="35" t="s">
        <v>35</v>
      </c>
      <c r="F1678" s="36" t="s">
        <v>36</v>
      </c>
    </row>
    <row r="1679" spans="1:6" ht="17.25" thickBot="1" x14ac:dyDescent="0.3">
      <c r="A1679" s="37"/>
      <c r="B1679" s="33" t="s">
        <v>37</v>
      </c>
      <c r="C1679" s="34">
        <v>45198</v>
      </c>
      <c r="D1679" s="37"/>
      <c r="E1679" s="35" t="s">
        <v>38</v>
      </c>
      <c r="F1679" s="36" t="s">
        <v>36</v>
      </c>
    </row>
    <row r="1680" spans="1:6" ht="17.25" thickBot="1" x14ac:dyDescent="0.3">
      <c r="A1680" s="37"/>
      <c r="B1680" s="33" t="s">
        <v>34</v>
      </c>
      <c r="C1680" s="38">
        <f>IF(C1679="","",IF(AND(MONTH(C1679)&gt;=1,MONTH(C1679)&lt;=3),1,IF(AND(MONTH(C1679)&gt;=4,MONTH(C1679)&lt;=6),2,IF(AND(MONTH(C1679)&gt;=7,MONTH(C1679)&lt;=9),3,4))))</f>
        <v>3</v>
      </c>
      <c r="D1680" s="37"/>
      <c r="E1680" s="35" t="s">
        <v>39</v>
      </c>
      <c r="F1680" s="36" t="s">
        <v>36</v>
      </c>
    </row>
    <row r="1681" spans="1:6" ht="17.25" thickBot="1" x14ac:dyDescent="0.3"/>
    <row r="1682" spans="1:6" ht="17.25" thickBot="1" x14ac:dyDescent="0.3">
      <c r="A1682" s="39" t="s">
        <v>40</v>
      </c>
      <c r="B1682" s="39" t="s">
        <v>41</v>
      </c>
      <c r="C1682" s="39" t="s">
        <v>42</v>
      </c>
      <c r="D1682" s="39" t="s">
        <v>43</v>
      </c>
      <c r="E1682" s="39" t="s">
        <v>44</v>
      </c>
      <c r="F1682" s="39" t="s">
        <v>45</v>
      </c>
    </row>
    <row r="1683" spans="1:6" x14ac:dyDescent="0.25">
      <c r="A1683" s="40" t="s">
        <v>381</v>
      </c>
      <c r="B1683" s="41" t="str">
        <f ca="1">IFERROR(INDEX(UNSPSCDes,MATCH(INDIRECT(ADDRESS(ROW(),COLUMN()-1,4)),UNSPSCCode,0)),IF(INDIRECT(ADDRESS(ROW(),COLUMN()-1,4))="12161602","Catalizadores de combustión",""))</f>
        <v>Catalizadores de combustión</v>
      </c>
      <c r="C1683" s="42" t="str">
        <f>IFERROR(VLOOKUP("UD",'[1]Informacion '!P:Q,2,FALSE),"")</f>
        <v>Unidad</v>
      </c>
      <c r="D1683" s="40">
        <v>1</v>
      </c>
      <c r="E1683" s="43">
        <v>65000</v>
      </c>
      <c r="F1683" s="44">
        <f ca="1">INDIRECT(ADDRESS(ROW(),COLUMN()-2,4))*INDIRECT(ADDRESS(ROW(),COLUMN()-1,4))</f>
        <v>65000</v>
      </c>
    </row>
    <row r="1684" spans="1:6" x14ac:dyDescent="0.25">
      <c r="A1684" s="40" t="s">
        <v>387</v>
      </c>
      <c r="B1684" s="41" t="str">
        <f ca="1">IFERROR(INDEX(UNSPSCDes,MATCH(INDIRECT(ADDRESS(ROW(),COLUMN()-1,4)),UNSPSCCode,0)),IF(INDIRECT(ADDRESS(ROW(),COLUMN()-1,4))="40142009","Mangueras multipropósito de aire, agua y gas",""))</f>
        <v>Mangueras multipropósito de aire, agua y gas</v>
      </c>
      <c r="C1684" s="42" t="str">
        <f>IFERROR(VLOOKUP("UD",'[1]Informacion '!P:Q,2,FALSE),"")</f>
        <v>Unidad</v>
      </c>
      <c r="D1684" s="40">
        <v>1</v>
      </c>
      <c r="E1684" s="43">
        <v>50000</v>
      </c>
      <c r="F1684" s="44">
        <f ca="1">INDIRECT(ADDRESS(ROW(),COLUMN()-2,4))*INDIRECT(ADDRESS(ROW(),COLUMN()-1,4))</f>
        <v>50000</v>
      </c>
    </row>
    <row r="1685" spans="1:6" x14ac:dyDescent="0.25">
      <c r="A1685" s="40" t="s">
        <v>388</v>
      </c>
      <c r="B1685" s="41" t="str">
        <f ca="1">IFERROR(INDEX(UNSPSCDes,MATCH(INDIRECT(ADDRESS(ROW(),COLUMN()-1,4)),UNSPSCCode,0)),IF(INDIRECT(ADDRESS(ROW(),COLUMN()-1,4))="40151616","Kits de compresores",""))</f>
        <v>Kits de compresores</v>
      </c>
      <c r="C1685" s="42" t="str">
        <f>IFERROR(VLOOKUP("UD",'[1]Informacion '!P:Q,2,FALSE),"")</f>
        <v>Unidad</v>
      </c>
      <c r="D1685" s="40">
        <v>1</v>
      </c>
      <c r="E1685" s="43">
        <v>10000</v>
      </c>
      <c r="F1685" s="44">
        <f ca="1">INDIRECT(ADDRESS(ROW(),COLUMN()-2,4))*INDIRECT(ADDRESS(ROW(),COLUMN()-1,4))</f>
        <v>10000</v>
      </c>
    </row>
    <row r="1686" spans="1:6" x14ac:dyDescent="0.25">
      <c r="E1686" s="45" t="s">
        <v>47</v>
      </c>
      <c r="F1686" s="46">
        <f ca="1">SUM(Table136[MONTO TOTAL ESTIMADO])</f>
        <v>125000</v>
      </c>
    </row>
    <row r="1687" spans="1:6" ht="17.25" thickBot="1" x14ac:dyDescent="0.3"/>
    <row r="1688" spans="1:6" ht="23.25" thickBot="1" x14ac:dyDescent="0.3">
      <c r="A1688" s="30" t="s">
        <v>18</v>
      </c>
      <c r="B1688" s="30" t="s">
        <v>19</v>
      </c>
      <c r="C1688" s="30" t="s">
        <v>20</v>
      </c>
      <c r="D1688" s="30" t="s">
        <v>21</v>
      </c>
      <c r="E1688" s="30" t="s">
        <v>22</v>
      </c>
      <c r="F1688" s="30" t="s">
        <v>23</v>
      </c>
    </row>
    <row r="1689" spans="1:6" ht="17.25" thickBot="1" x14ac:dyDescent="0.3">
      <c r="A1689" s="31" t="s">
        <v>380</v>
      </c>
      <c r="B1689" s="31" t="s">
        <v>382</v>
      </c>
      <c r="C1689" s="31" t="s">
        <v>92</v>
      </c>
      <c r="D1689" s="31" t="s">
        <v>50</v>
      </c>
      <c r="E1689" s="31" t="s">
        <v>58</v>
      </c>
      <c r="F1689" s="31"/>
    </row>
    <row r="1690" spans="1:6" ht="17.25" thickBot="1" x14ac:dyDescent="0.3">
      <c r="A1690" s="32" t="s">
        <v>29</v>
      </c>
      <c r="B1690" s="33" t="s">
        <v>30</v>
      </c>
      <c r="C1690" s="34">
        <v>45200</v>
      </c>
      <c r="D1690" s="32" t="s">
        <v>31</v>
      </c>
      <c r="E1690" s="35" t="s">
        <v>32</v>
      </c>
      <c r="F1690" s="36" t="s">
        <v>33</v>
      </c>
    </row>
    <row r="1691" spans="1:6" ht="17.25" thickBot="1" x14ac:dyDescent="0.3">
      <c r="A1691" s="37"/>
      <c r="B1691" s="33" t="s">
        <v>34</v>
      </c>
      <c r="C1691" s="38">
        <f>IF(C1690="","",IF(AND(MONTH(C1690)&gt;=1,MONTH(C1690)&lt;=3),1,IF(AND(MONTH(C1690)&gt;=4,MONTH(C1690)&lt;=6),2,IF(AND(MONTH(C1690)&gt;=7,MONTH(C1690)&lt;=9),3,4))))</f>
        <v>4</v>
      </c>
      <c r="D1691" s="37"/>
      <c r="E1691" s="35" t="s">
        <v>35</v>
      </c>
      <c r="F1691" s="36" t="s">
        <v>36</v>
      </c>
    </row>
    <row r="1692" spans="1:6" ht="17.25" thickBot="1" x14ac:dyDescent="0.3">
      <c r="A1692" s="37"/>
      <c r="B1692" s="33" t="s">
        <v>37</v>
      </c>
      <c r="C1692" s="34">
        <v>45290</v>
      </c>
      <c r="D1692" s="37"/>
      <c r="E1692" s="35" t="s">
        <v>38</v>
      </c>
      <c r="F1692" s="36" t="s">
        <v>36</v>
      </c>
    </row>
    <row r="1693" spans="1:6" ht="17.25" thickBot="1" x14ac:dyDescent="0.3">
      <c r="A1693" s="37"/>
      <c r="B1693" s="33" t="s">
        <v>34</v>
      </c>
      <c r="C1693" s="38">
        <f>IF(C1692="","",IF(AND(MONTH(C1692)&gt;=1,MONTH(C1692)&lt;=3),1,IF(AND(MONTH(C1692)&gt;=4,MONTH(C1692)&lt;=6),2,IF(AND(MONTH(C1692)&gt;=7,MONTH(C1692)&lt;=9),3,4))))</f>
        <v>4</v>
      </c>
      <c r="D1693" s="37"/>
      <c r="E1693" s="35" t="s">
        <v>39</v>
      </c>
      <c r="F1693" s="36" t="s">
        <v>36</v>
      </c>
    </row>
    <row r="1694" spans="1:6" ht="17.25" thickBot="1" x14ac:dyDescent="0.3"/>
    <row r="1695" spans="1:6" ht="17.25" thickBot="1" x14ac:dyDescent="0.3">
      <c r="A1695" s="39" t="s">
        <v>40</v>
      </c>
      <c r="B1695" s="39" t="s">
        <v>41</v>
      </c>
      <c r="C1695" s="39" t="s">
        <v>42</v>
      </c>
      <c r="D1695" s="39" t="s">
        <v>43</v>
      </c>
      <c r="E1695" s="39" t="s">
        <v>44</v>
      </c>
      <c r="F1695" s="39" t="s">
        <v>45</v>
      </c>
    </row>
    <row r="1696" spans="1:6" x14ac:dyDescent="0.25">
      <c r="A1696" s="40" t="s">
        <v>381</v>
      </c>
      <c r="B1696" s="41" t="str">
        <f ca="1">IFERROR(INDEX(UNSPSCDes,MATCH(INDIRECT(ADDRESS(ROW(),COLUMN()-1,4)),UNSPSCCode,0)),IF(INDIRECT(ADDRESS(ROW(),COLUMN()-1,4))="12161602","Catalizadores de combustión",""))</f>
        <v>Catalizadores de combustión</v>
      </c>
      <c r="C1696" s="42" t="str">
        <f>IFERROR(VLOOKUP("UD",'[1]Informacion '!P:Q,2,FALSE),"")</f>
        <v>Unidad</v>
      </c>
      <c r="D1696" s="40">
        <v>1</v>
      </c>
      <c r="E1696" s="43">
        <v>1</v>
      </c>
      <c r="F1696" s="44">
        <f t="shared" ref="F1696:F1702" ca="1" si="21">INDIRECT(ADDRESS(ROW(),COLUMN()-2,4))*INDIRECT(ADDRESS(ROW(),COLUMN()-1,4))</f>
        <v>1</v>
      </c>
    </row>
    <row r="1697" spans="1:6" x14ac:dyDescent="0.25">
      <c r="A1697" s="40" t="s">
        <v>389</v>
      </c>
      <c r="B1697" s="41" t="str">
        <f ca="1">IFERROR(INDEX(UNSPSCDes,MATCH(INDIRECT(ADDRESS(ROW(),COLUMN()-1,4)),UNSPSCCode,0)),IF(INDIRECT(ADDRESS(ROW(),COLUMN()-1,4))="25171709","Freno enfriado con líquido",""))</f>
        <v>Freno enfriado con líquido</v>
      </c>
      <c r="C1697" s="42" t="str">
        <f>IFERROR(VLOOKUP("UD",'[1]Informacion '!P:Q,2,FALSE),"")</f>
        <v>Unidad</v>
      </c>
      <c r="D1697" s="40">
        <v>1</v>
      </c>
      <c r="E1697" s="43">
        <v>1</v>
      </c>
      <c r="F1697" s="44">
        <f t="shared" ca="1" si="21"/>
        <v>1</v>
      </c>
    </row>
    <row r="1698" spans="1:6" x14ac:dyDescent="0.25">
      <c r="A1698" s="40" t="s">
        <v>387</v>
      </c>
      <c r="B1698" s="41" t="str">
        <f ca="1">IFERROR(INDEX(UNSPSCDes,MATCH(INDIRECT(ADDRESS(ROW(),COLUMN()-1,4)),UNSPSCCode,0)),IF(INDIRECT(ADDRESS(ROW(),COLUMN()-1,4))="40142009","Mangueras multipropósito de aire, agua y gas",""))</f>
        <v>Mangueras multipropósito de aire, agua y gas</v>
      </c>
      <c r="C1698" s="42" t="str">
        <f>IFERROR(VLOOKUP("UD",'[1]Informacion '!P:Q,2,FALSE),"")</f>
        <v>Unidad</v>
      </c>
      <c r="D1698" s="40">
        <v>1</v>
      </c>
      <c r="E1698" s="43">
        <v>1</v>
      </c>
      <c r="F1698" s="44">
        <f t="shared" ca="1" si="21"/>
        <v>1</v>
      </c>
    </row>
    <row r="1699" spans="1:6" x14ac:dyDescent="0.25">
      <c r="A1699" s="40" t="s">
        <v>390</v>
      </c>
      <c r="B1699" s="41" t="str">
        <f ca="1">IFERROR(INDEX(UNSPSCDes,MATCH(INDIRECT(ADDRESS(ROW(),COLUMN()-1,4)),UNSPSCCode,0)),IF(INDIRECT(ADDRESS(ROW(),COLUMN()-1,4))="27121705","Codos hidráulicos o de compresión",""))</f>
        <v>Codos hidráulicos o de compresión</v>
      </c>
      <c r="C1699" s="42" t="str">
        <f>IFERROR(VLOOKUP("UD",'[1]Informacion '!P:Q,2,FALSE),"")</f>
        <v>Unidad</v>
      </c>
      <c r="D1699" s="40">
        <v>1</v>
      </c>
      <c r="E1699" s="43">
        <v>1</v>
      </c>
      <c r="F1699" s="44">
        <f t="shared" ca="1" si="21"/>
        <v>1</v>
      </c>
    </row>
    <row r="1700" spans="1:6" x14ac:dyDescent="0.25">
      <c r="A1700" s="40" t="s">
        <v>391</v>
      </c>
      <c r="B1700" s="41" t="str">
        <f ca="1">IFERROR(INDEX(UNSPSCDes,MATCH(INDIRECT(ADDRESS(ROW(),COLUMN()-1,4)),UNSPSCCode,0)),IF(INDIRECT(ADDRESS(ROW(),COLUMN()-1,4))="31162702","Ruedas",""))</f>
        <v>Ruedas</v>
      </c>
      <c r="C1700" s="42" t="str">
        <f>IFERROR(VLOOKUP("UD",'[1]Informacion '!P:Q,2,FALSE),"")</f>
        <v>Unidad</v>
      </c>
      <c r="D1700" s="40">
        <v>1</v>
      </c>
      <c r="E1700" s="43">
        <v>1</v>
      </c>
      <c r="F1700" s="44">
        <f t="shared" ca="1" si="21"/>
        <v>1</v>
      </c>
    </row>
    <row r="1701" spans="1:6" x14ac:dyDescent="0.25">
      <c r="A1701" s="40" t="s">
        <v>392</v>
      </c>
      <c r="B1701" s="41" t="str">
        <f ca="1">IFERROR(INDEX(UNSPSCDes,MATCH(INDIRECT(ADDRESS(ROW(),COLUMN()-1,4)),UNSPSCCode,0)),IF(INDIRECT(ADDRESS(ROW(),COLUMN()-1,4))="30181513","Tapas de inodoro",""))</f>
        <v>Tapas de inodoro</v>
      </c>
      <c r="C1701" s="42" t="str">
        <f>IFERROR(VLOOKUP("UD",'[1]Informacion '!P:Q,2,FALSE),"")</f>
        <v>Unidad</v>
      </c>
      <c r="D1701" s="40">
        <v>1</v>
      </c>
      <c r="E1701" s="43">
        <v>1</v>
      </c>
      <c r="F1701" s="44">
        <f t="shared" ca="1" si="21"/>
        <v>1</v>
      </c>
    </row>
    <row r="1702" spans="1:6" x14ac:dyDescent="0.25">
      <c r="A1702" s="40" t="s">
        <v>393</v>
      </c>
      <c r="B1702" s="41" t="str">
        <f ca="1">IFERROR(INDEX(UNSPSCDes,MATCH(INDIRECT(ADDRESS(ROW(),COLUMN()-1,4)),UNSPSCCode,0)),IF(INDIRECT(ADDRESS(ROW(),COLUMN()-1,4))="26131604","Filtros fijos",""))</f>
        <v>Filtros fijos</v>
      </c>
      <c r="C1702" s="42" t="str">
        <f>IFERROR(VLOOKUP("UD",'[1]Informacion '!P:Q,2,FALSE),"")</f>
        <v>Unidad</v>
      </c>
      <c r="D1702" s="40">
        <v>1</v>
      </c>
      <c r="E1702" s="43">
        <v>1</v>
      </c>
      <c r="F1702" s="44">
        <f t="shared" ca="1" si="21"/>
        <v>1</v>
      </c>
    </row>
    <row r="1703" spans="1:6" x14ac:dyDescent="0.25">
      <c r="E1703" s="45" t="s">
        <v>47</v>
      </c>
      <c r="F1703" s="46">
        <f ca="1">SUM(Table137[MONTO TOTAL ESTIMADO])</f>
        <v>7</v>
      </c>
    </row>
    <row r="1704" spans="1:6" ht="17.25" thickBot="1" x14ac:dyDescent="0.3"/>
    <row r="1705" spans="1:6" ht="23.25" thickBot="1" x14ac:dyDescent="0.3">
      <c r="A1705" s="30" t="s">
        <v>18</v>
      </c>
      <c r="B1705" s="30" t="s">
        <v>19</v>
      </c>
      <c r="C1705" s="30" t="s">
        <v>20</v>
      </c>
      <c r="D1705" s="30" t="s">
        <v>21</v>
      </c>
      <c r="E1705" s="30" t="s">
        <v>22</v>
      </c>
      <c r="F1705" s="30" t="s">
        <v>23</v>
      </c>
    </row>
    <row r="1706" spans="1:6" ht="17.25" thickBot="1" x14ac:dyDescent="0.3">
      <c r="A1706" s="31" t="s">
        <v>394</v>
      </c>
      <c r="B1706" s="31" t="s">
        <v>145</v>
      </c>
      <c r="C1706" s="31" t="s">
        <v>92</v>
      </c>
      <c r="D1706" s="31" t="s">
        <v>27</v>
      </c>
      <c r="E1706" s="31" t="s">
        <v>58</v>
      </c>
      <c r="F1706" s="31"/>
    </row>
    <row r="1707" spans="1:6" ht="17.25" thickBot="1" x14ac:dyDescent="0.3">
      <c r="A1707" s="32" t="s">
        <v>29</v>
      </c>
      <c r="B1707" s="33" t="s">
        <v>30</v>
      </c>
      <c r="C1707" s="34">
        <v>44958</v>
      </c>
      <c r="D1707" s="32" t="s">
        <v>31</v>
      </c>
      <c r="E1707" s="35" t="s">
        <v>32</v>
      </c>
      <c r="F1707" s="36" t="s">
        <v>33</v>
      </c>
    </row>
    <row r="1708" spans="1:6" ht="17.25" thickBot="1" x14ac:dyDescent="0.3">
      <c r="A1708" s="37"/>
      <c r="B1708" s="33" t="s">
        <v>34</v>
      </c>
      <c r="C1708" s="38">
        <f>IF(C1707="","",IF(AND(MONTH(C1707)&gt;=1,MONTH(C1707)&lt;=3),1,IF(AND(MONTH(C1707)&gt;=4,MONTH(C1707)&lt;=6),2,IF(AND(MONTH(C1707)&gt;=7,MONTH(C1707)&lt;=9),3,4))))</f>
        <v>1</v>
      </c>
      <c r="D1708" s="37"/>
      <c r="E1708" s="35" t="s">
        <v>35</v>
      </c>
      <c r="F1708" s="36" t="s">
        <v>36</v>
      </c>
    </row>
    <row r="1709" spans="1:6" ht="17.25" thickBot="1" x14ac:dyDescent="0.3">
      <c r="A1709" s="37"/>
      <c r="B1709" s="33" t="s">
        <v>37</v>
      </c>
      <c r="C1709" s="34">
        <v>45005</v>
      </c>
      <c r="D1709" s="37"/>
      <c r="E1709" s="35" t="s">
        <v>38</v>
      </c>
      <c r="F1709" s="36" t="s">
        <v>36</v>
      </c>
    </row>
    <row r="1710" spans="1:6" ht="17.25" thickBot="1" x14ac:dyDescent="0.3">
      <c r="A1710" s="37"/>
      <c r="B1710" s="33" t="s">
        <v>34</v>
      </c>
      <c r="C1710" s="38">
        <f>IF(C1709="","",IF(AND(MONTH(C1709)&gt;=1,MONTH(C1709)&lt;=3),1,IF(AND(MONTH(C1709)&gt;=4,MONTH(C1709)&lt;=6),2,IF(AND(MONTH(C1709)&gt;=7,MONTH(C1709)&lt;=9),3,4))))</f>
        <v>1</v>
      </c>
      <c r="D1710" s="37"/>
      <c r="E1710" s="35" t="s">
        <v>39</v>
      </c>
      <c r="F1710" s="36" t="s">
        <v>36</v>
      </c>
    </row>
    <row r="1711" spans="1:6" ht="17.25" thickBot="1" x14ac:dyDescent="0.3"/>
    <row r="1712" spans="1:6" ht="17.25" thickBot="1" x14ac:dyDescent="0.3">
      <c r="A1712" s="39" t="s">
        <v>40</v>
      </c>
      <c r="B1712" s="39" t="s">
        <v>41</v>
      </c>
      <c r="C1712" s="39" t="s">
        <v>42</v>
      </c>
      <c r="D1712" s="39" t="s">
        <v>43</v>
      </c>
      <c r="E1712" s="39" t="s">
        <v>44</v>
      </c>
      <c r="F1712" s="39" t="s">
        <v>45</v>
      </c>
    </row>
    <row r="1713" spans="1:6" x14ac:dyDescent="0.25">
      <c r="A1713" s="40" t="s">
        <v>395</v>
      </c>
      <c r="B1713" s="41" t="str">
        <f ca="1">IFERROR(INDEX(UNSPSCDes,MATCH(INDIRECT(ADDRESS(ROW(),COLUMN()-1,4)),UNSPSCCode,0)),IF(INDIRECT(ADDRESS(ROW(),COLUMN()-1,4))="43211706","Teclados",""))</f>
        <v>Teclados</v>
      </c>
      <c r="C1713" s="42" t="str">
        <f>IFERROR(VLOOKUP("UD",'[1]Informacion '!P:Q,2,FALSE),"")</f>
        <v>Unidad</v>
      </c>
      <c r="D1713" s="40">
        <v>1</v>
      </c>
      <c r="E1713" s="43">
        <v>1</v>
      </c>
      <c r="F1713" s="44">
        <f t="shared" ref="F1713:F1721" ca="1" si="22">INDIRECT(ADDRESS(ROW(),COLUMN()-2,4))*INDIRECT(ADDRESS(ROW(),COLUMN()-1,4))</f>
        <v>1</v>
      </c>
    </row>
    <row r="1714" spans="1:6" x14ac:dyDescent="0.25">
      <c r="A1714" s="40" t="s">
        <v>396</v>
      </c>
      <c r="B1714" s="41" t="str">
        <f ca="1">IFERROR(INDEX(UNSPSCDes,MATCH(INDIRECT(ADDRESS(ROW(),COLUMN()-1,4)),UNSPSCCode,0)),IF(INDIRECT(ADDRESS(ROW(),COLUMN()-1,4))="40161502","Filtros de agua",""))</f>
        <v>Filtros de agua</v>
      </c>
      <c r="C1714" s="42" t="str">
        <f>IFERROR(VLOOKUP("UD",'[1]Informacion '!P:Q,2,FALSE),"")</f>
        <v>Unidad</v>
      </c>
      <c r="D1714" s="40">
        <v>1</v>
      </c>
      <c r="E1714" s="43">
        <v>1</v>
      </c>
      <c r="F1714" s="44">
        <f t="shared" ca="1" si="22"/>
        <v>1</v>
      </c>
    </row>
    <row r="1715" spans="1:6" x14ac:dyDescent="0.25">
      <c r="A1715" s="40" t="s">
        <v>397</v>
      </c>
      <c r="B1715" s="41" t="str">
        <f ca="1">IFERROR(INDEX(UNSPSCDes,MATCH(INDIRECT(ADDRESS(ROW(),COLUMN()-1,4)),UNSPSCCode,0)),IF(INDIRECT(ADDRESS(ROW(),COLUMN()-1,4))="31231313","Tubería de plástico",""))</f>
        <v>Tubería de plástico</v>
      </c>
      <c r="C1715" s="42" t="str">
        <f>IFERROR(VLOOKUP("UD",'[1]Informacion '!P:Q,2,FALSE),"")</f>
        <v>Unidad</v>
      </c>
      <c r="D1715" s="40">
        <v>1</v>
      </c>
      <c r="E1715" s="43">
        <v>1</v>
      </c>
      <c r="F1715" s="44">
        <f t="shared" ca="1" si="22"/>
        <v>1</v>
      </c>
    </row>
    <row r="1716" spans="1:6" x14ac:dyDescent="0.25">
      <c r="A1716" s="40" t="s">
        <v>398</v>
      </c>
      <c r="B1716" s="41" t="str">
        <f ca="1">IFERROR(INDEX(UNSPSCDes,MATCH(INDIRECT(ADDRESS(ROW(),COLUMN()-1,4)),UNSPSCCode,0)),IF(INDIRECT(ADDRESS(ROW(),COLUMN()-1,4))="47131705","Accesorios para urinales o inodoros",""))</f>
        <v>Accesorios para urinales o inodoros</v>
      </c>
      <c r="C1716" s="42" t="str">
        <f>IFERROR(VLOOKUP("UD",'[1]Informacion '!P:Q,2,FALSE),"")</f>
        <v>Unidad</v>
      </c>
      <c r="D1716" s="40">
        <v>1</v>
      </c>
      <c r="E1716" s="43">
        <v>1</v>
      </c>
      <c r="F1716" s="44">
        <f t="shared" ca="1" si="22"/>
        <v>1</v>
      </c>
    </row>
    <row r="1717" spans="1:6" x14ac:dyDescent="0.25">
      <c r="A1717" s="40" t="s">
        <v>399</v>
      </c>
      <c r="B1717" s="41" t="str">
        <f ca="1">IFERROR(INDEX(UNSPSCDes,MATCH(INDIRECT(ADDRESS(ROW(),COLUMN()-1,4)),UNSPSCCode,0)),IF(INDIRECT(ADDRESS(ROW(),COLUMN()-1,4))="45121602","Trípodes para cámaras",""))</f>
        <v>Trípodes para cámaras</v>
      </c>
      <c r="C1717" s="42" t="str">
        <f>IFERROR(VLOOKUP("UD",'[1]Informacion '!P:Q,2,FALSE),"")</f>
        <v>Unidad</v>
      </c>
      <c r="D1717" s="40">
        <v>1</v>
      </c>
      <c r="E1717" s="43">
        <v>1</v>
      </c>
      <c r="F1717" s="44">
        <f t="shared" ca="1" si="22"/>
        <v>1</v>
      </c>
    </row>
    <row r="1718" spans="1:6" x14ac:dyDescent="0.25">
      <c r="A1718" s="40" t="s">
        <v>400</v>
      </c>
      <c r="B1718" s="41" t="str">
        <f ca="1">IFERROR(INDEX(UNSPSCDes,MATCH(INDIRECT(ADDRESS(ROW(),COLUMN()-1,4)),UNSPSCCode,0)),IF(INDIRECT(ADDRESS(ROW(),COLUMN()-1,4))="52161520","Micrófonos",""))</f>
        <v>Micrófonos</v>
      </c>
      <c r="C1718" s="42" t="str">
        <f>IFERROR(VLOOKUP("UD",'[1]Informacion '!P:Q,2,FALSE),"")</f>
        <v>Unidad</v>
      </c>
      <c r="D1718" s="40">
        <v>1</v>
      </c>
      <c r="E1718" s="43">
        <v>1</v>
      </c>
      <c r="F1718" s="44">
        <f t="shared" ca="1" si="22"/>
        <v>1</v>
      </c>
    </row>
    <row r="1719" spans="1:6" x14ac:dyDescent="0.25">
      <c r="A1719" s="40" t="s">
        <v>401</v>
      </c>
      <c r="B1719" s="41" t="str">
        <f ca="1">IFERROR(INDEX(UNSPSCDes,MATCH(INDIRECT(ADDRESS(ROW(),COLUMN()-1,4)),UNSPSCCode,0)),IF(INDIRECT(ADDRESS(ROW(),COLUMN()-1,4))="45121601","Flashes o iluminación para cámaras",""))</f>
        <v>Flashes o iluminación para cámaras</v>
      </c>
      <c r="C1719" s="42" t="str">
        <f>IFERROR(VLOOKUP("UD",'[1]Informacion '!P:Q,2,FALSE),"")</f>
        <v>Unidad</v>
      </c>
      <c r="D1719" s="40">
        <v>1</v>
      </c>
      <c r="E1719" s="43">
        <v>1</v>
      </c>
      <c r="F1719" s="44">
        <f t="shared" ca="1" si="22"/>
        <v>1</v>
      </c>
    </row>
    <row r="1720" spans="1:6" x14ac:dyDescent="0.25">
      <c r="A1720" s="40" t="s">
        <v>402</v>
      </c>
      <c r="B1720" s="41" t="str">
        <f ca="1">IFERROR(INDEX(UNSPSCDes,MATCH(INDIRECT(ADDRESS(ROW(),COLUMN()-1,4)),UNSPSCCode,0)),IF(INDIRECT(ADDRESS(ROW(),COLUMN()-1,4))="45121617","Bolsas para cámaras",""))</f>
        <v>Bolsas para cámaras</v>
      </c>
      <c r="C1720" s="42" t="str">
        <f>IFERROR(VLOOKUP("UD",'[1]Informacion '!P:Q,2,FALSE),"")</f>
        <v>Unidad</v>
      </c>
      <c r="D1720" s="40">
        <v>1</v>
      </c>
      <c r="E1720" s="43">
        <v>1</v>
      </c>
      <c r="F1720" s="44">
        <f t="shared" ca="1" si="22"/>
        <v>1</v>
      </c>
    </row>
    <row r="1721" spans="1:6" x14ac:dyDescent="0.25">
      <c r="A1721" s="40">
        <v>30171514</v>
      </c>
      <c r="B1721" s="41" t="str">
        <f ca="1">IFERROR(INDEX(UNSPSCDes,MATCH(INDIRECT(ADDRESS(ROW(),COLUMN()-1,4)),UNSPSCCode,0)),IF(INDIRECT(ADDRESS(ROW(),COLUMN()-1,4))="45121617","Bolsas para cámaras",""))</f>
        <v>Cerradores de puertas</v>
      </c>
      <c r="C1721" s="42" t="str">
        <f>IFERROR(VLOOKUP("UD",'[1]Informacion '!P:Q,2,FALSE),"")</f>
        <v>Unidad</v>
      </c>
      <c r="D1721" s="40">
        <v>1</v>
      </c>
      <c r="E1721" s="43">
        <v>1</v>
      </c>
      <c r="F1721" s="44">
        <f t="shared" ca="1" si="22"/>
        <v>1</v>
      </c>
    </row>
    <row r="1722" spans="1:6" x14ac:dyDescent="0.25">
      <c r="E1722" s="45" t="s">
        <v>47</v>
      </c>
      <c r="F1722" s="46">
        <f ca="1">SUM(Table138[MONTO TOTAL ESTIMADO])</f>
        <v>9</v>
      </c>
    </row>
    <row r="1723" spans="1:6" ht="17.25" thickBot="1" x14ac:dyDescent="0.3"/>
    <row r="1724" spans="1:6" ht="23.25" thickBot="1" x14ac:dyDescent="0.3">
      <c r="A1724" s="30" t="s">
        <v>18</v>
      </c>
      <c r="B1724" s="30" t="s">
        <v>19</v>
      </c>
      <c r="C1724" s="30" t="s">
        <v>20</v>
      </c>
      <c r="D1724" s="30" t="s">
        <v>21</v>
      </c>
      <c r="E1724" s="30" t="s">
        <v>22</v>
      </c>
      <c r="F1724" s="30" t="s">
        <v>23</v>
      </c>
    </row>
    <row r="1725" spans="1:6" ht="17.25" thickBot="1" x14ac:dyDescent="0.3">
      <c r="A1725" s="31" t="s">
        <v>394</v>
      </c>
      <c r="B1725" s="31" t="s">
        <v>145</v>
      </c>
      <c r="C1725" s="31" t="s">
        <v>92</v>
      </c>
      <c r="D1725" s="31" t="s">
        <v>27</v>
      </c>
      <c r="E1725" s="31" t="s">
        <v>58</v>
      </c>
      <c r="F1725" s="31"/>
    </row>
    <row r="1726" spans="1:6" ht="17.25" thickBot="1" x14ac:dyDescent="0.3">
      <c r="A1726" s="32" t="s">
        <v>29</v>
      </c>
      <c r="B1726" s="33" t="s">
        <v>30</v>
      </c>
      <c r="C1726" s="34">
        <v>45016</v>
      </c>
      <c r="D1726" s="32" t="s">
        <v>31</v>
      </c>
      <c r="E1726" s="35" t="s">
        <v>32</v>
      </c>
      <c r="F1726" s="36" t="s">
        <v>33</v>
      </c>
    </row>
    <row r="1727" spans="1:6" ht="17.25" thickBot="1" x14ac:dyDescent="0.3">
      <c r="A1727" s="37"/>
      <c r="B1727" s="33" t="s">
        <v>34</v>
      </c>
      <c r="C1727" s="38">
        <f>IF(C1726="","",IF(AND(MONTH(C1726)&gt;=1,MONTH(C1726)&lt;=3),1,IF(AND(MONTH(C1726)&gt;=4,MONTH(C1726)&lt;=6),2,IF(AND(MONTH(C1726)&gt;=7,MONTH(C1726)&lt;=9),3,4))))</f>
        <v>1</v>
      </c>
      <c r="D1727" s="37"/>
      <c r="E1727" s="35" t="s">
        <v>35</v>
      </c>
      <c r="F1727" s="36" t="s">
        <v>36</v>
      </c>
    </row>
    <row r="1728" spans="1:6" ht="17.25" thickBot="1" x14ac:dyDescent="0.3">
      <c r="A1728" s="37"/>
      <c r="B1728" s="33" t="s">
        <v>37</v>
      </c>
      <c r="C1728" s="34">
        <v>45106</v>
      </c>
      <c r="D1728" s="37"/>
      <c r="E1728" s="35" t="s">
        <v>38</v>
      </c>
      <c r="F1728" s="36" t="s">
        <v>36</v>
      </c>
    </row>
    <row r="1729" spans="1:6" ht="17.25" thickBot="1" x14ac:dyDescent="0.3">
      <c r="A1729" s="37"/>
      <c r="B1729" s="33" t="s">
        <v>34</v>
      </c>
      <c r="C1729" s="38">
        <f>IF(C1728="","",IF(AND(MONTH(C1728)&gt;=1,MONTH(C1728)&lt;=3),1,IF(AND(MONTH(C1728)&gt;=4,MONTH(C1728)&lt;=6),2,IF(AND(MONTH(C1728)&gt;=7,MONTH(C1728)&lt;=9),3,4))))</f>
        <v>2</v>
      </c>
      <c r="D1729" s="37"/>
      <c r="E1729" s="35" t="s">
        <v>39</v>
      </c>
      <c r="F1729" s="36" t="s">
        <v>36</v>
      </c>
    </row>
    <row r="1730" spans="1:6" ht="17.25" thickBot="1" x14ac:dyDescent="0.3"/>
    <row r="1731" spans="1:6" ht="17.25" thickBot="1" x14ac:dyDescent="0.3">
      <c r="A1731" s="39" t="s">
        <v>40</v>
      </c>
      <c r="B1731" s="39" t="s">
        <v>41</v>
      </c>
      <c r="C1731" s="39" t="s">
        <v>42</v>
      </c>
      <c r="D1731" s="39" t="s">
        <v>43</v>
      </c>
      <c r="E1731" s="39" t="s">
        <v>44</v>
      </c>
      <c r="F1731" s="39" t="s">
        <v>45</v>
      </c>
    </row>
    <row r="1732" spans="1:6" x14ac:dyDescent="0.25">
      <c r="A1732" s="40" t="s">
        <v>395</v>
      </c>
      <c r="B1732" s="41" t="str">
        <f ca="1">IFERROR(INDEX(UNSPSCDes,MATCH(INDIRECT(ADDRESS(ROW(),COLUMN()-1,4)),UNSPSCCode,0)),IF(INDIRECT(ADDRESS(ROW(),COLUMN()-1,4))="43211706","Teclados",""))</f>
        <v>Teclados</v>
      </c>
      <c r="C1732" s="42" t="str">
        <f>IFERROR(VLOOKUP("UD",'[1]Informacion '!P:Q,2,FALSE),"")</f>
        <v>Unidad</v>
      </c>
      <c r="D1732" s="40">
        <v>1</v>
      </c>
      <c r="E1732" s="43">
        <v>1</v>
      </c>
      <c r="F1732" s="44">
        <f ca="1">INDIRECT(ADDRESS(ROW(),COLUMN()-2,4))*INDIRECT(ADDRESS(ROW(),COLUMN()-1,4))</f>
        <v>1</v>
      </c>
    </row>
    <row r="1733" spans="1:6" x14ac:dyDescent="0.25">
      <c r="A1733" s="40" t="s">
        <v>403</v>
      </c>
      <c r="B1733" s="41" t="str">
        <f ca="1">IFERROR(INDEX(UNSPSCDes,MATCH(INDIRECT(ADDRESS(ROW(),COLUMN()-1,4)),UNSPSCCode,0)),IF(INDIRECT(ADDRESS(ROW(),COLUMN()-1,4))="55121804","Gafetes o porta gafetes",""))</f>
        <v>Gafetes o porta gafetes</v>
      </c>
      <c r="C1733" s="42" t="str">
        <f>IFERROR(VLOOKUP("UD",'[1]Informacion '!P:Q,2,FALSE),"")</f>
        <v>Unidad</v>
      </c>
      <c r="D1733" s="40">
        <v>1</v>
      </c>
      <c r="E1733" s="43">
        <v>1</v>
      </c>
      <c r="F1733" s="44">
        <f ca="1">INDIRECT(ADDRESS(ROW(),COLUMN()-2,4))*INDIRECT(ADDRESS(ROW(),COLUMN()-1,4))</f>
        <v>1</v>
      </c>
    </row>
    <row r="1734" spans="1:6" x14ac:dyDescent="0.25">
      <c r="E1734" s="45" t="s">
        <v>47</v>
      </c>
      <c r="F1734" s="46">
        <f ca="1">SUM(Table139[MONTO TOTAL ESTIMADO])</f>
        <v>2</v>
      </c>
    </row>
    <row r="1735" spans="1:6" ht="17.25" thickBot="1" x14ac:dyDescent="0.3"/>
    <row r="1736" spans="1:6" ht="23.25" thickBot="1" x14ac:dyDescent="0.3">
      <c r="A1736" s="30" t="s">
        <v>18</v>
      </c>
      <c r="B1736" s="30" t="s">
        <v>19</v>
      </c>
      <c r="C1736" s="30" t="s">
        <v>20</v>
      </c>
      <c r="D1736" s="30" t="s">
        <v>21</v>
      </c>
      <c r="E1736" s="30" t="s">
        <v>22</v>
      </c>
      <c r="F1736" s="30" t="s">
        <v>23</v>
      </c>
    </row>
    <row r="1737" spans="1:6" ht="17.25" thickBot="1" x14ac:dyDescent="0.3">
      <c r="A1737" s="31" t="s">
        <v>394</v>
      </c>
      <c r="B1737" s="31" t="s">
        <v>145</v>
      </c>
      <c r="C1737" s="31" t="s">
        <v>92</v>
      </c>
      <c r="D1737" s="31" t="s">
        <v>27</v>
      </c>
      <c r="E1737" s="31" t="s">
        <v>58</v>
      </c>
      <c r="F1737" s="31"/>
    </row>
    <row r="1738" spans="1:6" ht="17.25" thickBot="1" x14ac:dyDescent="0.3">
      <c r="A1738" s="32" t="s">
        <v>29</v>
      </c>
      <c r="B1738" s="33" t="s">
        <v>30</v>
      </c>
      <c r="C1738" s="34">
        <v>45107</v>
      </c>
      <c r="D1738" s="32" t="s">
        <v>31</v>
      </c>
      <c r="E1738" s="35" t="s">
        <v>32</v>
      </c>
      <c r="F1738" s="36" t="s">
        <v>33</v>
      </c>
    </row>
    <row r="1739" spans="1:6" ht="17.25" thickBot="1" x14ac:dyDescent="0.3">
      <c r="A1739" s="37"/>
      <c r="B1739" s="33" t="s">
        <v>34</v>
      </c>
      <c r="C1739" s="38">
        <f>IF(C1738="","",IF(AND(MONTH(C1738)&gt;=1,MONTH(C1738)&lt;=3),1,IF(AND(MONTH(C1738)&gt;=4,MONTH(C1738)&lt;=6),2,IF(AND(MONTH(C1738)&gt;=7,MONTH(C1738)&lt;=9),3,4))))</f>
        <v>2</v>
      </c>
      <c r="D1739" s="37"/>
      <c r="E1739" s="35" t="s">
        <v>35</v>
      </c>
      <c r="F1739" s="36" t="s">
        <v>36</v>
      </c>
    </row>
    <row r="1740" spans="1:6" ht="17.25" thickBot="1" x14ac:dyDescent="0.3">
      <c r="A1740" s="37"/>
      <c r="B1740" s="33" t="s">
        <v>37</v>
      </c>
      <c r="C1740" s="34">
        <v>45198</v>
      </c>
      <c r="D1740" s="37"/>
      <c r="E1740" s="35" t="s">
        <v>38</v>
      </c>
      <c r="F1740" s="36" t="s">
        <v>36</v>
      </c>
    </row>
    <row r="1741" spans="1:6" ht="17.25" thickBot="1" x14ac:dyDescent="0.3">
      <c r="A1741" s="37"/>
      <c r="B1741" s="33" t="s">
        <v>34</v>
      </c>
      <c r="C1741" s="38">
        <f>IF(C1740="","",IF(AND(MONTH(C1740)&gt;=1,MONTH(C1740)&lt;=3),1,IF(AND(MONTH(C1740)&gt;=4,MONTH(C1740)&lt;=6),2,IF(AND(MONTH(C1740)&gt;=7,MONTH(C1740)&lt;=9),3,4))))</f>
        <v>3</v>
      </c>
      <c r="D1741" s="37"/>
      <c r="E1741" s="35" t="s">
        <v>39</v>
      </c>
      <c r="F1741" s="36"/>
    </row>
    <row r="1742" spans="1:6" ht="17.25" thickBot="1" x14ac:dyDescent="0.3"/>
    <row r="1743" spans="1:6" ht="17.25" thickBot="1" x14ac:dyDescent="0.3">
      <c r="A1743" s="39" t="s">
        <v>40</v>
      </c>
      <c r="B1743" s="39" t="s">
        <v>41</v>
      </c>
      <c r="C1743" s="39" t="s">
        <v>42</v>
      </c>
      <c r="D1743" s="39" t="s">
        <v>43</v>
      </c>
      <c r="E1743" s="39" t="s">
        <v>44</v>
      </c>
      <c r="F1743" s="39" t="s">
        <v>45</v>
      </c>
    </row>
    <row r="1744" spans="1:6" x14ac:dyDescent="0.25">
      <c r="A1744" s="40" t="s">
        <v>395</v>
      </c>
      <c r="B1744" s="41" t="str">
        <f ca="1">IFERROR(INDEX(UNSPSCDes,MATCH(INDIRECT(ADDRESS(ROW(),COLUMN()-1,4)),UNSPSCCode,0)),IF(INDIRECT(ADDRESS(ROW(),COLUMN()-1,4))="43211706","Teclados",""))</f>
        <v>Teclados</v>
      </c>
      <c r="C1744" s="42" t="str">
        <f>IFERROR(VLOOKUP("UD",'[1]Informacion '!P:Q,2,FALSE),"")</f>
        <v>Unidad</v>
      </c>
      <c r="D1744" s="40">
        <v>1</v>
      </c>
      <c r="E1744" s="43">
        <v>1</v>
      </c>
      <c r="F1744" s="44">
        <f ca="1">INDIRECT(ADDRESS(ROW(),COLUMN()-2,4))*INDIRECT(ADDRESS(ROW(),COLUMN()-1,4))</f>
        <v>1</v>
      </c>
    </row>
    <row r="1745" spans="1:6" x14ac:dyDescent="0.25">
      <c r="A1745" s="40" t="s">
        <v>403</v>
      </c>
      <c r="B1745" s="41" t="str">
        <f ca="1">IFERROR(INDEX(UNSPSCDes,MATCH(INDIRECT(ADDRESS(ROW(),COLUMN()-1,4)),UNSPSCCode,0)),IF(INDIRECT(ADDRESS(ROW(),COLUMN()-1,4))="55121804","Gafetes o porta gafetes",""))</f>
        <v>Gafetes o porta gafetes</v>
      </c>
      <c r="C1745" s="42" t="str">
        <f>IFERROR(VLOOKUP("UD",'[1]Informacion '!P:Q,2,FALSE),"")</f>
        <v>Unidad</v>
      </c>
      <c r="D1745" s="40">
        <v>1</v>
      </c>
      <c r="E1745" s="43">
        <v>1</v>
      </c>
      <c r="F1745" s="44">
        <f ca="1">INDIRECT(ADDRESS(ROW(),COLUMN()-2,4))*INDIRECT(ADDRESS(ROW(),COLUMN()-1,4))</f>
        <v>1</v>
      </c>
    </row>
    <row r="1746" spans="1:6" x14ac:dyDescent="0.25">
      <c r="A1746" s="40" t="s">
        <v>404</v>
      </c>
      <c r="B1746" s="41" t="str">
        <f ca="1">IFERROR(INDEX(UNSPSCDes,MATCH(INDIRECT(ADDRESS(ROW(),COLUMN()-1,4)),UNSPSCCode,0)),IF(INDIRECT(ADDRESS(ROW(),COLUMN()-1,4))="52161514","Audífonos",""))</f>
        <v>Audífonos</v>
      </c>
      <c r="C1746" s="42" t="str">
        <f>IFERROR(VLOOKUP("UD",'[1]Informacion '!P:Q,2,FALSE),"")</f>
        <v>Unidad</v>
      </c>
      <c r="D1746" s="40">
        <v>1</v>
      </c>
      <c r="E1746" s="43">
        <v>1</v>
      </c>
      <c r="F1746" s="44">
        <f ca="1">INDIRECT(ADDRESS(ROW(),COLUMN()-2,4))*INDIRECT(ADDRESS(ROW(),COLUMN()-1,4))</f>
        <v>1</v>
      </c>
    </row>
    <row r="1747" spans="1:6" x14ac:dyDescent="0.25">
      <c r="E1747" s="45" t="s">
        <v>47</v>
      </c>
      <c r="F1747" s="46">
        <f ca="1">SUM(Table140[MONTO TOTAL ESTIMADO])</f>
        <v>3</v>
      </c>
    </row>
    <row r="1748" spans="1:6" ht="17.25" thickBot="1" x14ac:dyDescent="0.3"/>
    <row r="1749" spans="1:6" ht="23.25" thickBot="1" x14ac:dyDescent="0.3">
      <c r="A1749" s="30" t="s">
        <v>18</v>
      </c>
      <c r="B1749" s="30" t="s">
        <v>19</v>
      </c>
      <c r="C1749" s="30" t="s">
        <v>20</v>
      </c>
      <c r="D1749" s="30" t="s">
        <v>21</v>
      </c>
      <c r="E1749" s="30" t="s">
        <v>22</v>
      </c>
      <c r="F1749" s="30" t="s">
        <v>23</v>
      </c>
    </row>
    <row r="1750" spans="1:6" ht="17.25" thickBot="1" x14ac:dyDescent="0.3">
      <c r="A1750" s="31" t="s">
        <v>394</v>
      </c>
      <c r="B1750" s="31" t="s">
        <v>145</v>
      </c>
      <c r="C1750" s="31" t="s">
        <v>92</v>
      </c>
      <c r="D1750" s="31" t="s">
        <v>27</v>
      </c>
      <c r="E1750" s="31" t="s">
        <v>58</v>
      </c>
      <c r="F1750" s="31"/>
    </row>
    <row r="1751" spans="1:6" ht="17.25" thickBot="1" x14ac:dyDescent="0.3">
      <c r="A1751" s="32" t="s">
        <v>29</v>
      </c>
      <c r="B1751" s="33" t="s">
        <v>30</v>
      </c>
      <c r="C1751" s="34">
        <v>45199</v>
      </c>
      <c r="D1751" s="32" t="s">
        <v>31</v>
      </c>
      <c r="E1751" s="35" t="s">
        <v>32</v>
      </c>
      <c r="F1751" s="36" t="s">
        <v>33</v>
      </c>
    </row>
    <row r="1752" spans="1:6" ht="17.25" thickBot="1" x14ac:dyDescent="0.3">
      <c r="A1752" s="37"/>
      <c r="B1752" s="33" t="s">
        <v>34</v>
      </c>
      <c r="C1752" s="38">
        <f>IF(C1751="","",IF(AND(MONTH(C1751)&gt;=1,MONTH(C1751)&lt;=3),1,IF(AND(MONTH(C1751)&gt;=4,MONTH(C1751)&lt;=6),2,IF(AND(MONTH(C1751)&gt;=7,MONTH(C1751)&lt;=9),3,4))))</f>
        <v>3</v>
      </c>
      <c r="D1752" s="37"/>
      <c r="E1752" s="35" t="s">
        <v>35</v>
      </c>
      <c r="F1752" s="36" t="s">
        <v>36</v>
      </c>
    </row>
    <row r="1753" spans="1:6" ht="17.25" thickBot="1" x14ac:dyDescent="0.3">
      <c r="A1753" s="37"/>
      <c r="B1753" s="33" t="s">
        <v>37</v>
      </c>
      <c r="C1753" s="34">
        <v>45290</v>
      </c>
      <c r="D1753" s="37"/>
      <c r="E1753" s="35" t="s">
        <v>38</v>
      </c>
      <c r="F1753" s="36" t="s">
        <v>36</v>
      </c>
    </row>
    <row r="1754" spans="1:6" ht="17.25" thickBot="1" x14ac:dyDescent="0.3">
      <c r="A1754" s="37"/>
      <c r="B1754" s="33" t="s">
        <v>34</v>
      </c>
      <c r="C1754" s="38">
        <f>IF(C1753="","",IF(AND(MONTH(C1753)&gt;=1,MONTH(C1753)&lt;=3),1,IF(AND(MONTH(C1753)&gt;=4,MONTH(C1753)&lt;=6),2,IF(AND(MONTH(C1753)&gt;=7,MONTH(C1753)&lt;=9),3,4))))</f>
        <v>4</v>
      </c>
      <c r="D1754" s="37"/>
      <c r="E1754" s="35" t="s">
        <v>39</v>
      </c>
      <c r="F1754" s="36" t="s">
        <v>36</v>
      </c>
    </row>
    <row r="1755" spans="1:6" ht="17.25" thickBot="1" x14ac:dyDescent="0.3"/>
    <row r="1756" spans="1:6" ht="17.25" thickBot="1" x14ac:dyDescent="0.3">
      <c r="A1756" s="39" t="s">
        <v>40</v>
      </c>
      <c r="B1756" s="39" t="s">
        <v>41</v>
      </c>
      <c r="C1756" s="39" t="s">
        <v>42</v>
      </c>
      <c r="D1756" s="39" t="s">
        <v>43</v>
      </c>
      <c r="E1756" s="39" t="s">
        <v>44</v>
      </c>
      <c r="F1756" s="39" t="s">
        <v>45</v>
      </c>
    </row>
    <row r="1757" spans="1:6" x14ac:dyDescent="0.25">
      <c r="A1757" s="40" t="s">
        <v>395</v>
      </c>
      <c r="B1757" s="41" t="str">
        <f ca="1">IFERROR(INDEX(UNSPSCDes,MATCH(INDIRECT(ADDRESS(ROW(),COLUMN()-1,4)),UNSPSCCode,0)),IF(INDIRECT(ADDRESS(ROW(),COLUMN()-1,4))="43211706","Teclados",""))</f>
        <v>Teclados</v>
      </c>
      <c r="C1757" s="42" t="str">
        <f>IFERROR(VLOOKUP("UD",'[1]Informacion '!P:Q,2,FALSE),"")</f>
        <v>Unidad</v>
      </c>
      <c r="D1757" s="40">
        <v>1</v>
      </c>
      <c r="E1757" s="43">
        <v>1</v>
      </c>
      <c r="F1757" s="44">
        <f ca="1">INDIRECT(ADDRESS(ROW(),COLUMN()-2,4))*INDIRECT(ADDRESS(ROW(),COLUMN()-1,4))</f>
        <v>1</v>
      </c>
    </row>
    <row r="1758" spans="1:6" x14ac:dyDescent="0.25">
      <c r="A1758" s="40" t="s">
        <v>405</v>
      </c>
      <c r="B1758" s="41" t="str">
        <f ca="1">IFERROR(INDEX(UNSPSCDes,MATCH(INDIRECT(ADDRESS(ROW(),COLUMN()-1,4)),UNSPSCCode,0)),IF(INDIRECT(ADDRESS(ROW(),COLUMN()-1,4))="52161525","Control remoto",""))</f>
        <v>Control remoto</v>
      </c>
      <c r="C1758" s="42" t="str">
        <f>IFERROR(VLOOKUP("UD",'[1]Informacion '!P:Q,2,FALSE),"")</f>
        <v>Unidad</v>
      </c>
      <c r="D1758" s="40">
        <v>1</v>
      </c>
      <c r="E1758" s="43">
        <v>1</v>
      </c>
      <c r="F1758" s="44">
        <f ca="1">INDIRECT(ADDRESS(ROW(),COLUMN()-2,4))*INDIRECT(ADDRESS(ROW(),COLUMN()-1,4))</f>
        <v>1</v>
      </c>
    </row>
    <row r="1759" spans="1:6" x14ac:dyDescent="0.25">
      <c r="A1759" s="40" t="s">
        <v>406</v>
      </c>
      <c r="B1759" s="41" t="str">
        <f ca="1">IFERROR(INDEX(UNSPSCDes,MATCH(INDIRECT(ADDRESS(ROW(),COLUMN()-1,4)),UNSPSCCode,0)),IF(INDIRECT(ADDRESS(ROW(),COLUMN()-1,4))="60111404","Decoraciones de dos caras",""))</f>
        <v>Decoraciones de dos caras</v>
      </c>
      <c r="C1759" s="42" t="str">
        <f>IFERROR(VLOOKUP("UD",'[1]Informacion '!P:Q,2,FALSE),"")</f>
        <v>Unidad</v>
      </c>
      <c r="D1759" s="40">
        <v>1</v>
      </c>
      <c r="E1759" s="43">
        <v>1</v>
      </c>
      <c r="F1759" s="44">
        <f ca="1">INDIRECT(ADDRESS(ROW(),COLUMN()-2,4))*INDIRECT(ADDRESS(ROW(),COLUMN()-1,4))</f>
        <v>1</v>
      </c>
    </row>
    <row r="1760" spans="1:6" x14ac:dyDescent="0.25">
      <c r="E1760" s="45" t="s">
        <v>47</v>
      </c>
      <c r="F1760" s="46">
        <f ca="1">SUM(Table141[MONTO TOTAL ESTIMADO])</f>
        <v>3</v>
      </c>
    </row>
    <row r="1761" spans="1:6" ht="17.25" thickBot="1" x14ac:dyDescent="0.3"/>
    <row r="1762" spans="1:6" ht="23.25" thickBot="1" x14ac:dyDescent="0.3">
      <c r="A1762" s="30" t="s">
        <v>18</v>
      </c>
      <c r="B1762" s="30" t="s">
        <v>19</v>
      </c>
      <c r="C1762" s="30" t="s">
        <v>20</v>
      </c>
      <c r="D1762" s="30" t="s">
        <v>21</v>
      </c>
      <c r="E1762" s="30" t="s">
        <v>22</v>
      </c>
      <c r="F1762" s="30" t="s">
        <v>23</v>
      </c>
    </row>
    <row r="1763" spans="1:6" ht="17.25" thickBot="1" x14ac:dyDescent="0.3">
      <c r="A1763" s="31" t="s">
        <v>407</v>
      </c>
      <c r="B1763" s="31" t="s">
        <v>145</v>
      </c>
      <c r="C1763" s="31" t="s">
        <v>92</v>
      </c>
      <c r="D1763" s="31" t="s">
        <v>27</v>
      </c>
      <c r="E1763" s="31" t="s">
        <v>58</v>
      </c>
      <c r="F1763" s="31"/>
    </row>
    <row r="1764" spans="1:6" ht="17.25" thickBot="1" x14ac:dyDescent="0.3">
      <c r="A1764" s="32" t="s">
        <v>29</v>
      </c>
      <c r="B1764" s="33" t="s">
        <v>30</v>
      </c>
      <c r="C1764" s="34">
        <v>45199</v>
      </c>
      <c r="D1764" s="32" t="s">
        <v>31</v>
      </c>
      <c r="E1764" s="35" t="s">
        <v>32</v>
      </c>
      <c r="F1764" s="36" t="s">
        <v>33</v>
      </c>
    </row>
    <row r="1765" spans="1:6" ht="17.25" thickBot="1" x14ac:dyDescent="0.3">
      <c r="A1765" s="37"/>
      <c r="B1765" s="33" t="s">
        <v>34</v>
      </c>
      <c r="C1765" s="38">
        <f>IF(C1764="","",IF(AND(MONTH(C1764)&gt;=1,MONTH(C1764)&lt;=3),1,IF(AND(MONTH(C1764)&gt;=4,MONTH(C1764)&lt;=6),2,IF(AND(MONTH(C1764)&gt;=7,MONTH(C1764)&lt;=9),3,4))))</f>
        <v>3</v>
      </c>
      <c r="D1765" s="37"/>
      <c r="E1765" s="35" t="s">
        <v>35</v>
      </c>
      <c r="F1765" s="36" t="s">
        <v>36</v>
      </c>
    </row>
    <row r="1766" spans="1:6" ht="17.25" thickBot="1" x14ac:dyDescent="0.3">
      <c r="A1766" s="37"/>
      <c r="B1766" s="33" t="s">
        <v>37</v>
      </c>
      <c r="C1766" s="34">
        <v>45290</v>
      </c>
      <c r="D1766" s="37"/>
      <c r="E1766" s="35" t="s">
        <v>38</v>
      </c>
      <c r="F1766" s="36" t="s">
        <v>36</v>
      </c>
    </row>
    <row r="1767" spans="1:6" ht="17.25" thickBot="1" x14ac:dyDescent="0.3">
      <c r="A1767" s="37"/>
      <c r="B1767" s="33" t="s">
        <v>34</v>
      </c>
      <c r="C1767" s="38">
        <f>IF(C1766="","",IF(AND(MONTH(C1766)&gt;=1,MONTH(C1766)&lt;=3),1,IF(AND(MONTH(C1766)&gt;=4,MONTH(C1766)&lt;=6),2,IF(AND(MONTH(C1766)&gt;=7,MONTH(C1766)&lt;=9),3,4))))</f>
        <v>4</v>
      </c>
      <c r="D1767" s="37"/>
      <c r="E1767" s="35" t="s">
        <v>39</v>
      </c>
      <c r="F1767" s="36" t="s">
        <v>36</v>
      </c>
    </row>
    <row r="1768" spans="1:6" ht="17.25" thickBot="1" x14ac:dyDescent="0.3"/>
    <row r="1769" spans="1:6" ht="17.25" thickBot="1" x14ac:dyDescent="0.3">
      <c r="A1769" s="39" t="s">
        <v>40</v>
      </c>
      <c r="B1769" s="39" t="s">
        <v>41</v>
      </c>
      <c r="C1769" s="39" t="s">
        <v>42</v>
      </c>
      <c r="D1769" s="39" t="s">
        <v>43</v>
      </c>
      <c r="E1769" s="39" t="s">
        <v>44</v>
      </c>
      <c r="F1769" s="39" t="s">
        <v>45</v>
      </c>
    </row>
    <row r="1770" spans="1:6" x14ac:dyDescent="0.25">
      <c r="A1770" s="40">
        <v>60121535</v>
      </c>
      <c r="B1770" s="41" t="str">
        <f ca="1">IFERROR(INDEX(UNSPSCDes,MATCH(INDIRECT(ADDRESS(ROW(),COLUMN()-1,4)),UNSPSCCode,0)),IF(INDIRECT(ADDRESS(ROW(),COLUMN()-1,4))="60121535","Borradores de goma",""))</f>
        <v>Borradores de goma</v>
      </c>
      <c r="C1770" s="42" t="str">
        <f>IFERROR(VLOOKUP("UD",'[1]Informacion '!P:Q,2,FALSE),"")</f>
        <v>Unidad</v>
      </c>
      <c r="D1770" s="40">
        <v>1</v>
      </c>
      <c r="E1770" s="43">
        <v>1</v>
      </c>
      <c r="F1770" s="44">
        <f ca="1">INDIRECT(ADDRESS(ROW(),COLUMN()-2,4))*INDIRECT(ADDRESS(ROW(),COLUMN()-1,4))</f>
        <v>1</v>
      </c>
    </row>
    <row r="1771" spans="1:6" x14ac:dyDescent="0.25">
      <c r="E1771" s="45" t="s">
        <v>47</v>
      </c>
      <c r="F1771" s="46">
        <f ca="1">SUM(Table145[MONTO TOTAL ESTIMADO])</f>
        <v>1</v>
      </c>
    </row>
    <row r="1772" spans="1:6" ht="17.25" thickBot="1" x14ac:dyDescent="0.3"/>
    <row r="1773" spans="1:6" ht="23.25" thickBot="1" x14ac:dyDescent="0.3">
      <c r="A1773" s="30" t="s">
        <v>18</v>
      </c>
      <c r="B1773" s="30" t="s">
        <v>19</v>
      </c>
      <c r="C1773" s="30" t="s">
        <v>20</v>
      </c>
      <c r="D1773" s="30" t="s">
        <v>21</v>
      </c>
      <c r="E1773" s="30" t="s">
        <v>22</v>
      </c>
      <c r="F1773" s="30" t="s">
        <v>23</v>
      </c>
    </row>
    <row r="1774" spans="1:6" ht="17.25" thickBot="1" x14ac:dyDescent="0.3">
      <c r="A1774" s="31" t="s">
        <v>408</v>
      </c>
      <c r="B1774" s="31" t="s">
        <v>409</v>
      </c>
      <c r="C1774" s="31" t="s">
        <v>92</v>
      </c>
      <c r="D1774" s="31" t="s">
        <v>27</v>
      </c>
      <c r="E1774" s="31" t="s">
        <v>58</v>
      </c>
      <c r="F1774" s="31"/>
    </row>
    <row r="1775" spans="1:6" ht="17.25" thickBot="1" x14ac:dyDescent="0.3">
      <c r="A1775" s="32" t="s">
        <v>29</v>
      </c>
      <c r="B1775" s="33" t="s">
        <v>30</v>
      </c>
      <c r="C1775" s="34">
        <v>45016</v>
      </c>
      <c r="D1775" s="32" t="s">
        <v>31</v>
      </c>
      <c r="E1775" s="35" t="s">
        <v>32</v>
      </c>
      <c r="F1775" s="36" t="s">
        <v>33</v>
      </c>
    </row>
    <row r="1776" spans="1:6" ht="17.25" thickBot="1" x14ac:dyDescent="0.3">
      <c r="A1776" s="37"/>
      <c r="B1776" s="33" t="s">
        <v>34</v>
      </c>
      <c r="C1776" s="38">
        <f>IF(C1775="","",IF(AND(MONTH(C1775)&gt;=1,MONTH(C1775)&lt;=3),1,IF(AND(MONTH(C1775)&gt;=4,MONTH(C1775)&lt;=6),2,IF(AND(MONTH(C1775)&gt;=7,MONTH(C1775)&lt;=9),3,4))))</f>
        <v>1</v>
      </c>
      <c r="D1776" s="37"/>
      <c r="E1776" s="35" t="s">
        <v>35</v>
      </c>
      <c r="F1776" s="36" t="s">
        <v>36</v>
      </c>
    </row>
    <row r="1777" spans="1:6" ht="17.25" thickBot="1" x14ac:dyDescent="0.3">
      <c r="A1777" s="37"/>
      <c r="B1777" s="33" t="s">
        <v>37</v>
      </c>
      <c r="C1777" s="34">
        <v>45106</v>
      </c>
      <c r="D1777" s="37"/>
      <c r="E1777" s="35" t="s">
        <v>38</v>
      </c>
      <c r="F1777" s="36" t="s">
        <v>36</v>
      </c>
    </row>
    <row r="1778" spans="1:6" ht="17.25" thickBot="1" x14ac:dyDescent="0.3">
      <c r="A1778" s="37"/>
      <c r="B1778" s="33" t="s">
        <v>34</v>
      </c>
      <c r="C1778" s="38">
        <f>IF(C1777="","",IF(AND(MONTH(C1777)&gt;=1,MONTH(C1777)&lt;=3),1,IF(AND(MONTH(C1777)&gt;=4,MONTH(C1777)&lt;=6),2,IF(AND(MONTH(C1777)&gt;=7,MONTH(C1777)&lt;=9),3,4))))</f>
        <v>2</v>
      </c>
      <c r="D1778" s="37"/>
      <c r="E1778" s="35" t="s">
        <v>39</v>
      </c>
      <c r="F1778" s="36" t="s">
        <v>36</v>
      </c>
    </row>
    <row r="1779" spans="1:6" ht="17.25" thickBot="1" x14ac:dyDescent="0.3"/>
    <row r="1780" spans="1:6" ht="17.25" thickBot="1" x14ac:dyDescent="0.3">
      <c r="A1780" s="39" t="s">
        <v>40</v>
      </c>
      <c r="B1780" s="39" t="s">
        <v>41</v>
      </c>
      <c r="C1780" s="39" t="s">
        <v>42</v>
      </c>
      <c r="D1780" s="39" t="s">
        <v>43</v>
      </c>
      <c r="E1780" s="39" t="s">
        <v>44</v>
      </c>
      <c r="F1780" s="39" t="s">
        <v>45</v>
      </c>
    </row>
    <row r="1781" spans="1:6" x14ac:dyDescent="0.25">
      <c r="A1781" s="40">
        <v>14111608</v>
      </c>
      <c r="B1781" s="41" t="str">
        <f ca="1">IFERROR(INDEX(UNSPSCDes,MATCH(INDIRECT(ADDRESS(ROW(),COLUMN()-1,4)),UNSPSCCode,0)),IF(INDIRECT(ADDRESS(ROW(),COLUMN()-1,4))="14111608","Certificados de regalo",""))</f>
        <v>Certificados de regalo</v>
      </c>
      <c r="C1781" s="42" t="str">
        <f>IFERROR(VLOOKUP("UD",'[1]Informacion '!P:Q,2,FALSE),"")</f>
        <v>Unidad</v>
      </c>
      <c r="D1781" s="40">
        <v>1</v>
      </c>
      <c r="E1781" s="43">
        <v>1</v>
      </c>
      <c r="F1781" s="44">
        <f ca="1">INDIRECT(ADDRESS(ROW(),COLUMN()-2,4))*INDIRECT(ADDRESS(ROW(),COLUMN()-1,4))</f>
        <v>1</v>
      </c>
    </row>
    <row r="1782" spans="1:6" x14ac:dyDescent="0.25">
      <c r="E1782" s="45" t="s">
        <v>47</v>
      </c>
      <c r="F1782" s="46">
        <f ca="1">SUM(Table146[MONTO TOTAL ESTIMADO])</f>
        <v>1</v>
      </c>
    </row>
    <row r="1783" spans="1:6" ht="17.25" thickBot="1" x14ac:dyDescent="0.3"/>
    <row r="1784" spans="1:6" ht="23.25" thickBot="1" x14ac:dyDescent="0.3">
      <c r="A1784" s="30" t="s">
        <v>18</v>
      </c>
      <c r="B1784" s="30" t="s">
        <v>19</v>
      </c>
      <c r="C1784" s="30" t="s">
        <v>20</v>
      </c>
      <c r="D1784" s="30" t="s">
        <v>21</v>
      </c>
      <c r="E1784" s="30" t="s">
        <v>22</v>
      </c>
      <c r="F1784" s="30" t="s">
        <v>23</v>
      </c>
    </row>
    <row r="1785" spans="1:6" ht="17.25" thickBot="1" x14ac:dyDescent="0.3">
      <c r="A1785" s="31" t="s">
        <v>408</v>
      </c>
      <c r="B1785" s="31" t="s">
        <v>145</v>
      </c>
      <c r="C1785" s="31" t="s">
        <v>92</v>
      </c>
      <c r="D1785" s="31" t="s">
        <v>27</v>
      </c>
      <c r="E1785" s="31" t="s">
        <v>58</v>
      </c>
      <c r="F1785" s="31"/>
    </row>
    <row r="1786" spans="1:6" ht="17.25" thickBot="1" x14ac:dyDescent="0.3">
      <c r="A1786" s="32" t="s">
        <v>29</v>
      </c>
      <c r="B1786" s="33" t="s">
        <v>30</v>
      </c>
      <c r="C1786" s="34">
        <v>45199</v>
      </c>
      <c r="D1786" s="32" t="s">
        <v>31</v>
      </c>
      <c r="E1786" s="35" t="s">
        <v>32</v>
      </c>
      <c r="F1786" s="36" t="s">
        <v>33</v>
      </c>
    </row>
    <row r="1787" spans="1:6" ht="17.25" thickBot="1" x14ac:dyDescent="0.3">
      <c r="A1787" s="37"/>
      <c r="B1787" s="33" t="s">
        <v>34</v>
      </c>
      <c r="C1787" s="38">
        <f>IF(C1786="","",IF(AND(MONTH(C1786)&gt;=1,MONTH(C1786)&lt;=3),1,IF(AND(MONTH(C1786)&gt;=4,MONTH(C1786)&lt;=6),2,IF(AND(MONTH(C1786)&gt;=7,MONTH(C1786)&lt;=9),3,4))))</f>
        <v>3</v>
      </c>
      <c r="D1787" s="37"/>
      <c r="E1787" s="35" t="s">
        <v>35</v>
      </c>
      <c r="F1787" s="36" t="s">
        <v>36</v>
      </c>
    </row>
    <row r="1788" spans="1:6" ht="17.25" thickBot="1" x14ac:dyDescent="0.3">
      <c r="A1788" s="37"/>
      <c r="B1788" s="33" t="s">
        <v>37</v>
      </c>
      <c r="C1788" s="34">
        <v>45290</v>
      </c>
      <c r="D1788" s="37"/>
      <c r="E1788" s="35" t="s">
        <v>38</v>
      </c>
      <c r="F1788" s="36" t="s">
        <v>36</v>
      </c>
    </row>
    <row r="1789" spans="1:6" ht="17.25" thickBot="1" x14ac:dyDescent="0.3">
      <c r="A1789" s="37"/>
      <c r="B1789" s="33" t="s">
        <v>34</v>
      </c>
      <c r="C1789" s="38">
        <f>IF(C1788="","",IF(AND(MONTH(C1788)&gt;=1,MONTH(C1788)&lt;=3),1,IF(AND(MONTH(C1788)&gt;=4,MONTH(C1788)&lt;=6),2,IF(AND(MONTH(C1788)&gt;=7,MONTH(C1788)&lt;=9),3,4))))</f>
        <v>4</v>
      </c>
      <c r="D1789" s="37"/>
      <c r="E1789" s="35" t="s">
        <v>39</v>
      </c>
      <c r="F1789" s="36" t="s">
        <v>36</v>
      </c>
    </row>
    <row r="1790" spans="1:6" ht="17.25" thickBot="1" x14ac:dyDescent="0.3"/>
    <row r="1791" spans="1:6" ht="17.25" thickBot="1" x14ac:dyDescent="0.3">
      <c r="A1791" s="39" t="s">
        <v>40</v>
      </c>
      <c r="B1791" s="39" t="s">
        <v>41</v>
      </c>
      <c r="C1791" s="39" t="s">
        <v>42</v>
      </c>
      <c r="D1791" s="39" t="s">
        <v>43</v>
      </c>
      <c r="E1791" s="39" t="s">
        <v>44</v>
      </c>
      <c r="F1791" s="39" t="s">
        <v>45</v>
      </c>
    </row>
    <row r="1792" spans="1:6" x14ac:dyDescent="0.25">
      <c r="A1792" s="40" t="s">
        <v>410</v>
      </c>
      <c r="B1792" s="41" t="str">
        <f ca="1">IFERROR(INDEX(UNSPSCDes,MATCH(INDIRECT(ADDRESS(ROW(),COLUMN()-1,4)),UNSPSCCode,0)),IF(INDIRECT(ADDRESS(ROW(),COLUMN()-1,4))="14111608","Certificados de regalo",""))</f>
        <v>Certificados de regalo</v>
      </c>
      <c r="C1792" s="42" t="str">
        <f>IFERROR(VLOOKUP("UD",'[1]Informacion '!P:Q,2,FALSE),"")</f>
        <v>Unidad</v>
      </c>
      <c r="D1792" s="40">
        <v>1</v>
      </c>
      <c r="E1792" s="43">
        <v>1</v>
      </c>
      <c r="F1792" s="44">
        <f ca="1">INDIRECT(ADDRESS(ROW(),COLUMN()-2,4))*INDIRECT(ADDRESS(ROW(),COLUMN()-1,4))</f>
        <v>1</v>
      </c>
    </row>
    <row r="1793" spans="1:6" x14ac:dyDescent="0.25">
      <c r="E1793" s="45" t="s">
        <v>47</v>
      </c>
      <c r="F1793" s="46">
        <f ca="1">SUM(Table147[MONTO TOTAL ESTIMADO])</f>
        <v>1</v>
      </c>
    </row>
    <row r="1794" spans="1:6" ht="17.25" thickBot="1" x14ac:dyDescent="0.3"/>
    <row r="1795" spans="1:6" ht="23.25" thickBot="1" x14ac:dyDescent="0.3">
      <c r="A1795" s="30" t="s">
        <v>18</v>
      </c>
      <c r="B1795" s="30" t="s">
        <v>19</v>
      </c>
      <c r="C1795" s="30" t="s">
        <v>20</v>
      </c>
      <c r="D1795" s="30" t="s">
        <v>21</v>
      </c>
      <c r="E1795" s="30" t="s">
        <v>22</v>
      </c>
      <c r="F1795" s="30" t="s">
        <v>23</v>
      </c>
    </row>
    <row r="1796" spans="1:6" ht="17.25" thickBot="1" x14ac:dyDescent="0.3">
      <c r="A1796" s="31" t="s">
        <v>411</v>
      </c>
      <c r="B1796" s="31" t="s">
        <v>145</v>
      </c>
      <c r="C1796" s="31" t="s">
        <v>92</v>
      </c>
      <c r="D1796" s="31" t="s">
        <v>27</v>
      </c>
      <c r="E1796" s="31" t="s">
        <v>58</v>
      </c>
      <c r="F1796" s="31"/>
    </row>
    <row r="1797" spans="1:6" ht="17.25" thickBot="1" x14ac:dyDescent="0.3">
      <c r="A1797" s="32" t="s">
        <v>29</v>
      </c>
      <c r="B1797" s="33" t="s">
        <v>30</v>
      </c>
      <c r="C1797" s="34">
        <v>45017</v>
      </c>
      <c r="D1797" s="32" t="s">
        <v>31</v>
      </c>
      <c r="E1797" s="35" t="s">
        <v>32</v>
      </c>
      <c r="F1797" s="36" t="s">
        <v>33</v>
      </c>
    </row>
    <row r="1798" spans="1:6" ht="17.25" thickBot="1" x14ac:dyDescent="0.3">
      <c r="A1798" s="37"/>
      <c r="B1798" s="33" t="s">
        <v>34</v>
      </c>
      <c r="C1798" s="38">
        <f>IF(C1797="","",IF(AND(MONTH(C1797)&gt;=1,MONTH(C1797)&lt;=3),1,IF(AND(MONTH(C1797)&gt;=4,MONTH(C1797)&lt;=6),2,IF(AND(MONTH(C1797)&gt;=7,MONTH(C1797)&lt;=9),3,4))))</f>
        <v>2</v>
      </c>
      <c r="D1798" s="37"/>
      <c r="E1798" s="35" t="s">
        <v>35</v>
      </c>
      <c r="F1798" s="36" t="s">
        <v>36</v>
      </c>
    </row>
    <row r="1799" spans="1:6" ht="17.25" thickBot="1" x14ac:dyDescent="0.3">
      <c r="A1799" s="37"/>
      <c r="B1799" s="33" t="s">
        <v>37</v>
      </c>
      <c r="C1799" s="34">
        <v>45107</v>
      </c>
      <c r="D1799" s="37"/>
      <c r="E1799" s="35" t="s">
        <v>38</v>
      </c>
      <c r="F1799" s="36" t="s">
        <v>36</v>
      </c>
    </row>
    <row r="1800" spans="1:6" ht="17.25" thickBot="1" x14ac:dyDescent="0.3">
      <c r="A1800" s="37"/>
      <c r="B1800" s="33" t="s">
        <v>34</v>
      </c>
      <c r="C1800" s="38">
        <f>IF(C1799="","",IF(AND(MONTH(C1799)&gt;=1,MONTH(C1799)&lt;=3),1,IF(AND(MONTH(C1799)&gt;=4,MONTH(C1799)&lt;=6),2,IF(AND(MONTH(C1799)&gt;=7,MONTH(C1799)&lt;=9),3,4))))</f>
        <v>2</v>
      </c>
      <c r="D1800" s="37"/>
      <c r="E1800" s="35" t="s">
        <v>39</v>
      </c>
      <c r="F1800" s="36" t="s">
        <v>36</v>
      </c>
    </row>
    <row r="1801" spans="1:6" ht="17.25" thickBot="1" x14ac:dyDescent="0.3"/>
    <row r="1802" spans="1:6" ht="17.25" thickBot="1" x14ac:dyDescent="0.3">
      <c r="A1802" s="39" t="s">
        <v>40</v>
      </c>
      <c r="B1802" s="39" t="s">
        <v>41</v>
      </c>
      <c r="C1802" s="39" t="s">
        <v>42</v>
      </c>
      <c r="D1802" s="39" t="s">
        <v>43</v>
      </c>
      <c r="E1802" s="39" t="s">
        <v>44</v>
      </c>
      <c r="F1802" s="39" t="s">
        <v>45</v>
      </c>
    </row>
    <row r="1803" spans="1:6" x14ac:dyDescent="0.25">
      <c r="A1803" s="40" t="s">
        <v>412</v>
      </c>
      <c r="B1803" s="41" t="str">
        <f ca="1">IFERROR(INDEX(UNSPSCDes,MATCH(INDIRECT(ADDRESS(ROW(),COLUMN()-1,4)),UNSPSCCode,0)),IF(INDIRECT(ADDRESS(ROW(),COLUMN()-1,4))="31162402","Cerraduras",""))</f>
        <v>Cerraduras</v>
      </c>
      <c r="C1803" s="42" t="str">
        <f>IFERROR(VLOOKUP("UD",'[1]Informacion '!P:Q,2,FALSE),"")</f>
        <v>Unidad</v>
      </c>
      <c r="D1803" s="40">
        <v>1</v>
      </c>
      <c r="E1803" s="43">
        <v>35000</v>
      </c>
      <c r="F1803" s="44">
        <f t="shared" ref="F1803:F1812" ca="1" si="23">INDIRECT(ADDRESS(ROW(),COLUMN()-2,4))*INDIRECT(ADDRESS(ROW(),COLUMN()-1,4))</f>
        <v>35000</v>
      </c>
    </row>
    <row r="1804" spans="1:6" x14ac:dyDescent="0.25">
      <c r="A1804" s="40" t="s">
        <v>287</v>
      </c>
      <c r="B1804" s="41" t="str">
        <f ca="1">IFERROR(INDEX(UNSPSCDes,MATCH(INDIRECT(ADDRESS(ROW(),COLUMN()-1,4)),UNSPSCCode,0)),IF(INDIRECT(ADDRESS(ROW(),COLUMN()-1,4))="46181504","Guantes de protección",""))</f>
        <v>Guantes de protección</v>
      </c>
      <c r="C1804" s="42" t="str">
        <f>IFERROR(VLOOKUP("UD",'[1]Informacion '!P:Q,2,FALSE),"")</f>
        <v>Unidad</v>
      </c>
      <c r="D1804" s="40">
        <v>24</v>
      </c>
      <c r="E1804" s="43">
        <v>100</v>
      </c>
      <c r="F1804" s="44">
        <f t="shared" ca="1" si="23"/>
        <v>2400</v>
      </c>
    </row>
    <row r="1805" spans="1:6" x14ac:dyDescent="0.25">
      <c r="A1805" s="40" t="s">
        <v>413</v>
      </c>
      <c r="B1805" s="41" t="str">
        <f ca="1">IFERROR(INDEX(UNSPSCDes,MATCH(INDIRECT(ADDRESS(ROW(),COLUMN()-1,4)),UNSPSCCode,0)),IF(INDIRECT(ADDRESS(ROW(),COLUMN()-1,4))="46171516","Guardas para puertas",""))</f>
        <v>Guardas para puertas</v>
      </c>
      <c r="C1805" s="42" t="str">
        <f>IFERROR(VLOOKUP("UD",'[1]Informacion '!P:Q,2,FALSE),"")</f>
        <v>Unidad</v>
      </c>
      <c r="D1805" s="40">
        <v>1</v>
      </c>
      <c r="E1805" s="43">
        <v>15000</v>
      </c>
      <c r="F1805" s="44">
        <f t="shared" ca="1" si="23"/>
        <v>15000</v>
      </c>
    </row>
    <row r="1806" spans="1:6" x14ac:dyDescent="0.25">
      <c r="A1806" s="40" t="s">
        <v>414</v>
      </c>
      <c r="B1806" s="41" t="str">
        <f ca="1">IFERROR(INDEX(UNSPSCDes,MATCH(INDIRECT(ADDRESS(ROW(),COLUMN()-1,4)),UNSPSCCode,0)),IF(INDIRECT(ADDRESS(ROW(),COLUMN()-1,4))="46171501","Candados",""))</f>
        <v>Candados</v>
      </c>
      <c r="C1806" s="42" t="str">
        <f>IFERROR(VLOOKUP("UD",'[1]Informacion '!P:Q,2,FALSE),"")</f>
        <v>Unidad</v>
      </c>
      <c r="D1806" s="40">
        <v>1</v>
      </c>
      <c r="E1806" s="43">
        <v>1200</v>
      </c>
      <c r="F1806" s="44">
        <f t="shared" ca="1" si="23"/>
        <v>1200</v>
      </c>
    </row>
    <row r="1807" spans="1:6" x14ac:dyDescent="0.25">
      <c r="A1807" s="40" t="s">
        <v>415</v>
      </c>
      <c r="B1807" s="41" t="str">
        <f ca="1">IFERROR(INDEX(UNSPSCDes,MATCH(INDIRECT(ADDRESS(ROW(),COLUMN()-1,4)),UNSPSCCode,0)),IF(INDIRECT(ADDRESS(ROW(),COLUMN()-1,4))="46181506","Ponchos de protección",""))</f>
        <v>Ponchos de protección</v>
      </c>
      <c r="C1807" s="42" t="str">
        <f>IFERROR(VLOOKUP("UD",'[1]Informacion '!P:Q,2,FALSE),"")</f>
        <v>Unidad</v>
      </c>
      <c r="D1807" s="40">
        <v>1</v>
      </c>
      <c r="E1807" s="43">
        <v>1500</v>
      </c>
      <c r="F1807" s="44">
        <f t="shared" ca="1" si="23"/>
        <v>1500</v>
      </c>
    </row>
    <row r="1808" spans="1:6" x14ac:dyDescent="0.25">
      <c r="A1808" s="40" t="s">
        <v>416</v>
      </c>
      <c r="B1808" s="41" t="str">
        <f ca="1">IFERROR(INDEX(UNSPSCDes,MATCH(INDIRECT(ADDRESS(ROW(),COLUMN()-1,4)),UNSPSCCode,0)),IF(INDIRECT(ADDRESS(ROW(),COLUMN()-1,4))="46181604","Botas de seguridad",""))</f>
        <v>Botas de seguridad</v>
      </c>
      <c r="C1808" s="42" t="str">
        <f>IFERROR(VLOOKUP("UD",'[1]Informacion '!P:Q,2,FALSE),"")</f>
        <v>Unidad</v>
      </c>
      <c r="D1808" s="40">
        <v>3</v>
      </c>
      <c r="E1808" s="43">
        <v>3000</v>
      </c>
      <c r="F1808" s="44">
        <f t="shared" ca="1" si="23"/>
        <v>9000</v>
      </c>
    </row>
    <row r="1809" spans="1:6" x14ac:dyDescent="0.25">
      <c r="A1809" s="40" t="s">
        <v>417</v>
      </c>
      <c r="B1809" s="41" t="str">
        <f ca="1">IFERROR(INDEX(UNSPSCDes,MATCH(INDIRECT(ADDRESS(ROW(),COLUMN()-1,4)),UNSPSCCode,0)),IF(INDIRECT(ADDRESS(ROW(),COLUMN()-1,4))="46181705","Cascos para motociclistas",""))</f>
        <v>Cascos para motociclistas</v>
      </c>
      <c r="C1809" s="42" t="str">
        <f>IFERROR(VLOOKUP("UD",'[1]Informacion '!P:Q,2,FALSE),"")</f>
        <v>Unidad</v>
      </c>
      <c r="D1809" s="40">
        <v>3</v>
      </c>
      <c r="E1809" s="43">
        <v>2500</v>
      </c>
      <c r="F1809" s="44">
        <f t="shared" ca="1" si="23"/>
        <v>7500</v>
      </c>
    </row>
    <row r="1810" spans="1:6" x14ac:dyDescent="0.25">
      <c r="A1810" s="40" t="s">
        <v>418</v>
      </c>
      <c r="B1810" s="41" t="str">
        <f ca="1">IFERROR(INDEX(UNSPSCDes,MATCH(INDIRECT(ADDRESS(ROW(),COLUMN()-1,4)),UNSPSCCode,0)),IF(INDIRECT(ADDRESS(ROW(),COLUMN()-1,4))="46171515","Cadenas de llaves o estuches de llaves",""))</f>
        <v>Cadenas de llaves o estuches de llaves</v>
      </c>
      <c r="C1810" s="42" t="str">
        <f>IFERROR(VLOOKUP("UD",'[1]Informacion '!P:Q,2,FALSE),"")</f>
        <v>Unidad</v>
      </c>
      <c r="D1810" s="40">
        <v>1</v>
      </c>
      <c r="E1810" s="43">
        <v>4400</v>
      </c>
      <c r="F1810" s="44">
        <f t="shared" ca="1" si="23"/>
        <v>4400</v>
      </c>
    </row>
    <row r="1811" spans="1:6" x14ac:dyDescent="0.25">
      <c r="A1811" s="40" t="s">
        <v>419</v>
      </c>
      <c r="B1811" s="41" t="str">
        <f ca="1">IFERROR(INDEX(UNSPSCDes,MATCH(INDIRECT(ADDRESS(ROW(),COLUMN()-1,4)),UNSPSCCode,0)),IF(INDIRECT(ADDRESS(ROW(),COLUMN()-1,4))="60131105","Silbatos",""))</f>
        <v>Silbatos</v>
      </c>
      <c r="C1811" s="42" t="str">
        <f>IFERROR(VLOOKUP("UD",'[1]Informacion '!P:Q,2,FALSE),"")</f>
        <v>Unidad</v>
      </c>
      <c r="D1811" s="40">
        <v>300</v>
      </c>
      <c r="E1811" s="43">
        <v>500</v>
      </c>
      <c r="F1811" s="44">
        <f t="shared" ca="1" si="23"/>
        <v>150000</v>
      </c>
    </row>
    <row r="1812" spans="1:6" x14ac:dyDescent="0.25">
      <c r="A1812" s="40" t="s">
        <v>420</v>
      </c>
      <c r="B1812" s="41" t="str">
        <f ca="1">IFERROR(INDEX(UNSPSCDes,MATCH(INDIRECT(ADDRESS(ROW(),COLUMN()-1,4)),UNSPSCCode,0)),IF(INDIRECT(ADDRESS(ROW(),COLUMN()-1,4))="39121306","Cajas de conmutadores",""))</f>
        <v>Cajas de conmutadores</v>
      </c>
      <c r="C1812" s="42" t="str">
        <f>IFERROR(VLOOKUP("UD",'[1]Informacion '!P:Q,2,FALSE),"")</f>
        <v>Unidad</v>
      </c>
      <c r="D1812" s="40">
        <v>24</v>
      </c>
      <c r="E1812" s="43">
        <v>1000</v>
      </c>
      <c r="F1812" s="44">
        <f t="shared" ca="1" si="23"/>
        <v>24000</v>
      </c>
    </row>
    <row r="1813" spans="1:6" x14ac:dyDescent="0.25">
      <c r="E1813" s="45" t="s">
        <v>47</v>
      </c>
      <c r="F1813" s="46">
        <f ca="1">SUM(Table149[MONTO TOTAL ESTIMADO])</f>
        <v>250000</v>
      </c>
    </row>
    <row r="1814" spans="1:6" ht="17.25" thickBot="1" x14ac:dyDescent="0.3"/>
    <row r="1815" spans="1:6" ht="23.25" thickBot="1" x14ac:dyDescent="0.3">
      <c r="A1815" s="30" t="s">
        <v>18</v>
      </c>
      <c r="B1815" s="30" t="s">
        <v>19</v>
      </c>
      <c r="C1815" s="30" t="s">
        <v>20</v>
      </c>
      <c r="D1815" s="30" t="s">
        <v>21</v>
      </c>
      <c r="E1815" s="30" t="s">
        <v>22</v>
      </c>
      <c r="F1815" s="30" t="s">
        <v>23</v>
      </c>
    </row>
    <row r="1816" spans="1:6" ht="17.25" thickBot="1" x14ac:dyDescent="0.3">
      <c r="A1816" s="31" t="s">
        <v>421</v>
      </c>
      <c r="B1816" s="31" t="s">
        <v>145</v>
      </c>
      <c r="C1816" s="31" t="s">
        <v>92</v>
      </c>
      <c r="D1816" s="31" t="s">
        <v>52</v>
      </c>
      <c r="E1816" s="31" t="s">
        <v>58</v>
      </c>
      <c r="F1816" s="31"/>
    </row>
    <row r="1817" spans="1:6" ht="17.25" thickBot="1" x14ac:dyDescent="0.3">
      <c r="A1817" s="32" t="s">
        <v>29</v>
      </c>
      <c r="B1817" s="33" t="s">
        <v>30</v>
      </c>
      <c r="C1817" s="34">
        <v>44958</v>
      </c>
      <c r="D1817" s="32" t="s">
        <v>31</v>
      </c>
      <c r="E1817" s="35" t="s">
        <v>32</v>
      </c>
      <c r="F1817" s="36" t="s">
        <v>33</v>
      </c>
    </row>
    <row r="1818" spans="1:6" ht="17.25" thickBot="1" x14ac:dyDescent="0.3">
      <c r="A1818" s="37"/>
      <c r="B1818" s="33" t="s">
        <v>34</v>
      </c>
      <c r="C1818" s="38">
        <f>IF(C1817="","",IF(AND(MONTH(C1817)&gt;=1,MONTH(C1817)&lt;=3),1,IF(AND(MONTH(C1817)&gt;=4,MONTH(C1817)&lt;=6),2,IF(AND(MONTH(C1817)&gt;=7,MONTH(C1817)&lt;=9),3,4))))</f>
        <v>1</v>
      </c>
      <c r="D1818" s="37"/>
      <c r="E1818" s="35" t="s">
        <v>35</v>
      </c>
      <c r="F1818" s="36" t="s">
        <v>36</v>
      </c>
    </row>
    <row r="1819" spans="1:6" ht="17.25" thickBot="1" x14ac:dyDescent="0.3">
      <c r="A1819" s="37"/>
      <c r="B1819" s="33" t="s">
        <v>37</v>
      </c>
      <c r="C1819" s="34">
        <v>45015</v>
      </c>
      <c r="D1819" s="37"/>
      <c r="E1819" s="35" t="s">
        <v>38</v>
      </c>
      <c r="F1819" s="36" t="s">
        <v>36</v>
      </c>
    </row>
    <row r="1820" spans="1:6" ht="17.25" thickBot="1" x14ac:dyDescent="0.3">
      <c r="A1820" s="37"/>
      <c r="B1820" s="33" t="s">
        <v>34</v>
      </c>
      <c r="C1820" s="38">
        <f>IF(C1819="","",IF(AND(MONTH(C1819)&gt;=1,MONTH(C1819)&lt;=3),1,IF(AND(MONTH(C1819)&gt;=4,MONTH(C1819)&lt;=6),2,IF(AND(MONTH(C1819)&gt;=7,MONTH(C1819)&lt;=9),3,4))))</f>
        <v>1</v>
      </c>
      <c r="D1820" s="37"/>
      <c r="E1820" s="35" t="s">
        <v>39</v>
      </c>
      <c r="F1820" s="36" t="s">
        <v>36</v>
      </c>
    </row>
    <row r="1821" spans="1:6" ht="17.25" thickBot="1" x14ac:dyDescent="0.3"/>
    <row r="1822" spans="1:6" ht="17.25" thickBot="1" x14ac:dyDescent="0.3">
      <c r="A1822" s="39" t="s">
        <v>40</v>
      </c>
      <c r="B1822" s="39" t="s">
        <v>41</v>
      </c>
      <c r="C1822" s="39" t="s">
        <v>42</v>
      </c>
      <c r="D1822" s="39" t="s">
        <v>43</v>
      </c>
      <c r="E1822" s="39" t="s">
        <v>44</v>
      </c>
      <c r="F1822" s="39" t="s">
        <v>45</v>
      </c>
    </row>
    <row r="1823" spans="1:6" x14ac:dyDescent="0.25">
      <c r="A1823" s="40" t="s">
        <v>422</v>
      </c>
      <c r="B1823" s="41" t="str">
        <f ca="1">IFERROR(INDEX(UNSPSCDes,MATCH(INDIRECT(ADDRESS(ROW(),COLUMN()-1,4)),UNSPSCCode,0)),IF(INDIRECT(ADDRESS(ROW(),COLUMN()-1,4))="56101504","Asientos",""))</f>
        <v>Asientos</v>
      </c>
      <c r="C1823" s="42" t="str">
        <f>IFERROR(VLOOKUP("UD",'[1]Informacion '!P:Q,2,FALSE),"")</f>
        <v>Unidad</v>
      </c>
      <c r="D1823" s="40">
        <v>1</v>
      </c>
      <c r="E1823" s="43">
        <v>200000</v>
      </c>
      <c r="F1823" s="44">
        <f t="shared" ref="F1823:F1846" ca="1" si="24">INDIRECT(ADDRESS(ROW(),COLUMN()-2,4))*INDIRECT(ADDRESS(ROW(),COLUMN()-1,4))</f>
        <v>200000</v>
      </c>
    </row>
    <row r="1824" spans="1:6" x14ac:dyDescent="0.25">
      <c r="A1824" s="40" t="s">
        <v>423</v>
      </c>
      <c r="B1824" s="41" t="str">
        <f ca="1">IFERROR(INDEX(UNSPSCDes,MATCH(INDIRECT(ADDRESS(ROW(),COLUMN()-1,4)),UNSPSCCode,0)),IF(INDIRECT(ADDRESS(ROW(),COLUMN()-1,4))="44101802","Máquinas sumadoras",""))</f>
        <v>Máquinas sumadoras</v>
      </c>
      <c r="C1824" s="42" t="str">
        <f>IFERROR(VLOOKUP("UD",'[1]Informacion '!P:Q,2,FALSE),"")</f>
        <v>Unidad</v>
      </c>
      <c r="D1824" s="40">
        <v>1</v>
      </c>
      <c r="E1824" s="43">
        <v>2500</v>
      </c>
      <c r="F1824" s="44">
        <f t="shared" ca="1" si="24"/>
        <v>2500</v>
      </c>
    </row>
    <row r="1825" spans="1:6" x14ac:dyDescent="0.25">
      <c r="A1825" s="40" t="s">
        <v>424</v>
      </c>
      <c r="B1825" s="41" t="str">
        <f ca="1">IFERROR(INDEX(UNSPSCDes,MATCH(INDIRECT(ADDRESS(ROW(),COLUMN()-1,4)),UNSPSCCode,0)),IF(INDIRECT(ADDRESS(ROW(),COLUMN()-1,4))="24102004","Estanterías para almacenaje",""))</f>
        <v>Estanterías para almacenaje</v>
      </c>
      <c r="C1825" s="42" t="str">
        <f>IFERROR(VLOOKUP("UD",'[1]Informacion '!P:Q,2,FALSE),"")</f>
        <v>Unidad</v>
      </c>
      <c r="D1825" s="40">
        <v>1</v>
      </c>
      <c r="E1825" s="43">
        <v>465000</v>
      </c>
      <c r="F1825" s="44">
        <f t="shared" ca="1" si="24"/>
        <v>465000</v>
      </c>
    </row>
    <row r="1826" spans="1:6" x14ac:dyDescent="0.25">
      <c r="A1826" s="40" t="s">
        <v>425</v>
      </c>
      <c r="B1826" s="41" t="str">
        <f ca="1">IFERROR(INDEX(UNSPSCDes,MATCH(INDIRECT(ADDRESS(ROW(),COLUMN()-1,4)),UNSPSCCode,0)),IF(INDIRECT(ADDRESS(ROW(),COLUMN()-1,4))="43211607","Parlantes de computador",""))</f>
        <v>Parlantes de computador</v>
      </c>
      <c r="C1826" s="42" t="str">
        <f>IFERROR(VLOOKUP("UD",'[1]Informacion '!P:Q,2,FALSE),"")</f>
        <v>Unidad</v>
      </c>
      <c r="D1826" s="40">
        <v>1</v>
      </c>
      <c r="E1826" s="43">
        <v>300</v>
      </c>
      <c r="F1826" s="44">
        <f t="shared" ca="1" si="24"/>
        <v>300</v>
      </c>
    </row>
    <row r="1827" spans="1:6" x14ac:dyDescent="0.25">
      <c r="A1827" s="40" t="s">
        <v>426</v>
      </c>
      <c r="B1827" s="41" t="str">
        <f ca="1">IFERROR(INDEX(UNSPSCDes,MATCH(INDIRECT(ADDRESS(ROW(),COLUMN()-1,4)),UNSPSCCode,0)),IF(INDIRECT(ADDRESS(ROW(),COLUMN()-1,4))="43201503","Procesadores de unidad de procesamiento central cpu",""))</f>
        <v>Procesadores de unidad de procesamiento central cpu</v>
      </c>
      <c r="C1827" s="42" t="str">
        <f>IFERROR(VLOOKUP("UD",'[1]Informacion '!P:Q,2,FALSE),"")</f>
        <v>Unidad</v>
      </c>
      <c r="D1827" s="40">
        <v>1</v>
      </c>
      <c r="E1827" s="43">
        <v>20000</v>
      </c>
      <c r="F1827" s="44">
        <f t="shared" ca="1" si="24"/>
        <v>20000</v>
      </c>
    </row>
    <row r="1828" spans="1:6" x14ac:dyDescent="0.25">
      <c r="A1828" s="40" t="s">
        <v>427</v>
      </c>
      <c r="B1828" s="41" t="str">
        <f ca="1">IFERROR(INDEX(UNSPSCDes,MATCH(INDIRECT(ADDRESS(ROW(),COLUMN()-1,4)),UNSPSCCode,0)),IF(INDIRECT(ADDRESS(ROW(),COLUMN()-1,4))="43212106","Impresoras de matriz de líneas",""))</f>
        <v>Impresoras de matriz de líneas</v>
      </c>
      <c r="C1828" s="42" t="str">
        <f>IFERROR(VLOOKUP("UD",'[1]Informacion '!P:Q,2,FALSE),"")</f>
        <v>Unidad</v>
      </c>
      <c r="D1828" s="40">
        <v>1</v>
      </c>
      <c r="E1828" s="43">
        <v>5000</v>
      </c>
      <c r="F1828" s="44">
        <f t="shared" ca="1" si="24"/>
        <v>5000</v>
      </c>
    </row>
    <row r="1829" spans="1:6" x14ac:dyDescent="0.25">
      <c r="A1829" s="40" t="s">
        <v>428</v>
      </c>
      <c r="B1829" s="41" t="str">
        <f ca="1">IFERROR(INDEX(UNSPSCDes,MATCH(INDIRECT(ADDRESS(ROW(),COLUMN()-1,4)),UNSPSCCode,0)),IF(INDIRECT(ADDRESS(ROW(),COLUMN()-1,4))="81111807","Almacenamiento de datos",""))</f>
        <v>Almacenamiento de datos</v>
      </c>
      <c r="C1829" s="42" t="str">
        <f>IFERROR(VLOOKUP("UD",'[1]Informacion '!P:Q,2,FALSE),"")</f>
        <v>Unidad</v>
      </c>
      <c r="D1829" s="40">
        <v>1</v>
      </c>
      <c r="E1829" s="43">
        <v>10000</v>
      </c>
      <c r="F1829" s="44">
        <f t="shared" ca="1" si="24"/>
        <v>10000</v>
      </c>
    </row>
    <row r="1830" spans="1:6" x14ac:dyDescent="0.25">
      <c r="A1830" s="40" t="s">
        <v>429</v>
      </c>
      <c r="B1830" s="41" t="str">
        <f ca="1">IFERROR(INDEX(UNSPSCDes,MATCH(INDIRECT(ADDRESS(ROW(),COLUMN()-1,4)),UNSPSCCode,0)),IF(INDIRECT(ADDRESS(ROW(),COLUMN()-1,4))="43211901","Monitores para tubos de rayo catódico crt",""))</f>
        <v>Monitores para tubos de rayo catódico crt</v>
      </c>
      <c r="C1830" s="42" t="str">
        <f>IFERROR(VLOOKUP("UD",'[1]Informacion '!P:Q,2,FALSE),"")</f>
        <v>Unidad</v>
      </c>
      <c r="D1830" s="40">
        <v>1</v>
      </c>
      <c r="E1830" s="43">
        <v>20000</v>
      </c>
      <c r="F1830" s="44">
        <f t="shared" ca="1" si="24"/>
        <v>20000</v>
      </c>
    </row>
    <row r="1831" spans="1:6" x14ac:dyDescent="0.25">
      <c r="A1831" s="40" t="s">
        <v>430</v>
      </c>
      <c r="B1831" s="41" t="str">
        <f ca="1">IFERROR(INDEX(UNSPSCDes,MATCH(INDIRECT(ADDRESS(ROW(),COLUMN()-1,4)),UNSPSCCode,0)),IF(INDIRECT(ADDRESS(ROW(),COLUMN()-1,4))="43211501","Servidores de computador",""))</f>
        <v>Servidores de computador</v>
      </c>
      <c r="C1831" s="42" t="str">
        <f>IFERROR(VLOOKUP("UD",'[1]Informacion '!P:Q,2,FALSE),"")</f>
        <v>Unidad</v>
      </c>
      <c r="D1831" s="40">
        <v>1</v>
      </c>
      <c r="E1831" s="43">
        <v>8000</v>
      </c>
      <c r="F1831" s="44">
        <f t="shared" ca="1" si="24"/>
        <v>8000</v>
      </c>
    </row>
    <row r="1832" spans="1:6" x14ac:dyDescent="0.25">
      <c r="A1832" s="40" t="s">
        <v>426</v>
      </c>
      <c r="B1832" s="41" t="str">
        <f ca="1">IFERROR(INDEX(UNSPSCDes,MATCH(INDIRECT(ADDRESS(ROW(),COLUMN()-1,4)),UNSPSCCode,0)),IF(INDIRECT(ADDRESS(ROW(),COLUMN()-1,4))="43201503","Procesadores de unidad de procesamiento central cpu",""))</f>
        <v>Procesadores de unidad de procesamiento central cpu</v>
      </c>
      <c r="C1832" s="42" t="str">
        <f>IFERROR(VLOOKUP("UD",'[1]Informacion '!P:Q,2,FALSE),"")</f>
        <v>Unidad</v>
      </c>
      <c r="D1832" s="40">
        <v>1</v>
      </c>
      <c r="E1832" s="43">
        <v>20000</v>
      </c>
      <c r="F1832" s="44">
        <f t="shared" ca="1" si="24"/>
        <v>20000</v>
      </c>
    </row>
    <row r="1833" spans="1:6" x14ac:dyDescent="0.25">
      <c r="A1833" s="40" t="s">
        <v>431</v>
      </c>
      <c r="B1833" s="41" t="str">
        <f ca="1">IFERROR(INDEX(UNSPSCDes,MATCH(INDIRECT(ADDRESS(ROW(),COLUMN()-1,4)),UNSPSCCode,0)),IF(INDIRECT(ADDRESS(ROW(),COLUMN()-1,4))="43212105","Impresoras láser",""))</f>
        <v>Impresoras láser</v>
      </c>
      <c r="C1833" s="42" t="str">
        <f>IFERROR(VLOOKUP("UD",'[1]Informacion '!P:Q,2,FALSE),"")</f>
        <v>Unidad</v>
      </c>
      <c r="D1833" s="40">
        <v>1</v>
      </c>
      <c r="E1833" s="43">
        <v>10000</v>
      </c>
      <c r="F1833" s="44">
        <f t="shared" ca="1" si="24"/>
        <v>10000</v>
      </c>
    </row>
    <row r="1834" spans="1:6" x14ac:dyDescent="0.25">
      <c r="A1834" s="40" t="s">
        <v>432</v>
      </c>
      <c r="B1834" s="41" t="str">
        <f ca="1">IFERROR(INDEX(UNSPSCDes,MATCH(INDIRECT(ADDRESS(ROW(),COLUMN()-1,4)),UNSPSCCode,0)),IF(INDIRECT(ADDRESS(ROW(),COLUMN()-1,4))="56101703","Escritorios",""))</f>
        <v>Escritorios</v>
      </c>
      <c r="C1834" s="42" t="str">
        <f>IFERROR(VLOOKUP("UD",'[1]Informacion '!P:Q,2,FALSE),"")</f>
        <v>Unidad</v>
      </c>
      <c r="D1834" s="40">
        <v>1</v>
      </c>
      <c r="E1834" s="43">
        <v>10000</v>
      </c>
      <c r="F1834" s="44">
        <f t="shared" ca="1" si="24"/>
        <v>10000</v>
      </c>
    </row>
    <row r="1835" spans="1:6" x14ac:dyDescent="0.25">
      <c r="A1835" s="40" t="s">
        <v>433</v>
      </c>
      <c r="B1835" s="41" t="str">
        <f ca="1">IFERROR(INDEX(UNSPSCDes,MATCH(INDIRECT(ADDRESS(ROW(),COLUMN()-1,4)),UNSPSCCode,0)),IF(INDIRECT(ADDRESS(ROW(),COLUMN()-1,4))="56101702","Gabinetes de archivo o accesorios",""))</f>
        <v>Gabinetes de archivo o accesorios</v>
      </c>
      <c r="C1835" s="42" t="str">
        <f>IFERROR(VLOOKUP("UD",'[1]Informacion '!P:Q,2,FALSE),"")</f>
        <v>Unidad</v>
      </c>
      <c r="D1835" s="40">
        <v>1</v>
      </c>
      <c r="E1835" s="43">
        <v>10000</v>
      </c>
      <c r="F1835" s="44">
        <f t="shared" ca="1" si="24"/>
        <v>10000</v>
      </c>
    </row>
    <row r="1836" spans="1:6" x14ac:dyDescent="0.25">
      <c r="A1836" s="40" t="s">
        <v>434</v>
      </c>
      <c r="B1836" s="41" t="str">
        <f ca="1">IFERROR(INDEX(UNSPSCDes,MATCH(INDIRECT(ADDRESS(ROW(),COLUMN()-1,4)),UNSPSCCode,0)),IF(INDIRECT(ADDRESS(ROW(),COLUMN()-1,4))="44111607","Archivos de cheques",""))</f>
        <v>Archivos de cheques</v>
      </c>
      <c r="C1836" s="42" t="str">
        <f>IFERROR(VLOOKUP("UD",'[1]Informacion '!P:Q,2,FALSE),"")</f>
        <v>Unidad</v>
      </c>
      <c r="D1836" s="40">
        <v>1</v>
      </c>
      <c r="E1836" s="43">
        <v>10000</v>
      </c>
      <c r="F1836" s="44">
        <f t="shared" ca="1" si="24"/>
        <v>10000</v>
      </c>
    </row>
    <row r="1837" spans="1:6" x14ac:dyDescent="0.25">
      <c r="A1837" s="40" t="s">
        <v>435</v>
      </c>
      <c r="B1837" s="41" t="str">
        <f ca="1">IFERROR(INDEX(UNSPSCDes,MATCH(INDIRECT(ADDRESS(ROW(),COLUMN()-1,4)),UNSPSCCode,0)),IF(INDIRECT(ADDRESS(ROW(),COLUMN()-1,4))="56112103","Sillas para visitantes",""))</f>
        <v>Sillas para visitantes</v>
      </c>
      <c r="C1837" s="42" t="str">
        <f>IFERROR(VLOOKUP("UD",'[1]Informacion '!P:Q,2,FALSE),"")</f>
        <v>Unidad</v>
      </c>
      <c r="D1837" s="40">
        <v>1</v>
      </c>
      <c r="E1837" s="43">
        <v>1500</v>
      </c>
      <c r="F1837" s="44">
        <f t="shared" ca="1" si="24"/>
        <v>1500</v>
      </c>
    </row>
    <row r="1838" spans="1:6" x14ac:dyDescent="0.25">
      <c r="A1838" s="40" t="s">
        <v>436</v>
      </c>
      <c r="B1838" s="41" t="str">
        <f ca="1">IFERROR(INDEX(UNSPSCDes,MATCH(INDIRECT(ADDRESS(ROW(),COLUMN()-1,4)),UNSPSCCode,0)),IF(INDIRECT(ADDRESS(ROW(),COLUMN()-1,4))="56101701","Cajoneras o estanterías",""))</f>
        <v>Cajoneras o estanterías</v>
      </c>
      <c r="C1838" s="42" t="str">
        <f>IFERROR(VLOOKUP("UD",'[1]Informacion '!P:Q,2,FALSE),"")</f>
        <v>Unidad</v>
      </c>
      <c r="D1838" s="40">
        <v>1</v>
      </c>
      <c r="E1838" s="43">
        <v>20000</v>
      </c>
      <c r="F1838" s="44">
        <f t="shared" ca="1" si="24"/>
        <v>20000</v>
      </c>
    </row>
    <row r="1839" spans="1:6" x14ac:dyDescent="0.25">
      <c r="A1839" s="40" t="s">
        <v>437</v>
      </c>
      <c r="B1839" s="41" t="str">
        <f ca="1">IFERROR(INDEX(UNSPSCDes,MATCH(INDIRECT(ADDRESS(ROW(),COLUMN()-1,4)),UNSPSCCode,0)),IF(INDIRECT(ADDRESS(ROW(),COLUMN()-1,4))="56112104","Sillas para ejecutivos",""))</f>
        <v>Sillas para ejecutivos</v>
      </c>
      <c r="C1839" s="42" t="str">
        <f>IFERROR(VLOOKUP("UD",'[1]Informacion '!P:Q,2,FALSE),"")</f>
        <v>Unidad</v>
      </c>
      <c r="D1839" s="40">
        <v>1</v>
      </c>
      <c r="E1839" s="43">
        <v>25000</v>
      </c>
      <c r="F1839" s="44">
        <f t="shared" ca="1" si="24"/>
        <v>25000</v>
      </c>
    </row>
    <row r="1840" spans="1:6" x14ac:dyDescent="0.25">
      <c r="A1840" s="40" t="s">
        <v>438</v>
      </c>
      <c r="B1840" s="41" t="str">
        <f ca="1">IFERROR(INDEX(UNSPSCDes,MATCH(INDIRECT(ADDRESS(ROW(),COLUMN()-1,4)),UNSPSCCode,0)),IF(INDIRECT(ADDRESS(ROW(),COLUMN()-1,4))="56101713","Puestos (mesas) laterales de escritorios",""))</f>
        <v>Puestos (mesas) laterales de escritorios</v>
      </c>
      <c r="C1840" s="42" t="str">
        <f>IFERROR(VLOOKUP("UD",'[1]Informacion '!P:Q,2,FALSE),"")</f>
        <v>Unidad</v>
      </c>
      <c r="D1840" s="40">
        <v>1</v>
      </c>
      <c r="E1840" s="43">
        <v>1200</v>
      </c>
      <c r="F1840" s="44">
        <f t="shared" ca="1" si="24"/>
        <v>1200</v>
      </c>
    </row>
    <row r="1841" spans="1:6" x14ac:dyDescent="0.25">
      <c r="A1841" s="40" t="s">
        <v>439</v>
      </c>
      <c r="B1841" s="41" t="str">
        <f ca="1">IFERROR(INDEX(UNSPSCDes,MATCH(INDIRECT(ADDRESS(ROW(),COLUMN()-1,4)),UNSPSCCode,0)),IF(INDIRECT(ADDRESS(ROW(),COLUMN()-1,4))="56101519","Mesas",""))</f>
        <v>Mesas</v>
      </c>
      <c r="C1841" s="42" t="str">
        <f>IFERROR(VLOOKUP("UD",'[1]Informacion '!P:Q,2,FALSE),"")</f>
        <v>Unidad</v>
      </c>
      <c r="D1841" s="40">
        <v>1</v>
      </c>
      <c r="E1841" s="43">
        <v>5000</v>
      </c>
      <c r="F1841" s="44">
        <f t="shared" ca="1" si="24"/>
        <v>5000</v>
      </c>
    </row>
    <row r="1842" spans="1:6" x14ac:dyDescent="0.25">
      <c r="A1842" s="40" t="s">
        <v>440</v>
      </c>
      <c r="B1842" s="41" t="str">
        <f ca="1">IFERROR(INDEX(UNSPSCDes,MATCH(INDIRECT(ADDRESS(ROW(),COLUMN()-1,4)),UNSPSCCode,0)),IF(INDIRECT(ADDRESS(ROW(),COLUMN()-1,4))="56101502","Sofás",""))</f>
        <v>Sofás</v>
      </c>
      <c r="C1842" s="42" t="str">
        <f>IFERROR(VLOOKUP("UD",'[1]Informacion '!P:Q,2,FALSE),"")</f>
        <v>Unidad</v>
      </c>
      <c r="D1842" s="40">
        <v>1</v>
      </c>
      <c r="E1842" s="43">
        <v>10000</v>
      </c>
      <c r="F1842" s="44">
        <f t="shared" ca="1" si="24"/>
        <v>10000</v>
      </c>
    </row>
    <row r="1843" spans="1:6" x14ac:dyDescent="0.25">
      <c r="A1843" s="40">
        <v>56101522</v>
      </c>
      <c r="B1843" s="41" t="str">
        <f ca="1">IFERROR(INDEX(UNSPSCDes,MATCH(INDIRECT(ADDRESS(ROW(),COLUMN()-1,4)),UNSPSCCode,0)),IF(INDIRECT(ADDRESS(ROW(),COLUMN()-1,4))="56101502","Sofás",""))</f>
        <v>Sillas de brazos</v>
      </c>
      <c r="C1843" s="42" t="str">
        <f>IFERROR(VLOOKUP("UD",'[1]Informacion '!P:Q,2,FALSE),"")</f>
        <v>Unidad</v>
      </c>
      <c r="D1843" s="40">
        <v>1</v>
      </c>
      <c r="E1843" s="43">
        <v>10000</v>
      </c>
      <c r="F1843" s="44">
        <f t="shared" ca="1" si="24"/>
        <v>10000</v>
      </c>
    </row>
    <row r="1844" spans="1:6" x14ac:dyDescent="0.25">
      <c r="A1844" s="40">
        <v>32101622</v>
      </c>
      <c r="B1844" s="41" t="str">
        <f ca="1">IFERROR(INDEX(UNSPSCDes,MATCH(INDIRECT(ADDRESS(ROW(),COLUMN()-1,4)),UNSPSCCode,0)),IF(INDIRECT(ADDRESS(ROW(),COLUMN()-1,4))="56101502","Sofás",""))</f>
        <v>Memoria flash</v>
      </c>
      <c r="C1844" s="42" t="str">
        <f>IFERROR(VLOOKUP("UD",'[1]Informacion '!P:Q,2,FALSE),"")</f>
        <v>Unidad</v>
      </c>
      <c r="D1844" s="40">
        <v>1</v>
      </c>
      <c r="E1844" s="43">
        <v>1000</v>
      </c>
      <c r="F1844" s="44">
        <f t="shared" ca="1" si="24"/>
        <v>1000</v>
      </c>
    </row>
    <row r="1845" spans="1:6" x14ac:dyDescent="0.25">
      <c r="A1845" s="40">
        <v>43211503</v>
      </c>
      <c r="B1845" s="41" t="str">
        <f ca="1">IFERROR(INDEX(UNSPSCDes,MATCH(INDIRECT(ADDRESS(ROW(),COLUMN()-1,4)),UNSPSCCode,0)),IF(INDIRECT(ADDRESS(ROW(),COLUMN()-1,4))="56101502","Sofás",""))</f>
        <v>Computadores notebook</v>
      </c>
      <c r="C1845" s="42" t="str">
        <f>IFERROR(VLOOKUP("UD",'[1]Informacion '!P:Q,2,FALSE),"")</f>
        <v>Unidad</v>
      </c>
      <c r="D1845" s="40">
        <v>1</v>
      </c>
      <c r="E1845" s="43">
        <v>10000</v>
      </c>
      <c r="F1845" s="44">
        <f t="shared" ca="1" si="24"/>
        <v>10000</v>
      </c>
    </row>
    <row r="1846" spans="1:6" x14ac:dyDescent="0.25">
      <c r="A1846" s="40">
        <v>56101532</v>
      </c>
      <c r="B1846" s="41" t="str">
        <f ca="1">IFERROR(INDEX(UNSPSCDes,MATCH(INDIRECT(ADDRESS(ROW(),COLUMN()-1,4)),UNSPSCCode,0)),IF(INDIRECT(ADDRESS(ROW(),COLUMN()-1,4))="56101502","Sofás",""))</f>
        <v>Set de muebles</v>
      </c>
      <c r="C1846" s="42" t="str">
        <f>IFERROR(VLOOKUP("UD",'[1]Informacion '!P:Q,2,FALSE),"")</f>
        <v>Unidad</v>
      </c>
      <c r="D1846" s="40">
        <v>1</v>
      </c>
      <c r="E1846" s="43">
        <v>10000</v>
      </c>
      <c r="F1846" s="44">
        <f t="shared" ca="1" si="24"/>
        <v>10000</v>
      </c>
    </row>
    <row r="1847" spans="1:6" x14ac:dyDescent="0.25">
      <c r="E1847" s="45" t="s">
        <v>47</v>
      </c>
      <c r="F1847" s="46">
        <f ca="1">SUM(Table150[MONTO TOTAL ESTIMADO])</f>
        <v>884500</v>
      </c>
    </row>
    <row r="1848" spans="1:6" ht="17.25" thickBot="1" x14ac:dyDescent="0.3"/>
    <row r="1849" spans="1:6" ht="23.25" thickBot="1" x14ac:dyDescent="0.3">
      <c r="A1849" s="30" t="s">
        <v>18</v>
      </c>
      <c r="B1849" s="30" t="s">
        <v>19</v>
      </c>
      <c r="C1849" s="30" t="s">
        <v>20</v>
      </c>
      <c r="D1849" s="30" t="s">
        <v>21</v>
      </c>
      <c r="E1849" s="30" t="s">
        <v>22</v>
      </c>
      <c r="F1849" s="30" t="s">
        <v>23</v>
      </c>
    </row>
    <row r="1850" spans="1:6" ht="17.25" thickBot="1" x14ac:dyDescent="0.3">
      <c r="A1850" s="31" t="s">
        <v>421</v>
      </c>
      <c r="B1850" s="31" t="s">
        <v>145</v>
      </c>
      <c r="C1850" s="31" t="s">
        <v>92</v>
      </c>
      <c r="D1850" s="31" t="s">
        <v>50</v>
      </c>
      <c r="E1850" s="31" t="s">
        <v>58</v>
      </c>
      <c r="F1850" s="31" t="s">
        <v>17</v>
      </c>
    </row>
    <row r="1851" spans="1:6" ht="17.25" thickBot="1" x14ac:dyDescent="0.3">
      <c r="A1851" s="32" t="s">
        <v>29</v>
      </c>
      <c r="B1851" s="33" t="s">
        <v>30</v>
      </c>
      <c r="C1851" s="34">
        <v>45017</v>
      </c>
      <c r="D1851" s="32" t="s">
        <v>31</v>
      </c>
      <c r="E1851" s="35" t="s">
        <v>32</v>
      </c>
      <c r="F1851" s="36" t="s">
        <v>33</v>
      </c>
    </row>
    <row r="1852" spans="1:6" ht="17.25" thickBot="1" x14ac:dyDescent="0.3">
      <c r="A1852" s="37"/>
      <c r="B1852" s="33" t="s">
        <v>34</v>
      </c>
      <c r="C1852" s="38">
        <f>IF(C1851="","",IF(AND(MONTH(C1851)&gt;=1,MONTH(C1851)&lt;=3),1,IF(AND(MONTH(C1851)&gt;=4,MONTH(C1851)&lt;=6),2,IF(AND(MONTH(C1851)&gt;=7,MONTH(C1851)&lt;=9),3,4))))</f>
        <v>2</v>
      </c>
      <c r="D1852" s="37"/>
      <c r="E1852" s="35" t="s">
        <v>35</v>
      </c>
      <c r="F1852" s="36" t="s">
        <v>36</v>
      </c>
    </row>
    <row r="1853" spans="1:6" ht="17.25" thickBot="1" x14ac:dyDescent="0.3">
      <c r="A1853" s="37"/>
      <c r="B1853" s="33" t="s">
        <v>37</v>
      </c>
      <c r="C1853" s="34">
        <v>45107</v>
      </c>
      <c r="D1853" s="37"/>
      <c r="E1853" s="35" t="s">
        <v>38</v>
      </c>
      <c r="F1853" s="36" t="s">
        <v>36</v>
      </c>
    </row>
    <row r="1854" spans="1:6" ht="17.25" thickBot="1" x14ac:dyDescent="0.3">
      <c r="A1854" s="37"/>
      <c r="B1854" s="33" t="s">
        <v>34</v>
      </c>
      <c r="C1854" s="38">
        <f>IF(C1853="","",IF(AND(MONTH(C1853)&gt;=1,MONTH(C1853)&lt;=3),1,IF(AND(MONTH(C1853)&gt;=4,MONTH(C1853)&lt;=6),2,IF(AND(MONTH(C1853)&gt;=7,MONTH(C1853)&lt;=9),3,4))))</f>
        <v>2</v>
      </c>
      <c r="D1854" s="37"/>
      <c r="E1854" s="35" t="s">
        <v>39</v>
      </c>
      <c r="F1854" s="36" t="s">
        <v>36</v>
      </c>
    </row>
    <row r="1855" spans="1:6" ht="17.25" thickBot="1" x14ac:dyDescent="0.3"/>
    <row r="1856" spans="1:6" ht="17.25" thickBot="1" x14ac:dyDescent="0.3">
      <c r="A1856" s="39" t="s">
        <v>40</v>
      </c>
      <c r="B1856" s="39" t="s">
        <v>41</v>
      </c>
      <c r="C1856" s="39" t="s">
        <v>42</v>
      </c>
      <c r="D1856" s="39" t="s">
        <v>43</v>
      </c>
      <c r="E1856" s="39" t="s">
        <v>44</v>
      </c>
      <c r="F1856" s="39" t="s">
        <v>45</v>
      </c>
    </row>
    <row r="1857" spans="1:6" x14ac:dyDescent="0.25">
      <c r="A1857" s="40" t="s">
        <v>422</v>
      </c>
      <c r="B1857" s="41" t="str">
        <f ca="1">IFERROR(INDEX(UNSPSCDes,MATCH(INDIRECT(ADDRESS(ROW(),COLUMN()-1,4)),UNSPSCCode,0)),IF(INDIRECT(ADDRESS(ROW(),COLUMN()-1,4))="56101504","Asientos",""))</f>
        <v>Asientos</v>
      </c>
      <c r="C1857" s="42" t="s">
        <v>66</v>
      </c>
      <c r="D1857" s="40">
        <v>1</v>
      </c>
      <c r="E1857" s="43">
        <v>100000</v>
      </c>
      <c r="F1857" s="44">
        <f ca="1">INDIRECT(ADDRESS(ROW(),COLUMN()-2,4))*INDIRECT(ADDRESS(ROW(),COLUMN()-1,4))</f>
        <v>100000</v>
      </c>
    </row>
    <row r="1858" spans="1:6" x14ac:dyDescent="0.25">
      <c r="A1858" s="40">
        <v>30161801</v>
      </c>
      <c r="B1858" s="41" t="str">
        <f ca="1">IFERROR(INDEX(UNSPSCDes,MATCH(INDIRECT(ADDRESS(ROW(),COLUMN()-1,4)),UNSPSCCode,0)),IF(INDIRECT(ADDRESS(ROW(),COLUMN()-1,4))="56101504","Asientos",""))</f>
        <v>Armarios</v>
      </c>
      <c r="C1858" s="42" t="s">
        <v>66</v>
      </c>
      <c r="D1858" s="40">
        <v>1</v>
      </c>
      <c r="E1858" s="43">
        <v>100000</v>
      </c>
      <c r="F1858" s="44">
        <f ca="1">INDIRECT(ADDRESS(ROW(),COLUMN()-2,4))*INDIRECT(ADDRESS(ROW(),COLUMN()-1,4))</f>
        <v>100000</v>
      </c>
    </row>
    <row r="1859" spans="1:6" x14ac:dyDescent="0.25">
      <c r="A1859" s="40">
        <v>43211503</v>
      </c>
      <c r="B1859" s="41" t="str">
        <f ca="1">IFERROR(INDEX(UNSPSCDes,MATCH(INDIRECT(ADDRESS(ROW(),COLUMN()-1,4)),UNSPSCCode,0)),IF(INDIRECT(ADDRESS(ROW(),COLUMN()-1,4))="56101504","Asientos",""))</f>
        <v>Computadores notebook</v>
      </c>
      <c r="C1859" s="42" t="s">
        <v>66</v>
      </c>
      <c r="D1859" s="40">
        <v>1</v>
      </c>
      <c r="E1859" s="43">
        <v>50000</v>
      </c>
      <c r="F1859" s="44">
        <f ca="1">INDIRECT(ADDRESS(ROW(),COLUMN()-2,4))*INDIRECT(ADDRESS(ROW(),COLUMN()-1,4))</f>
        <v>50000</v>
      </c>
    </row>
    <row r="1860" spans="1:6" x14ac:dyDescent="0.25">
      <c r="A1860" s="40">
        <v>32101622</v>
      </c>
      <c r="B1860" s="41" t="str">
        <f ca="1">IFERROR(INDEX(UNSPSCDes,MATCH(INDIRECT(ADDRESS(ROW(),COLUMN()-1,4)),UNSPSCCode,0)),IF(INDIRECT(ADDRESS(ROW(),COLUMN()-1,4))="56101504","Asientos",""))</f>
        <v>Memoria flash</v>
      </c>
      <c r="C1860" s="42" t="s">
        <v>66</v>
      </c>
      <c r="D1860" s="40">
        <v>1</v>
      </c>
      <c r="E1860" s="43">
        <v>50000</v>
      </c>
      <c r="F1860" s="44">
        <f ca="1">INDIRECT(ADDRESS(ROW(),COLUMN()-2,4))*INDIRECT(ADDRESS(ROW(),COLUMN()-1,4))</f>
        <v>50000</v>
      </c>
    </row>
    <row r="1861" spans="1:6" x14ac:dyDescent="0.25">
      <c r="A1861" s="40">
        <v>56101532</v>
      </c>
      <c r="B1861" s="41" t="str">
        <f ca="1">IFERROR(INDEX(UNSPSCDes,MATCH(INDIRECT(ADDRESS(ROW(),COLUMN()-1,4)),UNSPSCCode,0)),IF(INDIRECT(ADDRESS(ROW(),COLUMN()-1,4))="56101504","Asientos",""))</f>
        <v>Set de muebles</v>
      </c>
      <c r="C1861" s="42" t="s">
        <v>66</v>
      </c>
      <c r="D1861" s="40">
        <v>1</v>
      </c>
      <c r="E1861" s="43">
        <v>100000</v>
      </c>
      <c r="F1861" s="44">
        <f ca="1">INDIRECT(ADDRESS(ROW(),COLUMN()-2,4))*INDIRECT(ADDRESS(ROW(),COLUMN()-1,4))</f>
        <v>100000</v>
      </c>
    </row>
    <row r="1862" spans="1:6" x14ac:dyDescent="0.25">
      <c r="E1862" s="45" t="s">
        <v>47</v>
      </c>
      <c r="F1862" s="46">
        <f ca="1">SUM(Table151[MONTO TOTAL ESTIMADO])</f>
        <v>400000</v>
      </c>
    </row>
    <row r="1863" spans="1:6" ht="17.25" thickBot="1" x14ac:dyDescent="0.3"/>
    <row r="1864" spans="1:6" ht="23.25" thickBot="1" x14ac:dyDescent="0.3">
      <c r="A1864" s="30" t="s">
        <v>18</v>
      </c>
      <c r="B1864" s="30" t="s">
        <v>19</v>
      </c>
      <c r="C1864" s="30" t="s">
        <v>20</v>
      </c>
      <c r="D1864" s="30" t="s">
        <v>21</v>
      </c>
      <c r="E1864" s="30" t="s">
        <v>22</v>
      </c>
      <c r="F1864" s="30" t="s">
        <v>23</v>
      </c>
    </row>
    <row r="1865" spans="1:6" ht="17.25" thickBot="1" x14ac:dyDescent="0.3">
      <c r="A1865" s="31" t="s">
        <v>441</v>
      </c>
      <c r="B1865" s="31" t="s">
        <v>145</v>
      </c>
      <c r="C1865" s="31" t="s">
        <v>92</v>
      </c>
      <c r="D1865" s="31" t="s">
        <v>50</v>
      </c>
      <c r="E1865" s="31" t="s">
        <v>58</v>
      </c>
      <c r="F1865" s="31"/>
    </row>
    <row r="1866" spans="1:6" ht="17.25" thickBot="1" x14ac:dyDescent="0.3">
      <c r="A1866" s="32" t="s">
        <v>29</v>
      </c>
      <c r="B1866" s="33" t="s">
        <v>30</v>
      </c>
      <c r="C1866" s="34">
        <v>44958</v>
      </c>
      <c r="D1866" s="32" t="s">
        <v>31</v>
      </c>
      <c r="E1866" s="35" t="s">
        <v>32</v>
      </c>
      <c r="F1866" s="36" t="s">
        <v>33</v>
      </c>
    </row>
    <row r="1867" spans="1:6" ht="17.25" thickBot="1" x14ac:dyDescent="0.3">
      <c r="A1867" s="37"/>
      <c r="B1867" s="33" t="s">
        <v>34</v>
      </c>
      <c r="C1867" s="38">
        <f>IF(C1866="","",IF(AND(MONTH(C1866)&gt;=1,MONTH(C1866)&lt;=3),1,IF(AND(MONTH(C1866)&gt;=4,MONTH(C1866)&lt;=6),2,IF(AND(MONTH(C1866)&gt;=7,MONTH(C1866)&lt;=9),3,4))))</f>
        <v>1</v>
      </c>
      <c r="D1867" s="37"/>
      <c r="E1867" s="35" t="s">
        <v>35</v>
      </c>
      <c r="F1867" s="36" t="s">
        <v>36</v>
      </c>
    </row>
    <row r="1868" spans="1:6" ht="17.25" thickBot="1" x14ac:dyDescent="0.3">
      <c r="A1868" s="37"/>
      <c r="B1868" s="33" t="s">
        <v>37</v>
      </c>
      <c r="C1868" s="34">
        <v>45015</v>
      </c>
      <c r="D1868" s="37"/>
      <c r="E1868" s="35" t="s">
        <v>38</v>
      </c>
      <c r="F1868" s="36" t="s">
        <v>36</v>
      </c>
    </row>
    <row r="1869" spans="1:6" ht="17.25" thickBot="1" x14ac:dyDescent="0.3">
      <c r="A1869" s="37"/>
      <c r="B1869" s="33" t="s">
        <v>34</v>
      </c>
      <c r="C1869" s="38">
        <f>IF(C1868="","",IF(AND(MONTH(C1868)&gt;=1,MONTH(C1868)&lt;=3),1,IF(AND(MONTH(C1868)&gt;=4,MONTH(C1868)&lt;=6),2,IF(AND(MONTH(C1868)&gt;=7,MONTH(C1868)&lt;=9),3,4))))</f>
        <v>1</v>
      </c>
      <c r="D1869" s="37"/>
      <c r="E1869" s="35" t="s">
        <v>39</v>
      </c>
      <c r="F1869" s="36" t="s">
        <v>36</v>
      </c>
    </row>
    <row r="1870" spans="1:6" ht="17.25" thickBot="1" x14ac:dyDescent="0.3"/>
    <row r="1871" spans="1:6" ht="17.25" thickBot="1" x14ac:dyDescent="0.3">
      <c r="A1871" s="39" t="s">
        <v>40</v>
      </c>
      <c r="B1871" s="39" t="s">
        <v>41</v>
      </c>
      <c r="C1871" s="39" t="s">
        <v>42</v>
      </c>
      <c r="D1871" s="39" t="s">
        <v>43</v>
      </c>
      <c r="E1871" s="39" t="s">
        <v>44</v>
      </c>
      <c r="F1871" s="39" t="s">
        <v>45</v>
      </c>
    </row>
    <row r="1872" spans="1:6" x14ac:dyDescent="0.25">
      <c r="A1872" s="40" t="s">
        <v>442</v>
      </c>
      <c r="B1872" s="41" t="str">
        <f ca="1">IFERROR(INDEX(UNSPSCDes,MATCH(INDIRECT(ADDRESS(ROW(),COLUMN()-1,4)),UNSPSCCode,0)),IF(INDIRECT(ADDRESS(ROW(),COLUMN()-1,4))="43211507","Computadores de escritorio",""))</f>
        <v>Computadores de escritorio</v>
      </c>
      <c r="C1872" s="42" t="str">
        <f>IFERROR(VLOOKUP("UD",'[1]Informacion '!P:Q,2,FALSE),"")</f>
        <v>Unidad</v>
      </c>
      <c r="D1872" s="40">
        <v>20</v>
      </c>
      <c r="E1872" s="43">
        <v>2000</v>
      </c>
      <c r="F1872" s="44">
        <f ca="1">INDIRECT(ADDRESS(ROW(),COLUMN()-2,4))*INDIRECT(ADDRESS(ROW(),COLUMN()-1,4))</f>
        <v>40000</v>
      </c>
    </row>
    <row r="1873" spans="1:6" x14ac:dyDescent="0.25">
      <c r="A1873" s="40" t="s">
        <v>443</v>
      </c>
      <c r="B1873" s="41" t="str">
        <f ca="1">IFERROR(INDEX(UNSPSCDes,MATCH(INDIRECT(ADDRESS(ROW(),COLUMN()-1,4)),UNSPSCCode,0)),IF(INDIRECT(ADDRESS(ROW(),COLUMN()-1,4))="43211711","Escáneres",""))</f>
        <v>Escáneres</v>
      </c>
      <c r="C1873" s="42" t="str">
        <f>IFERROR(VLOOKUP("UD",'[1]Informacion '!P:Q,2,FALSE),"")</f>
        <v>Unidad</v>
      </c>
      <c r="D1873" s="40">
        <v>1</v>
      </c>
      <c r="E1873" s="43">
        <v>40000</v>
      </c>
      <c r="F1873" s="44">
        <f ca="1">INDIRECT(ADDRESS(ROW(),COLUMN()-2,4))*INDIRECT(ADDRESS(ROW(),COLUMN()-1,4))</f>
        <v>40000</v>
      </c>
    </row>
    <row r="1874" spans="1:6" x14ac:dyDescent="0.25">
      <c r="A1874" s="40" t="s">
        <v>444</v>
      </c>
      <c r="B1874" s="41" t="str">
        <f ca="1">IFERROR(INDEX(UNSPSCDes,MATCH(INDIRECT(ADDRESS(ROW(),COLUMN()-1,4)),UNSPSCCode,0)),IF(INDIRECT(ADDRESS(ROW(),COLUMN()-1,4))="43211509","Computadores de tableta",""))</f>
        <v>Computadores de tableta</v>
      </c>
      <c r="C1874" s="42" t="str">
        <f>IFERROR(VLOOKUP("UD",'[1]Informacion '!P:Q,2,FALSE),"")</f>
        <v>Unidad</v>
      </c>
      <c r="D1874" s="40">
        <v>1</v>
      </c>
      <c r="E1874" s="43">
        <v>10000</v>
      </c>
      <c r="F1874" s="44">
        <f ca="1">INDIRECT(ADDRESS(ROW(),COLUMN()-2,4))*INDIRECT(ADDRESS(ROW(),COLUMN()-1,4))</f>
        <v>10000</v>
      </c>
    </row>
    <row r="1875" spans="1:6" x14ac:dyDescent="0.25">
      <c r="E1875" s="45" t="s">
        <v>47</v>
      </c>
      <c r="F1875" s="46">
        <f ca="1">SUM(Table152[MONTO TOTAL ESTIMADO])</f>
        <v>90000</v>
      </c>
    </row>
    <row r="1876" spans="1:6" ht="17.25" thickBot="1" x14ac:dyDescent="0.3"/>
    <row r="1877" spans="1:6" ht="23.25" thickBot="1" x14ac:dyDescent="0.3">
      <c r="A1877" s="30" t="s">
        <v>18</v>
      </c>
      <c r="B1877" s="30" t="s">
        <v>19</v>
      </c>
      <c r="C1877" s="30" t="s">
        <v>20</v>
      </c>
      <c r="D1877" s="30" t="s">
        <v>21</v>
      </c>
      <c r="E1877" s="30" t="s">
        <v>22</v>
      </c>
      <c r="F1877" s="30" t="s">
        <v>23</v>
      </c>
    </row>
    <row r="1878" spans="1:6" ht="17.25" thickBot="1" x14ac:dyDescent="0.3">
      <c r="A1878" s="31" t="s">
        <v>441</v>
      </c>
      <c r="B1878" s="31" t="s">
        <v>145</v>
      </c>
      <c r="C1878" s="31" t="s">
        <v>92</v>
      </c>
      <c r="D1878" s="31" t="s">
        <v>52</v>
      </c>
      <c r="E1878" s="31" t="s">
        <v>75</v>
      </c>
      <c r="F1878" s="31"/>
    </row>
    <row r="1879" spans="1:6" ht="17.25" thickBot="1" x14ac:dyDescent="0.3">
      <c r="A1879" s="32" t="s">
        <v>29</v>
      </c>
      <c r="B1879" s="33" t="s">
        <v>30</v>
      </c>
      <c r="C1879" s="34">
        <v>45016</v>
      </c>
      <c r="D1879" s="32" t="s">
        <v>31</v>
      </c>
      <c r="E1879" s="35" t="s">
        <v>32</v>
      </c>
      <c r="F1879" s="36" t="s">
        <v>33</v>
      </c>
    </row>
    <row r="1880" spans="1:6" ht="17.25" thickBot="1" x14ac:dyDescent="0.3">
      <c r="A1880" s="37"/>
      <c r="B1880" s="33" t="s">
        <v>34</v>
      </c>
      <c r="C1880" s="38">
        <f>IF(C1879="","",IF(AND(MONTH(C1879)&gt;=1,MONTH(C1879)&lt;=3),1,IF(AND(MONTH(C1879)&gt;=4,MONTH(C1879)&lt;=6),2,IF(AND(MONTH(C1879)&gt;=7,MONTH(C1879)&lt;=9),3,4))))</f>
        <v>1</v>
      </c>
      <c r="D1880" s="37"/>
      <c r="E1880" s="35" t="s">
        <v>35</v>
      </c>
      <c r="F1880" s="36" t="s">
        <v>36</v>
      </c>
    </row>
    <row r="1881" spans="1:6" ht="17.25" thickBot="1" x14ac:dyDescent="0.3">
      <c r="A1881" s="37"/>
      <c r="B1881" s="33" t="s">
        <v>37</v>
      </c>
      <c r="C1881" s="34">
        <v>45106</v>
      </c>
      <c r="D1881" s="37"/>
      <c r="E1881" s="35" t="s">
        <v>38</v>
      </c>
      <c r="F1881" s="36" t="s">
        <v>36</v>
      </c>
    </row>
    <row r="1882" spans="1:6" ht="17.25" thickBot="1" x14ac:dyDescent="0.3">
      <c r="A1882" s="37"/>
      <c r="B1882" s="33" t="s">
        <v>34</v>
      </c>
      <c r="C1882" s="38">
        <f>IF(C1881="","",IF(AND(MONTH(C1881)&gt;=1,MONTH(C1881)&lt;=3),1,IF(AND(MONTH(C1881)&gt;=4,MONTH(C1881)&lt;=6),2,IF(AND(MONTH(C1881)&gt;=7,MONTH(C1881)&lt;=9),3,4))))</f>
        <v>2</v>
      </c>
      <c r="D1882" s="37"/>
      <c r="E1882" s="35" t="s">
        <v>39</v>
      </c>
      <c r="F1882" s="36" t="s">
        <v>36</v>
      </c>
    </row>
    <row r="1883" spans="1:6" ht="17.25" thickBot="1" x14ac:dyDescent="0.3"/>
    <row r="1884" spans="1:6" ht="17.25" thickBot="1" x14ac:dyDescent="0.3">
      <c r="A1884" s="39" t="s">
        <v>40</v>
      </c>
      <c r="B1884" s="39" t="s">
        <v>41</v>
      </c>
      <c r="C1884" s="39" t="s">
        <v>42</v>
      </c>
      <c r="D1884" s="39" t="s">
        <v>43</v>
      </c>
      <c r="E1884" s="39" t="s">
        <v>44</v>
      </c>
      <c r="F1884" s="39" t="s">
        <v>45</v>
      </c>
    </row>
    <row r="1885" spans="1:6" x14ac:dyDescent="0.25">
      <c r="A1885" s="40" t="s">
        <v>442</v>
      </c>
      <c r="B1885" s="41" t="str">
        <f ca="1">IFERROR(INDEX(UNSPSCDes,MATCH(INDIRECT(ADDRESS(ROW(),COLUMN()-1,4)),UNSPSCCode,0)),IF(INDIRECT(ADDRESS(ROW(),COLUMN()-1,4))="43211507","Computadores de escritorio",""))</f>
        <v>Computadores de escritorio</v>
      </c>
      <c r="C1885" s="42" t="str">
        <f>IFERROR(VLOOKUP("UD",'[1]Informacion '!P:Q,2,FALSE),"")</f>
        <v>Unidad</v>
      </c>
      <c r="D1885" s="40">
        <v>20</v>
      </c>
      <c r="E1885" s="43">
        <v>50000</v>
      </c>
      <c r="F1885" s="44">
        <f ca="1">INDIRECT(ADDRESS(ROW(),COLUMN()-2,4))*INDIRECT(ADDRESS(ROW(),COLUMN()-1,4))</f>
        <v>1000000</v>
      </c>
    </row>
    <row r="1886" spans="1:6" x14ac:dyDescent="0.25">
      <c r="A1886" s="40">
        <v>43211903</v>
      </c>
      <c r="B1886" s="41" t="str">
        <f ca="1">IFERROR(INDEX(UNSPSCDes,MATCH(INDIRECT(ADDRESS(ROW(),COLUMN()-1,4)),UNSPSCCode,0)),IF(INDIRECT(ADDRESS(ROW(),COLUMN()-1,4))="43211903","Monitores de pantalla táctil (touch)",""))</f>
        <v>Monitores de pantalla táctil (touch)</v>
      </c>
      <c r="C1886" s="42" t="str">
        <f>IFERROR(VLOOKUP("UD",'[1]Informacion '!P:Q,2,FALSE),"")</f>
        <v>Unidad</v>
      </c>
      <c r="D1886" s="40">
        <v>20</v>
      </c>
      <c r="E1886" s="43">
        <v>40000</v>
      </c>
      <c r="F1886" s="44">
        <f ca="1">INDIRECT(ADDRESS(ROW(),COLUMN()-2,4))*INDIRECT(ADDRESS(ROW(),COLUMN()-1,4))</f>
        <v>800000</v>
      </c>
    </row>
    <row r="1887" spans="1:6" x14ac:dyDescent="0.25">
      <c r="A1887" s="40" t="s">
        <v>445</v>
      </c>
      <c r="B1887" s="41" t="str">
        <f ca="1">IFERROR(INDEX(UNSPSCDes,MATCH(INDIRECT(ADDRESS(ROW(),COLUMN()-1,4)),UNSPSCCode,0)),IF(INDIRECT(ADDRESS(ROW(),COLUMN()-1,4))="43222628","Módems",""))</f>
        <v>Módems</v>
      </c>
      <c r="C1887" s="42" t="str">
        <f>IFERROR(VLOOKUP("UD",'[1]Informacion '!P:Q,2,FALSE),"")</f>
        <v>Unidad</v>
      </c>
      <c r="D1887" s="40">
        <v>16</v>
      </c>
      <c r="E1887" s="43">
        <v>30000</v>
      </c>
      <c r="F1887" s="44">
        <f ca="1">INDIRECT(ADDRESS(ROW(),COLUMN()-2,4))*INDIRECT(ADDRESS(ROW(),COLUMN()-1,4))</f>
        <v>480000</v>
      </c>
    </row>
    <row r="1888" spans="1:6" x14ac:dyDescent="0.25">
      <c r="A1888" s="40" t="s">
        <v>446</v>
      </c>
      <c r="B1888" s="41" t="str">
        <f ca="1">IFERROR(INDEX(UNSPSCDes,MATCH(INDIRECT(ADDRESS(ROW(),COLUMN()-1,4)),UNSPSCCode,0)),IF(INDIRECT(ADDRESS(ROW(),COLUMN()-1,4))="43212114","Impresoras de imágenes digitales",""))</f>
        <v>Impresoras de imágenes digitales</v>
      </c>
      <c r="C1888" s="42" t="str">
        <f>IFERROR(VLOOKUP("UD",'[1]Informacion '!P:Q,2,FALSE),"")</f>
        <v>Unidad</v>
      </c>
      <c r="D1888" s="40">
        <v>1</v>
      </c>
      <c r="E1888" s="43">
        <v>120000</v>
      </c>
      <c r="F1888" s="44">
        <f ca="1">INDIRECT(ADDRESS(ROW(),COLUMN()-2,4))*INDIRECT(ADDRESS(ROW(),COLUMN()-1,4))</f>
        <v>120000</v>
      </c>
    </row>
    <row r="1889" spans="1:6" x14ac:dyDescent="0.25">
      <c r="E1889" s="45" t="s">
        <v>47</v>
      </c>
      <c r="F1889" s="46">
        <f ca="1">SUM(Table153[MONTO TOTAL ESTIMADO])</f>
        <v>2400000</v>
      </c>
    </row>
    <row r="1890" spans="1:6" ht="17.25" thickBot="1" x14ac:dyDescent="0.3"/>
    <row r="1891" spans="1:6" ht="23.25" thickBot="1" x14ac:dyDescent="0.3">
      <c r="A1891" s="30" t="s">
        <v>18</v>
      </c>
      <c r="B1891" s="30" t="s">
        <v>19</v>
      </c>
      <c r="C1891" s="30" t="s">
        <v>20</v>
      </c>
      <c r="D1891" s="30" t="s">
        <v>21</v>
      </c>
      <c r="E1891" s="30" t="s">
        <v>22</v>
      </c>
      <c r="F1891" s="30" t="s">
        <v>23</v>
      </c>
    </row>
    <row r="1892" spans="1:6" ht="17.25" thickBot="1" x14ac:dyDescent="0.3">
      <c r="A1892" s="31" t="s">
        <v>441</v>
      </c>
      <c r="B1892" s="31" t="s">
        <v>145</v>
      </c>
      <c r="C1892" s="31" t="s">
        <v>92</v>
      </c>
      <c r="D1892" s="31" t="s">
        <v>27</v>
      </c>
      <c r="E1892" s="31" t="s">
        <v>58</v>
      </c>
      <c r="F1892" s="31"/>
    </row>
    <row r="1893" spans="1:6" ht="17.25" thickBot="1" x14ac:dyDescent="0.3">
      <c r="A1893" s="32" t="s">
        <v>29</v>
      </c>
      <c r="B1893" s="33" t="s">
        <v>30</v>
      </c>
      <c r="C1893" s="34">
        <v>45108</v>
      </c>
      <c r="D1893" s="32" t="s">
        <v>31</v>
      </c>
      <c r="E1893" s="35" t="s">
        <v>32</v>
      </c>
      <c r="F1893" s="36" t="s">
        <v>33</v>
      </c>
    </row>
    <row r="1894" spans="1:6" ht="17.25" thickBot="1" x14ac:dyDescent="0.3">
      <c r="A1894" s="37"/>
      <c r="B1894" s="33" t="s">
        <v>34</v>
      </c>
      <c r="C1894" s="38">
        <f>IF(C1893="","",IF(AND(MONTH(C1893)&gt;=1,MONTH(C1893)&lt;=3),1,IF(AND(MONTH(C1893)&gt;=4,MONTH(C1893)&lt;=6),2,IF(AND(MONTH(C1893)&gt;=7,MONTH(C1893)&lt;=9),3,4))))</f>
        <v>3</v>
      </c>
      <c r="D1894" s="37"/>
      <c r="E1894" s="35" t="s">
        <v>35</v>
      </c>
      <c r="F1894" s="36" t="s">
        <v>36</v>
      </c>
    </row>
    <row r="1895" spans="1:6" ht="17.25" thickBot="1" x14ac:dyDescent="0.3">
      <c r="A1895" s="37"/>
      <c r="B1895" s="33" t="s">
        <v>37</v>
      </c>
      <c r="C1895" s="34">
        <v>45198</v>
      </c>
      <c r="D1895" s="37"/>
      <c r="E1895" s="35" t="s">
        <v>38</v>
      </c>
      <c r="F1895" s="36" t="s">
        <v>36</v>
      </c>
    </row>
    <row r="1896" spans="1:6" ht="17.25" thickBot="1" x14ac:dyDescent="0.3">
      <c r="A1896" s="37"/>
      <c r="B1896" s="33" t="s">
        <v>34</v>
      </c>
      <c r="C1896" s="38">
        <f>IF(C1895="","",IF(AND(MONTH(C1895)&gt;=1,MONTH(C1895)&lt;=3),1,IF(AND(MONTH(C1895)&gt;=4,MONTH(C1895)&lt;=6),2,IF(AND(MONTH(C1895)&gt;=7,MONTH(C1895)&lt;=9),3,4))))</f>
        <v>3</v>
      </c>
      <c r="D1896" s="37"/>
      <c r="E1896" s="35" t="s">
        <v>39</v>
      </c>
      <c r="F1896" s="36" t="s">
        <v>36</v>
      </c>
    </row>
    <row r="1897" spans="1:6" ht="17.25" thickBot="1" x14ac:dyDescent="0.3"/>
    <row r="1898" spans="1:6" ht="17.25" thickBot="1" x14ac:dyDescent="0.3">
      <c r="A1898" s="39" t="s">
        <v>40</v>
      </c>
      <c r="B1898" s="39" t="s">
        <v>41</v>
      </c>
      <c r="C1898" s="39" t="s">
        <v>42</v>
      </c>
      <c r="D1898" s="39" t="s">
        <v>43</v>
      </c>
      <c r="E1898" s="39" t="s">
        <v>44</v>
      </c>
      <c r="F1898" s="39" t="s">
        <v>45</v>
      </c>
    </row>
    <row r="1899" spans="1:6" x14ac:dyDescent="0.25">
      <c r="A1899" s="40" t="s">
        <v>442</v>
      </c>
      <c r="B1899" s="41" t="str">
        <f ca="1">IFERROR(INDEX(UNSPSCDes,MATCH(INDIRECT(ADDRESS(ROW(),COLUMN()-1,4)),UNSPSCCode,0)),IF(INDIRECT(ADDRESS(ROW(),COLUMN()-1,4))="43211507","Computadores de escritorio",""))</f>
        <v>Computadores de escritorio</v>
      </c>
      <c r="C1899" s="42" t="str">
        <f>IFERROR(VLOOKUP("UD",'[1]Informacion '!P:Q,2,FALSE),"")</f>
        <v>Unidad</v>
      </c>
      <c r="D1899" s="40">
        <v>1</v>
      </c>
      <c r="E1899" s="43">
        <v>610000</v>
      </c>
      <c r="F1899" s="44">
        <f ca="1">INDIRECT(ADDRESS(ROW(),COLUMN()-2,4))*INDIRECT(ADDRESS(ROW(),COLUMN()-1,4))</f>
        <v>610000</v>
      </c>
    </row>
    <row r="1900" spans="1:6" x14ac:dyDescent="0.25">
      <c r="E1900" s="45" t="s">
        <v>47</v>
      </c>
      <c r="F1900" s="46">
        <f ca="1">SUM(Table154[MONTO TOTAL ESTIMADO])</f>
        <v>610000</v>
      </c>
    </row>
    <row r="1901" spans="1:6" ht="17.25" thickBot="1" x14ac:dyDescent="0.3"/>
    <row r="1902" spans="1:6" ht="23.25" thickBot="1" x14ac:dyDescent="0.3">
      <c r="A1902" s="30" t="s">
        <v>18</v>
      </c>
      <c r="B1902" s="30" t="s">
        <v>19</v>
      </c>
      <c r="C1902" s="30" t="s">
        <v>20</v>
      </c>
      <c r="D1902" s="30" t="s">
        <v>21</v>
      </c>
      <c r="E1902" s="30" t="s">
        <v>22</v>
      </c>
      <c r="F1902" s="30" t="s">
        <v>23</v>
      </c>
    </row>
    <row r="1903" spans="1:6" ht="17.25" thickBot="1" x14ac:dyDescent="0.3">
      <c r="A1903" s="31" t="s">
        <v>441</v>
      </c>
      <c r="B1903" s="31" t="s">
        <v>145</v>
      </c>
      <c r="C1903" s="31" t="s">
        <v>92</v>
      </c>
      <c r="D1903" s="31" t="s">
        <v>27</v>
      </c>
      <c r="E1903" s="31" t="s">
        <v>58</v>
      </c>
      <c r="F1903" s="31"/>
    </row>
    <row r="1904" spans="1:6" ht="17.25" thickBot="1" x14ac:dyDescent="0.3">
      <c r="A1904" s="32" t="s">
        <v>29</v>
      </c>
      <c r="B1904" s="33" t="s">
        <v>30</v>
      </c>
      <c r="C1904" s="34">
        <v>45200</v>
      </c>
      <c r="D1904" s="32" t="s">
        <v>31</v>
      </c>
      <c r="E1904" s="35" t="s">
        <v>32</v>
      </c>
      <c r="F1904" s="36" t="s">
        <v>33</v>
      </c>
    </row>
    <row r="1905" spans="1:6" ht="17.25" thickBot="1" x14ac:dyDescent="0.3">
      <c r="A1905" s="37"/>
      <c r="B1905" s="33" t="s">
        <v>34</v>
      </c>
      <c r="C1905" s="38">
        <f>IF(C1904="","",IF(AND(MONTH(C1904)&gt;=1,MONTH(C1904)&lt;=3),1,IF(AND(MONTH(C1904)&gt;=4,MONTH(C1904)&lt;=6),2,IF(AND(MONTH(C1904)&gt;=7,MONTH(C1904)&lt;=9),3,4))))</f>
        <v>4</v>
      </c>
      <c r="D1905" s="37"/>
      <c r="E1905" s="35" t="s">
        <v>35</v>
      </c>
      <c r="F1905" s="36" t="s">
        <v>36</v>
      </c>
    </row>
    <row r="1906" spans="1:6" ht="17.25" thickBot="1" x14ac:dyDescent="0.3">
      <c r="A1906" s="37"/>
      <c r="B1906" s="33" t="s">
        <v>37</v>
      </c>
      <c r="C1906" s="34">
        <v>45290</v>
      </c>
      <c r="D1906" s="37"/>
      <c r="E1906" s="35" t="s">
        <v>38</v>
      </c>
      <c r="F1906" s="36" t="s">
        <v>36</v>
      </c>
    </row>
    <row r="1907" spans="1:6" ht="17.25" thickBot="1" x14ac:dyDescent="0.3">
      <c r="A1907" s="37"/>
      <c r="B1907" s="33" t="s">
        <v>34</v>
      </c>
      <c r="C1907" s="38">
        <f>IF(C1906="","",IF(AND(MONTH(C1906)&gt;=1,MONTH(C1906)&lt;=3),1,IF(AND(MONTH(C1906)&gt;=4,MONTH(C1906)&lt;=6),2,IF(AND(MONTH(C1906)&gt;=7,MONTH(C1906)&lt;=9),3,4))))</f>
        <v>4</v>
      </c>
      <c r="D1907" s="37"/>
      <c r="E1907" s="35" t="s">
        <v>39</v>
      </c>
      <c r="F1907" s="36" t="s">
        <v>36</v>
      </c>
    </row>
    <row r="1908" spans="1:6" ht="17.25" thickBot="1" x14ac:dyDescent="0.3"/>
    <row r="1909" spans="1:6" ht="17.25" thickBot="1" x14ac:dyDescent="0.3">
      <c r="A1909" s="39" t="s">
        <v>40</v>
      </c>
      <c r="B1909" s="39" t="s">
        <v>41</v>
      </c>
      <c r="C1909" s="39" t="s">
        <v>42</v>
      </c>
      <c r="D1909" s="39" t="s">
        <v>43</v>
      </c>
      <c r="E1909" s="39" t="s">
        <v>44</v>
      </c>
      <c r="F1909" s="39" t="s">
        <v>45</v>
      </c>
    </row>
    <row r="1910" spans="1:6" x14ac:dyDescent="0.25">
      <c r="A1910" s="40" t="s">
        <v>442</v>
      </c>
      <c r="B1910" s="41" t="str">
        <f ca="1">IFERROR(INDEX(UNSPSCDes,MATCH(INDIRECT(ADDRESS(ROW(),COLUMN()-1,4)),UNSPSCCode,0)),IF(INDIRECT(ADDRESS(ROW(),COLUMN()-1,4))="43211507","Computadores de escritorio",""))</f>
        <v>Computadores de escritorio</v>
      </c>
      <c r="C1910" s="42" t="str">
        <f>IFERROR(VLOOKUP("UD",'[1]Informacion '!P:Q,2,FALSE),"")</f>
        <v>Unidad</v>
      </c>
      <c r="D1910" s="40">
        <v>1</v>
      </c>
      <c r="E1910" s="43">
        <v>1</v>
      </c>
      <c r="F1910" s="44">
        <f ca="1">INDIRECT(ADDRESS(ROW(),COLUMN()-2,4))*INDIRECT(ADDRESS(ROW(),COLUMN()-1,4))</f>
        <v>1</v>
      </c>
    </row>
    <row r="1911" spans="1:6" x14ac:dyDescent="0.25">
      <c r="A1911" s="40" t="s">
        <v>447</v>
      </c>
      <c r="B1911" s="41" t="str">
        <f ca="1">IFERROR(INDEX(UNSPSCDes,MATCH(INDIRECT(ADDRESS(ROW(),COLUMN()-1,4)),UNSPSCCode,0)),IF(INDIRECT(ADDRESS(ROW(),COLUMN()-1,4))="43211508","Computadores personales",""))</f>
        <v>Computadores personales</v>
      </c>
      <c r="C1911" s="42" t="str">
        <f>IFERROR(VLOOKUP("UD",'[1]Informacion '!P:Q,2,FALSE),"")</f>
        <v>Unidad</v>
      </c>
      <c r="D1911" s="40">
        <v>1</v>
      </c>
      <c r="E1911" s="43">
        <v>1</v>
      </c>
      <c r="F1911" s="44">
        <f ca="1">INDIRECT(ADDRESS(ROW(),COLUMN()-2,4))*INDIRECT(ADDRESS(ROW(),COLUMN()-1,4))</f>
        <v>1</v>
      </c>
    </row>
    <row r="1912" spans="1:6" x14ac:dyDescent="0.25">
      <c r="E1912" s="45" t="s">
        <v>47</v>
      </c>
      <c r="F1912" s="46">
        <f ca="1">SUM(Table155[MONTO TOTAL ESTIMADO])</f>
        <v>2</v>
      </c>
    </row>
    <row r="1913" spans="1:6" ht="17.25" thickBot="1" x14ac:dyDescent="0.3"/>
    <row r="1914" spans="1:6" ht="23.25" thickBot="1" x14ac:dyDescent="0.3">
      <c r="A1914" s="30" t="s">
        <v>18</v>
      </c>
      <c r="B1914" s="30" t="s">
        <v>19</v>
      </c>
      <c r="C1914" s="30" t="s">
        <v>20</v>
      </c>
      <c r="D1914" s="30" t="s">
        <v>21</v>
      </c>
      <c r="E1914" s="30" t="s">
        <v>22</v>
      </c>
      <c r="F1914" s="30" t="s">
        <v>23</v>
      </c>
    </row>
    <row r="1915" spans="1:6" ht="17.25" thickBot="1" x14ac:dyDescent="0.3">
      <c r="A1915" s="31" t="s">
        <v>448</v>
      </c>
      <c r="B1915" s="31" t="s">
        <v>145</v>
      </c>
      <c r="C1915" s="31" t="s">
        <v>92</v>
      </c>
      <c r="D1915" s="31" t="s">
        <v>50</v>
      </c>
      <c r="E1915" s="31" t="s">
        <v>58</v>
      </c>
      <c r="F1915" s="31"/>
    </row>
    <row r="1916" spans="1:6" ht="17.25" thickBot="1" x14ac:dyDescent="0.3">
      <c r="A1916" s="32" t="s">
        <v>29</v>
      </c>
      <c r="B1916" s="33" t="s">
        <v>30</v>
      </c>
      <c r="C1916" s="34">
        <v>45016</v>
      </c>
      <c r="D1916" s="32" t="s">
        <v>31</v>
      </c>
      <c r="E1916" s="35" t="s">
        <v>32</v>
      </c>
      <c r="F1916" s="36" t="s">
        <v>33</v>
      </c>
    </row>
    <row r="1917" spans="1:6" ht="17.25" thickBot="1" x14ac:dyDescent="0.3">
      <c r="A1917" s="37"/>
      <c r="B1917" s="33" t="s">
        <v>34</v>
      </c>
      <c r="C1917" s="38">
        <f>IF(C1916="","",IF(AND(MONTH(C1916)&gt;=1,MONTH(C1916)&lt;=3),1,IF(AND(MONTH(C1916)&gt;=4,MONTH(C1916)&lt;=6),2,IF(AND(MONTH(C1916)&gt;=7,MONTH(C1916)&lt;=9),3,4))))</f>
        <v>1</v>
      </c>
      <c r="D1917" s="37"/>
      <c r="E1917" s="35" t="s">
        <v>35</v>
      </c>
      <c r="F1917" s="36" t="s">
        <v>36</v>
      </c>
    </row>
    <row r="1918" spans="1:6" ht="17.25" thickBot="1" x14ac:dyDescent="0.3">
      <c r="A1918" s="37"/>
      <c r="B1918" s="33" t="s">
        <v>37</v>
      </c>
      <c r="C1918" s="34">
        <v>45106</v>
      </c>
      <c r="D1918" s="37"/>
      <c r="E1918" s="35" t="s">
        <v>38</v>
      </c>
      <c r="F1918" s="36" t="s">
        <v>36</v>
      </c>
    </row>
    <row r="1919" spans="1:6" ht="17.25" thickBot="1" x14ac:dyDescent="0.3">
      <c r="A1919" s="37"/>
      <c r="B1919" s="33" t="s">
        <v>34</v>
      </c>
      <c r="C1919" s="38">
        <f>IF(C1918="","",IF(AND(MONTH(C1918)&gt;=1,MONTH(C1918)&lt;=3),1,IF(AND(MONTH(C1918)&gt;=4,MONTH(C1918)&lt;=6),2,IF(AND(MONTH(C1918)&gt;=7,MONTH(C1918)&lt;=9),3,4))))</f>
        <v>2</v>
      </c>
      <c r="D1919" s="37"/>
      <c r="E1919" s="35" t="s">
        <v>39</v>
      </c>
      <c r="F1919" s="36" t="s">
        <v>36</v>
      </c>
    </row>
    <row r="1920" spans="1:6" ht="17.25" thickBot="1" x14ac:dyDescent="0.3"/>
    <row r="1921" spans="1:6" ht="17.25" thickBot="1" x14ac:dyDescent="0.3">
      <c r="A1921" s="39" t="s">
        <v>40</v>
      </c>
      <c r="B1921" s="39" t="s">
        <v>41</v>
      </c>
      <c r="C1921" s="39" t="s">
        <v>42</v>
      </c>
      <c r="D1921" s="39" t="s">
        <v>43</v>
      </c>
      <c r="E1921" s="39" t="s">
        <v>44</v>
      </c>
      <c r="F1921" s="39" t="s">
        <v>45</v>
      </c>
    </row>
    <row r="1922" spans="1:6" x14ac:dyDescent="0.25">
      <c r="A1922" s="40" t="s">
        <v>449</v>
      </c>
      <c r="B1922" s="41" t="str">
        <f ca="1">IFERROR(INDEX(UNSPSCDes,MATCH(INDIRECT(ADDRESS(ROW(),COLUMN()-1,4)),UNSPSCCode,0)),IF(INDIRECT(ADDRESS(ROW(),COLUMN()-1,4))="52141501","Neveras para uso doméstico",""))</f>
        <v>Neveras para uso doméstico</v>
      </c>
      <c r="C1922" s="42" t="str">
        <f>IFERROR(VLOOKUP("UD",'[1]Informacion '!P:Q,2,FALSE),"")</f>
        <v>Unidad</v>
      </c>
      <c r="D1922" s="40">
        <v>1</v>
      </c>
      <c r="E1922" s="43">
        <v>1</v>
      </c>
      <c r="F1922" s="44">
        <f ca="1">INDIRECT(ADDRESS(ROW(),COLUMN()-2,4))*INDIRECT(ADDRESS(ROW(),COLUMN()-1,4))</f>
        <v>1</v>
      </c>
    </row>
    <row r="1923" spans="1:6" x14ac:dyDescent="0.25">
      <c r="A1923" s="40" t="s">
        <v>450</v>
      </c>
      <c r="B1923" s="41" t="str">
        <f ca="1">IFERROR(INDEX(UNSPSCDes,MATCH(INDIRECT(ADDRESS(ROW(),COLUMN()-1,4)),UNSPSCCode,0)),IF(INDIRECT(ADDRESS(ROW(),COLUMN()-1,4))="47121604","Aspiradoras de combinación secas o húmedas",""))</f>
        <v>Aspiradoras de combinación secas o húmedas</v>
      </c>
      <c r="C1923" s="42" t="str">
        <f>IFERROR(VLOOKUP("UD",'[1]Informacion '!P:Q,2,FALSE),"")</f>
        <v>Unidad</v>
      </c>
      <c r="D1923" s="40">
        <v>1</v>
      </c>
      <c r="E1923" s="43">
        <v>1</v>
      </c>
      <c r="F1923" s="44">
        <f ca="1">INDIRECT(ADDRESS(ROW(),COLUMN()-2,4))*INDIRECT(ADDRESS(ROW(),COLUMN()-1,4))</f>
        <v>1</v>
      </c>
    </row>
    <row r="1924" spans="1:6" x14ac:dyDescent="0.25">
      <c r="A1924" s="40">
        <v>52141502</v>
      </c>
      <c r="B1924" s="41" t="str">
        <f ca="1">IFERROR(INDEX(UNSPSCDes,MATCH(INDIRECT(ADDRESS(ROW(),COLUMN()-1,4)),UNSPSCCode,0)),IF(INDIRECT(ADDRESS(ROW(),COLUMN()-1,4))="47121604","Aspiradoras de combinación secas o húmedas",""))</f>
        <v>Hornos microondas para uso doméstico</v>
      </c>
      <c r="C1924" s="42" t="str">
        <f>IFERROR(VLOOKUP("UD",'[1]Informacion '!P:Q,2,FALSE),"")</f>
        <v>Unidad</v>
      </c>
      <c r="D1924" s="40">
        <v>1</v>
      </c>
      <c r="E1924" s="43">
        <v>1</v>
      </c>
      <c r="F1924" s="44">
        <f ca="1">INDIRECT(ADDRESS(ROW(),COLUMN()-2,4))*INDIRECT(ADDRESS(ROW(),COLUMN()-1,4))</f>
        <v>1</v>
      </c>
    </row>
    <row r="1925" spans="1:6" x14ac:dyDescent="0.25">
      <c r="E1925" s="45" t="s">
        <v>47</v>
      </c>
      <c r="F1925" s="46">
        <f ca="1">SUM(Table156[MONTO TOTAL ESTIMADO])</f>
        <v>3</v>
      </c>
    </row>
    <row r="1926" spans="1:6" ht="17.25" thickBot="1" x14ac:dyDescent="0.3"/>
    <row r="1927" spans="1:6" ht="23.25" thickBot="1" x14ac:dyDescent="0.3">
      <c r="A1927" s="30" t="s">
        <v>18</v>
      </c>
      <c r="B1927" s="30" t="s">
        <v>19</v>
      </c>
      <c r="C1927" s="30" t="s">
        <v>20</v>
      </c>
      <c r="D1927" s="30" t="s">
        <v>21</v>
      </c>
      <c r="E1927" s="30" t="s">
        <v>22</v>
      </c>
      <c r="F1927" s="30" t="s">
        <v>23</v>
      </c>
    </row>
    <row r="1928" spans="1:6" ht="17.25" thickBot="1" x14ac:dyDescent="0.3">
      <c r="A1928" s="31" t="s">
        <v>448</v>
      </c>
      <c r="B1928" s="31" t="s">
        <v>145</v>
      </c>
      <c r="C1928" s="31" t="s">
        <v>92</v>
      </c>
      <c r="D1928" s="31" t="s">
        <v>50</v>
      </c>
      <c r="E1928" s="31" t="s">
        <v>58</v>
      </c>
      <c r="F1928" s="31"/>
    </row>
    <row r="1929" spans="1:6" ht="17.25" thickBot="1" x14ac:dyDescent="0.3">
      <c r="A1929" s="32" t="s">
        <v>29</v>
      </c>
      <c r="B1929" s="33" t="s">
        <v>30</v>
      </c>
      <c r="C1929" s="34">
        <v>45199</v>
      </c>
      <c r="D1929" s="32" t="s">
        <v>31</v>
      </c>
      <c r="E1929" s="35" t="s">
        <v>32</v>
      </c>
      <c r="F1929" s="36" t="s">
        <v>33</v>
      </c>
    </row>
    <row r="1930" spans="1:6" ht="17.25" thickBot="1" x14ac:dyDescent="0.3">
      <c r="A1930" s="37"/>
      <c r="B1930" s="33" t="s">
        <v>34</v>
      </c>
      <c r="C1930" s="38">
        <f>IF(C1929="","",IF(AND(MONTH(C1929)&gt;=1,MONTH(C1929)&lt;=3),1,IF(AND(MONTH(C1929)&gt;=4,MONTH(C1929)&lt;=6),2,IF(AND(MONTH(C1929)&gt;=7,MONTH(C1929)&lt;=9),3,4))))</f>
        <v>3</v>
      </c>
      <c r="D1930" s="37"/>
      <c r="E1930" s="35" t="s">
        <v>35</v>
      </c>
      <c r="F1930" s="36" t="s">
        <v>36</v>
      </c>
    </row>
    <row r="1931" spans="1:6" ht="17.25" thickBot="1" x14ac:dyDescent="0.3">
      <c r="A1931" s="37"/>
      <c r="B1931" s="33" t="s">
        <v>37</v>
      </c>
      <c r="C1931" s="34">
        <v>45290</v>
      </c>
      <c r="D1931" s="37"/>
      <c r="E1931" s="35" t="s">
        <v>38</v>
      </c>
      <c r="F1931" s="36" t="s">
        <v>36</v>
      </c>
    </row>
    <row r="1932" spans="1:6" ht="17.25" thickBot="1" x14ac:dyDescent="0.3">
      <c r="A1932" s="37"/>
      <c r="B1932" s="33" t="s">
        <v>34</v>
      </c>
      <c r="C1932" s="38">
        <f>IF(C1931="","",IF(AND(MONTH(C1931)&gt;=1,MONTH(C1931)&lt;=3),1,IF(AND(MONTH(C1931)&gt;=4,MONTH(C1931)&lt;=6),2,IF(AND(MONTH(C1931)&gt;=7,MONTH(C1931)&lt;=9),3,4))))</f>
        <v>4</v>
      </c>
      <c r="D1932" s="37"/>
      <c r="E1932" s="35" t="s">
        <v>39</v>
      </c>
      <c r="F1932" s="36" t="s">
        <v>36</v>
      </c>
    </row>
    <row r="1933" spans="1:6" ht="17.25" thickBot="1" x14ac:dyDescent="0.3"/>
    <row r="1934" spans="1:6" ht="17.25" thickBot="1" x14ac:dyDescent="0.3">
      <c r="A1934" s="39" t="s">
        <v>40</v>
      </c>
      <c r="B1934" s="39" t="s">
        <v>41</v>
      </c>
      <c r="C1934" s="39" t="s">
        <v>42</v>
      </c>
      <c r="D1934" s="39" t="s">
        <v>43</v>
      </c>
      <c r="E1934" s="39" t="s">
        <v>44</v>
      </c>
      <c r="F1934" s="39" t="s">
        <v>45</v>
      </c>
    </row>
    <row r="1935" spans="1:6" x14ac:dyDescent="0.25">
      <c r="A1935" s="40" t="s">
        <v>451</v>
      </c>
      <c r="B1935" s="41" t="str">
        <f ca="1">IFERROR(INDEX(UNSPSCDes,MATCH(INDIRECT(ADDRESS(ROW(),COLUMN()-1,4)),UNSPSCCode,0)),IF(INDIRECT(ADDRESS(ROW(),COLUMN()-1,4))="48101521","Planchas de estufa para uso comercial",""))</f>
        <v>Planchas de estufa para uso comercial</v>
      </c>
      <c r="C1935" s="42" t="str">
        <f>IFERROR(VLOOKUP("UD",'[1]Informacion '!P:Q,2,FALSE),"")</f>
        <v>Unidad</v>
      </c>
      <c r="D1935" s="40">
        <v>1</v>
      </c>
      <c r="E1935" s="43">
        <v>1</v>
      </c>
      <c r="F1935" s="44">
        <f ca="1">INDIRECT(ADDRESS(ROW(),COLUMN()-2,4))*INDIRECT(ADDRESS(ROW(),COLUMN()-1,4))</f>
        <v>1</v>
      </c>
    </row>
    <row r="1936" spans="1:6" x14ac:dyDescent="0.25">
      <c r="A1936" s="40" t="s">
        <v>452</v>
      </c>
      <c r="B1936" s="41" t="str">
        <f ca="1">IFERROR(INDEX(UNSPSCDes,MATCH(INDIRECT(ADDRESS(ROW(),COLUMN()-1,4)),UNSPSCCode,0)),IF(INDIRECT(ADDRESS(ROW(),COLUMN()-1,4))="52161505","Televisores",""))</f>
        <v>Televisores</v>
      </c>
      <c r="C1936" s="42" t="str">
        <f>IFERROR(VLOOKUP("UD",'[1]Informacion '!P:Q,2,FALSE),"")</f>
        <v>Unidad</v>
      </c>
      <c r="D1936" s="40">
        <v>1</v>
      </c>
      <c r="E1936" s="43">
        <v>1</v>
      </c>
      <c r="F1936" s="44">
        <f ca="1">INDIRECT(ADDRESS(ROW(),COLUMN()-2,4))*INDIRECT(ADDRESS(ROW(),COLUMN()-1,4))</f>
        <v>1</v>
      </c>
    </row>
    <row r="1937" spans="1:6" x14ac:dyDescent="0.25">
      <c r="E1937" s="45" t="s">
        <v>47</v>
      </c>
      <c r="F1937" s="46">
        <f ca="1">SUM(Table157[MONTO TOTAL ESTIMADO])</f>
        <v>2</v>
      </c>
    </row>
    <row r="1938" spans="1:6" ht="17.25" thickBot="1" x14ac:dyDescent="0.3"/>
    <row r="1939" spans="1:6" ht="23.25" thickBot="1" x14ac:dyDescent="0.3">
      <c r="A1939" s="30" t="s">
        <v>18</v>
      </c>
      <c r="B1939" s="30" t="s">
        <v>19</v>
      </c>
      <c r="C1939" s="30" t="s">
        <v>20</v>
      </c>
      <c r="D1939" s="30" t="s">
        <v>21</v>
      </c>
      <c r="E1939" s="30" t="s">
        <v>22</v>
      </c>
      <c r="F1939" s="30" t="s">
        <v>23</v>
      </c>
    </row>
    <row r="1940" spans="1:6" ht="17.25" thickBot="1" x14ac:dyDescent="0.3">
      <c r="A1940" s="31" t="s">
        <v>453</v>
      </c>
      <c r="B1940" s="31" t="s">
        <v>145</v>
      </c>
      <c r="C1940" s="31" t="s">
        <v>92</v>
      </c>
      <c r="D1940" s="31" t="s">
        <v>27</v>
      </c>
      <c r="E1940" s="31" t="s">
        <v>58</v>
      </c>
      <c r="F1940" s="31"/>
    </row>
    <row r="1941" spans="1:6" ht="17.25" thickBot="1" x14ac:dyDescent="0.3">
      <c r="A1941" s="32" t="s">
        <v>29</v>
      </c>
      <c r="B1941" s="33" t="s">
        <v>30</v>
      </c>
      <c r="C1941" s="34">
        <v>44958</v>
      </c>
      <c r="D1941" s="32" t="s">
        <v>31</v>
      </c>
      <c r="E1941" s="35" t="s">
        <v>32</v>
      </c>
      <c r="F1941" s="36" t="s">
        <v>33</v>
      </c>
    </row>
    <row r="1942" spans="1:6" ht="17.25" thickBot="1" x14ac:dyDescent="0.3">
      <c r="A1942" s="37"/>
      <c r="B1942" s="33" t="s">
        <v>34</v>
      </c>
      <c r="C1942" s="38">
        <f>IF(C1941="","",IF(AND(MONTH(C1941)&gt;=1,MONTH(C1941)&lt;=3),1,IF(AND(MONTH(C1941)&gt;=4,MONTH(C1941)&lt;=6),2,IF(AND(MONTH(C1941)&gt;=7,MONTH(C1941)&lt;=9),3,4))))</f>
        <v>1</v>
      </c>
      <c r="D1942" s="37"/>
      <c r="E1942" s="35" t="s">
        <v>35</v>
      </c>
      <c r="F1942" s="36" t="s">
        <v>36</v>
      </c>
    </row>
    <row r="1943" spans="1:6" ht="17.25" thickBot="1" x14ac:dyDescent="0.3">
      <c r="A1943" s="37"/>
      <c r="B1943" s="33" t="s">
        <v>37</v>
      </c>
      <c r="C1943" s="34">
        <v>45015</v>
      </c>
      <c r="D1943" s="37"/>
      <c r="E1943" s="35" t="s">
        <v>38</v>
      </c>
      <c r="F1943" s="36" t="s">
        <v>36</v>
      </c>
    </row>
    <row r="1944" spans="1:6" ht="17.25" thickBot="1" x14ac:dyDescent="0.3">
      <c r="A1944" s="37"/>
      <c r="B1944" s="33" t="s">
        <v>34</v>
      </c>
      <c r="C1944" s="38">
        <f>IF(C1943="","",IF(AND(MONTH(C1943)&gt;=1,MONTH(C1943)&lt;=3),1,IF(AND(MONTH(C1943)&gt;=4,MONTH(C1943)&lt;=6),2,IF(AND(MONTH(C1943)&gt;=7,MONTH(C1943)&lt;=9),3,4))))</f>
        <v>1</v>
      </c>
      <c r="D1944" s="37"/>
      <c r="E1944" s="35" t="s">
        <v>39</v>
      </c>
      <c r="F1944" s="36" t="s">
        <v>36</v>
      </c>
    </row>
    <row r="1945" spans="1:6" ht="17.25" thickBot="1" x14ac:dyDescent="0.3"/>
    <row r="1946" spans="1:6" ht="17.25" thickBot="1" x14ac:dyDescent="0.3">
      <c r="A1946" s="39" t="s">
        <v>40</v>
      </c>
      <c r="B1946" s="39" t="s">
        <v>41</v>
      </c>
      <c r="C1946" s="39" t="s">
        <v>42</v>
      </c>
      <c r="D1946" s="39" t="s">
        <v>43</v>
      </c>
      <c r="E1946" s="39" t="s">
        <v>44</v>
      </c>
      <c r="F1946" s="39" t="s">
        <v>45</v>
      </c>
    </row>
    <row r="1947" spans="1:6" x14ac:dyDescent="0.25">
      <c r="A1947" s="40">
        <v>24111808</v>
      </c>
      <c r="B1947" s="41" t="str">
        <f ca="1">IFERROR(INDEX(UNSPSCDes,MATCH(INDIRECT(ADDRESS(ROW(),COLUMN()-1,4)),UNSPSCCode,0)),IF(INDIRECT(ADDRESS(ROW(),COLUMN()-1,4))="24111808","Tanques de almacenaje de combustible",""))</f>
        <v>Tanques de almacenaje de combustible</v>
      </c>
      <c r="C1947" s="42" t="str">
        <f>IFERROR(VLOOKUP("UD",'[1]Informacion '!P:Q,2,FALSE),"")</f>
        <v>Unidad</v>
      </c>
      <c r="D1947" s="40">
        <v>1</v>
      </c>
      <c r="E1947" s="43">
        <v>1</v>
      </c>
      <c r="F1947" s="44">
        <f ca="1">INDIRECT(ADDRESS(ROW(),COLUMN()-2,4))*INDIRECT(ADDRESS(ROW(),COLUMN()-1,4))</f>
        <v>1</v>
      </c>
    </row>
    <row r="1948" spans="1:6" x14ac:dyDescent="0.25">
      <c r="A1948" s="40">
        <v>56101904</v>
      </c>
      <c r="B1948" s="41" t="str">
        <f ca="1">IFERROR(INDEX(UNSPSCDes,MATCH(INDIRECT(ADDRESS(ROW(),COLUMN()-1,4)),UNSPSCCode,0)),IF(INDIRECT(ADDRESS(ROW(),COLUMN()-1,4))="24111808","Tanques de almacenaje de combustible",""))</f>
        <v>Bases o patas o extensiones de patas para muebles</v>
      </c>
      <c r="C1948" s="42" t="str">
        <f>IFERROR(VLOOKUP("UD",'[1]Informacion '!P:Q,2,FALSE),"")</f>
        <v>Unidad</v>
      </c>
      <c r="D1948" s="40">
        <v>1</v>
      </c>
      <c r="E1948" s="43">
        <v>1</v>
      </c>
      <c r="F1948" s="44">
        <f ca="1">INDIRECT(ADDRESS(ROW(),COLUMN()-2,4))*INDIRECT(ADDRESS(ROW(),COLUMN()-1,4))</f>
        <v>1</v>
      </c>
    </row>
    <row r="1949" spans="1:6" x14ac:dyDescent="0.25">
      <c r="E1949" s="45" t="s">
        <v>47</v>
      </c>
      <c r="F1949" s="46">
        <f ca="1">SUM(Table158[MONTO TOTAL ESTIMADO])</f>
        <v>2</v>
      </c>
    </row>
    <row r="1950" spans="1:6" ht="17.25" thickBot="1" x14ac:dyDescent="0.3"/>
    <row r="1951" spans="1:6" ht="23.25" thickBot="1" x14ac:dyDescent="0.3">
      <c r="A1951" s="30" t="s">
        <v>18</v>
      </c>
      <c r="B1951" s="30" t="s">
        <v>19</v>
      </c>
      <c r="C1951" s="30" t="s">
        <v>20</v>
      </c>
      <c r="D1951" s="30" t="s">
        <v>21</v>
      </c>
      <c r="E1951" s="30" t="s">
        <v>22</v>
      </c>
      <c r="F1951" s="30" t="s">
        <v>23</v>
      </c>
    </row>
    <row r="1952" spans="1:6" ht="17.25" thickBot="1" x14ac:dyDescent="0.3">
      <c r="A1952" s="31" t="s">
        <v>454</v>
      </c>
      <c r="B1952" s="31" t="s">
        <v>454</v>
      </c>
      <c r="C1952" s="31" t="s">
        <v>92</v>
      </c>
      <c r="D1952" s="31" t="s">
        <v>50</v>
      </c>
      <c r="E1952" s="31" t="s">
        <v>58</v>
      </c>
      <c r="F1952" s="31"/>
    </row>
    <row r="1953" spans="1:6" ht="17.25" thickBot="1" x14ac:dyDescent="0.3">
      <c r="A1953" s="32" t="s">
        <v>29</v>
      </c>
      <c r="B1953" s="33" t="s">
        <v>30</v>
      </c>
      <c r="C1953" s="34">
        <v>45016</v>
      </c>
      <c r="D1953" s="32" t="s">
        <v>31</v>
      </c>
      <c r="E1953" s="35" t="s">
        <v>32</v>
      </c>
      <c r="F1953" s="36" t="s">
        <v>33</v>
      </c>
    </row>
    <row r="1954" spans="1:6" ht="17.25" thickBot="1" x14ac:dyDescent="0.3">
      <c r="A1954" s="37"/>
      <c r="B1954" s="33" t="s">
        <v>34</v>
      </c>
      <c r="C1954" s="38">
        <f>IF(C1953="","",IF(AND(MONTH(C1953)&gt;=1,MONTH(C1953)&lt;=3),1,IF(AND(MONTH(C1953)&gt;=4,MONTH(C1953)&lt;=6),2,IF(AND(MONTH(C1953)&gt;=7,MONTH(C1953)&lt;=9),3,4))))</f>
        <v>1</v>
      </c>
      <c r="D1954" s="37"/>
      <c r="E1954" s="35" t="s">
        <v>35</v>
      </c>
      <c r="F1954" s="36" t="s">
        <v>36</v>
      </c>
    </row>
    <row r="1955" spans="1:6" ht="17.25" thickBot="1" x14ac:dyDescent="0.3">
      <c r="A1955" s="37"/>
      <c r="B1955" s="33" t="s">
        <v>37</v>
      </c>
      <c r="C1955" s="34">
        <v>45106</v>
      </c>
      <c r="D1955" s="37"/>
      <c r="E1955" s="35" t="s">
        <v>38</v>
      </c>
      <c r="F1955" s="36" t="s">
        <v>36</v>
      </c>
    </row>
    <row r="1956" spans="1:6" ht="17.25" thickBot="1" x14ac:dyDescent="0.3">
      <c r="A1956" s="37"/>
      <c r="B1956" s="33" t="s">
        <v>34</v>
      </c>
      <c r="C1956" s="38">
        <f>IF(C1955="","",IF(AND(MONTH(C1955)&gt;=1,MONTH(C1955)&lt;=3),1,IF(AND(MONTH(C1955)&gt;=4,MONTH(C1955)&lt;=6),2,IF(AND(MONTH(C1955)&gt;=7,MONTH(C1955)&lt;=9),3,4))))</f>
        <v>2</v>
      </c>
      <c r="D1956" s="37"/>
      <c r="E1956" s="35" t="s">
        <v>39</v>
      </c>
      <c r="F1956" s="36" t="s">
        <v>36</v>
      </c>
    </row>
    <row r="1957" spans="1:6" ht="17.25" thickBot="1" x14ac:dyDescent="0.3"/>
    <row r="1958" spans="1:6" ht="17.25" thickBot="1" x14ac:dyDescent="0.3">
      <c r="A1958" s="39" t="s">
        <v>40</v>
      </c>
      <c r="B1958" s="39" t="s">
        <v>41</v>
      </c>
      <c r="C1958" s="39" t="s">
        <v>42</v>
      </c>
      <c r="D1958" s="39" t="s">
        <v>43</v>
      </c>
      <c r="E1958" s="39" t="s">
        <v>44</v>
      </c>
      <c r="F1958" s="39" t="s">
        <v>45</v>
      </c>
    </row>
    <row r="1959" spans="1:6" x14ac:dyDescent="0.25">
      <c r="A1959" s="40">
        <v>45111604</v>
      </c>
      <c r="B1959" s="41" t="str">
        <f ca="1">IFERROR(INDEX(UNSPSCDes,MATCH(INDIRECT(ADDRESS(ROW(),COLUMN()-1,4)),UNSPSCCode,0)),IF(INDIRECT(ADDRESS(ROW(),COLUMN()-1,4))="45111604","Proyectores de filminas",""))</f>
        <v>Proyectores de filminas</v>
      </c>
      <c r="C1959" s="42" t="str">
        <f>IFERROR(VLOOKUP("UD",'[1]Informacion '!P:Q,2,FALSE),"")</f>
        <v>Unidad</v>
      </c>
      <c r="D1959" s="40">
        <v>1</v>
      </c>
      <c r="E1959" s="43">
        <v>1</v>
      </c>
      <c r="F1959" s="44">
        <f t="shared" ref="F1959:F1964" ca="1" si="25">INDIRECT(ADDRESS(ROW(),COLUMN()-2,4))*INDIRECT(ADDRESS(ROW(),COLUMN()-1,4))</f>
        <v>1</v>
      </c>
    </row>
    <row r="1960" spans="1:6" x14ac:dyDescent="0.25">
      <c r="A1960" s="40" t="s">
        <v>455</v>
      </c>
      <c r="B1960" s="41" t="str">
        <f ca="1">IFERROR(INDEX(UNSPSCDes,MATCH(INDIRECT(ADDRESS(ROW(),COLUMN()-1,4)),UNSPSCCode,0)),IF(INDIRECT(ADDRESS(ROW(),COLUMN()-1,4))="52161509","Sistemas de estéreo portátiles",""))</f>
        <v>Sistemas de estéreo portátiles</v>
      </c>
      <c r="C1960" s="42" t="str">
        <f>IFERROR(VLOOKUP("UD",'[1]Informacion '!P:Q,2,FALSE),"")</f>
        <v>Unidad</v>
      </c>
      <c r="D1960" s="40">
        <v>1</v>
      </c>
      <c r="E1960" s="43">
        <v>1</v>
      </c>
      <c r="F1960" s="44">
        <f t="shared" ca="1" si="25"/>
        <v>1</v>
      </c>
    </row>
    <row r="1961" spans="1:6" x14ac:dyDescent="0.25">
      <c r="A1961" s="40" t="s">
        <v>452</v>
      </c>
      <c r="B1961" s="41" t="str">
        <f ca="1">IFERROR(INDEX(UNSPSCDes,MATCH(INDIRECT(ADDRESS(ROW(),COLUMN()-1,4)),UNSPSCCode,0)),IF(INDIRECT(ADDRESS(ROW(),COLUMN()-1,4))="52161505","Televisores",""))</f>
        <v>Televisores</v>
      </c>
      <c r="C1961" s="42" t="str">
        <f>IFERROR(VLOOKUP("UD",'[1]Informacion '!P:Q,2,FALSE),"")</f>
        <v>Unidad</v>
      </c>
      <c r="D1961" s="40">
        <v>1</v>
      </c>
      <c r="E1961" s="43">
        <v>1</v>
      </c>
      <c r="F1961" s="44">
        <f t="shared" ca="1" si="25"/>
        <v>1</v>
      </c>
    </row>
    <row r="1962" spans="1:6" x14ac:dyDescent="0.25">
      <c r="A1962" s="40" t="s">
        <v>456</v>
      </c>
      <c r="B1962" s="41" t="str">
        <f ca="1">IFERROR(INDEX(UNSPSCDes,MATCH(INDIRECT(ADDRESS(ROW(),COLUMN()-1,4)),UNSPSCCode,0)),IF(INDIRECT(ADDRESS(ROW(),COLUMN()-1,4))="45111704","Consolas de mezclado de audio",""))</f>
        <v>Consolas de mezclado de audio</v>
      </c>
      <c r="C1962" s="42" t="str">
        <f>IFERROR(VLOOKUP("UD",'[1]Informacion '!P:Q,2,FALSE),"")</f>
        <v>Unidad</v>
      </c>
      <c r="D1962" s="40">
        <v>1</v>
      </c>
      <c r="E1962" s="43">
        <v>1</v>
      </c>
      <c r="F1962" s="44">
        <f t="shared" ca="1" si="25"/>
        <v>1</v>
      </c>
    </row>
    <row r="1963" spans="1:6" x14ac:dyDescent="0.25">
      <c r="A1963" s="40" t="s">
        <v>457</v>
      </c>
      <c r="B1963" s="41" t="str">
        <f ca="1">IFERROR(INDEX(UNSPSCDes,MATCH(INDIRECT(ADDRESS(ROW(),COLUMN()-1,4)),UNSPSCCode,0)),IF(INDIRECT(ADDRESS(ROW(),COLUMN()-1,4))="45111705","Sistemas de comunicación pública",""))</f>
        <v>Sistemas de comunicación pública</v>
      </c>
      <c r="C1963" s="42" t="str">
        <f>IFERROR(VLOOKUP("UD",'[1]Informacion '!P:Q,2,FALSE),"")</f>
        <v>Unidad</v>
      </c>
      <c r="D1963" s="40">
        <v>1</v>
      </c>
      <c r="E1963" s="43">
        <v>1</v>
      </c>
      <c r="F1963" s="44">
        <f t="shared" ca="1" si="25"/>
        <v>1</v>
      </c>
    </row>
    <row r="1964" spans="1:6" x14ac:dyDescent="0.25">
      <c r="A1964" s="40" t="s">
        <v>400</v>
      </c>
      <c r="B1964" s="41" t="str">
        <f ca="1">IFERROR(INDEX(UNSPSCDes,MATCH(INDIRECT(ADDRESS(ROW(),COLUMN()-1,4)),UNSPSCCode,0)),IF(INDIRECT(ADDRESS(ROW(),COLUMN()-1,4))="52161520","Micrófonos",""))</f>
        <v>Micrófonos</v>
      </c>
      <c r="C1964" s="42" t="str">
        <f>IFERROR(VLOOKUP("UD",'[1]Informacion '!P:Q,2,FALSE),"")</f>
        <v>Unidad</v>
      </c>
      <c r="D1964" s="40">
        <v>1</v>
      </c>
      <c r="E1964" s="43">
        <v>1</v>
      </c>
      <c r="F1964" s="44">
        <f t="shared" ca="1" si="25"/>
        <v>1</v>
      </c>
    </row>
    <row r="1965" spans="1:6" x14ac:dyDescent="0.25">
      <c r="E1965" s="45" t="s">
        <v>47</v>
      </c>
      <c r="F1965" s="46">
        <f ca="1">SUM(Table159[MONTO TOTAL ESTIMADO])</f>
        <v>6</v>
      </c>
    </row>
    <row r="1966" spans="1:6" ht="17.25" thickBot="1" x14ac:dyDescent="0.3"/>
    <row r="1967" spans="1:6" ht="23.25" thickBot="1" x14ac:dyDescent="0.3">
      <c r="A1967" s="30" t="s">
        <v>18</v>
      </c>
      <c r="B1967" s="30" t="s">
        <v>19</v>
      </c>
      <c r="C1967" s="30" t="s">
        <v>20</v>
      </c>
      <c r="D1967" s="30" t="s">
        <v>21</v>
      </c>
      <c r="E1967" s="30" t="s">
        <v>22</v>
      </c>
      <c r="F1967" s="30" t="s">
        <v>23</v>
      </c>
    </row>
    <row r="1968" spans="1:6" ht="17.25" thickBot="1" x14ac:dyDescent="0.3">
      <c r="A1968" s="31" t="s">
        <v>458</v>
      </c>
      <c r="B1968" s="31" t="s">
        <v>145</v>
      </c>
      <c r="C1968" s="31" t="s">
        <v>92</v>
      </c>
      <c r="D1968" s="31" t="s">
        <v>27</v>
      </c>
      <c r="E1968" s="31" t="s">
        <v>58</v>
      </c>
      <c r="F1968" s="31"/>
    </row>
    <row r="1969" spans="1:6" ht="17.25" thickBot="1" x14ac:dyDescent="0.3">
      <c r="A1969" s="32" t="s">
        <v>29</v>
      </c>
      <c r="B1969" s="33" t="s">
        <v>30</v>
      </c>
      <c r="C1969" s="34">
        <v>45016</v>
      </c>
      <c r="D1969" s="32" t="s">
        <v>31</v>
      </c>
      <c r="E1969" s="35" t="s">
        <v>32</v>
      </c>
      <c r="F1969" s="36" t="s">
        <v>33</v>
      </c>
    </row>
    <row r="1970" spans="1:6" ht="17.25" thickBot="1" x14ac:dyDescent="0.3">
      <c r="A1970" s="37"/>
      <c r="B1970" s="33" t="s">
        <v>34</v>
      </c>
      <c r="C1970" s="38">
        <f>IF(C1969="","",IF(AND(MONTH(C1969)&gt;=1,MONTH(C1969)&lt;=3),1,IF(AND(MONTH(C1969)&gt;=4,MONTH(C1969)&lt;=6),2,IF(AND(MONTH(C1969)&gt;=7,MONTH(C1969)&lt;=9),3,4))))</f>
        <v>1</v>
      </c>
      <c r="D1970" s="37"/>
      <c r="E1970" s="35" t="s">
        <v>35</v>
      </c>
      <c r="F1970" s="36" t="s">
        <v>36</v>
      </c>
    </row>
    <row r="1971" spans="1:6" ht="17.25" thickBot="1" x14ac:dyDescent="0.3">
      <c r="A1971" s="37"/>
      <c r="B1971" s="33" t="s">
        <v>37</v>
      </c>
      <c r="C1971" s="34">
        <v>45106</v>
      </c>
      <c r="D1971" s="37"/>
      <c r="E1971" s="35" t="s">
        <v>38</v>
      </c>
      <c r="F1971" s="36" t="s">
        <v>36</v>
      </c>
    </row>
    <row r="1972" spans="1:6" ht="17.25" thickBot="1" x14ac:dyDescent="0.3">
      <c r="A1972" s="37"/>
      <c r="B1972" s="33" t="s">
        <v>34</v>
      </c>
      <c r="C1972" s="38">
        <f>IF(C1971="","",IF(AND(MONTH(C1971)&gt;=1,MONTH(C1971)&lt;=3),1,IF(AND(MONTH(C1971)&gt;=4,MONTH(C1971)&lt;=6),2,IF(AND(MONTH(C1971)&gt;=7,MONTH(C1971)&lt;=9),3,4))))</f>
        <v>2</v>
      </c>
      <c r="D1972" s="37"/>
      <c r="E1972" s="35" t="s">
        <v>39</v>
      </c>
      <c r="F1972" s="36" t="s">
        <v>36</v>
      </c>
    </row>
    <row r="1973" spans="1:6" ht="17.25" thickBot="1" x14ac:dyDescent="0.3"/>
    <row r="1974" spans="1:6" ht="17.25" thickBot="1" x14ac:dyDescent="0.3">
      <c r="A1974" s="39" t="s">
        <v>40</v>
      </c>
      <c r="B1974" s="39" t="s">
        <v>41</v>
      </c>
      <c r="C1974" s="39" t="s">
        <v>42</v>
      </c>
      <c r="D1974" s="39" t="s">
        <v>43</v>
      </c>
      <c r="E1974" s="39" t="s">
        <v>44</v>
      </c>
      <c r="F1974" s="39" t="s">
        <v>45</v>
      </c>
    </row>
    <row r="1975" spans="1:6" x14ac:dyDescent="0.25">
      <c r="A1975" s="40">
        <v>45121510</v>
      </c>
      <c r="B1975" s="41" t="str">
        <f ca="1">IFERROR(INDEX(UNSPSCDes,MATCH(INDIRECT(ADDRESS(ROW(),COLUMN()-1,4)),UNSPSCCode,0)),IF(INDIRECT(ADDRESS(ROW(),COLUMN()-1,4))="45121510","Cámaras aéreas",""))</f>
        <v>Cámaras aéreas</v>
      </c>
      <c r="C1975" s="42" t="str">
        <f>IFERROR(VLOOKUP("UD",'[1]Informacion '!P:Q,2,FALSE),"")</f>
        <v>Unidad</v>
      </c>
      <c r="D1975" s="40">
        <v>1</v>
      </c>
      <c r="E1975" s="43">
        <v>1</v>
      </c>
      <c r="F1975" s="44">
        <f ca="1">INDIRECT(ADDRESS(ROW(),COLUMN()-2,4))*INDIRECT(ADDRESS(ROW(),COLUMN()-1,4))</f>
        <v>1</v>
      </c>
    </row>
    <row r="1976" spans="1:6" x14ac:dyDescent="0.25">
      <c r="A1976" s="40" t="s">
        <v>459</v>
      </c>
      <c r="B1976" s="41" t="str">
        <f ca="1">IFERROR(INDEX(UNSPSCDes,MATCH(INDIRECT(ADDRESS(ROW(),COLUMN()-1,4)),UNSPSCCode,0)),IF(INDIRECT(ADDRESS(ROW(),COLUMN()-1,4))="45121520","Cámaras de web",""))</f>
        <v>Cámaras de web</v>
      </c>
      <c r="C1976" s="42" t="str">
        <f>IFERROR(VLOOKUP("UD",'[1]Informacion '!P:Q,2,FALSE),"")</f>
        <v>Unidad</v>
      </c>
      <c r="D1976" s="40">
        <v>1</v>
      </c>
      <c r="E1976" s="43">
        <v>1</v>
      </c>
      <c r="F1976" s="44">
        <f ca="1">INDIRECT(ADDRESS(ROW(),COLUMN()-2,4))*INDIRECT(ADDRESS(ROW(),COLUMN()-1,4))</f>
        <v>1</v>
      </c>
    </row>
    <row r="1977" spans="1:6" x14ac:dyDescent="0.25">
      <c r="A1977" s="40" t="s">
        <v>460</v>
      </c>
      <c r="B1977" s="41" t="str">
        <f ca="1">IFERROR(INDEX(UNSPSCDes,MATCH(INDIRECT(ADDRESS(ROW(),COLUMN()-1,4)),UNSPSCCode,0)),IF(INDIRECT(ADDRESS(ROW(),COLUMN()-1,4))="45121504","Cámaras digitales",""))</f>
        <v>Cámaras digitales</v>
      </c>
      <c r="C1977" s="42" t="str">
        <f>IFERROR(VLOOKUP("UD",'[1]Informacion '!P:Q,2,FALSE),"")</f>
        <v>Unidad</v>
      </c>
      <c r="D1977" s="40">
        <v>1</v>
      </c>
      <c r="E1977" s="43">
        <v>1</v>
      </c>
      <c r="F1977" s="44">
        <f ca="1">INDIRECT(ADDRESS(ROW(),COLUMN()-2,4))*INDIRECT(ADDRESS(ROW(),COLUMN()-1,4))</f>
        <v>1</v>
      </c>
    </row>
    <row r="1978" spans="1:6" x14ac:dyDescent="0.25">
      <c r="A1978" s="40" t="s">
        <v>461</v>
      </c>
      <c r="B1978" s="41" t="str">
        <f ca="1">IFERROR(INDEX(UNSPSCDes,MATCH(INDIRECT(ADDRESS(ROW(),COLUMN()-1,4)),UNSPSCCode,0)),IF(INDIRECT(ADDRESS(ROW(),COLUMN()-1,4))="45121603","Lentes para cámaras",""))</f>
        <v>Lentes para cámaras</v>
      </c>
      <c r="C1978" s="42" t="str">
        <f>IFERROR(VLOOKUP("UD",'[1]Informacion '!P:Q,2,FALSE),"")</f>
        <v>Unidad</v>
      </c>
      <c r="D1978" s="40">
        <v>1</v>
      </c>
      <c r="E1978" s="43">
        <v>1</v>
      </c>
      <c r="F1978" s="44">
        <f ca="1">INDIRECT(ADDRESS(ROW(),COLUMN()-2,4))*INDIRECT(ADDRESS(ROW(),COLUMN()-1,4))</f>
        <v>1</v>
      </c>
    </row>
    <row r="1979" spans="1:6" x14ac:dyDescent="0.25">
      <c r="E1979" s="45" t="s">
        <v>47</v>
      </c>
      <c r="F1979" s="46">
        <f ca="1">SUM(Table160[MONTO TOTAL ESTIMADO])</f>
        <v>4</v>
      </c>
    </row>
    <row r="1980" spans="1:6" ht="17.25" thickBot="1" x14ac:dyDescent="0.3"/>
    <row r="1981" spans="1:6" ht="23.25" thickBot="1" x14ac:dyDescent="0.3">
      <c r="A1981" s="30" t="s">
        <v>18</v>
      </c>
      <c r="B1981" s="30" t="s">
        <v>19</v>
      </c>
      <c r="C1981" s="30" t="s">
        <v>20</v>
      </c>
      <c r="D1981" s="30" t="s">
        <v>21</v>
      </c>
      <c r="E1981" s="30" t="s">
        <v>22</v>
      </c>
      <c r="F1981" s="30" t="s">
        <v>23</v>
      </c>
    </row>
    <row r="1982" spans="1:6" ht="17.25" thickBot="1" x14ac:dyDescent="0.3">
      <c r="A1982" s="31" t="s">
        <v>462</v>
      </c>
      <c r="B1982" s="31" t="s">
        <v>145</v>
      </c>
      <c r="C1982" s="31" t="s">
        <v>92</v>
      </c>
      <c r="D1982" s="31" t="s">
        <v>463</v>
      </c>
      <c r="E1982" s="31" t="s">
        <v>75</v>
      </c>
      <c r="F1982" s="31"/>
    </row>
    <row r="1983" spans="1:6" ht="17.25" thickBot="1" x14ac:dyDescent="0.3">
      <c r="A1983" s="32" t="s">
        <v>29</v>
      </c>
      <c r="B1983" s="33" t="s">
        <v>30</v>
      </c>
      <c r="C1983" s="34">
        <v>44958</v>
      </c>
      <c r="D1983" s="32" t="s">
        <v>31</v>
      </c>
      <c r="E1983" s="35" t="s">
        <v>32</v>
      </c>
      <c r="F1983" s="36" t="s">
        <v>33</v>
      </c>
    </row>
    <row r="1984" spans="1:6" ht="17.25" thickBot="1" x14ac:dyDescent="0.3">
      <c r="A1984" s="37"/>
      <c r="B1984" s="33" t="s">
        <v>34</v>
      </c>
      <c r="C1984" s="38">
        <f>IF(C1983="","",IF(AND(MONTH(C1983)&gt;=1,MONTH(C1983)&lt;=3),1,IF(AND(MONTH(C1983)&gt;=4,MONTH(C1983)&lt;=6),2,IF(AND(MONTH(C1983)&gt;=7,MONTH(C1983)&lt;=9),3,4))))</f>
        <v>1</v>
      </c>
      <c r="D1984" s="37"/>
      <c r="E1984" s="35" t="s">
        <v>35</v>
      </c>
      <c r="F1984" s="36" t="s">
        <v>36</v>
      </c>
    </row>
    <row r="1985" spans="1:6" ht="17.25" thickBot="1" x14ac:dyDescent="0.3">
      <c r="A1985" s="37"/>
      <c r="B1985" s="33" t="s">
        <v>37</v>
      </c>
      <c r="C1985" s="34">
        <v>45014</v>
      </c>
      <c r="D1985" s="37"/>
      <c r="E1985" s="35" t="s">
        <v>38</v>
      </c>
      <c r="F1985" s="36" t="s">
        <v>36</v>
      </c>
    </row>
    <row r="1986" spans="1:6" ht="17.25" thickBot="1" x14ac:dyDescent="0.3">
      <c r="A1986" s="37"/>
      <c r="B1986" s="33" t="s">
        <v>34</v>
      </c>
      <c r="C1986" s="38">
        <f>IF(C1985="","",IF(AND(MONTH(C1985)&gt;=1,MONTH(C1985)&lt;=3),1,IF(AND(MONTH(C1985)&gt;=4,MONTH(C1985)&lt;=6),2,IF(AND(MONTH(C1985)&gt;=7,MONTH(C1985)&lt;=9),3,4))))</f>
        <v>1</v>
      </c>
      <c r="D1986" s="37"/>
      <c r="E1986" s="35" t="s">
        <v>39</v>
      </c>
      <c r="F1986" s="36" t="s">
        <v>36</v>
      </c>
    </row>
    <row r="1987" spans="1:6" ht="17.25" thickBot="1" x14ac:dyDescent="0.3"/>
    <row r="1988" spans="1:6" ht="17.25" thickBot="1" x14ac:dyDescent="0.3">
      <c r="A1988" s="39" t="s">
        <v>40</v>
      </c>
      <c r="B1988" s="39" t="s">
        <v>41</v>
      </c>
      <c r="C1988" s="39" t="s">
        <v>42</v>
      </c>
      <c r="D1988" s="39" t="s">
        <v>43</v>
      </c>
      <c r="E1988" s="39" t="s">
        <v>44</v>
      </c>
      <c r="F1988" s="39" t="s">
        <v>45</v>
      </c>
    </row>
    <row r="1989" spans="1:6" x14ac:dyDescent="0.25">
      <c r="A1989" s="40" t="s">
        <v>464</v>
      </c>
      <c r="B1989" s="41" t="str">
        <f ca="1">IFERROR(INDEX(UNSPSCDes,MATCH(INDIRECT(ADDRESS(ROW(),COLUMN()-1,4)),UNSPSCCode,0)),IF(INDIRECT(ADDRESS(ROW(),COLUMN()-1,4))="25101502","Autobuses",""))</f>
        <v>Autobuses</v>
      </c>
      <c r="C1989" s="42" t="str">
        <f>IFERROR(VLOOKUP("UD",'[1]Informacion '!P:Q,2,FALSE),"")</f>
        <v>Unidad</v>
      </c>
      <c r="D1989" s="40">
        <v>1</v>
      </c>
      <c r="E1989" s="43">
        <v>4000000</v>
      </c>
      <c r="F1989" s="44">
        <f ca="1">INDIRECT(ADDRESS(ROW(),COLUMN()-2,4))*INDIRECT(ADDRESS(ROW(),COLUMN()-1,4))</f>
        <v>4000000</v>
      </c>
    </row>
    <row r="1990" spans="1:6" x14ac:dyDescent="0.25">
      <c r="A1990" s="40">
        <v>25101503</v>
      </c>
      <c r="B1990" s="41" t="str">
        <f ca="1">IFERROR(INDEX(UNSPSCDes,MATCH(INDIRECT(ADDRESS(ROW(),COLUMN()-1,4)),UNSPSCCode,0)),IF(INDIRECT(ADDRESS(ROW(),COLUMN()-1,4))="25101503","Carros",""))</f>
        <v>Carros</v>
      </c>
      <c r="C1990" s="42" t="str">
        <f>IFERROR(VLOOKUP("UD",'[1]Informacion '!P:Q,2,FALSE),"")</f>
        <v>Unidad</v>
      </c>
      <c r="D1990" s="40">
        <v>1</v>
      </c>
      <c r="E1990" s="43">
        <v>3028000</v>
      </c>
      <c r="F1990" s="44">
        <f ca="1">INDIRECT(ADDRESS(ROW(),COLUMN()-2,4))*INDIRECT(ADDRESS(ROW(),COLUMN()-1,4))</f>
        <v>3028000</v>
      </c>
    </row>
    <row r="1991" spans="1:6" x14ac:dyDescent="0.25">
      <c r="E1991" s="45" t="s">
        <v>47</v>
      </c>
      <c r="F1991" s="46">
        <f ca="1">SUM(Table161[MONTO TOTAL ESTIMADO])</f>
        <v>7028000</v>
      </c>
    </row>
    <row r="1992" spans="1:6" ht="17.25" thickBot="1" x14ac:dyDescent="0.3"/>
    <row r="1993" spans="1:6" ht="23.25" thickBot="1" x14ac:dyDescent="0.3">
      <c r="A1993" s="30" t="s">
        <v>18</v>
      </c>
      <c r="B1993" s="30" t="s">
        <v>19</v>
      </c>
      <c r="C1993" s="30" t="s">
        <v>20</v>
      </c>
      <c r="D1993" s="30" t="s">
        <v>21</v>
      </c>
      <c r="E1993" s="30" t="s">
        <v>22</v>
      </c>
      <c r="F1993" s="30" t="s">
        <v>23</v>
      </c>
    </row>
    <row r="1994" spans="1:6" ht="17.25" thickBot="1" x14ac:dyDescent="0.3">
      <c r="A1994" s="31" t="s">
        <v>465</v>
      </c>
      <c r="B1994" s="31" t="s">
        <v>466</v>
      </c>
      <c r="C1994" s="31" t="s">
        <v>92</v>
      </c>
      <c r="D1994" s="31" t="s">
        <v>27</v>
      </c>
      <c r="E1994" s="31" t="s">
        <v>58</v>
      </c>
      <c r="F1994" s="31"/>
    </row>
    <row r="1995" spans="1:6" ht="17.25" thickBot="1" x14ac:dyDescent="0.3">
      <c r="A1995" s="32" t="s">
        <v>29</v>
      </c>
      <c r="B1995" s="33" t="s">
        <v>30</v>
      </c>
      <c r="C1995" s="34">
        <v>44958</v>
      </c>
      <c r="D1995" s="32" t="s">
        <v>31</v>
      </c>
      <c r="E1995" s="35" t="s">
        <v>32</v>
      </c>
      <c r="F1995" s="36" t="s">
        <v>33</v>
      </c>
    </row>
    <row r="1996" spans="1:6" ht="17.25" thickBot="1" x14ac:dyDescent="0.3">
      <c r="A1996" s="37"/>
      <c r="B1996" s="33" t="s">
        <v>34</v>
      </c>
      <c r="C1996" s="38">
        <f>IF(C1995="","",IF(AND(MONTH(C1995)&gt;=1,MONTH(C1995)&lt;=3),1,IF(AND(MONTH(C1995)&gt;=4,MONTH(C1995)&lt;=6),2,IF(AND(MONTH(C1995)&gt;=7,MONTH(C1995)&lt;=9),3,4))))</f>
        <v>1</v>
      </c>
      <c r="D1996" s="37"/>
      <c r="E1996" s="35" t="s">
        <v>35</v>
      </c>
      <c r="F1996" s="36" t="s">
        <v>36</v>
      </c>
    </row>
    <row r="1997" spans="1:6" ht="17.25" thickBot="1" x14ac:dyDescent="0.3">
      <c r="A1997" s="37"/>
      <c r="B1997" s="33" t="s">
        <v>37</v>
      </c>
      <c r="C1997" s="34">
        <v>45015</v>
      </c>
      <c r="D1997" s="37"/>
      <c r="E1997" s="35" t="s">
        <v>38</v>
      </c>
      <c r="F1997" s="36" t="s">
        <v>36</v>
      </c>
    </row>
    <row r="1998" spans="1:6" ht="17.25" thickBot="1" x14ac:dyDescent="0.3">
      <c r="A1998" s="37"/>
      <c r="B1998" s="33" t="s">
        <v>34</v>
      </c>
      <c r="C1998" s="38">
        <f>IF(C1997="","",IF(AND(MONTH(C1997)&gt;=1,MONTH(C1997)&lt;=3),1,IF(AND(MONTH(C1997)&gt;=4,MONTH(C1997)&lt;=6),2,IF(AND(MONTH(C1997)&gt;=7,MONTH(C1997)&lt;=9),3,4))))</f>
        <v>1</v>
      </c>
      <c r="D1998" s="37"/>
      <c r="E1998" s="35" t="s">
        <v>39</v>
      </c>
      <c r="F1998" s="36" t="s">
        <v>36</v>
      </c>
    </row>
    <row r="1999" spans="1:6" ht="17.25" thickBot="1" x14ac:dyDescent="0.3"/>
    <row r="2000" spans="1:6" ht="17.25" thickBot="1" x14ac:dyDescent="0.3">
      <c r="A2000" s="39" t="s">
        <v>40</v>
      </c>
      <c r="B2000" s="39" t="s">
        <v>41</v>
      </c>
      <c r="C2000" s="39" t="s">
        <v>42</v>
      </c>
      <c r="D2000" s="39" t="s">
        <v>43</v>
      </c>
      <c r="E2000" s="39" t="s">
        <v>44</v>
      </c>
      <c r="F2000" s="39" t="s">
        <v>45</v>
      </c>
    </row>
    <row r="2001" spans="1:6" x14ac:dyDescent="0.25">
      <c r="A2001" s="40" t="s">
        <v>467</v>
      </c>
      <c r="B2001" s="41" t="str">
        <f ca="1">IFERROR(INDEX(UNSPSCDes,MATCH(INDIRECT(ADDRESS(ROW(),COLUMN()-1,4)),UNSPSCCode,0)),IF(INDIRECT(ADDRESS(ROW(),COLUMN()-1,4))="23151602","Trituradoras",""))</f>
        <v>Trituradoras</v>
      </c>
      <c r="C2001" s="42" t="str">
        <f>IFERROR(VLOOKUP("UD",'[1]Informacion '!P:Q,2,FALSE),"")</f>
        <v>Unidad</v>
      </c>
      <c r="D2001" s="40">
        <v>1</v>
      </c>
      <c r="E2001" s="43">
        <v>1</v>
      </c>
      <c r="F2001" s="44">
        <f ca="1">INDIRECT(ADDRESS(ROW(),COLUMN()-2,4))*INDIRECT(ADDRESS(ROW(),COLUMN()-1,4))</f>
        <v>1</v>
      </c>
    </row>
    <row r="2002" spans="1:6" x14ac:dyDescent="0.25">
      <c r="A2002" s="40" t="s">
        <v>468</v>
      </c>
      <c r="B2002" s="41" t="str">
        <f ca="1">IFERROR(INDEX(UNSPSCDes,MATCH(INDIRECT(ADDRESS(ROW(),COLUMN()-1,4)),UNSPSCCode,0)),IF(INDIRECT(ADDRESS(ROW(),COLUMN()-1,4))="44102402","Máquinas para fechar o numerar",""))</f>
        <v>Máquinas para fechar o numerar</v>
      </c>
      <c r="C2002" s="42" t="str">
        <f>IFERROR(VLOOKUP("UD",'[1]Informacion '!P:Q,2,FALSE),"")</f>
        <v>Unidad</v>
      </c>
      <c r="D2002" s="40">
        <v>1</v>
      </c>
      <c r="E2002" s="43">
        <v>1</v>
      </c>
      <c r="F2002" s="44">
        <f ca="1">INDIRECT(ADDRESS(ROW(),COLUMN()-2,4))*INDIRECT(ADDRESS(ROW(),COLUMN()-1,4))</f>
        <v>1</v>
      </c>
    </row>
    <row r="2003" spans="1:6" x14ac:dyDescent="0.25">
      <c r="A2003" s="40" t="s">
        <v>469</v>
      </c>
      <c r="B2003" s="41" t="str">
        <f ca="1">IFERROR(INDEX(UNSPSCDes,MATCH(INDIRECT(ADDRESS(ROW(),COLUMN()-1,4)),UNSPSCCode,0)),IF(INDIRECT(ADDRESS(ROW(),COLUMN()-1,4))="40151608","Compresores rotativos",""))</f>
        <v>Compresores rotativos</v>
      </c>
      <c r="C2003" s="42" t="str">
        <f>IFERROR(VLOOKUP("UD",'[1]Informacion '!P:Q,2,FALSE),"")</f>
        <v>Unidad</v>
      </c>
      <c r="D2003" s="40">
        <v>1</v>
      </c>
      <c r="E2003" s="43">
        <v>1</v>
      </c>
      <c r="F2003" s="44">
        <f ca="1">INDIRECT(ADDRESS(ROW(),COLUMN()-2,4))*INDIRECT(ADDRESS(ROW(),COLUMN()-1,4))</f>
        <v>1</v>
      </c>
    </row>
    <row r="2004" spans="1:6" x14ac:dyDescent="0.25">
      <c r="A2004" s="40" t="s">
        <v>470</v>
      </c>
      <c r="B2004" s="41" t="str">
        <f ca="1">IFERROR(INDEX(UNSPSCDes,MATCH(INDIRECT(ADDRESS(ROW(),COLUMN()-1,4)),UNSPSCCode,0)),IF(INDIRECT(ADDRESS(ROW(),COLUMN()-1,4))="40151601","Compresores de aire",""))</f>
        <v>Compresores de aire</v>
      </c>
      <c r="C2004" s="42" t="str">
        <f>IFERROR(VLOOKUP("UD",'[1]Informacion '!P:Q,2,FALSE),"")</f>
        <v>Unidad</v>
      </c>
      <c r="D2004" s="40">
        <v>1</v>
      </c>
      <c r="E2004" s="43">
        <v>1</v>
      </c>
      <c r="F2004" s="44">
        <f ca="1">INDIRECT(ADDRESS(ROW(),COLUMN()-2,4))*INDIRECT(ADDRESS(ROW(),COLUMN()-1,4))</f>
        <v>1</v>
      </c>
    </row>
    <row r="2005" spans="1:6" x14ac:dyDescent="0.25">
      <c r="A2005" s="40" t="s">
        <v>471</v>
      </c>
      <c r="B2005" s="41" t="str">
        <f ca="1">IFERROR(INDEX(UNSPSCDes,MATCH(INDIRECT(ADDRESS(ROW(),COLUMN()-1,4)),UNSPSCCode,0)),IF(INDIRECT(ADDRESS(ROW(),COLUMN()-1,4))="40151510","Bombas de agua",""))</f>
        <v>Bombas de agua</v>
      </c>
      <c r="C2005" s="42" t="str">
        <f>IFERROR(VLOOKUP("UD",'[1]Informacion '!P:Q,2,FALSE),"")</f>
        <v>Unidad</v>
      </c>
      <c r="D2005" s="40">
        <v>1</v>
      </c>
      <c r="E2005" s="43">
        <v>1</v>
      </c>
      <c r="F2005" s="44">
        <f ca="1">INDIRECT(ADDRESS(ROW(),COLUMN()-2,4))*INDIRECT(ADDRESS(ROW(),COLUMN()-1,4))</f>
        <v>1</v>
      </c>
    </row>
    <row r="2006" spans="1:6" x14ac:dyDescent="0.25">
      <c r="E2006" s="45" t="s">
        <v>47</v>
      </c>
      <c r="F2006" s="46">
        <f ca="1">SUM(Table162[MONTO TOTAL ESTIMADO])</f>
        <v>5</v>
      </c>
    </row>
    <row r="2007" spans="1:6" ht="17.25" thickBot="1" x14ac:dyDescent="0.3"/>
    <row r="2008" spans="1:6" ht="23.25" thickBot="1" x14ac:dyDescent="0.3">
      <c r="A2008" s="30" t="s">
        <v>18</v>
      </c>
      <c r="B2008" s="30" t="s">
        <v>19</v>
      </c>
      <c r="C2008" s="30" t="s">
        <v>20</v>
      </c>
      <c r="D2008" s="30" t="s">
        <v>21</v>
      </c>
      <c r="E2008" s="30" t="s">
        <v>22</v>
      </c>
      <c r="F2008" s="30" t="s">
        <v>23</v>
      </c>
    </row>
    <row r="2009" spans="1:6" ht="17.25" thickBot="1" x14ac:dyDescent="0.3">
      <c r="A2009" s="31" t="s">
        <v>472</v>
      </c>
      <c r="B2009" s="31" t="s">
        <v>145</v>
      </c>
      <c r="C2009" s="31" t="s">
        <v>92</v>
      </c>
      <c r="D2009" s="31" t="s">
        <v>50</v>
      </c>
      <c r="E2009" s="31" t="s">
        <v>58</v>
      </c>
      <c r="F2009" s="31"/>
    </row>
    <row r="2010" spans="1:6" ht="17.25" thickBot="1" x14ac:dyDescent="0.3">
      <c r="A2010" s="32" t="s">
        <v>29</v>
      </c>
      <c r="B2010" s="33" t="s">
        <v>30</v>
      </c>
      <c r="C2010" s="34">
        <v>44958</v>
      </c>
      <c r="D2010" s="32" t="s">
        <v>31</v>
      </c>
      <c r="E2010" s="35" t="s">
        <v>32</v>
      </c>
      <c r="F2010" s="36" t="s">
        <v>33</v>
      </c>
    </row>
    <row r="2011" spans="1:6" ht="17.25" thickBot="1" x14ac:dyDescent="0.3">
      <c r="A2011" s="37"/>
      <c r="B2011" s="33" t="s">
        <v>34</v>
      </c>
      <c r="C2011" s="38">
        <f>IF(C2010="","",IF(AND(MONTH(C2010)&gt;=1,MONTH(C2010)&lt;=3),1,IF(AND(MONTH(C2010)&gt;=4,MONTH(C2010)&lt;=6),2,IF(AND(MONTH(C2010)&gt;=7,MONTH(C2010)&lt;=9),3,4))))</f>
        <v>1</v>
      </c>
      <c r="D2011" s="37"/>
      <c r="E2011" s="35" t="s">
        <v>35</v>
      </c>
      <c r="F2011" s="36" t="s">
        <v>36</v>
      </c>
    </row>
    <row r="2012" spans="1:6" ht="17.25" thickBot="1" x14ac:dyDescent="0.3">
      <c r="A2012" s="37"/>
      <c r="B2012" s="33" t="s">
        <v>37</v>
      </c>
      <c r="C2012" s="34">
        <v>45015</v>
      </c>
      <c r="D2012" s="37"/>
      <c r="E2012" s="35" t="s">
        <v>38</v>
      </c>
      <c r="F2012" s="36" t="s">
        <v>36</v>
      </c>
    </row>
    <row r="2013" spans="1:6" ht="17.25" thickBot="1" x14ac:dyDescent="0.3">
      <c r="A2013" s="37"/>
      <c r="B2013" s="33" t="s">
        <v>34</v>
      </c>
      <c r="C2013" s="38">
        <f>IF(C2012="","",IF(AND(MONTH(C2012)&gt;=1,MONTH(C2012)&lt;=3),1,IF(AND(MONTH(C2012)&gt;=4,MONTH(C2012)&lt;=6),2,IF(AND(MONTH(C2012)&gt;=7,MONTH(C2012)&lt;=9),3,4))))</f>
        <v>1</v>
      </c>
      <c r="D2013" s="37"/>
      <c r="E2013" s="35" t="s">
        <v>39</v>
      </c>
      <c r="F2013" s="36" t="s">
        <v>36</v>
      </c>
    </row>
    <row r="2014" spans="1:6" ht="17.25" thickBot="1" x14ac:dyDescent="0.3"/>
    <row r="2015" spans="1:6" ht="17.25" thickBot="1" x14ac:dyDescent="0.3">
      <c r="A2015" s="39" t="s">
        <v>40</v>
      </c>
      <c r="B2015" s="39" t="s">
        <v>41</v>
      </c>
      <c r="C2015" s="39" t="s">
        <v>42</v>
      </c>
      <c r="D2015" s="39" t="s">
        <v>43</v>
      </c>
      <c r="E2015" s="39" t="s">
        <v>44</v>
      </c>
      <c r="F2015" s="39" t="s">
        <v>45</v>
      </c>
    </row>
    <row r="2016" spans="1:6" x14ac:dyDescent="0.25">
      <c r="A2016" s="40" t="s">
        <v>473</v>
      </c>
      <c r="B2016" s="41" t="str">
        <f ca="1">IFERROR(INDEX(UNSPSCDes,MATCH(INDIRECT(ADDRESS(ROW(),COLUMN()-1,4)),UNSPSCCode,0)),IF(INDIRECT(ADDRESS(ROW(),COLUMN()-1,4))="40101701","Aires acondicionados",""))</f>
        <v>Aires acondicionados</v>
      </c>
      <c r="C2016" s="42" t="str">
        <f>IFERROR(VLOOKUP("UD",'[1]Informacion '!P:Q,2,FALSE),"")</f>
        <v>Unidad</v>
      </c>
      <c r="D2016" s="40">
        <v>1</v>
      </c>
      <c r="E2016" s="43">
        <v>1</v>
      </c>
      <c r="F2016" s="44">
        <f ca="1">INDIRECT(ADDRESS(ROW(),COLUMN()-2,4))*INDIRECT(ADDRESS(ROW(),COLUMN()-1,4))</f>
        <v>1</v>
      </c>
    </row>
    <row r="2017" spans="1:6" x14ac:dyDescent="0.25">
      <c r="E2017" s="45" t="s">
        <v>47</v>
      </c>
      <c r="F2017" s="46">
        <f ca="1">SUM(Table163[MONTO TOTAL ESTIMADO])</f>
        <v>1</v>
      </c>
    </row>
    <row r="2018" spans="1:6" ht="17.25" thickBot="1" x14ac:dyDescent="0.3"/>
    <row r="2019" spans="1:6" ht="23.25" thickBot="1" x14ac:dyDescent="0.3">
      <c r="A2019" s="30" t="s">
        <v>18</v>
      </c>
      <c r="B2019" s="30" t="s">
        <v>19</v>
      </c>
      <c r="C2019" s="30" t="s">
        <v>20</v>
      </c>
      <c r="D2019" s="30" t="s">
        <v>21</v>
      </c>
      <c r="E2019" s="30" t="s">
        <v>22</v>
      </c>
      <c r="F2019" s="30" t="s">
        <v>23</v>
      </c>
    </row>
    <row r="2020" spans="1:6" ht="17.25" thickBot="1" x14ac:dyDescent="0.3">
      <c r="A2020" s="31" t="s">
        <v>472</v>
      </c>
      <c r="B2020" s="31" t="s">
        <v>145</v>
      </c>
      <c r="C2020" s="31" t="s">
        <v>92</v>
      </c>
      <c r="D2020" s="31" t="s">
        <v>50</v>
      </c>
      <c r="E2020" s="31" t="s">
        <v>58</v>
      </c>
      <c r="F2020" s="31"/>
    </row>
    <row r="2021" spans="1:6" ht="17.25" thickBot="1" x14ac:dyDescent="0.3">
      <c r="A2021" s="32" t="s">
        <v>29</v>
      </c>
      <c r="B2021" s="33" t="s">
        <v>30</v>
      </c>
      <c r="C2021" s="34">
        <v>45107</v>
      </c>
      <c r="D2021" s="32" t="s">
        <v>31</v>
      </c>
      <c r="E2021" s="35" t="s">
        <v>32</v>
      </c>
      <c r="F2021" s="36" t="s">
        <v>33</v>
      </c>
    </row>
    <row r="2022" spans="1:6" ht="17.25" thickBot="1" x14ac:dyDescent="0.3">
      <c r="A2022" s="37"/>
      <c r="B2022" s="33" t="s">
        <v>34</v>
      </c>
      <c r="C2022" s="38">
        <f>IF(C2021="","",IF(AND(MONTH(C2021)&gt;=1,MONTH(C2021)&lt;=3),1,IF(AND(MONTH(C2021)&gt;=4,MONTH(C2021)&lt;=6),2,IF(AND(MONTH(C2021)&gt;=7,MONTH(C2021)&lt;=9),3,4))))</f>
        <v>2</v>
      </c>
      <c r="D2022" s="37"/>
      <c r="E2022" s="35" t="s">
        <v>35</v>
      </c>
      <c r="F2022" s="36" t="s">
        <v>36</v>
      </c>
    </row>
    <row r="2023" spans="1:6" ht="17.25" thickBot="1" x14ac:dyDescent="0.3">
      <c r="A2023" s="37"/>
      <c r="B2023" s="33" t="s">
        <v>37</v>
      </c>
      <c r="C2023" s="34">
        <v>45107</v>
      </c>
      <c r="D2023" s="37"/>
      <c r="E2023" s="35" t="s">
        <v>38</v>
      </c>
      <c r="F2023" s="36" t="s">
        <v>36</v>
      </c>
    </row>
    <row r="2024" spans="1:6" ht="17.25" thickBot="1" x14ac:dyDescent="0.3">
      <c r="A2024" s="37"/>
      <c r="B2024" s="33" t="s">
        <v>34</v>
      </c>
      <c r="C2024" s="38">
        <f>IF(C2023="","",IF(AND(MONTH(C2023)&gt;=1,MONTH(C2023)&lt;=3),1,IF(AND(MONTH(C2023)&gt;=4,MONTH(C2023)&lt;=6),2,IF(AND(MONTH(C2023)&gt;=7,MONTH(C2023)&lt;=9),3,4))))</f>
        <v>2</v>
      </c>
      <c r="D2024" s="37"/>
      <c r="E2024" s="35" t="s">
        <v>39</v>
      </c>
      <c r="F2024" s="36" t="s">
        <v>36</v>
      </c>
    </row>
    <row r="2025" spans="1:6" ht="17.25" thickBot="1" x14ac:dyDescent="0.3"/>
    <row r="2026" spans="1:6" ht="17.25" thickBot="1" x14ac:dyDescent="0.3">
      <c r="A2026" s="39" t="s">
        <v>40</v>
      </c>
      <c r="B2026" s="39" t="s">
        <v>41</v>
      </c>
      <c r="C2026" s="39" t="s">
        <v>42</v>
      </c>
      <c r="D2026" s="39" t="s">
        <v>43</v>
      </c>
      <c r="E2026" s="39" t="s">
        <v>44</v>
      </c>
      <c r="F2026" s="39" t="s">
        <v>45</v>
      </c>
    </row>
    <row r="2027" spans="1:6" x14ac:dyDescent="0.25">
      <c r="A2027" s="40">
        <v>40101701</v>
      </c>
      <c r="B2027" s="41" t="str">
        <f ca="1">IFERROR(INDEX(UNSPSCDes,MATCH(INDIRECT(ADDRESS(ROW(),COLUMN()-1,4)),UNSPSCCode,0)),IF(INDIRECT(ADDRESS(ROW(),COLUMN()-1,4))="40101701","Aires acondicionados",""))</f>
        <v>Aires acondicionados</v>
      </c>
      <c r="C2027" s="42" t="str">
        <f>IFERROR(VLOOKUP("UD",'[1]Informacion '!P:Q,2,FALSE),"")</f>
        <v>Unidad</v>
      </c>
      <c r="D2027" s="40">
        <v>1</v>
      </c>
      <c r="E2027" s="43">
        <v>200000</v>
      </c>
      <c r="F2027" s="44">
        <f ca="1">INDIRECT(ADDRESS(ROW(),COLUMN()-2,4))*INDIRECT(ADDRESS(ROW(),COLUMN()-1,4))</f>
        <v>200000</v>
      </c>
    </row>
    <row r="2028" spans="1:6" x14ac:dyDescent="0.25">
      <c r="A2028" s="40" t="s">
        <v>474</v>
      </c>
      <c r="B2028" s="41" t="str">
        <f ca="1">IFERROR(INDEX(UNSPSCDes,MATCH(INDIRECT(ADDRESS(ROW(),COLUMN()-1,4)),UNSPSCCode,0)),IF(INDIRECT(ADDRESS(ROW(),COLUMN()-1,4))="40101706","Obturadores de aire acondicionado",""))</f>
        <v>Obturadores de aire acondicionado</v>
      </c>
      <c r="C2028" s="42" t="str">
        <f>IFERROR(VLOOKUP("UD",'[1]Informacion '!P:Q,2,FALSE),"")</f>
        <v>Unidad</v>
      </c>
      <c r="D2028" s="40">
        <v>1</v>
      </c>
      <c r="E2028" s="43">
        <v>150000</v>
      </c>
      <c r="F2028" s="44">
        <f ca="1">INDIRECT(ADDRESS(ROW(),COLUMN()-2,4))*INDIRECT(ADDRESS(ROW(),COLUMN()-1,4))</f>
        <v>150000</v>
      </c>
    </row>
    <row r="2029" spans="1:6" x14ac:dyDescent="0.25">
      <c r="A2029" s="40" t="s">
        <v>475</v>
      </c>
      <c r="B2029" s="41" t="str">
        <f ca="1">IFERROR(INDEX(UNSPSCDes,MATCH(INDIRECT(ADDRESS(ROW(),COLUMN()-1,4)),UNSPSCCode,0)),IF(INDIRECT(ADDRESS(ROW(),COLUMN()-1,4))="40101704","Unidades de condensación",""))</f>
        <v>Unidades de condensación</v>
      </c>
      <c r="C2029" s="42" t="str">
        <f>IFERROR(VLOOKUP("UD",'[1]Informacion '!P:Q,2,FALSE),"")</f>
        <v>Unidad</v>
      </c>
      <c r="D2029" s="40">
        <v>1</v>
      </c>
      <c r="E2029" s="43">
        <v>49900</v>
      </c>
      <c r="F2029" s="44">
        <f ca="1">INDIRECT(ADDRESS(ROW(),COLUMN()-2,4))*INDIRECT(ADDRESS(ROW(),COLUMN()-1,4))</f>
        <v>49900</v>
      </c>
    </row>
    <row r="2030" spans="1:6" x14ac:dyDescent="0.25">
      <c r="A2030" s="40" t="s">
        <v>212</v>
      </c>
      <c r="B2030" s="41" t="str">
        <f ca="1">IFERROR(INDEX(UNSPSCDes,MATCH(INDIRECT(ADDRESS(ROW(),COLUMN()-1,4)),UNSPSCCode,0)),IF(INDIRECT(ADDRESS(ROW(),COLUMN()-1,4))="40101503","Rejilla de ventilación",""))</f>
        <v>Rejilla de ventilación</v>
      </c>
      <c r="C2030" s="42" t="str">
        <f>IFERROR(VLOOKUP("UD",'[1]Informacion '!P:Q,2,FALSE),"")</f>
        <v>Unidad</v>
      </c>
      <c r="D2030" s="40">
        <v>1</v>
      </c>
      <c r="E2030" s="43">
        <v>150100</v>
      </c>
      <c r="F2030" s="44">
        <f ca="1">INDIRECT(ADDRESS(ROW(),COLUMN()-2,4))*INDIRECT(ADDRESS(ROW(),COLUMN()-1,4))</f>
        <v>150100</v>
      </c>
    </row>
    <row r="2031" spans="1:6" x14ac:dyDescent="0.25">
      <c r="E2031" s="45" t="s">
        <v>47</v>
      </c>
      <c r="F2031" s="46">
        <f ca="1">SUM(Table164[MONTO TOTAL ESTIMADO])</f>
        <v>550000</v>
      </c>
    </row>
    <row r="2032" spans="1:6" ht="17.25" thickBot="1" x14ac:dyDescent="0.3"/>
    <row r="2033" spans="1:6" ht="23.25" thickBot="1" x14ac:dyDescent="0.3">
      <c r="A2033" s="30" t="s">
        <v>18</v>
      </c>
      <c r="B2033" s="30" t="s">
        <v>19</v>
      </c>
      <c r="C2033" s="30" t="s">
        <v>20</v>
      </c>
      <c r="D2033" s="30" t="s">
        <v>21</v>
      </c>
      <c r="E2033" s="30" t="s">
        <v>22</v>
      </c>
      <c r="F2033" s="30" t="s">
        <v>23</v>
      </c>
    </row>
    <row r="2034" spans="1:6" ht="17.25" thickBot="1" x14ac:dyDescent="0.3">
      <c r="A2034" s="31" t="s">
        <v>476</v>
      </c>
      <c r="B2034" s="31" t="s">
        <v>145</v>
      </c>
      <c r="C2034" s="31" t="s">
        <v>92</v>
      </c>
      <c r="D2034" s="31" t="s">
        <v>27</v>
      </c>
      <c r="E2034" s="31" t="s">
        <v>58</v>
      </c>
      <c r="F2034" s="31"/>
    </row>
    <row r="2035" spans="1:6" ht="17.25" thickBot="1" x14ac:dyDescent="0.3">
      <c r="A2035" s="32" t="s">
        <v>29</v>
      </c>
      <c r="B2035" s="33" t="s">
        <v>30</v>
      </c>
      <c r="C2035" s="34">
        <v>45016</v>
      </c>
      <c r="D2035" s="32" t="s">
        <v>31</v>
      </c>
      <c r="E2035" s="35" t="s">
        <v>32</v>
      </c>
      <c r="F2035" s="36" t="s">
        <v>33</v>
      </c>
    </row>
    <row r="2036" spans="1:6" ht="17.25" thickBot="1" x14ac:dyDescent="0.3">
      <c r="A2036" s="37"/>
      <c r="B2036" s="33" t="s">
        <v>34</v>
      </c>
      <c r="C2036" s="38">
        <f>IF(C2035="","",IF(AND(MONTH(C2035)&gt;=1,MONTH(C2035)&lt;=3),1,IF(AND(MONTH(C2035)&gt;=4,MONTH(C2035)&lt;=6),2,IF(AND(MONTH(C2035)&gt;=7,MONTH(C2035)&lt;=9),3,4))))</f>
        <v>1</v>
      </c>
      <c r="D2036" s="37"/>
      <c r="E2036" s="35" t="s">
        <v>35</v>
      </c>
      <c r="F2036" s="36" t="s">
        <v>36</v>
      </c>
    </row>
    <row r="2037" spans="1:6" ht="17.25" thickBot="1" x14ac:dyDescent="0.3">
      <c r="A2037" s="37"/>
      <c r="B2037" s="33" t="s">
        <v>37</v>
      </c>
      <c r="C2037" s="34">
        <v>45106</v>
      </c>
      <c r="D2037" s="37"/>
      <c r="E2037" s="35" t="s">
        <v>38</v>
      </c>
      <c r="F2037" s="36" t="s">
        <v>36</v>
      </c>
    </row>
    <row r="2038" spans="1:6" ht="17.25" thickBot="1" x14ac:dyDescent="0.3">
      <c r="A2038" s="37"/>
      <c r="B2038" s="33" t="s">
        <v>34</v>
      </c>
      <c r="C2038" s="38">
        <f>IF(C2037="","",IF(AND(MONTH(C2037)&gt;=1,MONTH(C2037)&lt;=3),1,IF(AND(MONTH(C2037)&gt;=4,MONTH(C2037)&lt;=6),2,IF(AND(MONTH(C2037)&gt;=7,MONTH(C2037)&lt;=9),3,4))))</f>
        <v>2</v>
      </c>
      <c r="D2038" s="37"/>
      <c r="E2038" s="35" t="s">
        <v>39</v>
      </c>
      <c r="F2038" s="36" t="s">
        <v>36</v>
      </c>
    </row>
    <row r="2039" spans="1:6" ht="17.25" thickBot="1" x14ac:dyDescent="0.3"/>
    <row r="2040" spans="1:6" ht="17.25" thickBot="1" x14ac:dyDescent="0.3">
      <c r="A2040" s="39" t="s">
        <v>40</v>
      </c>
      <c r="B2040" s="39" t="s">
        <v>41</v>
      </c>
      <c r="C2040" s="39" t="s">
        <v>42</v>
      </c>
      <c r="D2040" s="39" t="s">
        <v>43</v>
      </c>
      <c r="E2040" s="39" t="s">
        <v>44</v>
      </c>
      <c r="F2040" s="39" t="s">
        <v>45</v>
      </c>
    </row>
    <row r="2041" spans="1:6" x14ac:dyDescent="0.25">
      <c r="A2041" s="40" t="s">
        <v>477</v>
      </c>
      <c r="B2041" s="41" t="str">
        <f ca="1">IFERROR(INDEX(UNSPSCDes,MATCH(INDIRECT(ADDRESS(ROW(),COLUMN()-1,4)),UNSPSCCode,0)),IF(INDIRECT(ADDRESS(ROW(),COLUMN()-1,4))="43191504","Teléfonos fijos",""))</f>
        <v>Teléfonos fijos</v>
      </c>
      <c r="C2041" s="42" t="str">
        <f>IFERROR(VLOOKUP("UD",'[1]Informacion '!P:Q,2,FALSE),"")</f>
        <v>Unidad</v>
      </c>
      <c r="D2041" s="40">
        <v>1</v>
      </c>
      <c r="E2041" s="43">
        <v>1</v>
      </c>
      <c r="F2041" s="44">
        <f ca="1">INDIRECT(ADDRESS(ROW(),COLUMN()-2,4))*INDIRECT(ADDRESS(ROW(),COLUMN()-1,4))</f>
        <v>1</v>
      </c>
    </row>
    <row r="2042" spans="1:6" x14ac:dyDescent="0.25">
      <c r="A2042" s="40">
        <v>52161523</v>
      </c>
      <c r="B2042" s="41" t="str">
        <f ca="1">IFERROR(INDEX(UNSPSCDes,MATCH(INDIRECT(ADDRESS(ROW(),COLUMN()-1,4)),UNSPSCCode,0)),IF(INDIRECT(ADDRESS(ROW(),COLUMN()-1,4))="52161523","Transmisores o receptores de radio frecuencia",""))</f>
        <v>Transmisores o receptores de radio frecuencia</v>
      </c>
      <c r="C2042" s="42" t="str">
        <f>IFERROR(VLOOKUP("UD",'[1]Informacion '!P:Q,2,FALSE),"")</f>
        <v>Unidad</v>
      </c>
      <c r="D2042" s="40">
        <v>1</v>
      </c>
      <c r="E2042" s="43">
        <v>1</v>
      </c>
      <c r="F2042" s="44">
        <f ca="1">INDIRECT(ADDRESS(ROW(),COLUMN()-2,4))*INDIRECT(ADDRESS(ROW(),COLUMN()-1,4))</f>
        <v>1</v>
      </c>
    </row>
    <row r="2043" spans="1:6" x14ac:dyDescent="0.25">
      <c r="E2043" s="45" t="s">
        <v>47</v>
      </c>
      <c r="F2043" s="46">
        <f ca="1">SUM(Table165[MONTO TOTAL ESTIMADO])</f>
        <v>2</v>
      </c>
    </row>
    <row r="2044" spans="1:6" ht="17.25" thickBot="1" x14ac:dyDescent="0.3"/>
    <row r="2045" spans="1:6" ht="23.25" thickBot="1" x14ac:dyDescent="0.3">
      <c r="A2045" s="30" t="s">
        <v>18</v>
      </c>
      <c r="B2045" s="30" t="s">
        <v>19</v>
      </c>
      <c r="C2045" s="30" t="s">
        <v>20</v>
      </c>
      <c r="D2045" s="30" t="s">
        <v>21</v>
      </c>
      <c r="E2045" s="30" t="s">
        <v>22</v>
      </c>
      <c r="F2045" s="30" t="s">
        <v>23</v>
      </c>
    </row>
    <row r="2046" spans="1:6" ht="17.25" thickBot="1" x14ac:dyDescent="0.3">
      <c r="A2046" s="31" t="s">
        <v>476</v>
      </c>
      <c r="B2046" s="31" t="s">
        <v>145</v>
      </c>
      <c r="C2046" s="31" t="s">
        <v>92</v>
      </c>
      <c r="D2046" s="31" t="s">
        <v>27</v>
      </c>
      <c r="E2046" s="31" t="s">
        <v>58</v>
      </c>
      <c r="F2046" s="31"/>
    </row>
    <row r="2047" spans="1:6" ht="17.25" thickBot="1" x14ac:dyDescent="0.3">
      <c r="A2047" s="32" t="s">
        <v>29</v>
      </c>
      <c r="B2047" s="33" t="s">
        <v>30</v>
      </c>
      <c r="C2047" s="34">
        <v>45199</v>
      </c>
      <c r="D2047" s="32" t="s">
        <v>31</v>
      </c>
      <c r="E2047" s="35" t="s">
        <v>32</v>
      </c>
      <c r="F2047" s="36" t="s">
        <v>33</v>
      </c>
    </row>
    <row r="2048" spans="1:6" ht="17.25" thickBot="1" x14ac:dyDescent="0.3">
      <c r="A2048" s="37"/>
      <c r="B2048" s="33" t="s">
        <v>34</v>
      </c>
      <c r="C2048" s="38">
        <f>IF(C2047="","",IF(AND(MONTH(C2047)&gt;=1,MONTH(C2047)&lt;=3),1,IF(AND(MONTH(C2047)&gt;=4,MONTH(C2047)&lt;=6),2,IF(AND(MONTH(C2047)&gt;=7,MONTH(C2047)&lt;=9),3,4))))</f>
        <v>3</v>
      </c>
      <c r="D2048" s="37"/>
      <c r="E2048" s="35" t="s">
        <v>35</v>
      </c>
      <c r="F2048" s="36" t="s">
        <v>36</v>
      </c>
    </row>
    <row r="2049" spans="1:6" ht="17.25" thickBot="1" x14ac:dyDescent="0.3">
      <c r="A2049" s="37"/>
      <c r="B2049" s="33" t="s">
        <v>37</v>
      </c>
      <c r="C2049" s="34">
        <v>45290</v>
      </c>
      <c r="D2049" s="37"/>
      <c r="E2049" s="35" t="s">
        <v>38</v>
      </c>
      <c r="F2049" s="36" t="s">
        <v>36</v>
      </c>
    </row>
    <row r="2050" spans="1:6" ht="17.25" thickBot="1" x14ac:dyDescent="0.3">
      <c r="A2050" s="37"/>
      <c r="B2050" s="33" t="s">
        <v>34</v>
      </c>
      <c r="C2050" s="38">
        <f>IF(C2049="","",IF(AND(MONTH(C2049)&gt;=1,MONTH(C2049)&lt;=3),1,IF(AND(MONTH(C2049)&gt;=4,MONTH(C2049)&lt;=6),2,IF(AND(MONTH(C2049)&gt;=7,MONTH(C2049)&lt;=9),3,4))))</f>
        <v>4</v>
      </c>
      <c r="D2050" s="37"/>
      <c r="E2050" s="35" t="s">
        <v>39</v>
      </c>
      <c r="F2050" s="36" t="s">
        <v>36</v>
      </c>
    </row>
    <row r="2051" spans="1:6" ht="17.25" thickBot="1" x14ac:dyDescent="0.3"/>
    <row r="2052" spans="1:6" ht="17.25" thickBot="1" x14ac:dyDescent="0.3">
      <c r="A2052" s="39" t="s">
        <v>40</v>
      </c>
      <c r="B2052" s="39" t="s">
        <v>41</v>
      </c>
      <c r="C2052" s="39" t="s">
        <v>42</v>
      </c>
      <c r="D2052" s="39" t="s">
        <v>43</v>
      </c>
      <c r="E2052" s="39" t="s">
        <v>44</v>
      </c>
      <c r="F2052" s="39" t="s">
        <v>45</v>
      </c>
    </row>
    <row r="2053" spans="1:6" x14ac:dyDescent="0.25">
      <c r="A2053" s="40" t="s">
        <v>477</v>
      </c>
      <c r="B2053" s="41" t="str">
        <f ca="1">IFERROR(INDEX(UNSPSCDes,MATCH(INDIRECT(ADDRESS(ROW(),COLUMN()-1,4)),UNSPSCCode,0)),IF(INDIRECT(ADDRESS(ROW(),COLUMN()-1,4))="43191504","Teléfonos fijos",""))</f>
        <v>Teléfonos fijos</v>
      </c>
      <c r="C2053" s="42" t="str">
        <f>IFERROR(VLOOKUP("UD",'[1]Informacion '!P:Q,2,FALSE),"")</f>
        <v>Unidad</v>
      </c>
      <c r="D2053" s="40">
        <v>1</v>
      </c>
      <c r="E2053" s="43">
        <v>1</v>
      </c>
      <c r="F2053" s="44">
        <f ca="1">INDIRECT(ADDRESS(ROW(),COLUMN()-2,4))*INDIRECT(ADDRESS(ROW(),COLUMN()-1,4))</f>
        <v>1</v>
      </c>
    </row>
    <row r="2054" spans="1:6" x14ac:dyDescent="0.25">
      <c r="A2054" s="40" t="s">
        <v>478</v>
      </c>
      <c r="B2054" s="41" t="str">
        <f ca="1">IFERROR(INDEX(UNSPSCDes,MATCH(INDIRECT(ADDRESS(ROW(),COLUMN()-1,4)),UNSPSCCode,0)),IF(INDIRECT(ADDRESS(ROW(),COLUMN()-1,4))="43222819","Paneles de conexión de puertos",""))</f>
        <v>Paneles de conexión de puertos</v>
      </c>
      <c r="C2054" s="42" t="str">
        <f>IFERROR(VLOOKUP("UD",'[1]Informacion '!P:Q,2,FALSE),"")</f>
        <v>Unidad</v>
      </c>
      <c r="D2054" s="40">
        <v>1</v>
      </c>
      <c r="E2054" s="43">
        <v>1</v>
      </c>
      <c r="F2054" s="44">
        <f ca="1">INDIRECT(ADDRESS(ROW(),COLUMN()-2,4))*INDIRECT(ADDRESS(ROW(),COLUMN()-1,4))</f>
        <v>1</v>
      </c>
    </row>
    <row r="2055" spans="1:6" x14ac:dyDescent="0.25">
      <c r="A2055" s="40" t="s">
        <v>479</v>
      </c>
      <c r="B2055" s="41" t="str">
        <f ca="1">IFERROR(INDEX(UNSPSCDes,MATCH(INDIRECT(ADDRESS(ROW(),COLUMN()-1,4)),UNSPSCCode,0)),IF(INDIRECT(ADDRESS(ROW(),COLUMN()-1,4))="43222612","Interruptores de red",""))</f>
        <v>Interruptores de red</v>
      </c>
      <c r="C2055" s="42" t="str">
        <f>IFERROR(VLOOKUP("UD",'[1]Informacion '!P:Q,2,FALSE),"")</f>
        <v>Unidad</v>
      </c>
      <c r="D2055" s="40">
        <v>1</v>
      </c>
      <c r="E2055" s="43">
        <v>1</v>
      </c>
      <c r="F2055" s="44">
        <f ca="1">INDIRECT(ADDRESS(ROW(),COLUMN()-2,4))*INDIRECT(ADDRESS(ROW(),COLUMN()-1,4))</f>
        <v>1</v>
      </c>
    </row>
    <row r="2056" spans="1:6" x14ac:dyDescent="0.25">
      <c r="E2056" s="45" t="s">
        <v>47</v>
      </c>
      <c r="F2056" s="46">
        <f ca="1">SUM(Table166[MONTO TOTAL ESTIMADO])</f>
        <v>3</v>
      </c>
    </row>
    <row r="2057" spans="1:6" ht="17.25" thickBot="1" x14ac:dyDescent="0.3"/>
    <row r="2058" spans="1:6" ht="23.25" thickBot="1" x14ac:dyDescent="0.3">
      <c r="A2058" s="30" t="s">
        <v>18</v>
      </c>
      <c r="B2058" s="30" t="s">
        <v>19</v>
      </c>
      <c r="C2058" s="30" t="s">
        <v>20</v>
      </c>
      <c r="D2058" s="30" t="s">
        <v>21</v>
      </c>
      <c r="E2058" s="30" t="s">
        <v>22</v>
      </c>
      <c r="F2058" s="30" t="s">
        <v>23</v>
      </c>
    </row>
    <row r="2059" spans="1:6" ht="17.25" thickBot="1" x14ac:dyDescent="0.3">
      <c r="A2059" s="31" t="s">
        <v>480</v>
      </c>
      <c r="B2059" s="31" t="s">
        <v>145</v>
      </c>
      <c r="C2059" s="31" t="s">
        <v>92</v>
      </c>
      <c r="D2059" s="31" t="s">
        <v>50</v>
      </c>
      <c r="E2059" s="31" t="s">
        <v>58</v>
      </c>
      <c r="F2059" s="31"/>
    </row>
    <row r="2060" spans="1:6" ht="17.25" thickBot="1" x14ac:dyDescent="0.3">
      <c r="A2060" s="32" t="s">
        <v>29</v>
      </c>
      <c r="B2060" s="33" t="s">
        <v>30</v>
      </c>
      <c r="C2060" s="34">
        <v>45016</v>
      </c>
      <c r="D2060" s="32" t="s">
        <v>31</v>
      </c>
      <c r="E2060" s="35" t="s">
        <v>32</v>
      </c>
      <c r="F2060" s="36" t="s">
        <v>33</v>
      </c>
    </row>
    <row r="2061" spans="1:6" ht="17.25" thickBot="1" x14ac:dyDescent="0.3">
      <c r="A2061" s="37"/>
      <c r="B2061" s="33" t="s">
        <v>34</v>
      </c>
      <c r="C2061" s="38">
        <f>IF(C2060="","",IF(AND(MONTH(C2060)&gt;=1,MONTH(C2060)&lt;=3),1,IF(AND(MONTH(C2060)&gt;=4,MONTH(C2060)&lt;=6),2,IF(AND(MONTH(C2060)&gt;=7,MONTH(C2060)&lt;=9),3,4))))</f>
        <v>1</v>
      </c>
      <c r="D2061" s="37"/>
      <c r="E2061" s="35" t="s">
        <v>35</v>
      </c>
      <c r="F2061" s="36" t="s">
        <v>36</v>
      </c>
    </row>
    <row r="2062" spans="1:6" ht="17.25" thickBot="1" x14ac:dyDescent="0.3">
      <c r="A2062" s="37"/>
      <c r="B2062" s="33" t="s">
        <v>37</v>
      </c>
      <c r="C2062" s="34">
        <v>45106</v>
      </c>
      <c r="D2062" s="37"/>
      <c r="E2062" s="35" t="s">
        <v>38</v>
      </c>
      <c r="F2062" s="36" t="s">
        <v>36</v>
      </c>
    </row>
    <row r="2063" spans="1:6" ht="17.25" thickBot="1" x14ac:dyDescent="0.3">
      <c r="A2063" s="37"/>
      <c r="B2063" s="33" t="s">
        <v>34</v>
      </c>
      <c r="C2063" s="38">
        <f>IF(C2062="","",IF(AND(MONTH(C2062)&gt;=1,MONTH(C2062)&lt;=3),1,IF(AND(MONTH(C2062)&gt;=4,MONTH(C2062)&lt;=6),2,IF(AND(MONTH(C2062)&gt;=7,MONTH(C2062)&lt;=9),3,4))))</f>
        <v>2</v>
      </c>
      <c r="D2063" s="37"/>
      <c r="E2063" s="35" t="s">
        <v>39</v>
      </c>
      <c r="F2063" s="36" t="s">
        <v>36</v>
      </c>
    </row>
    <row r="2064" spans="1:6" ht="17.25" thickBot="1" x14ac:dyDescent="0.3"/>
    <row r="2065" spans="1:6" ht="17.25" thickBot="1" x14ac:dyDescent="0.3">
      <c r="A2065" s="39" t="s">
        <v>40</v>
      </c>
      <c r="B2065" s="39" t="s">
        <v>41</v>
      </c>
      <c r="C2065" s="39" t="s">
        <v>42</v>
      </c>
      <c r="D2065" s="39" t="s">
        <v>43</v>
      </c>
      <c r="E2065" s="39" t="s">
        <v>44</v>
      </c>
      <c r="F2065" s="39" t="s">
        <v>45</v>
      </c>
    </row>
    <row r="2066" spans="1:6" x14ac:dyDescent="0.25">
      <c r="A2066" s="40" t="s">
        <v>481</v>
      </c>
      <c r="B2066" s="41" t="str">
        <f ca="1">IFERROR(INDEX(UNSPSCDes,MATCH(INDIRECT(ADDRESS(ROW(),COLUMN()-1,4)),UNSPSCCode,0)),IF(INDIRECT(ADDRESS(ROW(),COLUMN()-1,4))="26101604","Motores de corriente alterna (CA) o corriente continua (CC)",""))</f>
        <v>Motores de corriente alterna (CA) o corriente continua (CC)</v>
      </c>
      <c r="C2066" s="42" t="str">
        <f>IFERROR(VLOOKUP("UD",'[1]Informacion '!P:Q,2,FALSE),"")</f>
        <v>Unidad</v>
      </c>
      <c r="D2066" s="40">
        <v>1</v>
      </c>
      <c r="E2066" s="43">
        <v>1</v>
      </c>
      <c r="F2066" s="44">
        <f ca="1">INDIRECT(ADDRESS(ROW(),COLUMN()-2,4))*INDIRECT(ADDRESS(ROW(),COLUMN()-1,4))</f>
        <v>1</v>
      </c>
    </row>
    <row r="2067" spans="1:6" x14ac:dyDescent="0.25">
      <c r="A2067" s="40" t="s">
        <v>482</v>
      </c>
      <c r="B2067" s="41" t="str">
        <f ca="1">IFERROR(INDEX(UNSPSCDes,MATCH(INDIRECT(ADDRESS(ROW(),COLUMN()-1,4)),UNSPSCCode,0)),IF(INDIRECT(ADDRESS(ROW(),COLUMN()-1,4))="26131801","Paneles de control eléctrico para generadores",""))</f>
        <v>Paneles de control eléctrico para generadores</v>
      </c>
      <c r="C2067" s="42" t="str">
        <f>IFERROR(VLOOKUP("UD",'[1]Informacion '!P:Q,2,FALSE),"")</f>
        <v>Unidad</v>
      </c>
      <c r="D2067" s="40">
        <v>1</v>
      </c>
      <c r="E2067" s="43">
        <v>1</v>
      </c>
      <c r="F2067" s="44">
        <f ca="1">INDIRECT(ADDRESS(ROW(),COLUMN()-2,4))*INDIRECT(ADDRESS(ROW(),COLUMN()-1,4))</f>
        <v>1</v>
      </c>
    </row>
    <row r="2068" spans="1:6" x14ac:dyDescent="0.25">
      <c r="A2068" s="40">
        <v>39121001</v>
      </c>
      <c r="B2068" s="41" t="str">
        <f ca="1">IFERROR(INDEX(UNSPSCDes,MATCH(INDIRECT(ADDRESS(ROW(),COLUMN()-1,4)),UNSPSCCode,0)),IF(INDIRECT(ADDRESS(ROW(),COLUMN()-1,4))="26131801","Paneles de control eléctrico para generadores",""))</f>
        <v>Transformadores de distribución de potencia</v>
      </c>
      <c r="C2068" s="42" t="str">
        <f>IFERROR(VLOOKUP("UD",'[1]Informacion '!P:Q,2,FALSE),"")</f>
        <v>Unidad</v>
      </c>
      <c r="D2068" s="40">
        <v>1</v>
      </c>
      <c r="E2068" s="43">
        <v>1</v>
      </c>
      <c r="F2068" s="44">
        <f ca="1">INDIRECT(ADDRESS(ROW(),COLUMN()-2,4))*INDIRECT(ADDRESS(ROW(),COLUMN()-1,4))</f>
        <v>1</v>
      </c>
    </row>
    <row r="2069" spans="1:6" x14ac:dyDescent="0.25">
      <c r="E2069" s="45" t="s">
        <v>47</v>
      </c>
      <c r="F2069" s="46">
        <f ca="1">SUM(Table167[MONTO TOTAL ESTIMADO])</f>
        <v>3</v>
      </c>
    </row>
    <row r="2070" spans="1:6" ht="17.25" thickBot="1" x14ac:dyDescent="0.3"/>
    <row r="2071" spans="1:6" ht="23.25" thickBot="1" x14ac:dyDescent="0.3">
      <c r="A2071" s="30" t="s">
        <v>18</v>
      </c>
      <c r="B2071" s="30" t="s">
        <v>19</v>
      </c>
      <c r="C2071" s="30" t="s">
        <v>20</v>
      </c>
      <c r="D2071" s="30" t="s">
        <v>21</v>
      </c>
      <c r="E2071" s="30" t="s">
        <v>22</v>
      </c>
      <c r="F2071" s="30" t="s">
        <v>23</v>
      </c>
    </row>
    <row r="2072" spans="1:6" ht="17.25" thickBot="1" x14ac:dyDescent="0.3">
      <c r="A2072" s="31" t="s">
        <v>480</v>
      </c>
      <c r="B2072" s="31" t="s">
        <v>145</v>
      </c>
      <c r="C2072" s="31" t="s">
        <v>92</v>
      </c>
      <c r="D2072" s="31" t="s">
        <v>50</v>
      </c>
      <c r="E2072" s="31" t="s">
        <v>58</v>
      </c>
      <c r="F2072" s="31"/>
    </row>
    <row r="2073" spans="1:6" ht="17.25" thickBot="1" x14ac:dyDescent="0.3">
      <c r="A2073" s="32" t="s">
        <v>29</v>
      </c>
      <c r="B2073" s="33" t="s">
        <v>30</v>
      </c>
      <c r="C2073" s="34">
        <v>45199</v>
      </c>
      <c r="D2073" s="32" t="s">
        <v>31</v>
      </c>
      <c r="E2073" s="35" t="s">
        <v>32</v>
      </c>
      <c r="F2073" s="36" t="s">
        <v>33</v>
      </c>
    </row>
    <row r="2074" spans="1:6" ht="17.25" thickBot="1" x14ac:dyDescent="0.3">
      <c r="A2074" s="37"/>
      <c r="B2074" s="33" t="s">
        <v>34</v>
      </c>
      <c r="C2074" s="38">
        <f>IF(C2073="","",IF(AND(MONTH(C2073)&gt;=1,MONTH(C2073)&lt;=3),1,IF(AND(MONTH(C2073)&gt;=4,MONTH(C2073)&lt;=6),2,IF(AND(MONTH(C2073)&gt;=7,MONTH(C2073)&lt;=9),3,4))))</f>
        <v>3</v>
      </c>
      <c r="D2074" s="37"/>
      <c r="E2074" s="35" t="s">
        <v>35</v>
      </c>
      <c r="F2074" s="36" t="s">
        <v>36</v>
      </c>
    </row>
    <row r="2075" spans="1:6" ht="17.25" thickBot="1" x14ac:dyDescent="0.3">
      <c r="A2075" s="37"/>
      <c r="B2075" s="33" t="s">
        <v>37</v>
      </c>
      <c r="C2075" s="34">
        <v>45290</v>
      </c>
      <c r="D2075" s="37"/>
      <c r="E2075" s="35" t="s">
        <v>38</v>
      </c>
      <c r="F2075" s="36" t="s">
        <v>36</v>
      </c>
    </row>
    <row r="2076" spans="1:6" ht="17.25" thickBot="1" x14ac:dyDescent="0.3">
      <c r="A2076" s="37"/>
      <c r="B2076" s="33" t="s">
        <v>34</v>
      </c>
      <c r="C2076" s="38">
        <f>IF(C2075="","",IF(AND(MONTH(C2075)&gt;=1,MONTH(C2075)&lt;=3),1,IF(AND(MONTH(C2075)&gt;=4,MONTH(C2075)&lt;=6),2,IF(AND(MONTH(C2075)&gt;=7,MONTH(C2075)&lt;=9),3,4))))</f>
        <v>4</v>
      </c>
      <c r="D2076" s="37"/>
      <c r="E2076" s="35" t="s">
        <v>39</v>
      </c>
      <c r="F2076" s="36" t="s">
        <v>36</v>
      </c>
    </row>
    <row r="2077" spans="1:6" ht="17.25" thickBot="1" x14ac:dyDescent="0.3"/>
    <row r="2078" spans="1:6" ht="17.25" thickBot="1" x14ac:dyDescent="0.3">
      <c r="A2078" s="39" t="s">
        <v>40</v>
      </c>
      <c r="B2078" s="39" t="s">
        <v>41</v>
      </c>
      <c r="C2078" s="39" t="s">
        <v>42</v>
      </c>
      <c r="D2078" s="39" t="s">
        <v>43</v>
      </c>
      <c r="E2078" s="39" t="s">
        <v>44</v>
      </c>
      <c r="F2078" s="39" t="s">
        <v>45</v>
      </c>
    </row>
    <row r="2079" spans="1:6" x14ac:dyDescent="0.25">
      <c r="A2079" s="40" t="s">
        <v>481</v>
      </c>
      <c r="B2079" s="41" t="str">
        <f ca="1">IFERROR(INDEX(UNSPSCDes,MATCH(INDIRECT(ADDRESS(ROW(),COLUMN()-1,4)),UNSPSCCode,0)),IF(INDIRECT(ADDRESS(ROW(),COLUMN()-1,4))="26101604","Motores de corriente alterna (CA) o corriente continua (CC)",""))</f>
        <v>Motores de corriente alterna (CA) o corriente continua (CC)</v>
      </c>
      <c r="C2079" s="42" t="str">
        <f>IFERROR(VLOOKUP("UD",'[1]Informacion '!P:Q,2,FALSE),"")</f>
        <v>Unidad</v>
      </c>
      <c r="D2079" s="40">
        <v>1</v>
      </c>
      <c r="E2079" s="43">
        <v>1</v>
      </c>
      <c r="F2079" s="44">
        <f ca="1">INDIRECT(ADDRESS(ROW(),COLUMN()-2,4))*INDIRECT(ADDRESS(ROW(),COLUMN()-1,4))</f>
        <v>1</v>
      </c>
    </row>
    <row r="2080" spans="1:6" x14ac:dyDescent="0.25">
      <c r="A2080" s="40" t="s">
        <v>483</v>
      </c>
      <c r="B2080" s="41" t="str">
        <f ca="1">IFERROR(INDEX(UNSPSCDes,MATCH(INDIRECT(ADDRESS(ROW(),COLUMN()-1,4)),UNSPSCCode,0)),IF(INDIRECT(ADDRESS(ROW(),COLUMN()-1,4))="26131802","Paneles de control de compresores",""))</f>
        <v>Paneles de control de compresores</v>
      </c>
      <c r="C2080" s="42" t="str">
        <f>IFERROR(VLOOKUP("UD",'[1]Informacion '!P:Q,2,FALSE),"")</f>
        <v>Unidad</v>
      </c>
      <c r="D2080" s="40">
        <v>1</v>
      </c>
      <c r="E2080" s="43">
        <v>1</v>
      </c>
      <c r="F2080" s="44">
        <f ca="1">INDIRECT(ADDRESS(ROW(),COLUMN()-2,4))*INDIRECT(ADDRESS(ROW(),COLUMN()-1,4))</f>
        <v>1</v>
      </c>
    </row>
    <row r="2081" spans="1:6" x14ac:dyDescent="0.25">
      <c r="E2081" s="45" t="s">
        <v>47</v>
      </c>
      <c r="F2081" s="46">
        <f ca="1">SUM(Table168[MONTO TOTAL ESTIMADO])</f>
        <v>2</v>
      </c>
    </row>
    <row r="2082" spans="1:6" ht="17.25" thickBot="1" x14ac:dyDescent="0.3"/>
    <row r="2083" spans="1:6" ht="23.25" thickBot="1" x14ac:dyDescent="0.3">
      <c r="A2083" s="30" t="s">
        <v>18</v>
      </c>
      <c r="B2083" s="30" t="s">
        <v>19</v>
      </c>
      <c r="C2083" s="30" t="s">
        <v>20</v>
      </c>
      <c r="D2083" s="30" t="s">
        <v>21</v>
      </c>
      <c r="E2083" s="30" t="s">
        <v>22</v>
      </c>
      <c r="F2083" s="30" t="s">
        <v>23</v>
      </c>
    </row>
    <row r="2084" spans="1:6" ht="17.25" thickBot="1" x14ac:dyDescent="0.3">
      <c r="A2084" s="31" t="s">
        <v>229</v>
      </c>
      <c r="B2084" s="31" t="s">
        <v>145</v>
      </c>
      <c r="C2084" s="31" t="s">
        <v>92</v>
      </c>
      <c r="D2084" s="31" t="s">
        <v>27</v>
      </c>
      <c r="E2084" s="31" t="s">
        <v>58</v>
      </c>
      <c r="F2084" s="31"/>
    </row>
    <row r="2085" spans="1:6" ht="17.25" thickBot="1" x14ac:dyDescent="0.3">
      <c r="A2085" s="32" t="s">
        <v>29</v>
      </c>
      <c r="B2085" s="33" t="s">
        <v>30</v>
      </c>
      <c r="C2085" s="34">
        <v>45016</v>
      </c>
      <c r="D2085" s="32" t="s">
        <v>31</v>
      </c>
      <c r="E2085" s="35" t="s">
        <v>32</v>
      </c>
      <c r="F2085" s="36" t="s">
        <v>33</v>
      </c>
    </row>
    <row r="2086" spans="1:6" ht="17.25" thickBot="1" x14ac:dyDescent="0.3">
      <c r="A2086" s="37"/>
      <c r="B2086" s="33" t="s">
        <v>34</v>
      </c>
      <c r="C2086" s="38">
        <f>IF(C2085="","",IF(AND(MONTH(C2085)&gt;=1,MONTH(C2085)&lt;=3),1,IF(AND(MONTH(C2085)&gt;=4,MONTH(C2085)&lt;=6),2,IF(AND(MONTH(C2085)&gt;=7,MONTH(C2085)&lt;=9),3,4))))</f>
        <v>1</v>
      </c>
      <c r="D2086" s="37"/>
      <c r="E2086" s="35" t="s">
        <v>35</v>
      </c>
      <c r="F2086" s="36" t="s">
        <v>36</v>
      </c>
    </row>
    <row r="2087" spans="1:6" ht="17.25" thickBot="1" x14ac:dyDescent="0.3">
      <c r="A2087" s="37"/>
      <c r="B2087" s="33" t="s">
        <v>37</v>
      </c>
      <c r="C2087" s="34">
        <v>45106</v>
      </c>
      <c r="D2087" s="37"/>
      <c r="E2087" s="35" t="s">
        <v>38</v>
      </c>
      <c r="F2087" s="36" t="s">
        <v>36</v>
      </c>
    </row>
    <row r="2088" spans="1:6" ht="17.25" thickBot="1" x14ac:dyDescent="0.3">
      <c r="A2088" s="37"/>
      <c r="B2088" s="33" t="s">
        <v>34</v>
      </c>
      <c r="C2088" s="38">
        <f>IF(C2087="","",IF(AND(MONTH(C2087)&gt;=1,MONTH(C2087)&lt;=3),1,IF(AND(MONTH(C2087)&gt;=4,MONTH(C2087)&lt;=6),2,IF(AND(MONTH(C2087)&gt;=7,MONTH(C2087)&lt;=9),3,4))))</f>
        <v>2</v>
      </c>
      <c r="D2088" s="37"/>
      <c r="E2088" s="35" t="s">
        <v>39</v>
      </c>
      <c r="F2088" s="36" t="s">
        <v>36</v>
      </c>
    </row>
    <row r="2089" spans="1:6" ht="17.25" thickBot="1" x14ac:dyDescent="0.3"/>
    <row r="2090" spans="1:6" ht="17.25" thickBot="1" x14ac:dyDescent="0.3">
      <c r="A2090" s="39" t="s">
        <v>40</v>
      </c>
      <c r="B2090" s="39" t="s">
        <v>41</v>
      </c>
      <c r="C2090" s="39" t="s">
        <v>42</v>
      </c>
      <c r="D2090" s="39" t="s">
        <v>43</v>
      </c>
      <c r="E2090" s="39" t="s">
        <v>44</v>
      </c>
      <c r="F2090" s="39" t="s">
        <v>45</v>
      </c>
    </row>
    <row r="2091" spans="1:6" x14ac:dyDescent="0.25">
      <c r="A2091" s="40">
        <v>27113201</v>
      </c>
      <c r="B2091" s="41" t="str">
        <f ca="1">IFERROR(INDEX(UNSPSCDes,MATCH(INDIRECT(ADDRESS(ROW(),COLUMN()-1,4)),UNSPSCCode,0)),IF(INDIRECT(ADDRESS(ROW(),COLUMN()-1,4))="27113201","Conjuntos generales de herramientas",""))</f>
        <v>Conjuntos generales de herramientas</v>
      </c>
      <c r="C2091" s="42" t="str">
        <f>IFERROR(VLOOKUP("UD",'[1]Informacion '!P:Q,2,FALSE),"")</f>
        <v>Unidad</v>
      </c>
      <c r="D2091" s="40">
        <v>1</v>
      </c>
      <c r="E2091" s="43">
        <v>1</v>
      </c>
      <c r="F2091" s="44">
        <f ca="1">INDIRECT(ADDRESS(ROW(),COLUMN()-2,4))*INDIRECT(ADDRESS(ROW(),COLUMN()-1,4))</f>
        <v>1</v>
      </c>
    </row>
    <row r="2092" spans="1:6" x14ac:dyDescent="0.25">
      <c r="A2092" s="40" t="s">
        <v>484</v>
      </c>
      <c r="B2092" s="41" t="str">
        <f ca="1">IFERROR(INDEX(UNSPSCDes,MATCH(INDIRECT(ADDRESS(ROW(),COLUMN()-1,4)),UNSPSCCode,0)),IF(INDIRECT(ADDRESS(ROW(),COLUMN()-1,4))="27112703","Taladradoras eléctricas",""))</f>
        <v>Taladradoras eléctricas</v>
      </c>
      <c r="C2092" s="42" t="str">
        <f>IFERROR(VLOOKUP("UD",'[1]Informacion '!P:Q,2,FALSE),"")</f>
        <v>Unidad</v>
      </c>
      <c r="D2092" s="40">
        <v>1</v>
      </c>
      <c r="E2092" s="43">
        <v>1</v>
      </c>
      <c r="F2092" s="44">
        <f ca="1">INDIRECT(ADDRESS(ROW(),COLUMN()-2,4))*INDIRECT(ADDRESS(ROW(),COLUMN()-1,4))</f>
        <v>1</v>
      </c>
    </row>
    <row r="2093" spans="1:6" x14ac:dyDescent="0.25">
      <c r="E2093" s="45" t="s">
        <v>47</v>
      </c>
      <c r="F2093" s="46">
        <f ca="1">SUM(Table169[MONTO TOTAL ESTIMADO])</f>
        <v>2</v>
      </c>
    </row>
    <row r="2094" spans="1:6" ht="17.25" thickBot="1" x14ac:dyDescent="0.3"/>
    <row r="2095" spans="1:6" ht="23.25" thickBot="1" x14ac:dyDescent="0.3">
      <c r="A2095" s="30" t="s">
        <v>18</v>
      </c>
      <c r="B2095" s="30" t="s">
        <v>19</v>
      </c>
      <c r="C2095" s="30" t="s">
        <v>20</v>
      </c>
      <c r="D2095" s="30" t="s">
        <v>21</v>
      </c>
      <c r="E2095" s="30" t="s">
        <v>22</v>
      </c>
      <c r="F2095" s="30" t="s">
        <v>23</v>
      </c>
    </row>
    <row r="2096" spans="1:6" ht="17.25" thickBot="1" x14ac:dyDescent="0.3">
      <c r="A2096" s="31" t="s">
        <v>485</v>
      </c>
      <c r="B2096" s="31" t="s">
        <v>145</v>
      </c>
      <c r="C2096" s="31" t="s">
        <v>92</v>
      </c>
      <c r="D2096" s="31" t="s">
        <v>27</v>
      </c>
      <c r="E2096" s="31" t="s">
        <v>58</v>
      </c>
      <c r="F2096" s="31"/>
    </row>
    <row r="2097" spans="1:6" ht="17.25" thickBot="1" x14ac:dyDescent="0.3">
      <c r="A2097" s="32" t="s">
        <v>29</v>
      </c>
      <c r="B2097" s="33" t="s">
        <v>30</v>
      </c>
      <c r="C2097" s="34">
        <v>45016</v>
      </c>
      <c r="D2097" s="32" t="s">
        <v>31</v>
      </c>
      <c r="E2097" s="35" t="s">
        <v>32</v>
      </c>
      <c r="F2097" s="36" t="s">
        <v>33</v>
      </c>
    </row>
    <row r="2098" spans="1:6" ht="17.25" thickBot="1" x14ac:dyDescent="0.3">
      <c r="A2098" s="37"/>
      <c r="B2098" s="33" t="s">
        <v>34</v>
      </c>
      <c r="C2098" s="38">
        <f>IF(C2097="","",IF(AND(MONTH(C2097)&gt;=1,MONTH(C2097)&lt;=3),1,IF(AND(MONTH(C2097)&gt;=4,MONTH(C2097)&lt;=6),2,IF(AND(MONTH(C2097)&gt;=7,MONTH(C2097)&lt;=9),3,4))))</f>
        <v>1</v>
      </c>
      <c r="D2098" s="37"/>
      <c r="E2098" s="35" t="s">
        <v>35</v>
      </c>
      <c r="F2098" s="36" t="s">
        <v>36</v>
      </c>
    </row>
    <row r="2099" spans="1:6" ht="17.25" thickBot="1" x14ac:dyDescent="0.3">
      <c r="A2099" s="37"/>
      <c r="B2099" s="33" t="s">
        <v>37</v>
      </c>
      <c r="C2099" s="34">
        <v>45106</v>
      </c>
      <c r="D2099" s="37"/>
      <c r="E2099" s="35" t="s">
        <v>38</v>
      </c>
      <c r="F2099" s="36" t="s">
        <v>36</v>
      </c>
    </row>
    <row r="2100" spans="1:6" ht="17.25" thickBot="1" x14ac:dyDescent="0.3">
      <c r="A2100" s="37"/>
      <c r="B2100" s="33" t="s">
        <v>34</v>
      </c>
      <c r="C2100" s="38">
        <f>IF(C2099="","",IF(AND(MONTH(C2099)&gt;=1,MONTH(C2099)&lt;=3),1,IF(AND(MONTH(C2099)&gt;=4,MONTH(C2099)&lt;=6),2,IF(AND(MONTH(C2099)&gt;=7,MONTH(C2099)&lt;=9),3,4))))</f>
        <v>2</v>
      </c>
      <c r="D2100" s="37"/>
      <c r="E2100" s="35" t="s">
        <v>39</v>
      </c>
      <c r="F2100" s="36" t="s">
        <v>36</v>
      </c>
    </row>
    <row r="2101" spans="1:6" ht="17.25" thickBot="1" x14ac:dyDescent="0.3"/>
    <row r="2102" spans="1:6" ht="17.25" thickBot="1" x14ac:dyDescent="0.3">
      <c r="A2102" s="39" t="s">
        <v>40</v>
      </c>
      <c r="B2102" s="39" t="s">
        <v>41</v>
      </c>
      <c r="C2102" s="39" t="s">
        <v>42</v>
      </c>
      <c r="D2102" s="39" t="s">
        <v>43</v>
      </c>
      <c r="E2102" s="39" t="s">
        <v>44</v>
      </c>
      <c r="F2102" s="39" t="s">
        <v>45</v>
      </c>
    </row>
    <row r="2103" spans="1:6" x14ac:dyDescent="0.25">
      <c r="A2103" s="40">
        <v>46171610</v>
      </c>
      <c r="B2103" s="41" t="str">
        <f ca="1">IFERROR(INDEX(UNSPSCDes,MATCH(INDIRECT(ADDRESS(ROW(),COLUMN()-1,4)),UNSPSCCode,0)),IF(INDIRECT(ADDRESS(ROW(),COLUMN()-1,4))="46171610","Cámaras de seguridad",""))</f>
        <v>Cámaras de seguridad</v>
      </c>
      <c r="C2103" s="42" t="str">
        <f>IFERROR(VLOOKUP("UD",'[1]Informacion '!P:Q,2,FALSE),"")</f>
        <v>Unidad</v>
      </c>
      <c r="D2103" s="40">
        <v>1</v>
      </c>
      <c r="E2103" s="43">
        <v>1</v>
      </c>
      <c r="F2103" s="44">
        <f ca="1">INDIRECT(ADDRESS(ROW(),COLUMN()-2,4))*INDIRECT(ADDRESS(ROW(),COLUMN()-1,4))</f>
        <v>1</v>
      </c>
    </row>
    <row r="2104" spans="1:6" x14ac:dyDescent="0.25">
      <c r="E2104" s="45" t="s">
        <v>47</v>
      </c>
      <c r="F2104" s="46">
        <f ca="1">SUM(Table170[MONTO TOTAL ESTIMADO])</f>
        <v>1</v>
      </c>
    </row>
    <row r="2105" spans="1:6" ht="17.25" thickBot="1" x14ac:dyDescent="0.3"/>
    <row r="2106" spans="1:6" ht="23.25" thickBot="1" x14ac:dyDescent="0.3">
      <c r="A2106" s="30" t="s">
        <v>18</v>
      </c>
      <c r="B2106" s="30" t="s">
        <v>19</v>
      </c>
      <c r="C2106" s="30" t="s">
        <v>20</v>
      </c>
      <c r="D2106" s="30" t="s">
        <v>21</v>
      </c>
      <c r="E2106" s="30" t="s">
        <v>22</v>
      </c>
      <c r="F2106" s="30" t="s">
        <v>23</v>
      </c>
    </row>
    <row r="2107" spans="1:6" ht="17.25" thickBot="1" x14ac:dyDescent="0.3">
      <c r="A2107" s="31" t="s">
        <v>486</v>
      </c>
      <c r="B2107" s="31" t="s">
        <v>487</v>
      </c>
      <c r="C2107" s="31" t="s">
        <v>92</v>
      </c>
      <c r="D2107" s="31" t="s">
        <v>27</v>
      </c>
      <c r="E2107" s="31" t="s">
        <v>58</v>
      </c>
      <c r="F2107" s="31"/>
    </row>
    <row r="2108" spans="1:6" ht="17.25" thickBot="1" x14ac:dyDescent="0.3">
      <c r="A2108" s="32" t="s">
        <v>29</v>
      </c>
      <c r="B2108" s="33" t="s">
        <v>30</v>
      </c>
      <c r="C2108" s="34">
        <v>45200</v>
      </c>
      <c r="D2108" s="32" t="s">
        <v>31</v>
      </c>
      <c r="E2108" s="35" t="s">
        <v>32</v>
      </c>
      <c r="F2108" s="36" t="s">
        <v>33</v>
      </c>
    </row>
    <row r="2109" spans="1:6" ht="17.25" thickBot="1" x14ac:dyDescent="0.3">
      <c r="A2109" s="37"/>
      <c r="B2109" s="33" t="s">
        <v>34</v>
      </c>
      <c r="C2109" s="38">
        <f>IF(C2108="","",IF(AND(MONTH(C2108)&gt;=1,MONTH(C2108)&lt;=3),1,IF(AND(MONTH(C2108)&gt;=4,MONTH(C2108)&lt;=6),2,IF(AND(MONTH(C2108)&gt;=7,MONTH(C2108)&lt;=9),3,4))))</f>
        <v>4</v>
      </c>
      <c r="D2109" s="37"/>
      <c r="E2109" s="35" t="s">
        <v>35</v>
      </c>
      <c r="F2109" s="36" t="s">
        <v>36</v>
      </c>
    </row>
    <row r="2110" spans="1:6" ht="17.25" thickBot="1" x14ac:dyDescent="0.3">
      <c r="A2110" s="37"/>
      <c r="B2110" s="33" t="s">
        <v>37</v>
      </c>
      <c r="C2110" s="34">
        <v>45290</v>
      </c>
      <c r="D2110" s="37"/>
      <c r="E2110" s="35" t="s">
        <v>38</v>
      </c>
      <c r="F2110" s="36" t="s">
        <v>36</v>
      </c>
    </row>
    <row r="2111" spans="1:6" ht="17.25" thickBot="1" x14ac:dyDescent="0.3">
      <c r="A2111" s="37"/>
      <c r="B2111" s="33" t="s">
        <v>34</v>
      </c>
      <c r="C2111" s="38">
        <f>IF(C2110="","",IF(AND(MONTH(C2110)&gt;=1,MONTH(C2110)&lt;=3),1,IF(AND(MONTH(C2110)&gt;=4,MONTH(C2110)&lt;=6),2,IF(AND(MONTH(C2110)&gt;=7,MONTH(C2110)&lt;=9),3,4))))</f>
        <v>4</v>
      </c>
      <c r="D2111" s="37"/>
      <c r="E2111" s="35" t="s">
        <v>39</v>
      </c>
      <c r="F2111" s="36" t="s">
        <v>36</v>
      </c>
    </row>
    <row r="2112" spans="1:6" ht="17.25" thickBot="1" x14ac:dyDescent="0.3"/>
    <row r="2113" spans="1:6" ht="17.25" thickBot="1" x14ac:dyDescent="0.3">
      <c r="A2113" s="39" t="s">
        <v>40</v>
      </c>
      <c r="B2113" s="39" t="s">
        <v>41</v>
      </c>
      <c r="C2113" s="39" t="s">
        <v>42</v>
      </c>
      <c r="D2113" s="39" t="s">
        <v>43</v>
      </c>
      <c r="E2113" s="39" t="s">
        <v>44</v>
      </c>
      <c r="F2113" s="39" t="s">
        <v>45</v>
      </c>
    </row>
    <row r="2114" spans="1:6" x14ac:dyDescent="0.25">
      <c r="A2114" s="40">
        <v>43231512</v>
      </c>
      <c r="B2114" s="41" t="str">
        <f ca="1">IFERROR(INDEX(UNSPSCDes,MATCH(INDIRECT(ADDRESS(ROW(),COLUMN()-1,4)),UNSPSCCode,0)),IF(INDIRECT(ADDRESS(ROW(),COLUMN()-1,4))="43231512","Software de manejo de licencias",""))</f>
        <v>Software de manejo de licencias</v>
      </c>
      <c r="C2114" s="42" t="str">
        <f>IFERROR(VLOOKUP("UD",'[1]Informacion '!P:Q,2,FALSE),"")</f>
        <v>Unidad</v>
      </c>
      <c r="D2114" s="40">
        <v>1</v>
      </c>
      <c r="E2114" s="43">
        <v>1800000</v>
      </c>
      <c r="F2114" s="44">
        <f ca="1">INDIRECT(ADDRESS(ROW(),COLUMN()-2,4))*INDIRECT(ADDRESS(ROW(),COLUMN()-1,4))</f>
        <v>1800000</v>
      </c>
    </row>
    <row r="2115" spans="1:6" x14ac:dyDescent="0.25">
      <c r="E2115" s="45" t="s">
        <v>47</v>
      </c>
      <c r="F2115" s="46">
        <f ca="1">SUM(Table171[MONTO TOTAL ESTIMADO])</f>
        <v>1800000</v>
      </c>
    </row>
    <row r="2116" spans="1:6" ht="17.25" thickBot="1" x14ac:dyDescent="0.3"/>
    <row r="2117" spans="1:6" ht="23.25" thickBot="1" x14ac:dyDescent="0.3">
      <c r="A2117" s="30" t="s">
        <v>18</v>
      </c>
      <c r="B2117" s="30" t="s">
        <v>19</v>
      </c>
      <c r="C2117" s="30" t="s">
        <v>20</v>
      </c>
      <c r="D2117" s="30" t="s">
        <v>21</v>
      </c>
      <c r="E2117" s="30" t="s">
        <v>22</v>
      </c>
      <c r="F2117" s="30" t="s">
        <v>23</v>
      </c>
    </row>
    <row r="2118" spans="1:6" ht="17.25" thickBot="1" x14ac:dyDescent="0.3">
      <c r="A2118" s="31" t="s">
        <v>488</v>
      </c>
      <c r="B2118" s="31" t="s">
        <v>489</v>
      </c>
      <c r="C2118" s="31" t="s">
        <v>26</v>
      </c>
      <c r="D2118" s="31" t="s">
        <v>50</v>
      </c>
      <c r="E2118" s="31" t="s">
        <v>58</v>
      </c>
      <c r="F2118" s="31"/>
    </row>
    <row r="2119" spans="1:6" ht="17.25" thickBot="1" x14ac:dyDescent="0.3">
      <c r="A2119" s="32" t="s">
        <v>29</v>
      </c>
      <c r="B2119" s="33" t="s">
        <v>30</v>
      </c>
      <c r="C2119" s="34">
        <v>44958</v>
      </c>
      <c r="D2119" s="32" t="s">
        <v>31</v>
      </c>
      <c r="E2119" s="35" t="s">
        <v>32</v>
      </c>
      <c r="F2119" s="36" t="s">
        <v>33</v>
      </c>
    </row>
    <row r="2120" spans="1:6" ht="17.25" thickBot="1" x14ac:dyDescent="0.3">
      <c r="A2120" s="37"/>
      <c r="B2120" s="33" t="s">
        <v>34</v>
      </c>
      <c r="C2120" s="38">
        <f>IF(C2119="","",IF(AND(MONTH(C2119)&gt;=1,MONTH(C2119)&lt;=3),1,IF(AND(MONTH(C2119)&gt;=4,MONTH(C2119)&lt;=6),2,IF(AND(MONTH(C2119)&gt;=7,MONTH(C2119)&lt;=9),3,4))))</f>
        <v>1</v>
      </c>
      <c r="D2120" s="37"/>
      <c r="E2120" s="35" t="s">
        <v>35</v>
      </c>
      <c r="F2120" s="36" t="s">
        <v>36</v>
      </c>
    </row>
    <row r="2121" spans="1:6" ht="17.25" thickBot="1" x14ac:dyDescent="0.3">
      <c r="A2121" s="37"/>
      <c r="B2121" s="33" t="s">
        <v>37</v>
      </c>
      <c r="C2121" s="34">
        <v>44981</v>
      </c>
      <c r="D2121" s="37"/>
      <c r="E2121" s="35" t="s">
        <v>38</v>
      </c>
      <c r="F2121" s="36" t="s">
        <v>36</v>
      </c>
    </row>
    <row r="2122" spans="1:6" ht="17.25" thickBot="1" x14ac:dyDescent="0.3">
      <c r="A2122" s="37"/>
      <c r="B2122" s="33" t="s">
        <v>34</v>
      </c>
      <c r="C2122" s="38">
        <f>IF(C2121="","",IF(AND(MONTH(C2121)&gt;=1,MONTH(C2121)&lt;=3),1,IF(AND(MONTH(C2121)&gt;=4,MONTH(C2121)&lt;=6),2,IF(AND(MONTH(C2121)&gt;=7,MONTH(C2121)&lt;=9),3,4))))</f>
        <v>1</v>
      </c>
      <c r="D2122" s="37"/>
      <c r="E2122" s="35" t="s">
        <v>39</v>
      </c>
      <c r="F2122" s="36" t="s">
        <v>36</v>
      </c>
    </row>
    <row r="2123" spans="1:6" ht="17.25" thickBot="1" x14ac:dyDescent="0.3"/>
    <row r="2124" spans="1:6" ht="17.25" thickBot="1" x14ac:dyDescent="0.3">
      <c r="A2124" s="39" t="s">
        <v>40</v>
      </c>
      <c r="B2124" s="39" t="s">
        <v>41</v>
      </c>
      <c r="C2124" s="39" t="s">
        <v>42</v>
      </c>
      <c r="D2124" s="39" t="s">
        <v>43</v>
      </c>
      <c r="E2124" s="39" t="s">
        <v>44</v>
      </c>
      <c r="F2124" s="39" t="s">
        <v>45</v>
      </c>
    </row>
    <row r="2125" spans="1:6" x14ac:dyDescent="0.25">
      <c r="A2125" s="40">
        <v>80141611</v>
      </c>
      <c r="B2125" s="41" t="str">
        <f ca="1">IFERROR(INDEX(UNSPSCDes,MATCH(INDIRECT(ADDRESS(ROW(),COLUMN()-1,4)),UNSPSCCode,0)),IF(INDIRECT(ADDRESS(ROW(),COLUMN()-1,4))="80141611","Servicios de personalización de obsequios o productos",""))</f>
        <v>Servicios de personalización de obsequios o productos</v>
      </c>
      <c r="C2125" s="42" t="str">
        <f>IFERROR(VLOOKUP("UD",'[1]Informacion '!P:Q,2,FALSE),"")</f>
        <v>Unidad</v>
      </c>
      <c r="D2125" s="40">
        <v>1</v>
      </c>
      <c r="E2125" s="43">
        <v>1</v>
      </c>
      <c r="F2125" s="44">
        <f ca="1">INDIRECT(ADDRESS(ROW(),COLUMN()-2,4))*INDIRECT(ADDRESS(ROW(),COLUMN()-1,4))</f>
        <v>1</v>
      </c>
    </row>
    <row r="2126" spans="1:6" x14ac:dyDescent="0.25">
      <c r="E2126" s="45" t="s">
        <v>47</v>
      </c>
      <c r="F2126" s="46">
        <f ca="1">SUM(Table172[MONTO TOTAL ESTIMADO])</f>
        <v>1</v>
      </c>
    </row>
    <row r="2127" spans="1:6" ht="17.25" thickBot="1" x14ac:dyDescent="0.3"/>
    <row r="2128" spans="1:6" ht="23.25" thickBot="1" x14ac:dyDescent="0.3">
      <c r="A2128" s="30" t="s">
        <v>18</v>
      </c>
      <c r="B2128" s="30" t="s">
        <v>19</v>
      </c>
      <c r="C2128" s="30" t="s">
        <v>20</v>
      </c>
      <c r="D2128" s="30" t="s">
        <v>21</v>
      </c>
      <c r="E2128" s="30" t="s">
        <v>22</v>
      </c>
      <c r="F2128" s="30" t="s">
        <v>23</v>
      </c>
    </row>
    <row r="2129" spans="1:6" ht="17.25" thickBot="1" x14ac:dyDescent="0.3">
      <c r="A2129" s="31" t="s">
        <v>143</v>
      </c>
      <c r="B2129" s="31" t="s">
        <v>143</v>
      </c>
      <c r="C2129" s="31" t="s">
        <v>92</v>
      </c>
      <c r="D2129" s="31" t="s">
        <v>50</v>
      </c>
      <c r="E2129" s="31" t="s">
        <v>58</v>
      </c>
      <c r="F2129" s="31"/>
    </row>
    <row r="2130" spans="1:6" ht="17.25" thickBot="1" x14ac:dyDescent="0.3">
      <c r="A2130" s="32" t="s">
        <v>29</v>
      </c>
      <c r="B2130" s="33" t="s">
        <v>30</v>
      </c>
      <c r="C2130" s="34">
        <v>44989</v>
      </c>
      <c r="D2130" s="32" t="s">
        <v>31</v>
      </c>
      <c r="E2130" s="35" t="s">
        <v>32</v>
      </c>
      <c r="F2130" s="36" t="s">
        <v>33</v>
      </c>
    </row>
    <row r="2131" spans="1:6" ht="17.25" thickBot="1" x14ac:dyDescent="0.3">
      <c r="A2131" s="37"/>
      <c r="B2131" s="33" t="s">
        <v>34</v>
      </c>
      <c r="C2131" s="38">
        <f>IF(C2130="","",IF(AND(MONTH(C2130)&gt;=1,MONTH(C2130)&lt;=3),1,IF(AND(MONTH(C2130)&gt;=4,MONTH(C2130)&lt;=6),2,IF(AND(MONTH(C2130)&gt;=7,MONTH(C2130)&lt;=9),3,4))))</f>
        <v>1</v>
      </c>
      <c r="D2131" s="37"/>
      <c r="E2131" s="35" t="s">
        <v>35</v>
      </c>
      <c r="F2131" s="36" t="s">
        <v>36</v>
      </c>
    </row>
    <row r="2132" spans="1:6" ht="17.25" thickBot="1" x14ac:dyDescent="0.3">
      <c r="A2132" s="37"/>
      <c r="B2132" s="33" t="s">
        <v>37</v>
      </c>
      <c r="C2132" s="34">
        <v>45045</v>
      </c>
      <c r="D2132" s="37"/>
      <c r="E2132" s="35" t="s">
        <v>38</v>
      </c>
      <c r="F2132" s="36" t="s">
        <v>36</v>
      </c>
    </row>
    <row r="2133" spans="1:6" ht="17.25" thickBot="1" x14ac:dyDescent="0.3">
      <c r="A2133" s="37"/>
      <c r="B2133" s="33" t="s">
        <v>34</v>
      </c>
      <c r="C2133" s="38">
        <f>IF(C2132="","",IF(AND(MONTH(C2132)&gt;=1,MONTH(C2132)&lt;=3),1,IF(AND(MONTH(C2132)&gt;=4,MONTH(C2132)&lt;=6),2,IF(AND(MONTH(C2132)&gt;=7,MONTH(C2132)&lt;=9),3,4))))</f>
        <v>2</v>
      </c>
      <c r="D2133" s="37"/>
      <c r="E2133" s="35" t="s">
        <v>39</v>
      </c>
      <c r="F2133" s="36" t="s">
        <v>36</v>
      </c>
    </row>
    <row r="2134" spans="1:6" ht="17.25" thickBot="1" x14ac:dyDescent="0.3"/>
    <row r="2135" spans="1:6" ht="17.25" thickBot="1" x14ac:dyDescent="0.3">
      <c r="A2135" s="39" t="s">
        <v>40</v>
      </c>
      <c r="B2135" s="39" t="s">
        <v>41</v>
      </c>
      <c r="C2135" s="39" t="s">
        <v>42</v>
      </c>
      <c r="D2135" s="39" t="s">
        <v>43</v>
      </c>
      <c r="E2135" s="39" t="s">
        <v>44</v>
      </c>
      <c r="F2135" s="39" t="s">
        <v>45</v>
      </c>
    </row>
    <row r="2136" spans="1:6" x14ac:dyDescent="0.25">
      <c r="A2136" s="40" t="s">
        <v>490</v>
      </c>
      <c r="B2136" s="41" t="str">
        <f ca="1">IFERROR(INDEX(UNSPSCDes,MATCH(INDIRECT(ADDRESS(ROW(),COLUMN()-1,4)),UNSPSCCode,0)),IF(INDIRECT(ADDRESS(ROW(),COLUMN()-1,4))="14121503","Cartón",""))</f>
        <v>Cartón</v>
      </c>
      <c r="C2136" s="42" t="str">
        <f>IFERROR(VLOOKUP("UD",'[1]Informacion '!P:Q,2,FALSE),"")</f>
        <v>Unidad</v>
      </c>
      <c r="D2136" s="40">
        <v>1</v>
      </c>
      <c r="E2136" s="43">
        <v>1</v>
      </c>
      <c r="F2136" s="44">
        <f t="shared" ref="F2136:F2143" ca="1" si="26">INDIRECT(ADDRESS(ROW(),COLUMN()-2,4))*INDIRECT(ADDRESS(ROW(),COLUMN()-1,4))</f>
        <v>1</v>
      </c>
    </row>
    <row r="2137" spans="1:6" x14ac:dyDescent="0.25">
      <c r="A2137" s="40" t="s">
        <v>491</v>
      </c>
      <c r="B2137" s="41" t="str">
        <f ca="1">IFERROR(INDEX(UNSPSCDes,MATCH(INDIRECT(ADDRESS(ROW(),COLUMN()-1,4)),UNSPSCCode,0)),IF(INDIRECT(ADDRESS(ROW(),COLUMN()-1,4))="14111611","Tarjetas de invitación o de anuncio",""))</f>
        <v>Tarjetas de invitación o de anuncio</v>
      </c>
      <c r="C2137" s="42" t="str">
        <f>IFERROR(VLOOKUP("UD",'[1]Informacion '!P:Q,2,FALSE),"")</f>
        <v>Unidad</v>
      </c>
      <c r="D2137" s="40">
        <v>1</v>
      </c>
      <c r="E2137" s="43">
        <v>1</v>
      </c>
      <c r="F2137" s="44">
        <f t="shared" ca="1" si="26"/>
        <v>1</v>
      </c>
    </row>
    <row r="2138" spans="1:6" x14ac:dyDescent="0.25">
      <c r="A2138" s="40" t="s">
        <v>492</v>
      </c>
      <c r="B2138" s="41" t="str">
        <f ca="1">IFERROR(INDEX(UNSPSCDes,MATCH(INDIRECT(ADDRESS(ROW(),COLUMN()-1,4)),UNSPSCCode,0)),IF(INDIRECT(ADDRESS(ROW(),COLUMN()-1,4))="14111704","Papel higiénico",""))</f>
        <v>Papel higiénico</v>
      </c>
      <c r="C2138" s="42" t="str">
        <f>IFERROR(VLOOKUP("UD",'[1]Informacion '!P:Q,2,FALSE),"")</f>
        <v>Unidad</v>
      </c>
      <c r="D2138" s="40">
        <v>1</v>
      </c>
      <c r="E2138" s="43">
        <v>1</v>
      </c>
      <c r="F2138" s="44">
        <f t="shared" ca="1" si="26"/>
        <v>1</v>
      </c>
    </row>
    <row r="2139" spans="1:6" x14ac:dyDescent="0.25">
      <c r="A2139" s="40" t="s">
        <v>493</v>
      </c>
      <c r="B2139" s="41" t="str">
        <f ca="1">IFERROR(INDEX(UNSPSCDes,MATCH(INDIRECT(ADDRESS(ROW(),COLUMN()-1,4)),UNSPSCCode,0)),IF(INDIRECT(ADDRESS(ROW(),COLUMN()-1,4))="14111703","Toallas de papel",""))</f>
        <v>Toallas de papel</v>
      </c>
      <c r="C2139" s="42" t="str">
        <f>IFERROR(VLOOKUP("UD",'[1]Informacion '!P:Q,2,FALSE),"")</f>
        <v>Unidad</v>
      </c>
      <c r="D2139" s="40">
        <v>1</v>
      </c>
      <c r="E2139" s="43">
        <v>1</v>
      </c>
      <c r="F2139" s="44">
        <f t="shared" ca="1" si="26"/>
        <v>1</v>
      </c>
    </row>
    <row r="2140" spans="1:6" x14ac:dyDescent="0.25">
      <c r="A2140" s="40" t="s">
        <v>494</v>
      </c>
      <c r="B2140" s="41" t="str">
        <f ca="1">IFERROR(INDEX(UNSPSCDes,MATCH(INDIRECT(ADDRESS(ROW(),COLUMN()-1,4)),UNSPSCCode,0)),IF(INDIRECT(ADDRESS(ROW(),COLUMN()-1,4))="60122503","Platos o bandejas de papel",""))</f>
        <v>Platos o bandejas de papel</v>
      </c>
      <c r="C2140" s="42" t="str">
        <f>IFERROR(VLOOKUP("UD",'[1]Informacion '!P:Q,2,FALSE),"")</f>
        <v>Unidad</v>
      </c>
      <c r="D2140" s="40">
        <v>1</v>
      </c>
      <c r="E2140" s="43">
        <v>1</v>
      </c>
      <c r="F2140" s="44">
        <f t="shared" ca="1" si="26"/>
        <v>1</v>
      </c>
    </row>
    <row r="2141" spans="1:6" x14ac:dyDescent="0.25">
      <c r="A2141" s="40" t="s">
        <v>495</v>
      </c>
      <c r="B2141" s="41" t="str">
        <f ca="1">IFERROR(INDEX(UNSPSCDes,MATCH(INDIRECT(ADDRESS(ROW(),COLUMN()-1,4)),UNSPSCCode,0)),IF(INDIRECT(ADDRESS(ROW(),COLUMN()-1,4))="14111705","Servilletas de papel",""))</f>
        <v>Servilletas de papel</v>
      </c>
      <c r="C2141" s="42" t="str">
        <f>IFERROR(VLOOKUP("UD",'[1]Informacion '!P:Q,2,FALSE),"")</f>
        <v>Unidad</v>
      </c>
      <c r="D2141" s="40">
        <v>1</v>
      </c>
      <c r="E2141" s="43">
        <v>1</v>
      </c>
      <c r="F2141" s="44">
        <f t="shared" ca="1" si="26"/>
        <v>1</v>
      </c>
    </row>
    <row r="2142" spans="1:6" x14ac:dyDescent="0.25">
      <c r="A2142" s="40" t="s">
        <v>496</v>
      </c>
      <c r="B2142" s="41" t="str">
        <f ca="1">IFERROR(INDEX(UNSPSCDes,MATCH(INDIRECT(ADDRESS(ROW(),COLUMN()-1,4)),UNSPSCCode,0)),IF(INDIRECT(ADDRESS(ROW(),COLUMN()-1,4))="14111604","Tarjetas de presentación",""))</f>
        <v>Tarjetas de presentación</v>
      </c>
      <c r="C2142" s="42" t="str">
        <f>IFERROR(VLOOKUP("UD",'[1]Informacion '!P:Q,2,FALSE),"")</f>
        <v>Unidad</v>
      </c>
      <c r="D2142" s="40">
        <v>1</v>
      </c>
      <c r="E2142" s="43">
        <v>1</v>
      </c>
      <c r="F2142" s="44">
        <f t="shared" ca="1" si="26"/>
        <v>1</v>
      </c>
    </row>
    <row r="2143" spans="1:6" x14ac:dyDescent="0.25">
      <c r="A2143" s="40" t="s">
        <v>497</v>
      </c>
      <c r="B2143" s="41" t="str">
        <f ca="1">IFERROR(INDEX(UNSPSCDes,MATCH(INDIRECT(ADDRESS(ROW(),COLUMN()-1,4)),UNSPSCCode,0)),IF(INDIRECT(ADDRESS(ROW(),COLUMN()-1,4))="14121806","Papel de parafinado",""))</f>
        <v>Papel de parafinado</v>
      </c>
      <c r="C2143" s="42" t="str">
        <f>IFERROR(VLOOKUP("UD",'[1]Informacion '!P:Q,2,FALSE),"")</f>
        <v>Unidad</v>
      </c>
      <c r="D2143" s="40">
        <v>1</v>
      </c>
      <c r="E2143" s="43">
        <v>1</v>
      </c>
      <c r="F2143" s="44">
        <f t="shared" ca="1" si="26"/>
        <v>1</v>
      </c>
    </row>
    <row r="2144" spans="1:6" x14ac:dyDescent="0.25">
      <c r="E2144" s="45" t="s">
        <v>47</v>
      </c>
      <c r="F2144" s="46">
        <f ca="1">SUM(Table173[MONTO TOTAL ESTIMADO])</f>
        <v>8</v>
      </c>
    </row>
    <row r="2145" spans="1:6" ht="17.25" thickBot="1" x14ac:dyDescent="0.3"/>
    <row r="2146" spans="1:6" ht="23.25" thickBot="1" x14ac:dyDescent="0.3">
      <c r="A2146" s="30" t="s">
        <v>18</v>
      </c>
      <c r="B2146" s="30" t="s">
        <v>19</v>
      </c>
      <c r="C2146" s="30" t="s">
        <v>20</v>
      </c>
      <c r="D2146" s="30" t="s">
        <v>21</v>
      </c>
      <c r="E2146" s="30" t="s">
        <v>22</v>
      </c>
      <c r="F2146" s="30" t="s">
        <v>23</v>
      </c>
    </row>
    <row r="2147" spans="1:6" ht="17.25" thickBot="1" x14ac:dyDescent="0.3">
      <c r="A2147" s="31" t="s">
        <v>498</v>
      </c>
      <c r="B2147" s="31" t="s">
        <v>498</v>
      </c>
      <c r="C2147" s="31" t="s">
        <v>26</v>
      </c>
      <c r="D2147" s="31" t="s">
        <v>50</v>
      </c>
      <c r="E2147" s="31" t="s">
        <v>58</v>
      </c>
      <c r="F2147" s="31"/>
    </row>
    <row r="2148" spans="1:6" ht="17.25" thickBot="1" x14ac:dyDescent="0.3">
      <c r="A2148" s="32" t="s">
        <v>29</v>
      </c>
      <c r="B2148" s="33" t="s">
        <v>30</v>
      </c>
      <c r="C2148" s="34">
        <v>44989</v>
      </c>
      <c r="D2148" s="32" t="s">
        <v>31</v>
      </c>
      <c r="E2148" s="35" t="s">
        <v>32</v>
      </c>
      <c r="F2148" s="36" t="s">
        <v>33</v>
      </c>
    </row>
    <row r="2149" spans="1:6" ht="17.25" thickBot="1" x14ac:dyDescent="0.3">
      <c r="A2149" s="37"/>
      <c r="B2149" s="33" t="s">
        <v>34</v>
      </c>
      <c r="C2149" s="38">
        <f>IF(C2148="","",IF(AND(MONTH(C2148)&gt;=1,MONTH(C2148)&lt;=3),1,IF(AND(MONTH(C2148)&gt;=4,MONTH(C2148)&lt;=6),2,IF(AND(MONTH(C2148)&gt;=7,MONTH(C2148)&lt;=9),3,4))))</f>
        <v>1</v>
      </c>
      <c r="D2149" s="37"/>
      <c r="E2149" s="35" t="s">
        <v>35</v>
      </c>
      <c r="F2149" s="36" t="s">
        <v>36</v>
      </c>
    </row>
    <row r="2150" spans="1:6" ht="17.25" thickBot="1" x14ac:dyDescent="0.3">
      <c r="A2150" s="37"/>
      <c r="B2150" s="33" t="s">
        <v>37</v>
      </c>
      <c r="C2150" s="34">
        <v>45046</v>
      </c>
      <c r="D2150" s="37"/>
      <c r="E2150" s="35" t="s">
        <v>38</v>
      </c>
      <c r="F2150" s="36" t="s">
        <v>36</v>
      </c>
    </row>
    <row r="2151" spans="1:6" ht="17.25" thickBot="1" x14ac:dyDescent="0.3">
      <c r="A2151" s="37"/>
      <c r="B2151" s="33" t="s">
        <v>34</v>
      </c>
      <c r="C2151" s="38">
        <f>IF(C2150="","",IF(AND(MONTH(C2150)&gt;=1,MONTH(C2150)&lt;=3),1,IF(AND(MONTH(C2150)&gt;=4,MONTH(C2150)&lt;=6),2,IF(AND(MONTH(C2150)&gt;=7,MONTH(C2150)&lt;=9),3,4))))</f>
        <v>2</v>
      </c>
      <c r="D2151" s="37"/>
      <c r="E2151" s="35" t="s">
        <v>39</v>
      </c>
      <c r="F2151" s="36" t="s">
        <v>36</v>
      </c>
    </row>
    <row r="2152" spans="1:6" ht="17.25" thickBot="1" x14ac:dyDescent="0.3"/>
    <row r="2153" spans="1:6" ht="17.25" thickBot="1" x14ac:dyDescent="0.3">
      <c r="A2153" s="39" t="s">
        <v>40</v>
      </c>
      <c r="B2153" s="39" t="s">
        <v>41</v>
      </c>
      <c r="C2153" s="39" t="s">
        <v>42</v>
      </c>
      <c r="D2153" s="39" t="s">
        <v>43</v>
      </c>
      <c r="E2153" s="39" t="s">
        <v>44</v>
      </c>
      <c r="F2153" s="39" t="s">
        <v>45</v>
      </c>
    </row>
    <row r="2154" spans="1:6" x14ac:dyDescent="0.25">
      <c r="A2154" s="40">
        <v>72102403</v>
      </c>
      <c r="B2154" s="41" t="str">
        <f ca="1">IFERROR(INDEX(UNSPSCDes,MATCH(INDIRECT(ADDRESS(ROW(),COLUMN()-1,4)),UNSPSCCode,0)),IF(INDIRECT(ADDRESS(ROW(),COLUMN()-1,4))="72102403","Servicios de revestimientos de muros",""))</f>
        <v>Servicios de revestimientos de muros</v>
      </c>
      <c r="C2154" s="42" t="str">
        <f>IFERROR(VLOOKUP("UD",'[1]Informacion '!P:Q,2,FALSE),"")</f>
        <v>Unidad</v>
      </c>
      <c r="D2154" s="40">
        <v>1</v>
      </c>
      <c r="E2154" s="43">
        <v>1</v>
      </c>
      <c r="F2154" s="44">
        <f ca="1">INDIRECT(ADDRESS(ROW(),COLUMN()-2,4))*INDIRECT(ADDRESS(ROW(),COLUMN()-1,4))</f>
        <v>1</v>
      </c>
    </row>
    <row r="2155" spans="1:6" x14ac:dyDescent="0.25">
      <c r="E2155" s="45" t="s">
        <v>47</v>
      </c>
      <c r="F2155" s="46">
        <f ca="1">SUM(Table174[MONTO TOTAL ESTIMADO])</f>
        <v>1</v>
      </c>
    </row>
    <row r="2156" spans="1:6" ht="17.25" thickBot="1" x14ac:dyDescent="0.3"/>
    <row r="2157" spans="1:6" ht="23.25" thickBot="1" x14ac:dyDescent="0.3">
      <c r="A2157" s="30" t="s">
        <v>18</v>
      </c>
      <c r="B2157" s="30" t="s">
        <v>19</v>
      </c>
      <c r="C2157" s="30" t="s">
        <v>20</v>
      </c>
      <c r="D2157" s="30" t="s">
        <v>21</v>
      </c>
      <c r="E2157" s="30" t="s">
        <v>22</v>
      </c>
      <c r="F2157" s="30" t="s">
        <v>23</v>
      </c>
    </row>
    <row r="2158" spans="1:6" ht="17.25" thickBot="1" x14ac:dyDescent="0.3">
      <c r="A2158" s="31" t="s">
        <v>499</v>
      </c>
      <c r="B2158" s="31" t="s">
        <v>500</v>
      </c>
      <c r="C2158" s="31" t="s">
        <v>92</v>
      </c>
      <c r="D2158" s="31" t="s">
        <v>27</v>
      </c>
      <c r="E2158" s="31" t="s">
        <v>58</v>
      </c>
      <c r="F2158" s="31"/>
    </row>
    <row r="2159" spans="1:6" ht="17.25" thickBot="1" x14ac:dyDescent="0.3">
      <c r="A2159" s="32" t="s">
        <v>29</v>
      </c>
      <c r="B2159" s="33" t="s">
        <v>30</v>
      </c>
      <c r="C2159" s="34">
        <v>44993</v>
      </c>
      <c r="D2159" s="32" t="s">
        <v>31</v>
      </c>
      <c r="E2159" s="35" t="s">
        <v>32</v>
      </c>
      <c r="F2159" s="36" t="s">
        <v>33</v>
      </c>
    </row>
    <row r="2160" spans="1:6" ht="17.25" thickBot="1" x14ac:dyDescent="0.3">
      <c r="A2160" s="37"/>
      <c r="B2160" s="33" t="s">
        <v>34</v>
      </c>
      <c r="C2160" s="38">
        <f>IF(C2159="","",IF(AND(MONTH(C2159)&gt;=1,MONTH(C2159)&lt;=3),1,IF(AND(MONTH(C2159)&gt;=4,MONTH(C2159)&lt;=6),2,IF(AND(MONTH(C2159)&gt;=7,MONTH(C2159)&lt;=9),3,4))))</f>
        <v>1</v>
      </c>
      <c r="D2160" s="37"/>
      <c r="E2160" s="35" t="s">
        <v>35</v>
      </c>
      <c r="F2160" s="36" t="s">
        <v>36</v>
      </c>
    </row>
    <row r="2161" spans="1:6" ht="17.25" thickBot="1" x14ac:dyDescent="0.3">
      <c r="A2161" s="37"/>
      <c r="B2161" s="33" t="s">
        <v>37</v>
      </c>
      <c r="C2161" s="34">
        <v>45045</v>
      </c>
      <c r="D2161" s="37"/>
      <c r="E2161" s="35" t="s">
        <v>38</v>
      </c>
      <c r="F2161" s="36" t="s">
        <v>36</v>
      </c>
    </row>
    <row r="2162" spans="1:6" ht="17.25" thickBot="1" x14ac:dyDescent="0.3">
      <c r="A2162" s="37"/>
      <c r="B2162" s="33" t="s">
        <v>34</v>
      </c>
      <c r="C2162" s="38">
        <f>IF(C2161="","",IF(AND(MONTH(C2161)&gt;=1,MONTH(C2161)&lt;=3),1,IF(AND(MONTH(C2161)&gt;=4,MONTH(C2161)&lt;=6),2,IF(AND(MONTH(C2161)&gt;=7,MONTH(C2161)&lt;=9),3,4))))</f>
        <v>2</v>
      </c>
      <c r="D2162" s="37"/>
      <c r="E2162" s="35" t="s">
        <v>39</v>
      </c>
      <c r="F2162" s="36" t="s">
        <v>36</v>
      </c>
    </row>
    <row r="2163" spans="1:6" ht="17.25" thickBot="1" x14ac:dyDescent="0.3"/>
    <row r="2164" spans="1:6" ht="17.25" thickBot="1" x14ac:dyDescent="0.3">
      <c r="A2164" s="39" t="s">
        <v>40</v>
      </c>
      <c r="B2164" s="39" t="s">
        <v>41</v>
      </c>
      <c r="C2164" s="39" t="s">
        <v>42</v>
      </c>
      <c r="D2164" s="39" t="s">
        <v>43</v>
      </c>
      <c r="E2164" s="39" t="s">
        <v>44</v>
      </c>
      <c r="F2164" s="39" t="s">
        <v>45</v>
      </c>
    </row>
    <row r="2165" spans="1:6" x14ac:dyDescent="0.25">
      <c r="A2165" s="40" t="s">
        <v>501</v>
      </c>
      <c r="B2165" s="41" t="str">
        <f ca="1">IFERROR(INDEX(UNSPSCDes,MATCH(INDIRECT(ADDRESS(ROW(),COLUMN()-1,4)),UNSPSCCode,0)),IF(INDIRECT(ADDRESS(ROW(),COLUMN()-1,4))="10191509","Insecticidas",""))</f>
        <v>Insecticidas</v>
      </c>
      <c r="C2165" s="42" t="str">
        <f>IFERROR(VLOOKUP("UD",'[1]Informacion '!P:Q,2,FALSE),"")</f>
        <v>Unidad</v>
      </c>
      <c r="D2165" s="40">
        <v>1</v>
      </c>
      <c r="E2165" s="43">
        <v>1</v>
      </c>
      <c r="F2165" s="44">
        <f ca="1">INDIRECT(ADDRESS(ROW(),COLUMN()-2,4))*INDIRECT(ADDRESS(ROW(),COLUMN()-1,4))</f>
        <v>1</v>
      </c>
    </row>
    <row r="2166" spans="1:6" x14ac:dyDescent="0.25">
      <c r="E2166" s="45" t="s">
        <v>47</v>
      </c>
      <c r="F2166" s="46">
        <f ca="1">SUM(Table176[MONTO TOTAL ESTIMADO])</f>
        <v>1</v>
      </c>
    </row>
    <row r="2167" spans="1:6" ht="17.25" thickBot="1" x14ac:dyDescent="0.3"/>
    <row r="2168" spans="1:6" ht="23.25" thickBot="1" x14ac:dyDescent="0.3">
      <c r="A2168" s="30" t="s">
        <v>18</v>
      </c>
      <c r="B2168" s="30" t="s">
        <v>19</v>
      </c>
      <c r="C2168" s="30" t="s">
        <v>20</v>
      </c>
      <c r="D2168" s="30" t="s">
        <v>21</v>
      </c>
      <c r="E2168" s="30" t="s">
        <v>22</v>
      </c>
      <c r="F2168" s="30" t="s">
        <v>23</v>
      </c>
    </row>
    <row r="2169" spans="1:6" ht="17.25" thickBot="1" x14ac:dyDescent="0.3">
      <c r="A2169" s="31" t="s">
        <v>502</v>
      </c>
      <c r="B2169" s="31" t="s">
        <v>502</v>
      </c>
      <c r="C2169" s="31" t="s">
        <v>26</v>
      </c>
      <c r="D2169" s="31" t="s">
        <v>50</v>
      </c>
      <c r="E2169" s="31" t="s">
        <v>58</v>
      </c>
      <c r="F2169" s="31"/>
    </row>
    <row r="2170" spans="1:6" ht="17.25" thickBot="1" x14ac:dyDescent="0.3">
      <c r="A2170" s="32" t="s">
        <v>29</v>
      </c>
      <c r="B2170" s="33" t="s">
        <v>30</v>
      </c>
      <c r="C2170" s="34">
        <v>44994</v>
      </c>
      <c r="D2170" s="32" t="s">
        <v>31</v>
      </c>
      <c r="E2170" s="35" t="s">
        <v>32</v>
      </c>
      <c r="F2170" s="36" t="s">
        <v>33</v>
      </c>
    </row>
    <row r="2171" spans="1:6" ht="17.25" thickBot="1" x14ac:dyDescent="0.3">
      <c r="A2171" s="37"/>
      <c r="B2171" s="33" t="s">
        <v>34</v>
      </c>
      <c r="C2171" s="38">
        <f>IF(C2170="","",IF(AND(MONTH(C2170)&gt;=1,MONTH(C2170)&lt;=3),1,IF(AND(MONTH(C2170)&gt;=4,MONTH(C2170)&lt;=6),2,IF(AND(MONTH(C2170)&gt;=7,MONTH(C2170)&lt;=9),3,4))))</f>
        <v>1</v>
      </c>
      <c r="D2171" s="37"/>
      <c r="E2171" s="35" t="s">
        <v>35</v>
      </c>
      <c r="F2171" s="36" t="s">
        <v>36</v>
      </c>
    </row>
    <row r="2172" spans="1:6" ht="17.25" thickBot="1" x14ac:dyDescent="0.3">
      <c r="A2172" s="37"/>
      <c r="B2172" s="33" t="s">
        <v>37</v>
      </c>
      <c r="C2172" s="34">
        <v>45046</v>
      </c>
      <c r="D2172" s="37"/>
      <c r="E2172" s="35" t="s">
        <v>38</v>
      </c>
      <c r="F2172" s="36" t="s">
        <v>36</v>
      </c>
    </row>
    <row r="2173" spans="1:6" ht="17.25" thickBot="1" x14ac:dyDescent="0.3">
      <c r="A2173" s="37"/>
      <c r="B2173" s="33" t="s">
        <v>34</v>
      </c>
      <c r="C2173" s="38">
        <f>IF(C2172="","",IF(AND(MONTH(C2172)&gt;=1,MONTH(C2172)&lt;=3),1,IF(AND(MONTH(C2172)&gt;=4,MONTH(C2172)&lt;=6),2,IF(AND(MONTH(C2172)&gt;=7,MONTH(C2172)&lt;=9),3,4))))</f>
        <v>2</v>
      </c>
      <c r="D2173" s="37"/>
      <c r="E2173" s="35" t="s">
        <v>39</v>
      </c>
      <c r="F2173" s="36" t="s">
        <v>36</v>
      </c>
    </row>
    <row r="2174" spans="1:6" ht="17.25" thickBot="1" x14ac:dyDescent="0.3"/>
    <row r="2175" spans="1:6" ht="17.25" thickBot="1" x14ac:dyDescent="0.3">
      <c r="A2175" s="39" t="s">
        <v>40</v>
      </c>
      <c r="B2175" s="39" t="s">
        <v>41</v>
      </c>
      <c r="C2175" s="39" t="s">
        <v>42</v>
      </c>
      <c r="D2175" s="39" t="s">
        <v>43</v>
      </c>
      <c r="E2175" s="39" t="s">
        <v>44</v>
      </c>
      <c r="F2175" s="39" t="s">
        <v>45</v>
      </c>
    </row>
    <row r="2176" spans="1:6" x14ac:dyDescent="0.25">
      <c r="A2176" s="40" t="s">
        <v>503</v>
      </c>
      <c r="B2176" s="41" t="str">
        <f ca="1">IFERROR(INDEX(UNSPSCDes,MATCH(INDIRECT(ADDRESS(ROW(),COLUMN()-1,4)),UNSPSCCode,0)),IF(INDIRECT(ADDRESS(ROW(),COLUMN()-1,4))="49121503","Carpas",""))</f>
        <v>Carpas</v>
      </c>
      <c r="C2176" s="42" t="str">
        <f>IFERROR(VLOOKUP("UD",'[1]Informacion '!P:Q,2,FALSE),"")</f>
        <v>Unidad</v>
      </c>
      <c r="D2176" s="40">
        <v>1</v>
      </c>
      <c r="E2176" s="43">
        <v>1</v>
      </c>
      <c r="F2176" s="44">
        <f ca="1">INDIRECT(ADDRESS(ROW(),COLUMN()-2,4))*INDIRECT(ADDRESS(ROW(),COLUMN()-1,4))</f>
        <v>1</v>
      </c>
    </row>
    <row r="2177" spans="1:6" x14ac:dyDescent="0.25">
      <c r="A2177" s="40" t="s">
        <v>504</v>
      </c>
      <c r="B2177" s="41" t="str">
        <f ca="1">IFERROR(INDEX(UNSPSCDes,MATCH(INDIRECT(ADDRESS(ROW(),COLUMN()-1,4)),UNSPSCCode,0)),IF(INDIRECT(ADDRESS(ROW(),COLUMN()-1,4))="90111701","Campin",""))</f>
        <v>Campin</v>
      </c>
      <c r="C2177" s="42" t="str">
        <f>IFERROR(VLOOKUP("UD",'[1]Informacion '!P:Q,2,FALSE),"")</f>
        <v>Unidad</v>
      </c>
      <c r="D2177" s="40">
        <v>1</v>
      </c>
      <c r="E2177" s="43">
        <v>1</v>
      </c>
      <c r="F2177" s="44">
        <f ca="1">INDIRECT(ADDRESS(ROW(),COLUMN()-2,4))*INDIRECT(ADDRESS(ROW(),COLUMN()-1,4))</f>
        <v>1</v>
      </c>
    </row>
    <row r="2178" spans="1:6" x14ac:dyDescent="0.25">
      <c r="E2178" s="45" t="s">
        <v>47</v>
      </c>
      <c r="F2178" s="46">
        <f ca="1">SUM(Table177[MONTO TOTAL ESTIMADO])</f>
        <v>2</v>
      </c>
    </row>
    <row r="2179" spans="1:6" ht="17.25" thickBot="1" x14ac:dyDescent="0.3"/>
    <row r="2180" spans="1:6" ht="23.25" thickBot="1" x14ac:dyDescent="0.3">
      <c r="A2180" s="30" t="s">
        <v>18</v>
      </c>
      <c r="B2180" s="30" t="s">
        <v>19</v>
      </c>
      <c r="C2180" s="30" t="s">
        <v>20</v>
      </c>
      <c r="D2180" s="30" t="s">
        <v>21</v>
      </c>
      <c r="E2180" s="30" t="s">
        <v>22</v>
      </c>
      <c r="F2180" s="30" t="s">
        <v>23</v>
      </c>
    </row>
    <row r="2181" spans="1:6" ht="17.25" thickBot="1" x14ac:dyDescent="0.3">
      <c r="A2181" s="31" t="s">
        <v>505</v>
      </c>
      <c r="B2181" s="31" t="s">
        <v>505</v>
      </c>
      <c r="C2181" s="31" t="s">
        <v>92</v>
      </c>
      <c r="D2181" s="31" t="s">
        <v>50</v>
      </c>
      <c r="E2181" s="31" t="s">
        <v>58</v>
      </c>
      <c r="F2181" s="31"/>
    </row>
    <row r="2182" spans="1:6" ht="17.25" thickBot="1" x14ac:dyDescent="0.3">
      <c r="A2182" s="32" t="s">
        <v>29</v>
      </c>
      <c r="B2182" s="33" t="s">
        <v>30</v>
      </c>
      <c r="C2182" s="34">
        <v>44994</v>
      </c>
      <c r="D2182" s="32" t="s">
        <v>31</v>
      </c>
      <c r="E2182" s="35" t="s">
        <v>32</v>
      </c>
      <c r="F2182" s="36" t="s">
        <v>33</v>
      </c>
    </row>
    <row r="2183" spans="1:6" ht="17.25" thickBot="1" x14ac:dyDescent="0.3">
      <c r="A2183" s="37"/>
      <c r="B2183" s="33" t="s">
        <v>34</v>
      </c>
      <c r="C2183" s="38">
        <f>IF(C2182="","",IF(AND(MONTH(C2182)&gt;=1,MONTH(C2182)&lt;=3),1,IF(AND(MONTH(C2182)&gt;=4,MONTH(C2182)&lt;=6),2,IF(AND(MONTH(C2182)&gt;=7,MONTH(C2182)&lt;=9),3,4))))</f>
        <v>1</v>
      </c>
      <c r="D2183" s="37"/>
      <c r="E2183" s="35" t="s">
        <v>35</v>
      </c>
      <c r="F2183" s="36" t="s">
        <v>36</v>
      </c>
    </row>
    <row r="2184" spans="1:6" ht="17.25" thickBot="1" x14ac:dyDescent="0.3">
      <c r="A2184" s="37"/>
      <c r="B2184" s="33" t="s">
        <v>37</v>
      </c>
      <c r="C2184" s="34">
        <v>45077</v>
      </c>
      <c r="D2184" s="37"/>
      <c r="E2184" s="35" t="s">
        <v>38</v>
      </c>
      <c r="F2184" s="36" t="s">
        <v>36</v>
      </c>
    </row>
    <row r="2185" spans="1:6" ht="17.25" thickBot="1" x14ac:dyDescent="0.3">
      <c r="A2185" s="37"/>
      <c r="B2185" s="33" t="s">
        <v>34</v>
      </c>
      <c r="C2185" s="38">
        <f>IF(C2184="","",IF(AND(MONTH(C2184)&gt;=1,MONTH(C2184)&lt;=3),1,IF(AND(MONTH(C2184)&gt;=4,MONTH(C2184)&lt;=6),2,IF(AND(MONTH(C2184)&gt;=7,MONTH(C2184)&lt;=9),3,4))))</f>
        <v>2</v>
      </c>
      <c r="D2185" s="37"/>
      <c r="E2185" s="35" t="s">
        <v>39</v>
      </c>
      <c r="F2185" s="36" t="s">
        <v>36</v>
      </c>
    </row>
    <row r="2186" spans="1:6" ht="17.25" thickBot="1" x14ac:dyDescent="0.3"/>
    <row r="2187" spans="1:6" ht="17.25" thickBot="1" x14ac:dyDescent="0.3">
      <c r="A2187" s="39" t="s">
        <v>40</v>
      </c>
      <c r="B2187" s="39" t="s">
        <v>41</v>
      </c>
      <c r="C2187" s="39" t="s">
        <v>42</v>
      </c>
      <c r="D2187" s="39" t="s">
        <v>43</v>
      </c>
      <c r="E2187" s="39" t="s">
        <v>44</v>
      </c>
      <c r="F2187" s="39" t="s">
        <v>45</v>
      </c>
    </row>
    <row r="2188" spans="1:6" x14ac:dyDescent="0.25">
      <c r="A2188" s="40" t="s">
        <v>506</v>
      </c>
      <c r="B2188" s="41" t="str">
        <f ca="1">IFERROR(INDEX(UNSPSCDes,MATCH(INDIRECT(ADDRESS(ROW(),COLUMN()-1,4)),UNSPSCCode,0)),IF(INDIRECT(ADDRESS(ROW(),COLUMN()-1,4))="42182104","Estetoscopio de cabeza",""))</f>
        <v>Estetoscopio de cabeza</v>
      </c>
      <c r="C2188" s="42" t="str">
        <f>IFERROR(VLOOKUP("UD",'[1]Informacion '!P:Q,2,FALSE),"")</f>
        <v>Unidad</v>
      </c>
      <c r="D2188" s="40">
        <v>1</v>
      </c>
      <c r="E2188" s="43">
        <v>1</v>
      </c>
      <c r="F2188" s="44">
        <f t="shared" ref="F2188:F2209" ca="1" si="27">INDIRECT(ADDRESS(ROW(),COLUMN()-2,4))*INDIRECT(ADDRESS(ROW(),COLUMN()-1,4))</f>
        <v>1</v>
      </c>
    </row>
    <row r="2189" spans="1:6" x14ac:dyDescent="0.25">
      <c r="A2189" s="40" t="s">
        <v>507</v>
      </c>
      <c r="B2189" s="41" t="str">
        <f ca="1">IFERROR(INDEX(UNSPSCDes,MATCH(INDIRECT(ADDRESS(ROW(),COLUMN()-1,4)),UNSPSCCode,0)),IF(INDIRECT(ADDRESS(ROW(),COLUMN()-1,4))="42181610","Kits de mangas de presión de sangre",""))</f>
        <v>Kits de mangas de presión de sangre</v>
      </c>
      <c r="C2189" s="42" t="str">
        <f>IFERROR(VLOOKUP("UD",'[1]Informacion '!P:Q,2,FALSE),"")</f>
        <v>Unidad</v>
      </c>
      <c r="D2189" s="40">
        <v>1</v>
      </c>
      <c r="E2189" s="43">
        <v>1</v>
      </c>
      <c r="F2189" s="44">
        <f t="shared" ca="1" si="27"/>
        <v>1</v>
      </c>
    </row>
    <row r="2190" spans="1:6" x14ac:dyDescent="0.25">
      <c r="A2190" s="40" t="s">
        <v>508</v>
      </c>
      <c r="B2190" s="41" t="str">
        <f ca="1">IFERROR(INDEX(UNSPSCDes,MATCH(INDIRECT(ADDRESS(ROW(),COLUMN()-1,4)),UNSPSCCode,0)),IF(INDIRECT(ADDRESS(ROW(),COLUMN()-1,4))="42141501","Bolas o fibra de algodón",""))</f>
        <v>Bolas o fibra de algodón</v>
      </c>
      <c r="C2190" s="42" t="str">
        <f>IFERROR(VLOOKUP("UD",'[1]Informacion '!P:Q,2,FALSE),"")</f>
        <v>Unidad</v>
      </c>
      <c r="D2190" s="40">
        <v>1</v>
      </c>
      <c r="E2190" s="43">
        <v>1</v>
      </c>
      <c r="F2190" s="44">
        <f t="shared" ca="1" si="27"/>
        <v>1</v>
      </c>
    </row>
    <row r="2191" spans="1:6" x14ac:dyDescent="0.25">
      <c r="A2191" s="40" t="s">
        <v>509</v>
      </c>
      <c r="B2191" s="41" t="str">
        <f ca="1">IFERROR(INDEX(UNSPSCDes,MATCH(INDIRECT(ADDRESS(ROW(),COLUMN()-1,4)),UNSPSCCode,0)),IF(INDIRECT(ADDRESS(ROW(),COLUMN()-1,4))="42311505","Vendajes o compresas para uso general",""))</f>
        <v>Vendajes o compresas para uso general</v>
      </c>
      <c r="C2191" s="42" t="str">
        <f>IFERROR(VLOOKUP("UD",'[1]Informacion '!P:Q,2,FALSE),"")</f>
        <v>Unidad</v>
      </c>
      <c r="D2191" s="40">
        <v>1</v>
      </c>
      <c r="E2191" s="43">
        <v>1</v>
      </c>
      <c r="F2191" s="44">
        <f t="shared" ca="1" si="27"/>
        <v>1</v>
      </c>
    </row>
    <row r="2192" spans="1:6" x14ac:dyDescent="0.25">
      <c r="A2192" s="40" t="s">
        <v>510</v>
      </c>
      <c r="B2192" s="41" t="str">
        <f ca="1">IFERROR(INDEX(UNSPSCDes,MATCH(INDIRECT(ADDRESS(ROW(),COLUMN()-1,4)),UNSPSCCode,0)),IF(INDIRECT(ADDRESS(ROW(),COLUMN()-1,4))="42131606","Máscaras quirúrgicas o de aislamiento para personal médico",""))</f>
        <v>Máscaras quirúrgicas o de aislamiento para personal médico</v>
      </c>
      <c r="C2192" s="42" t="str">
        <f>IFERROR(VLOOKUP("UD",'[1]Informacion '!P:Q,2,FALSE),"")</f>
        <v>Unidad</v>
      </c>
      <c r="D2192" s="40">
        <v>1</v>
      </c>
      <c r="E2192" s="43">
        <v>1</v>
      </c>
      <c r="F2192" s="44">
        <f t="shared" ca="1" si="27"/>
        <v>1</v>
      </c>
    </row>
    <row r="2193" spans="1:6" ht="22.5" x14ac:dyDescent="0.25">
      <c r="A2193" s="40" t="s">
        <v>511</v>
      </c>
      <c r="B2193" s="41" t="str">
        <f ca="1">IFERROR(INDEX(UNSPSCDes,MATCH(INDIRECT(ADDRESS(ROW(),COLUMN()-1,4)),UNSPSCCode,0)),IF(INDIRECT(ADDRESS(ROW(),COLUMN()-1,4))="42142108","Almohadillas o compresas o bolsas de calentamiento o enfriamiento terapéutico",""))</f>
        <v>Almohadillas o compresas o bolsas de calentamiento o enfriamiento terapéutico</v>
      </c>
      <c r="C2193" s="42" t="str">
        <f>IFERROR(VLOOKUP("UD",'[1]Informacion '!P:Q,2,FALSE),"")</f>
        <v>Unidad</v>
      </c>
      <c r="D2193" s="40">
        <v>1</v>
      </c>
      <c r="E2193" s="43">
        <v>1</v>
      </c>
      <c r="F2193" s="44">
        <f t="shared" ca="1" si="27"/>
        <v>1</v>
      </c>
    </row>
    <row r="2194" spans="1:6" x14ac:dyDescent="0.25">
      <c r="A2194" s="40" t="s">
        <v>512</v>
      </c>
      <c r="B2194" s="41" t="str">
        <f ca="1">IFERROR(INDEX(UNSPSCDes,MATCH(INDIRECT(ADDRESS(ROW(),COLUMN()-1,4)),UNSPSCCode,0)),IF(INDIRECT(ADDRESS(ROW(),COLUMN()-1,4))="42311511","Vendajes de gasa",""))</f>
        <v>Vendajes de gasa</v>
      </c>
      <c r="C2194" s="42" t="str">
        <f>IFERROR(VLOOKUP("UD",'[1]Informacion '!P:Q,2,FALSE),"")</f>
        <v>Unidad</v>
      </c>
      <c r="D2194" s="40">
        <v>1</v>
      </c>
      <c r="E2194" s="43">
        <v>1</v>
      </c>
      <c r="F2194" s="44">
        <f t="shared" ca="1" si="27"/>
        <v>1</v>
      </c>
    </row>
    <row r="2195" spans="1:6" x14ac:dyDescent="0.25">
      <c r="A2195" s="40" t="s">
        <v>513</v>
      </c>
      <c r="B2195" s="41" t="str">
        <f ca="1">IFERROR(INDEX(UNSPSCDes,MATCH(INDIRECT(ADDRESS(ROW(),COLUMN()-1,4)),UNSPSCCode,0)),IF(INDIRECT(ADDRESS(ROW(),COLUMN()-1,4))="42221615","Tubos intravenosos de medicación secundaria",""))</f>
        <v>Tubos intravenosos de medicación secundaria</v>
      </c>
      <c r="C2195" s="42" t="str">
        <f>IFERROR(VLOOKUP("UD",'[1]Informacion '!P:Q,2,FALSE),"")</f>
        <v>Unidad</v>
      </c>
      <c r="D2195" s="40">
        <v>1</v>
      </c>
      <c r="E2195" s="43">
        <v>1</v>
      </c>
      <c r="F2195" s="44">
        <f t="shared" ca="1" si="27"/>
        <v>1</v>
      </c>
    </row>
    <row r="2196" spans="1:6" x14ac:dyDescent="0.25">
      <c r="A2196" s="40" t="s">
        <v>514</v>
      </c>
      <c r="B2196" s="41" t="str">
        <f ca="1">IFERROR(INDEX(UNSPSCDes,MATCH(INDIRECT(ADDRESS(ROW(),COLUMN()-1,4)),UNSPSCCode,0)),IF(INDIRECT(ADDRESS(ROW(),COLUMN()-1,4))="42221504","Catéteres intravenosos periféricos para uso general",""))</f>
        <v>Catéteres intravenosos periféricos para uso general</v>
      </c>
      <c r="C2196" s="42" t="str">
        <f>IFERROR(VLOOKUP("UD",'[1]Informacion '!P:Q,2,FALSE),"")</f>
        <v>Unidad</v>
      </c>
      <c r="D2196" s="40">
        <v>1</v>
      </c>
      <c r="E2196" s="43">
        <v>1</v>
      </c>
      <c r="F2196" s="44">
        <f t="shared" ca="1" si="27"/>
        <v>1</v>
      </c>
    </row>
    <row r="2197" spans="1:6" x14ac:dyDescent="0.25">
      <c r="A2197" s="40" t="s">
        <v>515</v>
      </c>
      <c r="B2197" s="41" t="str">
        <f ca="1">IFERROR(INDEX(UNSPSCDes,MATCH(INDIRECT(ADDRESS(ROW(),COLUMN()-1,4)),UNSPSCCode,0)),IF(INDIRECT(ADDRESS(ROW(),COLUMN()-1,4))="42312003","Tiras de cierre para la piel o para heridas",""))</f>
        <v>Tiras de cierre para la piel o para heridas</v>
      </c>
      <c r="C2197" s="42" t="str">
        <f>IFERROR(VLOOKUP("UD",'[1]Informacion '!P:Q,2,FALSE),"")</f>
        <v>Unidad</v>
      </c>
      <c r="D2197" s="40">
        <v>1</v>
      </c>
      <c r="E2197" s="43">
        <v>1</v>
      </c>
      <c r="F2197" s="44">
        <f t="shared" ca="1" si="27"/>
        <v>1</v>
      </c>
    </row>
    <row r="2198" spans="1:6" x14ac:dyDescent="0.25">
      <c r="A2198" s="40" t="s">
        <v>516</v>
      </c>
      <c r="B2198" s="41" t="str">
        <f ca="1">IFERROR(INDEX(UNSPSCDes,MATCH(INDIRECT(ADDRESS(ROW(),COLUMN()-1,4)),UNSPSCCode,0)),IF(INDIRECT(ADDRESS(ROW(),COLUMN()-1,4))="42171903","Estuches de medicamentos para servicios médicos de emergencia",""))</f>
        <v>Estuches de medicamentos para servicios médicos de emergencia</v>
      </c>
      <c r="C2198" s="42" t="str">
        <f>IFERROR(VLOOKUP("UD",'[1]Informacion '!P:Q,2,FALSE),"")</f>
        <v>Unidad</v>
      </c>
      <c r="D2198" s="40">
        <v>1</v>
      </c>
      <c r="E2198" s="43">
        <v>1</v>
      </c>
      <c r="F2198" s="44">
        <f t="shared" ca="1" si="27"/>
        <v>1</v>
      </c>
    </row>
    <row r="2199" spans="1:6" x14ac:dyDescent="0.25">
      <c r="A2199" s="40" t="s">
        <v>517</v>
      </c>
      <c r="B2199" s="41" t="str">
        <f ca="1">IFERROR(INDEX(UNSPSCDes,MATCH(INDIRECT(ADDRESS(ROW(),COLUMN()-1,4)),UNSPSCCode,0)),IF(INDIRECT(ADDRESS(ROW(),COLUMN()-1,4))="41122004","Jeringas para muestras",""))</f>
        <v>Jeringas para muestras</v>
      </c>
      <c r="C2199" s="42" t="str">
        <f>IFERROR(VLOOKUP("UD",'[1]Informacion '!P:Q,2,FALSE),"")</f>
        <v>Unidad</v>
      </c>
      <c r="D2199" s="40">
        <v>1</v>
      </c>
      <c r="E2199" s="43">
        <v>1</v>
      </c>
      <c r="F2199" s="44">
        <f t="shared" ca="1" si="27"/>
        <v>1</v>
      </c>
    </row>
    <row r="2200" spans="1:6" x14ac:dyDescent="0.25">
      <c r="A2200" s="40" t="s">
        <v>518</v>
      </c>
      <c r="B2200" s="41" t="str">
        <f ca="1">IFERROR(INDEX(UNSPSCDes,MATCH(INDIRECT(ADDRESS(ROW(),COLUMN()-1,4)),UNSPSCCode,0)),IF(INDIRECT(ADDRESS(ROW(),COLUMN()-1,4))="42311707","Cintas de tejido para uso quirúrgico",""))</f>
        <v>Cintas de tejido para uso quirúrgico</v>
      </c>
      <c r="C2200" s="42" t="str">
        <f>IFERROR(VLOOKUP("UD",'[1]Informacion '!P:Q,2,FALSE),"")</f>
        <v>Unidad</v>
      </c>
      <c r="D2200" s="40">
        <v>1</v>
      </c>
      <c r="E2200" s="43">
        <v>1</v>
      </c>
      <c r="F2200" s="44">
        <f t="shared" ca="1" si="27"/>
        <v>1</v>
      </c>
    </row>
    <row r="2201" spans="1:6" x14ac:dyDescent="0.25">
      <c r="A2201" s="40" t="s">
        <v>519</v>
      </c>
      <c r="B2201" s="41" t="str">
        <f ca="1">IFERROR(INDEX(UNSPSCDes,MATCH(INDIRECT(ADDRESS(ROW(),COLUMN()-1,4)),UNSPSCCode,0)),IF(INDIRECT(ADDRESS(ROW(),COLUMN()-1,4))="41112213","Termómetros de mano",""))</f>
        <v>Termómetros de mano</v>
      </c>
      <c r="C2201" s="42" t="str">
        <f>IFERROR(VLOOKUP("UD",'[1]Informacion '!P:Q,2,FALSE),"")</f>
        <v>Unidad</v>
      </c>
      <c r="D2201" s="40">
        <v>1</v>
      </c>
      <c r="E2201" s="43">
        <v>1</v>
      </c>
      <c r="F2201" s="44">
        <f t="shared" ca="1" si="27"/>
        <v>1</v>
      </c>
    </row>
    <row r="2202" spans="1:6" x14ac:dyDescent="0.25">
      <c r="A2202" s="40" t="s">
        <v>515</v>
      </c>
      <c r="B2202" s="41" t="str">
        <f ca="1">IFERROR(INDEX(UNSPSCDes,MATCH(INDIRECT(ADDRESS(ROW(),COLUMN()-1,4)),UNSPSCCode,0)),IF(INDIRECT(ADDRESS(ROW(),COLUMN()-1,4))="42312003","Tiras de cierre para la piel o para heridas",""))</f>
        <v>Tiras de cierre para la piel o para heridas</v>
      </c>
      <c r="C2202" s="42" t="str">
        <f>IFERROR(VLOOKUP("UD",'[1]Informacion '!P:Q,2,FALSE),"")</f>
        <v>Unidad</v>
      </c>
      <c r="D2202" s="40">
        <v>1</v>
      </c>
      <c r="E2202" s="43">
        <v>1</v>
      </c>
      <c r="F2202" s="44">
        <f t="shared" ca="1" si="27"/>
        <v>1</v>
      </c>
    </row>
    <row r="2203" spans="1:6" x14ac:dyDescent="0.25">
      <c r="A2203" s="40" t="s">
        <v>520</v>
      </c>
      <c r="B2203" s="41" t="str">
        <f ca="1">IFERROR(INDEX(UNSPSCDes,MATCH(INDIRECT(ADDRESS(ROW(),COLUMN()-1,4)),UNSPSCCode,0)),IF(INDIRECT(ADDRESS(ROW(),COLUMN()-1,4))="42181501","Depresores de lengua o cuchillos o baja lenguas",""))</f>
        <v>Depresores de lengua o cuchillos o baja lenguas</v>
      </c>
      <c r="C2203" s="42" t="str">
        <f>IFERROR(VLOOKUP("UD",'[1]Informacion '!P:Q,2,FALSE),"")</f>
        <v>Unidad</v>
      </c>
      <c r="D2203" s="40">
        <v>1</v>
      </c>
      <c r="E2203" s="43">
        <v>1</v>
      </c>
      <c r="F2203" s="44">
        <f t="shared" ca="1" si="27"/>
        <v>1</v>
      </c>
    </row>
    <row r="2204" spans="1:6" x14ac:dyDescent="0.25">
      <c r="A2204" s="40" t="s">
        <v>519</v>
      </c>
      <c r="B2204" s="41" t="str">
        <f ca="1">IFERROR(INDEX(UNSPSCDes,MATCH(INDIRECT(ADDRESS(ROW(),COLUMN()-1,4)),UNSPSCCode,0)),IF(INDIRECT(ADDRESS(ROW(),COLUMN()-1,4))="41112213","Termómetros de mano",""))</f>
        <v>Termómetros de mano</v>
      </c>
      <c r="C2204" s="42" t="str">
        <f>IFERROR(VLOOKUP("UD",'[1]Informacion '!P:Q,2,FALSE),"")</f>
        <v>Unidad</v>
      </c>
      <c r="D2204" s="40">
        <v>1</v>
      </c>
      <c r="E2204" s="43">
        <v>1</v>
      </c>
      <c r="F2204" s="44">
        <f t="shared" ca="1" si="27"/>
        <v>1</v>
      </c>
    </row>
    <row r="2205" spans="1:6" x14ac:dyDescent="0.25">
      <c r="A2205" s="40" t="s">
        <v>521</v>
      </c>
      <c r="B2205" s="41" t="str">
        <f ca="1">IFERROR(INDEX(UNSPSCDes,MATCH(INDIRECT(ADDRESS(ROW(),COLUMN()-1,4)),UNSPSCCode,0)),IF(INDIRECT(ADDRESS(ROW(),COLUMN()-1,4))="42132203","Guantes de examen o para procedimientos no quirúrgicos",""))</f>
        <v>Guantes de examen o para procedimientos no quirúrgicos</v>
      </c>
      <c r="C2205" s="42" t="str">
        <f>IFERROR(VLOOKUP("UD",'[1]Informacion '!P:Q,2,FALSE),"")</f>
        <v>Unidad</v>
      </c>
      <c r="D2205" s="40">
        <v>1</v>
      </c>
      <c r="E2205" s="43">
        <v>1</v>
      </c>
      <c r="F2205" s="44">
        <f t="shared" ca="1" si="27"/>
        <v>1</v>
      </c>
    </row>
    <row r="2206" spans="1:6" x14ac:dyDescent="0.25">
      <c r="A2206" s="40" t="s">
        <v>509</v>
      </c>
      <c r="B2206" s="41" t="str">
        <f ca="1">IFERROR(INDEX(UNSPSCDes,MATCH(INDIRECT(ADDRESS(ROW(),COLUMN()-1,4)),UNSPSCCode,0)),IF(INDIRECT(ADDRESS(ROW(),COLUMN()-1,4))="42311505","Vendajes o compresas para uso general",""))</f>
        <v>Vendajes o compresas para uso general</v>
      </c>
      <c r="C2206" s="42" t="str">
        <f>IFERROR(VLOOKUP("UD",'[1]Informacion '!P:Q,2,FALSE),"")</f>
        <v>Unidad</v>
      </c>
      <c r="D2206" s="40">
        <v>1</v>
      </c>
      <c r="E2206" s="43">
        <v>1</v>
      </c>
      <c r="F2206" s="44">
        <f t="shared" ca="1" si="27"/>
        <v>1</v>
      </c>
    </row>
    <row r="2207" spans="1:6" x14ac:dyDescent="0.25">
      <c r="A2207" s="40" t="s">
        <v>522</v>
      </c>
      <c r="B2207" s="41" t="str">
        <f ca="1">IFERROR(INDEX(UNSPSCDes,MATCH(INDIRECT(ADDRESS(ROW(),COLUMN()-1,4)),UNSPSCCode,0)),IF(INDIRECT(ADDRESS(ROW(),COLUMN()-1,4))="42142609","Jeringas con agujas para uso médico",""))</f>
        <v>Jeringas con agujas para uso médico</v>
      </c>
      <c r="C2207" s="42" t="str">
        <f>IFERROR(VLOOKUP("UD",'[1]Informacion '!P:Q,2,FALSE),"")</f>
        <v>Unidad</v>
      </c>
      <c r="D2207" s="40">
        <v>1</v>
      </c>
      <c r="E2207" s="43">
        <v>1</v>
      </c>
      <c r="F2207" s="44">
        <f t="shared" ca="1" si="27"/>
        <v>1</v>
      </c>
    </row>
    <row r="2208" spans="1:6" x14ac:dyDescent="0.25">
      <c r="A2208" s="40" t="s">
        <v>523</v>
      </c>
      <c r="B2208" s="41" t="str">
        <f ca="1">IFERROR(INDEX(UNSPSCDes,MATCH(INDIRECT(ADDRESS(ROW(),COLUMN()-1,4)),UNSPSCCode,0)),IF(INDIRECT(ADDRESS(ROW(),COLUMN()-1,4))="42311703","Cintas médicas o quirúrgicas para pegar la piel",""))</f>
        <v>Cintas médicas o quirúrgicas para pegar la piel</v>
      </c>
      <c r="C2208" s="42" t="str">
        <f>IFERROR(VLOOKUP("UD",'[1]Informacion '!P:Q,2,FALSE),"")</f>
        <v>Unidad</v>
      </c>
      <c r="D2208" s="40">
        <v>1</v>
      </c>
      <c r="E2208" s="43">
        <v>1</v>
      </c>
      <c r="F2208" s="44">
        <f t="shared" ca="1" si="27"/>
        <v>1</v>
      </c>
    </row>
    <row r="2209" spans="1:6" x14ac:dyDescent="0.25">
      <c r="A2209" s="40">
        <v>42241811</v>
      </c>
      <c r="B2209" s="41" t="str">
        <f ca="1">IFERROR(INDEX(UNSPSCDes,MATCH(INDIRECT(ADDRESS(ROW(),COLUMN()-1,4)),UNSPSCCode,0)),IF(INDIRECT(ADDRESS(ROW(),COLUMN()-1,4))="42311703","Cintas médicas o quirúrgicas para pegar la piel",""))</f>
        <v>Faja para hernias</v>
      </c>
      <c r="C2209" s="42" t="str">
        <f>IFERROR(VLOOKUP("UD",'[1]Informacion '!P:Q,2,FALSE),"")</f>
        <v>Unidad</v>
      </c>
      <c r="D2209" s="40">
        <v>1</v>
      </c>
      <c r="E2209" s="43">
        <v>1</v>
      </c>
      <c r="F2209" s="44">
        <f t="shared" ca="1" si="27"/>
        <v>1</v>
      </c>
    </row>
    <row r="2210" spans="1:6" x14ac:dyDescent="0.25">
      <c r="E2210" s="45" t="s">
        <v>47</v>
      </c>
      <c r="F2210" s="46">
        <f ca="1">SUM(Table178[MONTO TOTAL ESTIMADO])</f>
        <v>22</v>
      </c>
    </row>
    <row r="2211" spans="1:6" ht="17.25" thickBot="1" x14ac:dyDescent="0.3"/>
    <row r="2212" spans="1:6" ht="23.25" thickBot="1" x14ac:dyDescent="0.3">
      <c r="A2212" s="30" t="s">
        <v>18</v>
      </c>
      <c r="B2212" s="30" t="s">
        <v>19</v>
      </c>
      <c r="C2212" s="30" t="s">
        <v>20</v>
      </c>
      <c r="D2212" s="30" t="s">
        <v>21</v>
      </c>
      <c r="E2212" s="30" t="s">
        <v>22</v>
      </c>
      <c r="F2212" s="30" t="s">
        <v>23</v>
      </c>
    </row>
    <row r="2213" spans="1:6" ht="17.25" thickBot="1" x14ac:dyDescent="0.3">
      <c r="A2213" s="31" t="s">
        <v>524</v>
      </c>
      <c r="B2213" s="31" t="s">
        <v>524</v>
      </c>
      <c r="C2213" s="31" t="s">
        <v>92</v>
      </c>
      <c r="D2213" s="31" t="s">
        <v>27</v>
      </c>
      <c r="E2213" s="31" t="s">
        <v>58</v>
      </c>
      <c r="F2213" s="31"/>
    </row>
    <row r="2214" spans="1:6" ht="17.25" thickBot="1" x14ac:dyDescent="0.3">
      <c r="A2214" s="32" t="s">
        <v>29</v>
      </c>
      <c r="B2214" s="33" t="s">
        <v>30</v>
      </c>
      <c r="C2214" s="34">
        <v>44995</v>
      </c>
      <c r="D2214" s="32" t="s">
        <v>31</v>
      </c>
      <c r="E2214" s="35" t="s">
        <v>32</v>
      </c>
      <c r="F2214" s="36" t="s">
        <v>33</v>
      </c>
    </row>
    <row r="2215" spans="1:6" ht="17.25" thickBot="1" x14ac:dyDescent="0.3">
      <c r="A2215" s="37"/>
      <c r="B2215" s="33" t="s">
        <v>34</v>
      </c>
      <c r="C2215" s="38">
        <f>IF(C2214="","",IF(AND(MONTH(C2214)&gt;=1,MONTH(C2214)&lt;=3),1,IF(AND(MONTH(C2214)&gt;=4,MONTH(C2214)&lt;=6),2,IF(AND(MONTH(C2214)&gt;=7,MONTH(C2214)&lt;=9),3,4))))</f>
        <v>1</v>
      </c>
      <c r="D2215" s="37"/>
      <c r="E2215" s="35" t="s">
        <v>35</v>
      </c>
      <c r="F2215" s="36" t="s">
        <v>36</v>
      </c>
    </row>
    <row r="2216" spans="1:6" ht="17.25" thickBot="1" x14ac:dyDescent="0.3">
      <c r="A2216" s="37"/>
      <c r="B2216" s="33" t="s">
        <v>37</v>
      </c>
      <c r="C2216" s="34">
        <v>45046</v>
      </c>
      <c r="D2216" s="37"/>
      <c r="E2216" s="35" t="s">
        <v>38</v>
      </c>
      <c r="F2216" s="36" t="s">
        <v>36</v>
      </c>
    </row>
    <row r="2217" spans="1:6" ht="17.25" thickBot="1" x14ac:dyDescent="0.3">
      <c r="A2217" s="37"/>
      <c r="B2217" s="33" t="s">
        <v>34</v>
      </c>
      <c r="C2217" s="38">
        <f>IF(C2216="","",IF(AND(MONTH(C2216)&gt;=1,MONTH(C2216)&lt;=3),1,IF(AND(MONTH(C2216)&gt;=4,MONTH(C2216)&lt;=6),2,IF(AND(MONTH(C2216)&gt;=7,MONTH(C2216)&lt;=9),3,4))))</f>
        <v>2</v>
      </c>
      <c r="D2217" s="37"/>
      <c r="E2217" s="35" t="s">
        <v>39</v>
      </c>
      <c r="F2217" s="36" t="s">
        <v>36</v>
      </c>
    </row>
    <row r="2218" spans="1:6" ht="17.25" thickBot="1" x14ac:dyDescent="0.3"/>
    <row r="2219" spans="1:6" ht="17.25" thickBot="1" x14ac:dyDescent="0.3">
      <c r="A2219" s="39" t="s">
        <v>40</v>
      </c>
      <c r="B2219" s="39" t="s">
        <v>41</v>
      </c>
      <c r="C2219" s="39" t="s">
        <v>42</v>
      </c>
      <c r="D2219" s="39" t="s">
        <v>43</v>
      </c>
      <c r="E2219" s="39" t="s">
        <v>44</v>
      </c>
      <c r="F2219" s="39" t="s">
        <v>45</v>
      </c>
    </row>
    <row r="2220" spans="1:6" x14ac:dyDescent="0.25">
      <c r="A2220" s="40" t="s">
        <v>525</v>
      </c>
      <c r="B2220" s="41" t="str">
        <f ca="1">IFERROR(INDEX(UNSPSCDes,MATCH(INDIRECT(ADDRESS(ROW(),COLUMN()-1,4)),UNSPSCCode,0)),IF(INDIRECT(ADDRESS(ROW(),COLUMN()-1,4))="42271802","Nebulizadores o accesorios",""))</f>
        <v>Nebulizadores o accesorios</v>
      </c>
      <c r="C2220" s="42" t="str">
        <f>IFERROR(VLOOKUP("UD",'[1]Informacion '!P:Q,2,FALSE),"")</f>
        <v>Unidad</v>
      </c>
      <c r="D2220" s="40">
        <v>1</v>
      </c>
      <c r="E2220" s="43">
        <v>100000</v>
      </c>
      <c r="F2220" s="44">
        <f ca="1">INDIRECT(ADDRESS(ROW(),COLUMN()-2,4))*INDIRECT(ADDRESS(ROW(),COLUMN()-1,4))</f>
        <v>100000</v>
      </c>
    </row>
    <row r="2221" spans="1:6" x14ac:dyDescent="0.25">
      <c r="A2221" s="40" t="s">
        <v>526</v>
      </c>
      <c r="B2221" s="41" t="str">
        <f ca="1">IFERROR(INDEX(UNSPSCDes,MATCH(INDIRECT(ADDRESS(ROW(),COLUMN()-1,4)),UNSPSCCode,0)),IF(INDIRECT(ADDRESS(ROW(),COLUMN()-1,4))="42192210","Sillas de ruedas",""))</f>
        <v>Sillas de ruedas</v>
      </c>
      <c r="C2221" s="42" t="str">
        <f>IFERROR(VLOOKUP("UD",'[1]Informacion '!P:Q,2,FALSE),"")</f>
        <v>Unidad</v>
      </c>
      <c r="D2221" s="40">
        <v>1</v>
      </c>
      <c r="E2221" s="43">
        <v>100000</v>
      </c>
      <c r="F2221" s="44">
        <f ca="1">INDIRECT(ADDRESS(ROW(),COLUMN()-2,4))*INDIRECT(ADDRESS(ROW(),COLUMN()-1,4))</f>
        <v>100000</v>
      </c>
    </row>
    <row r="2222" spans="1:6" x14ac:dyDescent="0.25">
      <c r="A2222" s="40" t="s">
        <v>527</v>
      </c>
      <c r="B2222" s="41" t="str">
        <f ca="1">IFERROR(INDEX(UNSPSCDes,MATCH(INDIRECT(ADDRESS(ROW(),COLUMN()-1,4)),UNSPSCCode,0)),IF(INDIRECT(ADDRESS(ROW(),COLUMN()-1,4))="42192207","Camillas para pacientes o accesorios para camillas",""))</f>
        <v>Camillas para pacientes o accesorios para camillas</v>
      </c>
      <c r="C2222" s="42" t="str">
        <f>IFERROR(VLOOKUP("UD",'[1]Informacion '!P:Q,2,FALSE),"")</f>
        <v>Unidad</v>
      </c>
      <c r="D2222" s="40">
        <v>1</v>
      </c>
      <c r="E2222" s="43">
        <v>100000</v>
      </c>
      <c r="F2222" s="44">
        <f ca="1">INDIRECT(ADDRESS(ROW(),COLUMN()-2,4))*INDIRECT(ADDRESS(ROW(),COLUMN()-1,4))</f>
        <v>100000</v>
      </c>
    </row>
    <row r="2223" spans="1:6" x14ac:dyDescent="0.25">
      <c r="A2223" s="40" t="s">
        <v>525</v>
      </c>
      <c r="B2223" s="41" t="str">
        <f ca="1">IFERROR(INDEX(UNSPSCDes,MATCH(INDIRECT(ADDRESS(ROW(),COLUMN()-1,4)),UNSPSCCode,0)),IF(INDIRECT(ADDRESS(ROW(),COLUMN()-1,4))="42271802","Nebulizadores o accesorios",""))</f>
        <v>Nebulizadores o accesorios</v>
      </c>
      <c r="C2223" s="42" t="str">
        <f>IFERROR(VLOOKUP("UD",'[1]Informacion '!P:Q,2,FALSE),"")</f>
        <v>Unidad</v>
      </c>
      <c r="D2223" s="40">
        <v>1</v>
      </c>
      <c r="E2223" s="43">
        <v>100000</v>
      </c>
      <c r="F2223" s="44">
        <f ca="1">INDIRECT(ADDRESS(ROW(),COLUMN()-2,4))*INDIRECT(ADDRESS(ROW(),COLUMN()-1,4))</f>
        <v>100000</v>
      </c>
    </row>
    <row r="2224" spans="1:6" x14ac:dyDescent="0.25">
      <c r="A2224" s="40">
        <v>42192210</v>
      </c>
      <c r="B2224" s="41" t="str">
        <f ca="1">IFERROR(INDEX(UNSPSCDes,MATCH(INDIRECT(ADDRESS(ROW(),COLUMN()-1,4)),UNSPSCCode,0)),IF(INDIRECT(ADDRESS(ROW(),COLUMN()-1,4))="42271802","Nebulizadores o accesorios",""))</f>
        <v>Sillas de ruedas</v>
      </c>
      <c r="C2224" s="42" t="str">
        <f>IFERROR(VLOOKUP("UD",'[1]Informacion '!P:Q,2,FALSE),"")</f>
        <v>Unidad</v>
      </c>
      <c r="D2224" s="40">
        <v>1</v>
      </c>
      <c r="E2224" s="43">
        <v>179000</v>
      </c>
      <c r="F2224" s="44">
        <f ca="1">INDIRECT(ADDRESS(ROW(),COLUMN()-2,4))*INDIRECT(ADDRESS(ROW(),COLUMN()-1,4))</f>
        <v>179000</v>
      </c>
    </row>
    <row r="2225" spans="1:6" x14ac:dyDescent="0.25">
      <c r="E2225" s="45" t="s">
        <v>47</v>
      </c>
      <c r="F2225" s="46">
        <f ca="1">SUM(Table179[MONTO TOTAL ESTIMADO])</f>
        <v>579000</v>
      </c>
    </row>
    <row r="2226" spans="1:6" ht="17.25" thickBot="1" x14ac:dyDescent="0.3"/>
    <row r="2227" spans="1:6" ht="23.25" thickBot="1" x14ac:dyDescent="0.3">
      <c r="A2227" s="30" t="s">
        <v>18</v>
      </c>
      <c r="B2227" s="30" t="s">
        <v>19</v>
      </c>
      <c r="C2227" s="30" t="s">
        <v>20</v>
      </c>
      <c r="D2227" s="30" t="s">
        <v>21</v>
      </c>
      <c r="E2227" s="30" t="s">
        <v>22</v>
      </c>
      <c r="F2227" s="30" t="s">
        <v>23</v>
      </c>
    </row>
    <row r="2228" spans="1:6" ht="17.25" thickBot="1" x14ac:dyDescent="0.3">
      <c r="A2228" s="31" t="s">
        <v>528</v>
      </c>
      <c r="B2228" s="31" t="s">
        <v>529</v>
      </c>
      <c r="C2228" s="31" t="s">
        <v>26</v>
      </c>
      <c r="D2228" s="31" t="s">
        <v>50</v>
      </c>
      <c r="E2228" s="31" t="s">
        <v>58</v>
      </c>
      <c r="F2228" s="31"/>
    </row>
    <row r="2229" spans="1:6" ht="17.25" thickBot="1" x14ac:dyDescent="0.3">
      <c r="A2229" s="32" t="s">
        <v>29</v>
      </c>
      <c r="B2229" s="33" t="s">
        <v>30</v>
      </c>
      <c r="C2229" s="34">
        <v>44927</v>
      </c>
      <c r="D2229" s="32" t="s">
        <v>31</v>
      </c>
      <c r="E2229" s="35" t="s">
        <v>32</v>
      </c>
      <c r="F2229" s="36" t="s">
        <v>33</v>
      </c>
    </row>
    <row r="2230" spans="1:6" ht="17.25" thickBot="1" x14ac:dyDescent="0.3">
      <c r="A2230" s="37"/>
      <c r="B2230" s="33" t="s">
        <v>34</v>
      </c>
      <c r="C2230" s="38">
        <f>IF(C2229="","",IF(AND(MONTH(C2229)&gt;=1,MONTH(C2229)&lt;=3),1,IF(AND(MONTH(C2229)&gt;=4,MONTH(C2229)&lt;=6),2,IF(AND(MONTH(C2229)&gt;=7,MONTH(C2229)&lt;=9),3,4))))</f>
        <v>1</v>
      </c>
      <c r="D2230" s="37"/>
      <c r="E2230" s="35" t="s">
        <v>35</v>
      </c>
      <c r="F2230" s="36" t="s">
        <v>36</v>
      </c>
    </row>
    <row r="2231" spans="1:6" ht="17.25" thickBot="1" x14ac:dyDescent="0.3">
      <c r="A2231" s="37"/>
      <c r="B2231" s="33" t="s">
        <v>37</v>
      </c>
      <c r="C2231" s="34">
        <v>45015</v>
      </c>
      <c r="D2231" s="37"/>
      <c r="E2231" s="35" t="s">
        <v>38</v>
      </c>
      <c r="F2231" s="36" t="s">
        <v>36</v>
      </c>
    </row>
    <row r="2232" spans="1:6" ht="17.25" thickBot="1" x14ac:dyDescent="0.3">
      <c r="A2232" s="37"/>
      <c r="B2232" s="33" t="s">
        <v>34</v>
      </c>
      <c r="C2232" s="38">
        <f>IF(C2231="","",IF(AND(MONTH(C2231)&gt;=1,MONTH(C2231)&lt;=3),1,IF(AND(MONTH(C2231)&gt;=4,MONTH(C2231)&lt;=6),2,IF(AND(MONTH(C2231)&gt;=7,MONTH(C2231)&lt;=9),3,4))))</f>
        <v>1</v>
      </c>
      <c r="D2232" s="37"/>
      <c r="E2232" s="35" t="s">
        <v>39</v>
      </c>
      <c r="F2232" s="36"/>
    </row>
    <row r="2233" spans="1:6" ht="17.25" thickBot="1" x14ac:dyDescent="0.3"/>
    <row r="2234" spans="1:6" ht="17.25" thickBot="1" x14ac:dyDescent="0.3">
      <c r="A2234" s="39" t="s">
        <v>40</v>
      </c>
      <c r="B2234" s="39" t="s">
        <v>41</v>
      </c>
      <c r="C2234" s="39" t="s">
        <v>42</v>
      </c>
      <c r="D2234" s="39" t="s">
        <v>43</v>
      </c>
      <c r="E2234" s="39" t="s">
        <v>44</v>
      </c>
      <c r="F2234" s="39" t="s">
        <v>45</v>
      </c>
    </row>
    <row r="2235" spans="1:6" x14ac:dyDescent="0.25">
      <c r="A2235" s="40" t="s">
        <v>530</v>
      </c>
      <c r="B2235" s="41" t="str">
        <f ca="1">IFERROR(INDEX(UNSPSCDes,MATCH(INDIRECT(ADDRESS(ROW(),COLUMN()-1,4)),UNSPSCCode,0)),IF(INDIRECT(ADDRESS(ROW(),COLUMN()-1,4))="82101503","Publicidad en revistas",""))</f>
        <v>Publicidad en revistas</v>
      </c>
      <c r="C2235" s="42" t="str">
        <f>IFERROR(VLOOKUP("UD",'[1]Informacion '!P:Q,2,FALSE),"")</f>
        <v>Unidad</v>
      </c>
      <c r="D2235" s="40">
        <v>1</v>
      </c>
      <c r="E2235" s="43">
        <v>181500</v>
      </c>
      <c r="F2235" s="44">
        <f ca="1">INDIRECT(ADDRESS(ROW(),COLUMN()-2,4))*INDIRECT(ADDRESS(ROW(),COLUMN()-1,4))</f>
        <v>181500</v>
      </c>
    </row>
    <row r="2236" spans="1:6" x14ac:dyDescent="0.25">
      <c r="A2236" s="40" t="s">
        <v>531</v>
      </c>
      <c r="B2236" s="41" t="str">
        <f ca="1">IFERROR(INDEX(UNSPSCDes,MATCH(INDIRECT(ADDRESS(ROW(),COLUMN()-1,4)),UNSPSCCode,0)),IF(INDIRECT(ADDRESS(ROW(),COLUMN()-1,4))="82121503","Impresión digital",""))</f>
        <v>Impresión digital</v>
      </c>
      <c r="C2236" s="42" t="str">
        <f>IFERROR(VLOOKUP("UD",'[1]Informacion '!P:Q,2,FALSE),"")</f>
        <v>Unidad</v>
      </c>
      <c r="D2236" s="40">
        <v>1</v>
      </c>
      <c r="E2236" s="43">
        <v>181500</v>
      </c>
      <c r="F2236" s="44">
        <f ca="1">INDIRECT(ADDRESS(ROW(),COLUMN()-2,4))*INDIRECT(ADDRESS(ROW(),COLUMN()-1,4))</f>
        <v>181500</v>
      </c>
    </row>
    <row r="2237" spans="1:6" x14ac:dyDescent="0.25">
      <c r="E2237" s="45" t="s">
        <v>47</v>
      </c>
      <c r="F2237" s="46">
        <f ca="1">SUM(Table181[MONTO TOTAL ESTIMADO])</f>
        <v>363000</v>
      </c>
    </row>
    <row r="2238" spans="1:6" ht="17.25" thickBot="1" x14ac:dyDescent="0.3"/>
    <row r="2239" spans="1:6" ht="23.25" thickBot="1" x14ac:dyDescent="0.3">
      <c r="A2239" s="30" t="s">
        <v>18</v>
      </c>
      <c r="B2239" s="30" t="s">
        <v>19</v>
      </c>
      <c r="C2239" s="30" t="s">
        <v>20</v>
      </c>
      <c r="D2239" s="30" t="s">
        <v>21</v>
      </c>
      <c r="E2239" s="30" t="s">
        <v>22</v>
      </c>
      <c r="F2239" s="30" t="s">
        <v>23</v>
      </c>
    </row>
    <row r="2240" spans="1:6" ht="17.25" thickBot="1" x14ac:dyDescent="0.3">
      <c r="A2240" s="31" t="s">
        <v>528</v>
      </c>
      <c r="B2240" s="31" t="s">
        <v>529</v>
      </c>
      <c r="C2240" s="31" t="s">
        <v>26</v>
      </c>
      <c r="D2240" s="31" t="s">
        <v>27</v>
      </c>
      <c r="E2240" s="31" t="s">
        <v>58</v>
      </c>
      <c r="F2240" s="31"/>
    </row>
    <row r="2241" spans="1:6" ht="17.25" thickBot="1" x14ac:dyDescent="0.3">
      <c r="A2241" s="32" t="s">
        <v>29</v>
      </c>
      <c r="B2241" s="33" t="s">
        <v>30</v>
      </c>
      <c r="C2241" s="34">
        <v>45017</v>
      </c>
      <c r="D2241" s="32" t="s">
        <v>31</v>
      </c>
      <c r="E2241" s="35" t="s">
        <v>32</v>
      </c>
      <c r="F2241" s="36" t="s">
        <v>33</v>
      </c>
    </row>
    <row r="2242" spans="1:6" ht="17.25" thickBot="1" x14ac:dyDescent="0.3">
      <c r="A2242" s="37"/>
      <c r="B2242" s="33" t="s">
        <v>34</v>
      </c>
      <c r="C2242" s="38">
        <f>IF(C2241="","",IF(AND(MONTH(C2241)&gt;=1,MONTH(C2241)&lt;=3),1,IF(AND(MONTH(C2241)&gt;=4,MONTH(C2241)&lt;=6),2,IF(AND(MONTH(C2241)&gt;=7,MONTH(C2241)&lt;=9),3,4))))</f>
        <v>2</v>
      </c>
      <c r="D2242" s="37"/>
      <c r="E2242" s="35" t="s">
        <v>35</v>
      </c>
      <c r="F2242" s="36" t="s">
        <v>36</v>
      </c>
    </row>
    <row r="2243" spans="1:6" ht="17.25" thickBot="1" x14ac:dyDescent="0.3">
      <c r="A2243" s="37"/>
      <c r="B2243" s="33" t="s">
        <v>37</v>
      </c>
      <c r="C2243" s="34">
        <v>45107</v>
      </c>
      <c r="D2243" s="37"/>
      <c r="E2243" s="35" t="s">
        <v>38</v>
      </c>
      <c r="F2243" s="36" t="s">
        <v>36</v>
      </c>
    </row>
    <row r="2244" spans="1:6" ht="17.25" thickBot="1" x14ac:dyDescent="0.3">
      <c r="A2244" s="37"/>
      <c r="B2244" s="33" t="s">
        <v>34</v>
      </c>
      <c r="C2244" s="38">
        <f>IF(C2243="","",IF(AND(MONTH(C2243)&gt;=1,MONTH(C2243)&lt;=3),1,IF(AND(MONTH(C2243)&gt;=4,MONTH(C2243)&lt;=6),2,IF(AND(MONTH(C2243)&gt;=7,MONTH(C2243)&lt;=9),3,4))))</f>
        <v>2</v>
      </c>
      <c r="D2244" s="37"/>
      <c r="E2244" s="35" t="s">
        <v>39</v>
      </c>
      <c r="F2244" s="36" t="s">
        <v>36</v>
      </c>
    </row>
    <row r="2245" spans="1:6" ht="17.25" thickBot="1" x14ac:dyDescent="0.3"/>
    <row r="2246" spans="1:6" ht="17.25" thickBot="1" x14ac:dyDescent="0.3">
      <c r="A2246" s="39" t="s">
        <v>40</v>
      </c>
      <c r="B2246" s="39" t="s">
        <v>41</v>
      </c>
      <c r="C2246" s="39" t="s">
        <v>42</v>
      </c>
      <c r="D2246" s="39" t="s">
        <v>43</v>
      </c>
      <c r="E2246" s="39" t="s">
        <v>44</v>
      </c>
      <c r="F2246" s="39" t="s">
        <v>45</v>
      </c>
    </row>
    <row r="2247" spans="1:6" x14ac:dyDescent="0.25">
      <c r="A2247" s="40" t="s">
        <v>530</v>
      </c>
      <c r="B2247" s="41" t="str">
        <f ca="1">IFERROR(INDEX(UNSPSCDes,MATCH(INDIRECT(ADDRESS(ROW(),COLUMN()-1,4)),UNSPSCCode,0)),IF(INDIRECT(ADDRESS(ROW(),COLUMN()-1,4))="82101503","Publicidad en revistas",""))</f>
        <v>Publicidad en revistas</v>
      </c>
      <c r="C2247" s="42" t="str">
        <f>IFERROR(VLOOKUP("UD",'[1]Informacion '!P:Q,2,FALSE),"")</f>
        <v>Unidad</v>
      </c>
      <c r="D2247" s="40">
        <v>1</v>
      </c>
      <c r="E2247" s="43">
        <v>35000</v>
      </c>
      <c r="F2247" s="44">
        <f ca="1">INDIRECT(ADDRESS(ROW(),COLUMN()-2,4))*INDIRECT(ADDRESS(ROW(),COLUMN()-1,4))</f>
        <v>35000</v>
      </c>
    </row>
    <row r="2248" spans="1:6" x14ac:dyDescent="0.25">
      <c r="A2248" s="40" t="s">
        <v>532</v>
      </c>
      <c r="B2248" s="41" t="str">
        <f ca="1">IFERROR(INDEX(UNSPSCDes,MATCH(INDIRECT(ADDRESS(ROW(),COLUMN()-1,4)),UNSPSCCode,0)),IF(INDIRECT(ADDRESS(ROW(),COLUMN()-1,4))="82121505","Impresión promocional o publicitaria",""))</f>
        <v>Impresión promocional o publicitaria</v>
      </c>
      <c r="C2248" s="42" t="str">
        <f>IFERROR(VLOOKUP("UD",'[1]Informacion '!P:Q,2,FALSE),"")</f>
        <v>Unidad</v>
      </c>
      <c r="D2248" s="40">
        <v>1</v>
      </c>
      <c r="E2248" s="43">
        <v>35000</v>
      </c>
      <c r="F2248" s="44">
        <f ca="1">INDIRECT(ADDRESS(ROW(),COLUMN()-2,4))*INDIRECT(ADDRESS(ROW(),COLUMN()-1,4))</f>
        <v>35000</v>
      </c>
    </row>
    <row r="2249" spans="1:6" x14ac:dyDescent="0.25">
      <c r="A2249" s="40" t="s">
        <v>533</v>
      </c>
      <c r="B2249" s="41" t="str">
        <f ca="1">IFERROR(INDEX(UNSPSCDes,MATCH(INDIRECT(ADDRESS(ROW(),COLUMN()-1,4)),UNSPSCCode,0)),IF(INDIRECT(ADDRESS(ROW(),COLUMN()-1,4))="82101504","Publicidad en periódicos",""))</f>
        <v>Publicidad en periódicos</v>
      </c>
      <c r="C2249" s="42" t="str">
        <f>IFERROR(VLOOKUP("UD",'[1]Informacion '!P:Q,2,FALSE),"")</f>
        <v>Unidad</v>
      </c>
      <c r="D2249" s="40">
        <v>1</v>
      </c>
      <c r="E2249" s="43">
        <v>30000</v>
      </c>
      <c r="F2249" s="44">
        <f ca="1">INDIRECT(ADDRESS(ROW(),COLUMN()-2,4))*INDIRECT(ADDRESS(ROW(),COLUMN()-1,4))</f>
        <v>30000</v>
      </c>
    </row>
    <row r="2250" spans="1:6" x14ac:dyDescent="0.25">
      <c r="E2250" s="45" t="s">
        <v>47</v>
      </c>
      <c r="F2250" s="46">
        <f ca="1">SUM(Table182[MONTO TOTAL ESTIMADO])</f>
        <v>100000</v>
      </c>
    </row>
    <row r="2251" spans="1:6" ht="17.25" thickBot="1" x14ac:dyDescent="0.3"/>
    <row r="2252" spans="1:6" ht="23.25" thickBot="1" x14ac:dyDescent="0.3">
      <c r="A2252" s="30" t="s">
        <v>18</v>
      </c>
      <c r="B2252" s="30" t="s">
        <v>19</v>
      </c>
      <c r="C2252" s="30" t="s">
        <v>20</v>
      </c>
      <c r="D2252" s="30" t="s">
        <v>21</v>
      </c>
      <c r="E2252" s="30" t="s">
        <v>22</v>
      </c>
      <c r="F2252" s="30" t="s">
        <v>23</v>
      </c>
    </row>
    <row r="2253" spans="1:6" ht="17.25" thickBot="1" x14ac:dyDescent="0.3">
      <c r="A2253" s="31" t="s">
        <v>528</v>
      </c>
      <c r="B2253" s="31" t="s">
        <v>529</v>
      </c>
      <c r="C2253" s="31" t="s">
        <v>26</v>
      </c>
      <c r="D2253" s="31" t="s">
        <v>27</v>
      </c>
      <c r="E2253" s="31" t="s">
        <v>58</v>
      </c>
      <c r="F2253" s="31"/>
    </row>
    <row r="2254" spans="1:6" ht="17.25" thickBot="1" x14ac:dyDescent="0.3">
      <c r="A2254" s="32" t="s">
        <v>29</v>
      </c>
      <c r="B2254" s="33" t="s">
        <v>30</v>
      </c>
      <c r="C2254" s="34">
        <v>45108</v>
      </c>
      <c r="D2254" s="32" t="s">
        <v>31</v>
      </c>
      <c r="E2254" s="35" t="s">
        <v>32</v>
      </c>
      <c r="F2254" s="36" t="s">
        <v>33</v>
      </c>
    </row>
    <row r="2255" spans="1:6" ht="17.25" thickBot="1" x14ac:dyDescent="0.3">
      <c r="A2255" s="37"/>
      <c r="B2255" s="33" t="s">
        <v>34</v>
      </c>
      <c r="C2255" s="38">
        <f>IF(C2254="","",IF(AND(MONTH(C2254)&gt;=1,MONTH(C2254)&lt;=3),1,IF(AND(MONTH(C2254)&gt;=4,MONTH(C2254)&lt;=6),2,IF(AND(MONTH(C2254)&gt;=7,MONTH(C2254)&lt;=9),3,4))))</f>
        <v>3</v>
      </c>
      <c r="D2255" s="37"/>
      <c r="E2255" s="35" t="s">
        <v>35</v>
      </c>
      <c r="F2255" s="36" t="s">
        <v>36</v>
      </c>
    </row>
    <row r="2256" spans="1:6" ht="17.25" thickBot="1" x14ac:dyDescent="0.3">
      <c r="A2256" s="37"/>
      <c r="B2256" s="33" t="s">
        <v>37</v>
      </c>
      <c r="C2256" s="34">
        <v>45199</v>
      </c>
      <c r="D2256" s="37"/>
      <c r="E2256" s="35" t="s">
        <v>38</v>
      </c>
      <c r="F2256" s="36" t="s">
        <v>36</v>
      </c>
    </row>
    <row r="2257" spans="1:6" ht="17.25" thickBot="1" x14ac:dyDescent="0.3">
      <c r="A2257" s="37"/>
      <c r="B2257" s="33" t="s">
        <v>34</v>
      </c>
      <c r="C2257" s="38">
        <f>IF(C2256="","",IF(AND(MONTH(C2256)&gt;=1,MONTH(C2256)&lt;=3),1,IF(AND(MONTH(C2256)&gt;=4,MONTH(C2256)&lt;=6),2,IF(AND(MONTH(C2256)&gt;=7,MONTH(C2256)&lt;=9),3,4))))</f>
        <v>3</v>
      </c>
      <c r="D2257" s="37"/>
      <c r="E2257" s="35" t="s">
        <v>39</v>
      </c>
      <c r="F2257" s="36" t="s">
        <v>36</v>
      </c>
    </row>
    <row r="2258" spans="1:6" ht="17.25" thickBot="1" x14ac:dyDescent="0.3"/>
    <row r="2259" spans="1:6" ht="17.25" thickBot="1" x14ac:dyDescent="0.3">
      <c r="A2259" s="39" t="s">
        <v>40</v>
      </c>
      <c r="B2259" s="39" t="s">
        <v>41</v>
      </c>
      <c r="C2259" s="39" t="s">
        <v>42</v>
      </c>
      <c r="D2259" s="39" t="s">
        <v>43</v>
      </c>
      <c r="E2259" s="39" t="s">
        <v>44</v>
      </c>
      <c r="F2259" s="39" t="s">
        <v>45</v>
      </c>
    </row>
    <row r="2260" spans="1:6" x14ac:dyDescent="0.25">
      <c r="A2260" s="40" t="s">
        <v>530</v>
      </c>
      <c r="B2260" s="41" t="str">
        <f ca="1">IFERROR(INDEX(UNSPSCDes,MATCH(INDIRECT(ADDRESS(ROW(),COLUMN()-1,4)),UNSPSCCode,0)),IF(INDIRECT(ADDRESS(ROW(),COLUMN()-1,4))="82101503","Publicidad en revistas",""))</f>
        <v>Publicidad en revistas</v>
      </c>
      <c r="C2260" s="42" t="str">
        <f>IFERROR(VLOOKUP("UD",'[1]Informacion '!P:Q,2,FALSE),"")</f>
        <v>Unidad</v>
      </c>
      <c r="D2260" s="40">
        <v>1</v>
      </c>
      <c r="E2260" s="43">
        <v>50000</v>
      </c>
      <c r="F2260" s="44">
        <f ca="1">INDIRECT(ADDRESS(ROW(),COLUMN()-2,4))*INDIRECT(ADDRESS(ROW(),COLUMN()-1,4))</f>
        <v>50000</v>
      </c>
    </row>
    <row r="2261" spans="1:6" x14ac:dyDescent="0.25">
      <c r="A2261" s="40" t="s">
        <v>534</v>
      </c>
      <c r="B2261" s="41" t="str">
        <f ca="1">IFERROR(INDEX(UNSPSCDes,MATCH(INDIRECT(ADDRESS(ROW(),COLUMN()-1,4)),UNSPSCCode,0)),IF(INDIRECT(ADDRESS(ROW(),COLUMN()-1,4))="82101905","Inserción en medios impresos",""))</f>
        <v>Inserción en medios impresos</v>
      </c>
      <c r="C2261" s="42" t="str">
        <f>IFERROR(VLOOKUP("UD",'[1]Informacion '!P:Q,2,FALSE),"")</f>
        <v>Unidad</v>
      </c>
      <c r="D2261" s="40">
        <v>1</v>
      </c>
      <c r="E2261" s="43">
        <v>50000</v>
      </c>
      <c r="F2261" s="44">
        <f ca="1">INDIRECT(ADDRESS(ROW(),COLUMN()-2,4))*INDIRECT(ADDRESS(ROW(),COLUMN()-1,4))</f>
        <v>50000</v>
      </c>
    </row>
    <row r="2262" spans="1:6" x14ac:dyDescent="0.25">
      <c r="E2262" s="45" t="s">
        <v>47</v>
      </c>
      <c r="F2262" s="46">
        <f ca="1">SUM(Table183[MONTO TOTAL ESTIMADO])</f>
        <v>100000</v>
      </c>
    </row>
    <row r="2263" spans="1:6" ht="17.25" thickBot="1" x14ac:dyDescent="0.3"/>
    <row r="2264" spans="1:6" ht="23.25" thickBot="1" x14ac:dyDescent="0.3">
      <c r="A2264" s="30" t="s">
        <v>18</v>
      </c>
      <c r="B2264" s="30" t="s">
        <v>19</v>
      </c>
      <c r="C2264" s="30" t="s">
        <v>20</v>
      </c>
      <c r="D2264" s="30" t="s">
        <v>21</v>
      </c>
      <c r="E2264" s="30" t="s">
        <v>22</v>
      </c>
      <c r="F2264" s="30" t="s">
        <v>23</v>
      </c>
    </row>
    <row r="2265" spans="1:6" ht="17.25" thickBot="1" x14ac:dyDescent="0.3">
      <c r="A2265" s="31" t="s">
        <v>535</v>
      </c>
      <c r="B2265" s="31" t="s">
        <v>536</v>
      </c>
      <c r="C2265" s="31" t="s">
        <v>26</v>
      </c>
      <c r="D2265" s="31" t="s">
        <v>27</v>
      </c>
      <c r="E2265" s="31" t="s">
        <v>58</v>
      </c>
      <c r="F2265" s="31" t="s">
        <v>17</v>
      </c>
    </row>
    <row r="2266" spans="1:6" ht="17.25" thickBot="1" x14ac:dyDescent="0.3">
      <c r="A2266" s="32" t="s">
        <v>29</v>
      </c>
      <c r="B2266" s="33" t="s">
        <v>30</v>
      </c>
      <c r="C2266" s="34">
        <v>45017</v>
      </c>
      <c r="D2266" s="32" t="s">
        <v>31</v>
      </c>
      <c r="E2266" s="35" t="s">
        <v>32</v>
      </c>
      <c r="F2266" s="36" t="s">
        <v>33</v>
      </c>
    </row>
    <row r="2267" spans="1:6" ht="17.25" thickBot="1" x14ac:dyDescent="0.3">
      <c r="A2267" s="37"/>
      <c r="B2267" s="33" t="s">
        <v>34</v>
      </c>
      <c r="C2267" s="38">
        <f>IF(C2266="","",IF(AND(MONTH(C2266)&gt;=1,MONTH(C2266)&lt;=3),1,IF(AND(MONTH(C2266)&gt;=4,MONTH(C2266)&lt;=6),2,IF(AND(MONTH(C2266)&gt;=7,MONTH(C2266)&lt;=9),3,4))))</f>
        <v>2</v>
      </c>
      <c r="D2267" s="37"/>
      <c r="E2267" s="35" t="s">
        <v>35</v>
      </c>
      <c r="F2267" s="36" t="s">
        <v>36</v>
      </c>
    </row>
    <row r="2268" spans="1:6" ht="17.25" thickBot="1" x14ac:dyDescent="0.3">
      <c r="A2268" s="37"/>
      <c r="B2268" s="33" t="s">
        <v>37</v>
      </c>
      <c r="C2268" s="34">
        <v>45107</v>
      </c>
      <c r="D2268" s="37"/>
      <c r="E2268" s="35" t="s">
        <v>38</v>
      </c>
      <c r="F2268" s="36" t="s">
        <v>36</v>
      </c>
    </row>
    <row r="2269" spans="1:6" ht="17.25" thickBot="1" x14ac:dyDescent="0.3">
      <c r="A2269" s="37"/>
      <c r="B2269" s="33" t="s">
        <v>34</v>
      </c>
      <c r="C2269" s="38">
        <f>IF(C2268="","",IF(AND(MONTH(C2268)&gt;=1,MONTH(C2268)&lt;=3),1,IF(AND(MONTH(C2268)&gt;=4,MONTH(C2268)&lt;=6),2,IF(AND(MONTH(C2268)&gt;=7,MONTH(C2268)&lt;=9),3,4))))</f>
        <v>2</v>
      </c>
      <c r="D2269" s="37"/>
      <c r="E2269" s="35" t="s">
        <v>39</v>
      </c>
      <c r="F2269" s="36" t="s">
        <v>36</v>
      </c>
    </row>
    <row r="2270" spans="1:6" ht="17.25" thickBot="1" x14ac:dyDescent="0.3"/>
    <row r="2271" spans="1:6" ht="17.25" thickBot="1" x14ac:dyDescent="0.3">
      <c r="A2271" s="39" t="s">
        <v>40</v>
      </c>
      <c r="B2271" s="39" t="s">
        <v>41</v>
      </c>
      <c r="C2271" s="39" t="s">
        <v>42</v>
      </c>
      <c r="D2271" s="39" t="s">
        <v>43</v>
      </c>
      <c r="E2271" s="39" t="s">
        <v>44</v>
      </c>
      <c r="F2271" s="39" t="s">
        <v>45</v>
      </c>
    </row>
    <row r="2272" spans="1:6" x14ac:dyDescent="0.25">
      <c r="A2272" s="40" t="s">
        <v>496</v>
      </c>
      <c r="B2272" s="41" t="str">
        <f ca="1">IFERROR(INDEX(UNSPSCDes,MATCH(INDIRECT(ADDRESS(ROW(),COLUMN()-1,4)),UNSPSCCode,0)),IF(INDIRECT(ADDRESS(ROW(),COLUMN()-1,4))="14111604","Tarjetas de presentación",""))</f>
        <v>Tarjetas de presentación</v>
      </c>
      <c r="C2272" s="42" t="str">
        <f>IFERROR(VLOOKUP("UD",'[1]Informacion '!P:Q,2,FALSE),"")</f>
        <v>Unidad</v>
      </c>
      <c r="D2272" s="40">
        <v>1</v>
      </c>
      <c r="E2272" s="43">
        <v>100000</v>
      </c>
      <c r="F2272" s="44">
        <f ca="1">INDIRECT(ADDRESS(ROW(),COLUMN()-2,4))*INDIRECT(ADDRESS(ROW(),COLUMN()-1,4))</f>
        <v>100000</v>
      </c>
    </row>
    <row r="2273" spans="1:6" x14ac:dyDescent="0.25">
      <c r="A2273" s="40">
        <v>82121506</v>
      </c>
      <c r="B2273" s="41" t="str">
        <f ca="1">IFERROR(INDEX(UNSPSCDes,MATCH(INDIRECT(ADDRESS(ROW(),COLUMN()-1,4)),UNSPSCCode,0)),IF(INDIRECT(ADDRESS(ROW(),COLUMN()-1,4))="14111604","Tarjetas de presentación",""))</f>
        <v>Impresión de publicaciones</v>
      </c>
      <c r="C2273" s="42" t="str">
        <f>IFERROR(VLOOKUP("UD",'[1]Informacion '!P:Q,2,FALSE),"")</f>
        <v>Unidad</v>
      </c>
      <c r="D2273" s="40">
        <v>1</v>
      </c>
      <c r="E2273" s="43">
        <v>100000</v>
      </c>
      <c r="F2273" s="44">
        <f ca="1">INDIRECT(ADDRESS(ROW(),COLUMN()-2,4))*INDIRECT(ADDRESS(ROW(),COLUMN()-1,4))</f>
        <v>100000</v>
      </c>
    </row>
    <row r="2274" spans="1:6" x14ac:dyDescent="0.25">
      <c r="E2274" s="45" t="s">
        <v>47</v>
      </c>
      <c r="F2274" s="46">
        <f ca="1">SUM(Table184[MONTO TOTAL ESTIMADO])</f>
        <v>200000</v>
      </c>
    </row>
    <row r="2275" spans="1:6" ht="17.25" thickBot="1" x14ac:dyDescent="0.3"/>
    <row r="2276" spans="1:6" ht="23.25" thickBot="1" x14ac:dyDescent="0.3">
      <c r="A2276" s="30" t="s">
        <v>18</v>
      </c>
      <c r="B2276" s="30" t="s">
        <v>19</v>
      </c>
      <c r="C2276" s="30" t="s">
        <v>20</v>
      </c>
      <c r="D2276" s="30" t="s">
        <v>21</v>
      </c>
      <c r="E2276" s="30" t="s">
        <v>22</v>
      </c>
      <c r="F2276" s="30" t="s">
        <v>23</v>
      </c>
    </row>
    <row r="2277" spans="1:6" ht="17.25" thickBot="1" x14ac:dyDescent="0.3">
      <c r="A2277" s="31" t="s">
        <v>535</v>
      </c>
      <c r="B2277" s="31" t="s">
        <v>536</v>
      </c>
      <c r="C2277" s="31" t="s">
        <v>26</v>
      </c>
      <c r="D2277" s="31" t="s">
        <v>27</v>
      </c>
      <c r="E2277" s="31" t="s">
        <v>58</v>
      </c>
      <c r="F2277" s="31"/>
    </row>
    <row r="2278" spans="1:6" ht="17.25" thickBot="1" x14ac:dyDescent="0.3">
      <c r="A2278" s="32" t="s">
        <v>29</v>
      </c>
      <c r="B2278" s="33" t="s">
        <v>30</v>
      </c>
      <c r="C2278" s="34">
        <v>45200</v>
      </c>
      <c r="D2278" s="32" t="s">
        <v>31</v>
      </c>
      <c r="E2278" s="35" t="s">
        <v>32</v>
      </c>
      <c r="F2278" s="36" t="s">
        <v>33</v>
      </c>
    </row>
    <row r="2279" spans="1:6" ht="17.25" thickBot="1" x14ac:dyDescent="0.3">
      <c r="A2279" s="37"/>
      <c r="B2279" s="33" t="s">
        <v>34</v>
      </c>
      <c r="C2279" s="38">
        <f>IF(C2278="","",IF(AND(MONTH(C2278)&gt;=1,MONTH(C2278)&lt;=3),1,IF(AND(MONTH(C2278)&gt;=4,MONTH(C2278)&lt;=6),2,IF(AND(MONTH(C2278)&gt;=7,MONTH(C2278)&lt;=9),3,4))))</f>
        <v>4</v>
      </c>
      <c r="D2279" s="37"/>
      <c r="E2279" s="35" t="s">
        <v>35</v>
      </c>
      <c r="F2279" s="36" t="s">
        <v>36</v>
      </c>
    </row>
    <row r="2280" spans="1:6" ht="17.25" thickBot="1" x14ac:dyDescent="0.3">
      <c r="A2280" s="37"/>
      <c r="B2280" s="33" t="s">
        <v>37</v>
      </c>
      <c r="C2280" s="34">
        <v>45291</v>
      </c>
      <c r="D2280" s="37"/>
      <c r="E2280" s="35" t="s">
        <v>38</v>
      </c>
      <c r="F2280" s="36" t="s">
        <v>36</v>
      </c>
    </row>
    <row r="2281" spans="1:6" ht="17.25" thickBot="1" x14ac:dyDescent="0.3">
      <c r="A2281" s="37"/>
      <c r="B2281" s="33" t="s">
        <v>34</v>
      </c>
      <c r="C2281" s="38">
        <f>IF(C2280="","",IF(AND(MONTH(C2280)&gt;=1,MONTH(C2280)&lt;=3),1,IF(AND(MONTH(C2280)&gt;=4,MONTH(C2280)&lt;=6),2,IF(AND(MONTH(C2280)&gt;=7,MONTH(C2280)&lt;=9),3,4))))</f>
        <v>4</v>
      </c>
      <c r="D2281" s="37"/>
      <c r="E2281" s="35" t="s">
        <v>39</v>
      </c>
      <c r="F2281" s="36" t="s">
        <v>36</v>
      </c>
    </row>
    <row r="2282" spans="1:6" ht="17.25" thickBot="1" x14ac:dyDescent="0.3"/>
    <row r="2283" spans="1:6" ht="17.25" thickBot="1" x14ac:dyDescent="0.3">
      <c r="A2283" s="39" t="s">
        <v>40</v>
      </c>
      <c r="B2283" s="39" t="s">
        <v>41</v>
      </c>
      <c r="C2283" s="39" t="s">
        <v>42</v>
      </c>
      <c r="D2283" s="39" t="s">
        <v>43</v>
      </c>
      <c r="E2283" s="39" t="s">
        <v>44</v>
      </c>
      <c r="F2283" s="39" t="s">
        <v>45</v>
      </c>
    </row>
    <row r="2284" spans="1:6" x14ac:dyDescent="0.25">
      <c r="A2284" s="40" t="s">
        <v>496</v>
      </c>
      <c r="B2284" s="41" t="str">
        <f ca="1">IFERROR(INDEX(UNSPSCDes,MATCH(INDIRECT(ADDRESS(ROW(),COLUMN()-1,4)),UNSPSCCode,0)),IF(INDIRECT(ADDRESS(ROW(),COLUMN()-1,4))="14111604","Tarjetas de presentación",""))</f>
        <v>Tarjetas de presentación</v>
      </c>
      <c r="C2284" s="42" t="str">
        <f>IFERROR(VLOOKUP("UD",'[1]Informacion '!P:Q,2,FALSE),"")</f>
        <v>Unidad</v>
      </c>
      <c r="D2284" s="40">
        <v>1</v>
      </c>
      <c r="E2284" s="43">
        <v>30000</v>
      </c>
      <c r="F2284" s="44">
        <f ca="1">INDIRECT(ADDRESS(ROW(),COLUMN()-2,4))*INDIRECT(ADDRESS(ROW(),COLUMN()-1,4))</f>
        <v>30000</v>
      </c>
    </row>
    <row r="2285" spans="1:6" x14ac:dyDescent="0.25">
      <c r="A2285" s="40" t="s">
        <v>537</v>
      </c>
      <c r="B2285" s="41" t="str">
        <f ca="1">IFERROR(INDEX(UNSPSCDes,MATCH(INDIRECT(ADDRESS(ROW(),COLUMN()-1,4)),UNSPSCCode,0)),IF(INDIRECT(ADDRESS(ROW(),COLUMN()-1,4))="73151902","Servicios de impresión industrial a roto grabado",""))</f>
        <v>Servicios de impresión industrial a roto grabado</v>
      </c>
      <c r="C2285" s="42" t="str">
        <f>IFERROR(VLOOKUP("UD",'[1]Informacion '!P:Q,2,FALSE),"")</f>
        <v>Unidad</v>
      </c>
      <c r="D2285" s="40">
        <v>1</v>
      </c>
      <c r="E2285" s="43">
        <v>30000</v>
      </c>
      <c r="F2285" s="44">
        <f ca="1">INDIRECT(ADDRESS(ROW(),COLUMN()-2,4))*INDIRECT(ADDRESS(ROW(),COLUMN()-1,4))</f>
        <v>30000</v>
      </c>
    </row>
    <row r="2286" spans="1:6" x14ac:dyDescent="0.25">
      <c r="E2286" s="45" t="s">
        <v>47</v>
      </c>
      <c r="F2286" s="46">
        <f ca="1">SUM(Table185[MONTO TOTAL ESTIMADO])</f>
        <v>60000</v>
      </c>
    </row>
    <row r="2287" spans="1:6" ht="17.25" thickBot="1" x14ac:dyDescent="0.3"/>
    <row r="2288" spans="1:6" ht="23.25" thickBot="1" x14ac:dyDescent="0.3">
      <c r="A2288" s="30" t="s">
        <v>18</v>
      </c>
      <c r="B2288" s="30" t="s">
        <v>19</v>
      </c>
      <c r="C2288" s="30" t="s">
        <v>20</v>
      </c>
      <c r="D2288" s="30" t="s">
        <v>21</v>
      </c>
      <c r="E2288" s="30" t="s">
        <v>22</v>
      </c>
      <c r="F2288" s="30" t="s">
        <v>23</v>
      </c>
    </row>
    <row r="2289" spans="1:6" ht="17.25" thickBot="1" x14ac:dyDescent="0.3">
      <c r="A2289" s="31" t="s">
        <v>535</v>
      </c>
      <c r="B2289" s="31" t="s">
        <v>536</v>
      </c>
      <c r="C2289" s="31" t="s">
        <v>26</v>
      </c>
      <c r="D2289" s="31" t="s">
        <v>27</v>
      </c>
      <c r="E2289" s="31" t="s">
        <v>58</v>
      </c>
      <c r="F2289" s="31"/>
    </row>
    <row r="2290" spans="1:6" ht="17.25" thickBot="1" x14ac:dyDescent="0.3">
      <c r="A2290" s="32" t="s">
        <v>29</v>
      </c>
      <c r="B2290" s="33" t="s">
        <v>30</v>
      </c>
      <c r="C2290" s="34">
        <v>44927</v>
      </c>
      <c r="D2290" s="32" t="s">
        <v>31</v>
      </c>
      <c r="E2290" s="35" t="s">
        <v>32</v>
      </c>
      <c r="F2290" s="36" t="s">
        <v>33</v>
      </c>
    </row>
    <row r="2291" spans="1:6" ht="17.25" thickBot="1" x14ac:dyDescent="0.3">
      <c r="A2291" s="37"/>
      <c r="B2291" s="33" t="s">
        <v>34</v>
      </c>
      <c r="C2291" s="38">
        <f>IF(C2290="","",IF(AND(MONTH(C2290)&gt;=1,MONTH(C2290)&lt;=3),1,IF(AND(MONTH(C2290)&gt;=4,MONTH(C2290)&lt;=6),2,IF(AND(MONTH(C2290)&gt;=7,MONTH(C2290)&lt;=9),3,4))))</f>
        <v>1</v>
      </c>
      <c r="D2291" s="37"/>
      <c r="E2291" s="35" t="s">
        <v>35</v>
      </c>
      <c r="F2291" s="36" t="s">
        <v>36</v>
      </c>
    </row>
    <row r="2292" spans="1:6" ht="17.25" thickBot="1" x14ac:dyDescent="0.3">
      <c r="A2292" s="37"/>
      <c r="B2292" s="33" t="s">
        <v>37</v>
      </c>
      <c r="C2292" s="34">
        <v>45015</v>
      </c>
      <c r="D2292" s="37"/>
      <c r="E2292" s="35" t="s">
        <v>38</v>
      </c>
      <c r="F2292" s="36" t="s">
        <v>36</v>
      </c>
    </row>
    <row r="2293" spans="1:6" ht="17.25" thickBot="1" x14ac:dyDescent="0.3">
      <c r="A2293" s="37"/>
      <c r="B2293" s="33" t="s">
        <v>34</v>
      </c>
      <c r="C2293" s="38">
        <f>IF(C2292="","",IF(AND(MONTH(C2292)&gt;=1,MONTH(C2292)&lt;=3),1,IF(AND(MONTH(C2292)&gt;=4,MONTH(C2292)&lt;=6),2,IF(AND(MONTH(C2292)&gt;=7,MONTH(C2292)&lt;=9),3,4))))</f>
        <v>1</v>
      </c>
      <c r="D2293" s="37"/>
      <c r="E2293" s="35" t="s">
        <v>39</v>
      </c>
      <c r="F2293" s="36" t="s">
        <v>36</v>
      </c>
    </row>
    <row r="2294" spans="1:6" ht="17.25" thickBot="1" x14ac:dyDescent="0.3"/>
    <row r="2295" spans="1:6" ht="17.25" thickBot="1" x14ac:dyDescent="0.3">
      <c r="A2295" s="39" t="s">
        <v>40</v>
      </c>
      <c r="B2295" s="39" t="s">
        <v>41</v>
      </c>
      <c r="C2295" s="39" t="s">
        <v>42</v>
      </c>
      <c r="D2295" s="39" t="s">
        <v>43</v>
      </c>
      <c r="E2295" s="39" t="s">
        <v>44</v>
      </c>
      <c r="F2295" s="39" t="s">
        <v>45</v>
      </c>
    </row>
    <row r="2296" spans="1:6" x14ac:dyDescent="0.25">
      <c r="A2296" s="40" t="s">
        <v>496</v>
      </c>
      <c r="B2296" s="41" t="str">
        <f ca="1">IFERROR(INDEX(UNSPSCDes,MATCH(INDIRECT(ADDRESS(ROW(),COLUMN()-1,4)),UNSPSCCode,0)),IF(INDIRECT(ADDRESS(ROW(),COLUMN()-1,4))="14111604","Tarjetas de presentación",""))</f>
        <v>Tarjetas de presentación</v>
      </c>
      <c r="C2296" s="42" t="str">
        <f>IFERROR(VLOOKUP("UD",'[1]Informacion '!P:Q,2,FALSE),"")</f>
        <v>Unidad</v>
      </c>
      <c r="D2296" s="40">
        <v>1</v>
      </c>
      <c r="E2296" s="43">
        <v>1</v>
      </c>
      <c r="F2296" s="44">
        <f ca="1">INDIRECT(ADDRESS(ROW(),COLUMN()-2,4))*INDIRECT(ADDRESS(ROW(),COLUMN()-1,4))</f>
        <v>1</v>
      </c>
    </row>
    <row r="2297" spans="1:6" x14ac:dyDescent="0.25">
      <c r="A2297" s="40" t="s">
        <v>538</v>
      </c>
      <c r="B2297" s="41" t="str">
        <f ca="1">IFERROR(INDEX(UNSPSCDes,MATCH(INDIRECT(ADDRESS(ROW(),COLUMN()-1,4)),UNSPSCCode,0)),IF(INDIRECT(ADDRESS(ROW(),COLUMN()-1,4))="82121903","Encuadernación con pegante",""))</f>
        <v>Encuadernación con pegante</v>
      </c>
      <c r="C2297" s="42" t="str">
        <f>IFERROR(VLOOKUP("UD",'[1]Informacion '!P:Q,2,FALSE),"")</f>
        <v>Unidad</v>
      </c>
      <c r="D2297" s="40">
        <v>1</v>
      </c>
      <c r="E2297" s="43">
        <v>1</v>
      </c>
      <c r="F2297" s="44">
        <f ca="1">INDIRECT(ADDRESS(ROW(),COLUMN()-2,4))*INDIRECT(ADDRESS(ROW(),COLUMN()-1,4))</f>
        <v>1</v>
      </c>
    </row>
    <row r="2298" spans="1:6" x14ac:dyDescent="0.25">
      <c r="E2298" s="45" t="s">
        <v>47</v>
      </c>
      <c r="F2298" s="46">
        <f ca="1">SUM(Table186[MONTO TOTAL ESTIMADO])</f>
        <v>2</v>
      </c>
    </row>
    <row r="2299" spans="1:6" ht="17.25" thickBot="1" x14ac:dyDescent="0.3"/>
    <row r="2300" spans="1:6" ht="23.25" thickBot="1" x14ac:dyDescent="0.3">
      <c r="A2300" s="30" t="s">
        <v>18</v>
      </c>
      <c r="B2300" s="30" t="s">
        <v>19</v>
      </c>
      <c r="C2300" s="30" t="s">
        <v>20</v>
      </c>
      <c r="D2300" s="30" t="s">
        <v>21</v>
      </c>
      <c r="E2300" s="30" t="s">
        <v>22</v>
      </c>
      <c r="F2300" s="30" t="s">
        <v>23</v>
      </c>
    </row>
    <row r="2301" spans="1:6" ht="17.25" thickBot="1" x14ac:dyDescent="0.3">
      <c r="A2301" s="31" t="s">
        <v>535</v>
      </c>
      <c r="B2301" s="31" t="s">
        <v>536</v>
      </c>
      <c r="C2301" s="31" t="s">
        <v>26</v>
      </c>
      <c r="D2301" s="31" t="s">
        <v>27</v>
      </c>
      <c r="E2301" s="31" t="s">
        <v>58</v>
      </c>
      <c r="F2301" s="31"/>
    </row>
    <row r="2302" spans="1:6" ht="17.25" thickBot="1" x14ac:dyDescent="0.3">
      <c r="A2302" s="32" t="s">
        <v>29</v>
      </c>
      <c r="B2302" s="33" t="s">
        <v>30</v>
      </c>
      <c r="C2302" s="34">
        <v>45108</v>
      </c>
      <c r="D2302" s="32" t="s">
        <v>31</v>
      </c>
      <c r="E2302" s="35" t="s">
        <v>32</v>
      </c>
      <c r="F2302" s="36" t="s">
        <v>33</v>
      </c>
    </row>
    <row r="2303" spans="1:6" ht="17.25" thickBot="1" x14ac:dyDescent="0.3">
      <c r="A2303" s="37"/>
      <c r="B2303" s="33" t="s">
        <v>34</v>
      </c>
      <c r="C2303" s="38">
        <f>IF(C2302="","",IF(AND(MONTH(C2302)&gt;=1,MONTH(C2302)&lt;=3),1,IF(AND(MONTH(C2302)&gt;=4,MONTH(C2302)&lt;=6),2,IF(AND(MONTH(C2302)&gt;=7,MONTH(C2302)&lt;=9),3,4))))</f>
        <v>3</v>
      </c>
      <c r="D2303" s="37"/>
      <c r="E2303" s="35" t="s">
        <v>35</v>
      </c>
      <c r="F2303" s="36" t="s">
        <v>36</v>
      </c>
    </row>
    <row r="2304" spans="1:6" ht="17.25" thickBot="1" x14ac:dyDescent="0.3">
      <c r="A2304" s="37"/>
      <c r="B2304" s="33" t="s">
        <v>37</v>
      </c>
      <c r="C2304" s="34">
        <v>45199</v>
      </c>
      <c r="D2304" s="37"/>
      <c r="E2304" s="35" t="s">
        <v>38</v>
      </c>
      <c r="F2304" s="36" t="s">
        <v>36</v>
      </c>
    </row>
    <row r="2305" spans="1:6" ht="17.25" thickBot="1" x14ac:dyDescent="0.3">
      <c r="A2305" s="37"/>
      <c r="B2305" s="33" t="s">
        <v>34</v>
      </c>
      <c r="C2305" s="38">
        <f>IF(C2304="","",IF(AND(MONTH(C2304)&gt;=1,MONTH(C2304)&lt;=3),1,IF(AND(MONTH(C2304)&gt;=4,MONTH(C2304)&lt;=6),2,IF(AND(MONTH(C2304)&gt;=7,MONTH(C2304)&lt;=9),3,4))))</f>
        <v>3</v>
      </c>
      <c r="D2305" s="37"/>
      <c r="E2305" s="35" t="s">
        <v>39</v>
      </c>
      <c r="F2305" s="36" t="s">
        <v>36</v>
      </c>
    </row>
    <row r="2306" spans="1:6" ht="17.25" thickBot="1" x14ac:dyDescent="0.3"/>
    <row r="2307" spans="1:6" ht="17.25" thickBot="1" x14ac:dyDescent="0.3">
      <c r="A2307" s="39" t="s">
        <v>40</v>
      </c>
      <c r="B2307" s="39" t="s">
        <v>41</v>
      </c>
      <c r="C2307" s="39" t="s">
        <v>42</v>
      </c>
      <c r="D2307" s="39" t="s">
        <v>43</v>
      </c>
      <c r="E2307" s="39" t="s">
        <v>44</v>
      </c>
      <c r="F2307" s="39" t="s">
        <v>45</v>
      </c>
    </row>
    <row r="2308" spans="1:6" x14ac:dyDescent="0.25">
      <c r="A2308" s="40" t="s">
        <v>496</v>
      </c>
      <c r="B2308" s="41" t="str">
        <f ca="1">IFERROR(INDEX(UNSPSCDes,MATCH(INDIRECT(ADDRESS(ROW(),COLUMN()-1,4)),UNSPSCCode,0)),IF(INDIRECT(ADDRESS(ROW(),COLUMN()-1,4))="14111604","Tarjetas de presentación",""))</f>
        <v>Tarjetas de presentación</v>
      </c>
      <c r="C2308" s="42" t="str">
        <f>IFERROR(VLOOKUP("UD",'[1]Informacion '!P:Q,2,FALSE),"")</f>
        <v>Unidad</v>
      </c>
      <c r="D2308" s="40">
        <v>1</v>
      </c>
      <c r="E2308" s="43">
        <v>1</v>
      </c>
      <c r="F2308" s="44">
        <f ca="1">INDIRECT(ADDRESS(ROW(),COLUMN()-2,4))*INDIRECT(ADDRESS(ROW(),COLUMN()-1,4))</f>
        <v>1</v>
      </c>
    </row>
    <row r="2309" spans="1:6" x14ac:dyDescent="0.25">
      <c r="A2309" s="40" t="s">
        <v>531</v>
      </c>
      <c r="B2309" s="41" t="str">
        <f ca="1">IFERROR(INDEX(UNSPSCDes,MATCH(INDIRECT(ADDRESS(ROW(),COLUMN()-1,4)),UNSPSCCode,0)),IF(INDIRECT(ADDRESS(ROW(),COLUMN()-1,4))="82121503","Impresión digital",""))</f>
        <v>Impresión digital</v>
      </c>
      <c r="C2309" s="42" t="str">
        <f>IFERROR(VLOOKUP("UD",'[1]Informacion '!P:Q,2,FALSE),"")</f>
        <v>Unidad</v>
      </c>
      <c r="D2309" s="40">
        <v>1</v>
      </c>
      <c r="E2309" s="43">
        <v>1</v>
      </c>
      <c r="F2309" s="44">
        <f ca="1">INDIRECT(ADDRESS(ROW(),COLUMN()-2,4))*INDIRECT(ADDRESS(ROW(),COLUMN()-1,4))</f>
        <v>1</v>
      </c>
    </row>
    <row r="2310" spans="1:6" x14ac:dyDescent="0.25">
      <c r="A2310" s="40" t="s">
        <v>539</v>
      </c>
      <c r="B2310" s="41" t="str">
        <f ca="1">IFERROR(INDEX(UNSPSCDes,MATCH(INDIRECT(ADDRESS(ROW(),COLUMN()-1,4)),UNSPSCCode,0)),IF(INDIRECT(ADDRESS(ROW(),COLUMN()-1,4))="49101704","Placas",""))</f>
        <v>Placas</v>
      </c>
      <c r="C2310" s="42" t="str">
        <f>IFERROR(VLOOKUP("UD",'[1]Informacion '!P:Q,2,FALSE),"")</f>
        <v>Unidad</v>
      </c>
      <c r="D2310" s="40">
        <v>1</v>
      </c>
      <c r="E2310" s="43">
        <v>1</v>
      </c>
      <c r="F2310" s="44">
        <f ca="1">INDIRECT(ADDRESS(ROW(),COLUMN()-2,4))*INDIRECT(ADDRESS(ROW(),COLUMN()-1,4))</f>
        <v>1</v>
      </c>
    </row>
    <row r="2311" spans="1:6" x14ac:dyDescent="0.25">
      <c r="A2311" s="40" t="s">
        <v>540</v>
      </c>
      <c r="B2311" s="41" t="str">
        <f ca="1">IFERROR(INDEX(UNSPSCDes,MATCH(INDIRECT(ADDRESS(ROW(),COLUMN()-1,4)),UNSPSCCode,0)),IF(INDIRECT(ADDRESS(ROW(),COLUMN()-1,4))="82121501","Planificación  y trazados de producciones gráficas",""))</f>
        <v>Planificación  y trazados de producciones gráficas</v>
      </c>
      <c r="C2311" s="42" t="str">
        <f>IFERROR(VLOOKUP("UD",'[1]Informacion '!P:Q,2,FALSE),"")</f>
        <v>Unidad</v>
      </c>
      <c r="D2311" s="40">
        <v>1</v>
      </c>
      <c r="E2311" s="43">
        <v>1</v>
      </c>
      <c r="F2311" s="44">
        <f ca="1">INDIRECT(ADDRESS(ROW(),COLUMN()-2,4))*INDIRECT(ADDRESS(ROW(),COLUMN()-1,4))</f>
        <v>1</v>
      </c>
    </row>
    <row r="2312" spans="1:6" x14ac:dyDescent="0.25">
      <c r="E2312" s="45" t="s">
        <v>47</v>
      </c>
      <c r="F2312" s="46">
        <f ca="1">SUM(Table187[MONTO TOTAL ESTIMADO])</f>
        <v>4</v>
      </c>
    </row>
    <row r="2313" spans="1:6" ht="17.25" thickBot="1" x14ac:dyDescent="0.3"/>
    <row r="2314" spans="1:6" ht="23.25" thickBot="1" x14ac:dyDescent="0.3">
      <c r="A2314" s="30" t="s">
        <v>18</v>
      </c>
      <c r="B2314" s="30" t="s">
        <v>19</v>
      </c>
      <c r="C2314" s="30" t="s">
        <v>20</v>
      </c>
      <c r="D2314" s="30" t="s">
        <v>21</v>
      </c>
      <c r="E2314" s="30" t="s">
        <v>22</v>
      </c>
      <c r="F2314" s="30" t="s">
        <v>23</v>
      </c>
    </row>
    <row r="2315" spans="1:6" ht="17.25" thickBot="1" x14ac:dyDescent="0.3">
      <c r="A2315" s="31" t="s">
        <v>541</v>
      </c>
      <c r="B2315" s="31" t="s">
        <v>542</v>
      </c>
      <c r="C2315" s="31" t="s">
        <v>26</v>
      </c>
      <c r="D2315" s="31" t="s">
        <v>50</v>
      </c>
      <c r="E2315" s="31" t="s">
        <v>58</v>
      </c>
      <c r="F2315" s="31" t="s">
        <v>17</v>
      </c>
    </row>
    <row r="2316" spans="1:6" ht="17.25" thickBot="1" x14ac:dyDescent="0.3">
      <c r="A2316" s="32" t="s">
        <v>29</v>
      </c>
      <c r="B2316" s="33" t="s">
        <v>30</v>
      </c>
      <c r="C2316" s="34">
        <v>44927</v>
      </c>
      <c r="D2316" s="32" t="s">
        <v>31</v>
      </c>
      <c r="E2316" s="35" t="s">
        <v>32</v>
      </c>
      <c r="F2316" s="36" t="s">
        <v>33</v>
      </c>
    </row>
    <row r="2317" spans="1:6" ht="17.25" thickBot="1" x14ac:dyDescent="0.3">
      <c r="A2317" s="37"/>
      <c r="B2317" s="33" t="s">
        <v>34</v>
      </c>
      <c r="C2317" s="38">
        <f>IF(C2316="","",IF(AND(MONTH(C2316)&gt;=1,MONTH(C2316)&lt;=3),1,IF(AND(MONTH(C2316)&gt;=4,MONTH(C2316)&lt;=6),2,IF(AND(MONTH(C2316)&gt;=7,MONTH(C2316)&lt;=9),3,4))))</f>
        <v>1</v>
      </c>
      <c r="D2317" s="37"/>
      <c r="E2317" s="35" t="s">
        <v>35</v>
      </c>
      <c r="F2317" s="36" t="s">
        <v>36</v>
      </c>
    </row>
    <row r="2318" spans="1:6" ht="17.25" thickBot="1" x14ac:dyDescent="0.3">
      <c r="A2318" s="37"/>
      <c r="B2318" s="33" t="s">
        <v>37</v>
      </c>
      <c r="C2318" s="34">
        <v>45016</v>
      </c>
      <c r="D2318" s="37"/>
      <c r="E2318" s="35" t="s">
        <v>38</v>
      </c>
      <c r="F2318" s="36" t="s">
        <v>36</v>
      </c>
    </row>
    <row r="2319" spans="1:6" ht="17.25" thickBot="1" x14ac:dyDescent="0.3">
      <c r="A2319" s="37"/>
      <c r="B2319" s="33" t="s">
        <v>34</v>
      </c>
      <c r="C2319" s="38">
        <f>IF(C2318="","",IF(AND(MONTH(C2318)&gt;=1,MONTH(C2318)&lt;=3),1,IF(AND(MONTH(C2318)&gt;=4,MONTH(C2318)&lt;=6),2,IF(AND(MONTH(C2318)&gt;=7,MONTH(C2318)&lt;=9),3,4))))</f>
        <v>1</v>
      </c>
      <c r="D2319" s="37"/>
      <c r="E2319" s="35" t="s">
        <v>39</v>
      </c>
      <c r="F2319" s="36" t="s">
        <v>36</v>
      </c>
    </row>
    <row r="2320" spans="1:6" ht="17.25" thickBot="1" x14ac:dyDescent="0.3"/>
    <row r="2321" spans="1:6" ht="17.25" thickBot="1" x14ac:dyDescent="0.3">
      <c r="A2321" s="39" t="s">
        <v>40</v>
      </c>
      <c r="B2321" s="39" t="s">
        <v>41</v>
      </c>
      <c r="C2321" s="39" t="s">
        <v>42</v>
      </c>
      <c r="D2321" s="39" t="s">
        <v>43</v>
      </c>
      <c r="E2321" s="39" t="s">
        <v>44</v>
      </c>
      <c r="F2321" s="39" t="s">
        <v>45</v>
      </c>
    </row>
    <row r="2322" spans="1:6" x14ac:dyDescent="0.25">
      <c r="A2322" s="40">
        <v>78131602</v>
      </c>
      <c r="B2322" s="41" t="str">
        <f ca="1">IFERROR(INDEX(UNSPSCDes,MATCH(INDIRECT(ADDRESS(ROW(),COLUMN()-1,4)),UNSPSCCode,0)),IF(INDIRECT(ADDRESS(ROW(),COLUMN()-1,4))="78131602","Almacenaje de archivos de carpetas",""))</f>
        <v>Almacenaje de archivos de carpetas</v>
      </c>
      <c r="C2322" s="42" t="s">
        <v>66</v>
      </c>
      <c r="D2322" s="40">
        <v>1</v>
      </c>
      <c r="E2322" s="43">
        <v>900000</v>
      </c>
      <c r="F2322" s="44">
        <f ca="1">INDIRECT(ADDRESS(ROW(),COLUMN()-2,4))*INDIRECT(ADDRESS(ROW(),COLUMN()-1,4))</f>
        <v>900000</v>
      </c>
    </row>
    <row r="2323" spans="1:6" x14ac:dyDescent="0.25">
      <c r="E2323" s="45" t="s">
        <v>47</v>
      </c>
      <c r="F2323" s="46">
        <f ca="1">SUM(Table188[MONTO TOTAL ESTIMADO])</f>
        <v>900000</v>
      </c>
    </row>
    <row r="2324" spans="1:6" ht="17.25" thickBot="1" x14ac:dyDescent="0.3"/>
    <row r="2325" spans="1:6" ht="23.25" thickBot="1" x14ac:dyDescent="0.3">
      <c r="A2325" s="30" t="s">
        <v>18</v>
      </c>
      <c r="B2325" s="30" t="s">
        <v>19</v>
      </c>
      <c r="C2325" s="30" t="s">
        <v>20</v>
      </c>
      <c r="D2325" s="30" t="s">
        <v>21</v>
      </c>
      <c r="E2325" s="30" t="s">
        <v>22</v>
      </c>
      <c r="F2325" s="30" t="s">
        <v>23</v>
      </c>
    </row>
    <row r="2326" spans="1:6" ht="17.25" thickBot="1" x14ac:dyDescent="0.3">
      <c r="A2326" s="31" t="s">
        <v>541</v>
      </c>
      <c r="B2326" s="31" t="s">
        <v>542</v>
      </c>
      <c r="C2326" s="31" t="s">
        <v>26</v>
      </c>
      <c r="D2326" s="31" t="s">
        <v>27</v>
      </c>
      <c r="E2326" s="31" t="s">
        <v>58</v>
      </c>
      <c r="F2326" s="31" t="s">
        <v>17</v>
      </c>
    </row>
    <row r="2327" spans="1:6" ht="17.25" thickBot="1" x14ac:dyDescent="0.3">
      <c r="A2327" s="32" t="s">
        <v>29</v>
      </c>
      <c r="B2327" s="33" t="s">
        <v>30</v>
      </c>
      <c r="C2327" s="34">
        <v>45017</v>
      </c>
      <c r="D2327" s="32" t="s">
        <v>31</v>
      </c>
      <c r="E2327" s="35" t="s">
        <v>32</v>
      </c>
      <c r="F2327" s="36" t="s">
        <v>33</v>
      </c>
    </row>
    <row r="2328" spans="1:6" ht="17.25" thickBot="1" x14ac:dyDescent="0.3">
      <c r="A2328" s="37"/>
      <c r="B2328" s="33" t="s">
        <v>34</v>
      </c>
      <c r="C2328" s="38">
        <f>IF(C2327="","",IF(AND(MONTH(C2327)&gt;=1,MONTH(C2327)&lt;=3),1,IF(AND(MONTH(C2327)&gt;=4,MONTH(C2327)&lt;=6),2,IF(AND(MONTH(C2327)&gt;=7,MONTH(C2327)&lt;=9),3,4))))</f>
        <v>2</v>
      </c>
      <c r="D2328" s="37"/>
      <c r="E2328" s="35" t="s">
        <v>35</v>
      </c>
      <c r="F2328" s="36" t="s">
        <v>36</v>
      </c>
    </row>
    <row r="2329" spans="1:6" ht="17.25" thickBot="1" x14ac:dyDescent="0.3">
      <c r="A2329" s="37"/>
      <c r="B2329" s="33" t="s">
        <v>37</v>
      </c>
      <c r="C2329" s="34">
        <v>45107</v>
      </c>
      <c r="D2329" s="37"/>
      <c r="E2329" s="35" t="s">
        <v>38</v>
      </c>
      <c r="F2329" s="36" t="s">
        <v>36</v>
      </c>
    </row>
    <row r="2330" spans="1:6" ht="17.25" thickBot="1" x14ac:dyDescent="0.3">
      <c r="A2330" s="37"/>
      <c r="B2330" s="33" t="s">
        <v>34</v>
      </c>
      <c r="C2330" s="38">
        <f>IF(C2329="","",IF(AND(MONTH(C2329)&gt;=1,MONTH(C2329)&lt;=3),1,IF(AND(MONTH(C2329)&gt;=4,MONTH(C2329)&lt;=6),2,IF(AND(MONTH(C2329)&gt;=7,MONTH(C2329)&lt;=9),3,4))))</f>
        <v>2</v>
      </c>
      <c r="D2330" s="37"/>
      <c r="E2330" s="35" t="s">
        <v>39</v>
      </c>
      <c r="F2330" s="36" t="s">
        <v>36</v>
      </c>
    </row>
    <row r="2331" spans="1:6" ht="17.25" thickBot="1" x14ac:dyDescent="0.3"/>
    <row r="2332" spans="1:6" ht="17.25" thickBot="1" x14ac:dyDescent="0.3">
      <c r="A2332" s="39" t="s">
        <v>40</v>
      </c>
      <c r="B2332" s="39" t="s">
        <v>41</v>
      </c>
      <c r="C2332" s="39" t="s">
        <v>42</v>
      </c>
      <c r="D2332" s="39" t="s">
        <v>43</v>
      </c>
      <c r="E2332" s="39" t="s">
        <v>44</v>
      </c>
      <c r="F2332" s="39" t="s">
        <v>45</v>
      </c>
    </row>
    <row r="2333" spans="1:6" x14ac:dyDescent="0.25">
      <c r="A2333" s="40" t="s">
        <v>543</v>
      </c>
      <c r="B2333" s="41" t="str">
        <f ca="1">IFERROR(INDEX(UNSPSCDes,MATCH(INDIRECT(ADDRESS(ROW(),COLUMN()-1,4)),UNSPSCCode,0)),IF(INDIRECT(ADDRESS(ROW(),COLUMN()-1,4))="78131602","Almacenaje de archivos de carpetas",""))</f>
        <v>Almacenaje de archivos de carpetas</v>
      </c>
      <c r="C2333" s="42" t="s">
        <v>66</v>
      </c>
      <c r="D2333" s="40">
        <v>1</v>
      </c>
      <c r="E2333" s="43">
        <v>1</v>
      </c>
      <c r="F2333" s="44">
        <f ca="1">INDIRECT(ADDRESS(ROW(),COLUMN()-2,4))*INDIRECT(ADDRESS(ROW(),COLUMN()-1,4))</f>
        <v>1</v>
      </c>
    </row>
    <row r="2334" spans="1:6" x14ac:dyDescent="0.25">
      <c r="E2334" s="45" t="s">
        <v>47</v>
      </c>
      <c r="F2334" s="46">
        <f ca="1">SUM(Table189[MONTO TOTAL ESTIMADO])</f>
        <v>1</v>
      </c>
    </row>
    <row r="2335" spans="1:6" ht="17.25" thickBot="1" x14ac:dyDescent="0.3"/>
    <row r="2336" spans="1:6" ht="23.25" thickBot="1" x14ac:dyDescent="0.3">
      <c r="A2336" s="30" t="s">
        <v>18</v>
      </c>
      <c r="B2336" s="30" t="s">
        <v>19</v>
      </c>
      <c r="C2336" s="30" t="s">
        <v>20</v>
      </c>
      <c r="D2336" s="30" t="s">
        <v>21</v>
      </c>
      <c r="E2336" s="30" t="s">
        <v>22</v>
      </c>
      <c r="F2336" s="30" t="s">
        <v>23</v>
      </c>
    </row>
    <row r="2337" spans="1:6" ht="17.25" thickBot="1" x14ac:dyDescent="0.3">
      <c r="A2337" s="31" t="s">
        <v>541</v>
      </c>
      <c r="B2337" s="31" t="s">
        <v>542</v>
      </c>
      <c r="C2337" s="31" t="s">
        <v>26</v>
      </c>
      <c r="D2337" s="31" t="s">
        <v>27</v>
      </c>
      <c r="E2337" s="31" t="s">
        <v>58</v>
      </c>
      <c r="F2337" s="31" t="s">
        <v>17</v>
      </c>
    </row>
    <row r="2338" spans="1:6" ht="17.25" thickBot="1" x14ac:dyDescent="0.3">
      <c r="A2338" s="32" t="s">
        <v>29</v>
      </c>
      <c r="B2338" s="33" t="s">
        <v>30</v>
      </c>
      <c r="C2338" s="34">
        <v>45108</v>
      </c>
      <c r="D2338" s="32" t="s">
        <v>31</v>
      </c>
      <c r="E2338" s="35" t="s">
        <v>32</v>
      </c>
      <c r="F2338" s="36" t="s">
        <v>33</v>
      </c>
    </row>
    <row r="2339" spans="1:6" ht="17.25" thickBot="1" x14ac:dyDescent="0.3">
      <c r="A2339" s="37"/>
      <c r="B2339" s="33" t="s">
        <v>34</v>
      </c>
      <c r="C2339" s="38">
        <f>IF(C2338="","",IF(AND(MONTH(C2338)&gt;=1,MONTH(C2338)&lt;=3),1,IF(AND(MONTH(C2338)&gt;=4,MONTH(C2338)&lt;=6),2,IF(AND(MONTH(C2338)&gt;=7,MONTH(C2338)&lt;=9),3,4))))</f>
        <v>3</v>
      </c>
      <c r="D2339" s="37"/>
      <c r="E2339" s="35" t="s">
        <v>35</v>
      </c>
      <c r="F2339" s="36" t="s">
        <v>36</v>
      </c>
    </row>
    <row r="2340" spans="1:6" ht="17.25" thickBot="1" x14ac:dyDescent="0.3">
      <c r="A2340" s="37"/>
      <c r="B2340" s="33" t="s">
        <v>37</v>
      </c>
      <c r="C2340" s="34">
        <v>45199</v>
      </c>
      <c r="D2340" s="37"/>
      <c r="E2340" s="35" t="s">
        <v>38</v>
      </c>
      <c r="F2340" s="36" t="s">
        <v>36</v>
      </c>
    </row>
    <row r="2341" spans="1:6" ht="17.25" thickBot="1" x14ac:dyDescent="0.3">
      <c r="A2341" s="37"/>
      <c r="B2341" s="33" t="s">
        <v>34</v>
      </c>
      <c r="C2341" s="38">
        <f>IF(C2340="","",IF(AND(MONTH(C2340)&gt;=1,MONTH(C2340)&lt;=3),1,IF(AND(MONTH(C2340)&gt;=4,MONTH(C2340)&lt;=6),2,IF(AND(MONTH(C2340)&gt;=7,MONTH(C2340)&lt;=9),3,4))))</f>
        <v>3</v>
      </c>
      <c r="D2341" s="37"/>
      <c r="E2341" s="35" t="s">
        <v>39</v>
      </c>
      <c r="F2341" s="36" t="s">
        <v>36</v>
      </c>
    </row>
    <row r="2342" spans="1:6" ht="17.25" thickBot="1" x14ac:dyDescent="0.3"/>
    <row r="2343" spans="1:6" ht="17.25" thickBot="1" x14ac:dyDescent="0.3">
      <c r="A2343" s="39" t="s">
        <v>40</v>
      </c>
      <c r="B2343" s="39" t="s">
        <v>41</v>
      </c>
      <c r="C2343" s="39" t="s">
        <v>42</v>
      </c>
      <c r="D2343" s="39" t="s">
        <v>43</v>
      </c>
      <c r="E2343" s="39" t="s">
        <v>44</v>
      </c>
      <c r="F2343" s="39" t="s">
        <v>45</v>
      </c>
    </row>
    <row r="2344" spans="1:6" x14ac:dyDescent="0.25">
      <c r="A2344" s="40" t="s">
        <v>543</v>
      </c>
      <c r="B2344" s="41" t="str">
        <f ca="1">IFERROR(INDEX(UNSPSCDes,MATCH(INDIRECT(ADDRESS(ROW(),COLUMN()-1,4)),UNSPSCCode,0)),IF(INDIRECT(ADDRESS(ROW(),COLUMN()-1,4))="78131602","Almacenaje de archivos de carpetas",""))</f>
        <v>Almacenaje de archivos de carpetas</v>
      </c>
      <c r="C2344" s="42" t="s">
        <v>66</v>
      </c>
      <c r="D2344" s="40">
        <v>1</v>
      </c>
      <c r="E2344" s="43">
        <v>1</v>
      </c>
      <c r="F2344" s="44">
        <f ca="1">INDIRECT(ADDRESS(ROW(),COLUMN()-2,4))*INDIRECT(ADDRESS(ROW(),COLUMN()-1,4))</f>
        <v>1</v>
      </c>
    </row>
    <row r="2345" spans="1:6" x14ac:dyDescent="0.25">
      <c r="E2345" s="45" t="s">
        <v>47</v>
      </c>
      <c r="F2345" s="46">
        <f ca="1">SUM(Table190[MONTO TOTAL ESTIMADO])</f>
        <v>1</v>
      </c>
    </row>
    <row r="2346" spans="1:6" ht="17.25" thickBot="1" x14ac:dyDescent="0.3"/>
    <row r="2347" spans="1:6" ht="23.25" thickBot="1" x14ac:dyDescent="0.3">
      <c r="A2347" s="30" t="s">
        <v>18</v>
      </c>
      <c r="B2347" s="30" t="s">
        <v>19</v>
      </c>
      <c r="C2347" s="30" t="s">
        <v>20</v>
      </c>
      <c r="D2347" s="30" t="s">
        <v>21</v>
      </c>
      <c r="E2347" s="30" t="s">
        <v>22</v>
      </c>
      <c r="F2347" s="30" t="s">
        <v>23</v>
      </c>
    </row>
    <row r="2348" spans="1:6" ht="17.25" thickBot="1" x14ac:dyDescent="0.3">
      <c r="A2348" s="31" t="s">
        <v>541</v>
      </c>
      <c r="B2348" s="31" t="s">
        <v>542</v>
      </c>
      <c r="C2348" s="31" t="s">
        <v>26</v>
      </c>
      <c r="D2348" s="31" t="s">
        <v>27</v>
      </c>
      <c r="E2348" s="31" t="s">
        <v>58</v>
      </c>
      <c r="F2348" s="31" t="s">
        <v>17</v>
      </c>
    </row>
    <row r="2349" spans="1:6" ht="17.25" thickBot="1" x14ac:dyDescent="0.3">
      <c r="A2349" s="32" t="s">
        <v>29</v>
      </c>
      <c r="B2349" s="33" t="s">
        <v>30</v>
      </c>
      <c r="C2349" s="34">
        <v>45200</v>
      </c>
      <c r="D2349" s="32" t="s">
        <v>31</v>
      </c>
      <c r="E2349" s="35" t="s">
        <v>32</v>
      </c>
      <c r="F2349" s="36" t="s">
        <v>33</v>
      </c>
    </row>
    <row r="2350" spans="1:6" ht="17.25" thickBot="1" x14ac:dyDescent="0.3">
      <c r="A2350" s="37"/>
      <c r="B2350" s="33" t="s">
        <v>34</v>
      </c>
      <c r="C2350" s="38">
        <f>IF(C2349="","",IF(AND(MONTH(C2349)&gt;=1,MONTH(C2349)&lt;=3),1,IF(AND(MONTH(C2349)&gt;=4,MONTH(C2349)&lt;=6),2,IF(AND(MONTH(C2349)&gt;=7,MONTH(C2349)&lt;=9),3,4))))</f>
        <v>4</v>
      </c>
      <c r="D2350" s="37"/>
      <c r="E2350" s="35" t="s">
        <v>35</v>
      </c>
      <c r="F2350" s="36" t="s">
        <v>36</v>
      </c>
    </row>
    <row r="2351" spans="1:6" ht="17.25" thickBot="1" x14ac:dyDescent="0.3">
      <c r="A2351" s="37"/>
      <c r="B2351" s="33" t="s">
        <v>37</v>
      </c>
      <c r="C2351" s="34">
        <v>45291</v>
      </c>
      <c r="D2351" s="37"/>
      <c r="E2351" s="35" t="s">
        <v>38</v>
      </c>
      <c r="F2351" s="36" t="s">
        <v>36</v>
      </c>
    </row>
    <row r="2352" spans="1:6" ht="17.25" thickBot="1" x14ac:dyDescent="0.3">
      <c r="A2352" s="37"/>
      <c r="B2352" s="33" t="s">
        <v>34</v>
      </c>
      <c r="C2352" s="38">
        <f>IF(C2351="","",IF(AND(MONTH(C2351)&gt;=1,MONTH(C2351)&lt;=3),1,IF(AND(MONTH(C2351)&gt;=4,MONTH(C2351)&lt;=6),2,IF(AND(MONTH(C2351)&gt;=7,MONTH(C2351)&lt;=9),3,4))))</f>
        <v>4</v>
      </c>
      <c r="D2352" s="37"/>
      <c r="E2352" s="35" t="s">
        <v>39</v>
      </c>
      <c r="F2352" s="36" t="s">
        <v>36</v>
      </c>
    </row>
    <row r="2353" spans="1:6" ht="17.25" thickBot="1" x14ac:dyDescent="0.3"/>
    <row r="2354" spans="1:6" ht="17.25" thickBot="1" x14ac:dyDescent="0.3">
      <c r="A2354" s="39" t="s">
        <v>40</v>
      </c>
      <c r="B2354" s="39" t="s">
        <v>41</v>
      </c>
      <c r="C2354" s="39" t="s">
        <v>42</v>
      </c>
      <c r="D2354" s="39" t="s">
        <v>43</v>
      </c>
      <c r="E2354" s="39" t="s">
        <v>44</v>
      </c>
      <c r="F2354" s="39" t="s">
        <v>45</v>
      </c>
    </row>
    <row r="2355" spans="1:6" x14ac:dyDescent="0.25">
      <c r="A2355" s="40" t="s">
        <v>543</v>
      </c>
      <c r="B2355" s="41" t="str">
        <f ca="1">IFERROR(INDEX(UNSPSCDes,MATCH(INDIRECT(ADDRESS(ROW(),COLUMN()-1,4)),UNSPSCCode,0)),IF(INDIRECT(ADDRESS(ROW(),COLUMN()-1,4))="78131602","Almacenaje de archivos de carpetas",""))</f>
        <v>Almacenaje de archivos de carpetas</v>
      </c>
      <c r="C2355" s="42" t="s">
        <v>66</v>
      </c>
      <c r="D2355" s="40">
        <v>1</v>
      </c>
      <c r="E2355" s="43">
        <v>1</v>
      </c>
      <c r="F2355" s="44">
        <f ca="1">INDIRECT(ADDRESS(ROW(),COLUMN()-2,4))*INDIRECT(ADDRESS(ROW(),COLUMN()-1,4))</f>
        <v>1</v>
      </c>
    </row>
    <row r="2356" spans="1:6" x14ac:dyDescent="0.25">
      <c r="E2356" s="45" t="s">
        <v>47</v>
      </c>
      <c r="F2356" s="46">
        <f ca="1">SUM(Table191[MONTO TOTAL ESTIMADO])</f>
        <v>1</v>
      </c>
    </row>
    <row r="2357" spans="1:6" ht="17.25" thickBot="1" x14ac:dyDescent="0.3"/>
    <row r="2358" spans="1:6" ht="23.25" thickBot="1" x14ac:dyDescent="0.3">
      <c r="A2358" s="30" t="s">
        <v>18</v>
      </c>
      <c r="B2358" s="30" t="s">
        <v>19</v>
      </c>
      <c r="C2358" s="30" t="s">
        <v>20</v>
      </c>
      <c r="D2358" s="30" t="s">
        <v>21</v>
      </c>
      <c r="E2358" s="30" t="s">
        <v>22</v>
      </c>
      <c r="F2358" s="30" t="s">
        <v>23</v>
      </c>
    </row>
    <row r="2359" spans="1:6" ht="17.25" thickBot="1" x14ac:dyDescent="0.3">
      <c r="A2359" s="31" t="s">
        <v>544</v>
      </c>
      <c r="B2359" s="31" t="s">
        <v>545</v>
      </c>
      <c r="C2359" s="31" t="s">
        <v>26</v>
      </c>
      <c r="D2359" s="31" t="s">
        <v>50</v>
      </c>
      <c r="E2359" s="31" t="s">
        <v>58</v>
      </c>
      <c r="F2359" s="31"/>
    </row>
    <row r="2360" spans="1:6" ht="17.25" thickBot="1" x14ac:dyDescent="0.3">
      <c r="A2360" s="32" t="s">
        <v>29</v>
      </c>
      <c r="B2360" s="33" t="s">
        <v>30</v>
      </c>
      <c r="C2360" s="34">
        <v>44958</v>
      </c>
      <c r="D2360" s="32" t="s">
        <v>31</v>
      </c>
      <c r="E2360" s="35" t="s">
        <v>32</v>
      </c>
      <c r="F2360" s="36" t="s">
        <v>33</v>
      </c>
    </row>
    <row r="2361" spans="1:6" ht="17.25" thickBot="1" x14ac:dyDescent="0.3">
      <c r="A2361" s="37"/>
      <c r="B2361" s="33" t="s">
        <v>34</v>
      </c>
      <c r="C2361" s="38">
        <f>IF(C2360="","",IF(AND(MONTH(C2360)&gt;=1,MONTH(C2360)&lt;=3),1,IF(AND(MONTH(C2360)&gt;=4,MONTH(C2360)&lt;=6),2,IF(AND(MONTH(C2360)&gt;=7,MONTH(C2360)&lt;=9),3,4))))</f>
        <v>1</v>
      </c>
      <c r="D2361" s="37"/>
      <c r="E2361" s="35" t="s">
        <v>35</v>
      </c>
      <c r="F2361" s="36" t="s">
        <v>36</v>
      </c>
    </row>
    <row r="2362" spans="1:6" ht="17.25" thickBot="1" x14ac:dyDescent="0.3">
      <c r="A2362" s="37"/>
      <c r="B2362" s="33" t="s">
        <v>37</v>
      </c>
      <c r="C2362" s="34">
        <v>45015</v>
      </c>
      <c r="D2362" s="37"/>
      <c r="E2362" s="35" t="s">
        <v>38</v>
      </c>
      <c r="F2362" s="36" t="s">
        <v>36</v>
      </c>
    </row>
    <row r="2363" spans="1:6" ht="17.25" thickBot="1" x14ac:dyDescent="0.3">
      <c r="A2363" s="37"/>
      <c r="B2363" s="33" t="s">
        <v>34</v>
      </c>
      <c r="C2363" s="38">
        <f>IF(C2362="","",IF(AND(MONTH(C2362)&gt;=1,MONTH(C2362)&lt;=3),1,IF(AND(MONTH(C2362)&gt;=4,MONTH(C2362)&lt;=6),2,IF(AND(MONTH(C2362)&gt;=7,MONTH(C2362)&lt;=9),3,4))))</f>
        <v>1</v>
      </c>
      <c r="D2363" s="37"/>
      <c r="E2363" s="35" t="s">
        <v>39</v>
      </c>
      <c r="F2363" s="36" t="s">
        <v>36</v>
      </c>
    </row>
    <row r="2364" spans="1:6" ht="17.25" thickBot="1" x14ac:dyDescent="0.3"/>
    <row r="2365" spans="1:6" ht="17.25" thickBot="1" x14ac:dyDescent="0.3">
      <c r="A2365" s="39" t="s">
        <v>40</v>
      </c>
      <c r="B2365" s="39" t="s">
        <v>41</v>
      </c>
      <c r="C2365" s="39" t="s">
        <v>42</v>
      </c>
      <c r="D2365" s="39" t="s">
        <v>43</v>
      </c>
      <c r="E2365" s="39" t="s">
        <v>44</v>
      </c>
      <c r="F2365" s="39" t="s">
        <v>45</v>
      </c>
    </row>
    <row r="2366" spans="1:6" x14ac:dyDescent="0.25">
      <c r="A2366" s="40" t="s">
        <v>546</v>
      </c>
      <c r="B2366" s="41" t="str">
        <f ca="1">IFERROR(INDEX(UNSPSCDes,MATCH(INDIRECT(ADDRESS(ROW(),COLUMN()-1,4)),UNSPSCCode,0)),IF(INDIRECT(ADDRESS(ROW(),COLUMN()-1,4))="80131502","Arrendamiento de instalaciones comerciales o industriales",""))</f>
        <v>Arrendamiento de instalaciones comerciales o industriales</v>
      </c>
      <c r="C2366" s="42" t="str">
        <f>IFERROR(VLOOKUP("UD",'[1]Informacion '!P:Q,2,FALSE),"")</f>
        <v>Unidad</v>
      </c>
      <c r="D2366" s="40">
        <v>1</v>
      </c>
      <c r="E2366" s="43">
        <v>1026600</v>
      </c>
      <c r="F2366" s="44">
        <f ca="1">INDIRECT(ADDRESS(ROW(),COLUMN()-2,4))*INDIRECT(ADDRESS(ROW(),COLUMN()-1,4))</f>
        <v>1026600</v>
      </c>
    </row>
    <row r="2367" spans="1:6" x14ac:dyDescent="0.25">
      <c r="E2367" s="45" t="s">
        <v>47</v>
      </c>
      <c r="F2367" s="46">
        <f ca="1">SUM(Table192[MONTO TOTAL ESTIMADO])</f>
        <v>1026600</v>
      </c>
    </row>
    <row r="2368" spans="1:6" ht="17.25" thickBot="1" x14ac:dyDescent="0.3"/>
    <row r="2369" spans="1:6" ht="23.25" thickBot="1" x14ac:dyDescent="0.3">
      <c r="A2369" s="30" t="s">
        <v>18</v>
      </c>
      <c r="B2369" s="30" t="s">
        <v>19</v>
      </c>
      <c r="C2369" s="30" t="s">
        <v>20</v>
      </c>
      <c r="D2369" s="30" t="s">
        <v>21</v>
      </c>
      <c r="E2369" s="30" t="s">
        <v>22</v>
      </c>
      <c r="F2369" s="30" t="s">
        <v>23</v>
      </c>
    </row>
    <row r="2370" spans="1:6" ht="17.25" thickBot="1" x14ac:dyDescent="0.3">
      <c r="A2370" s="31" t="s">
        <v>544</v>
      </c>
      <c r="B2370" s="31" t="s">
        <v>545</v>
      </c>
      <c r="C2370" s="31" t="s">
        <v>26</v>
      </c>
      <c r="D2370" s="31" t="s">
        <v>27</v>
      </c>
      <c r="E2370" s="31" t="s">
        <v>58</v>
      </c>
      <c r="F2370" s="31"/>
    </row>
    <row r="2371" spans="1:6" ht="17.25" thickBot="1" x14ac:dyDescent="0.3">
      <c r="A2371" s="32" t="s">
        <v>29</v>
      </c>
      <c r="B2371" s="33" t="s">
        <v>30</v>
      </c>
      <c r="C2371" s="34">
        <v>45017</v>
      </c>
      <c r="D2371" s="32" t="s">
        <v>31</v>
      </c>
      <c r="E2371" s="35" t="s">
        <v>32</v>
      </c>
      <c r="F2371" s="36" t="s">
        <v>33</v>
      </c>
    </row>
    <row r="2372" spans="1:6" ht="17.25" thickBot="1" x14ac:dyDescent="0.3">
      <c r="A2372" s="37"/>
      <c r="B2372" s="33" t="s">
        <v>34</v>
      </c>
      <c r="C2372" s="38">
        <f>IF(C2371="","",IF(AND(MONTH(C2371)&gt;=1,MONTH(C2371)&lt;=3),1,IF(AND(MONTH(C2371)&gt;=4,MONTH(C2371)&lt;=6),2,IF(AND(MONTH(C2371)&gt;=7,MONTH(C2371)&lt;=9),3,4))))</f>
        <v>2</v>
      </c>
      <c r="D2372" s="37"/>
      <c r="E2372" s="35" t="s">
        <v>35</v>
      </c>
      <c r="F2372" s="36" t="s">
        <v>36</v>
      </c>
    </row>
    <row r="2373" spans="1:6" ht="17.25" thickBot="1" x14ac:dyDescent="0.3">
      <c r="A2373" s="37"/>
      <c r="B2373" s="33" t="s">
        <v>37</v>
      </c>
      <c r="C2373" s="34">
        <v>45106</v>
      </c>
      <c r="D2373" s="37"/>
      <c r="E2373" s="35" t="s">
        <v>38</v>
      </c>
      <c r="F2373" s="36" t="s">
        <v>36</v>
      </c>
    </row>
    <row r="2374" spans="1:6" ht="17.25" thickBot="1" x14ac:dyDescent="0.3">
      <c r="A2374" s="37"/>
      <c r="B2374" s="33" t="s">
        <v>34</v>
      </c>
      <c r="C2374" s="38">
        <f>IF(C2373="","",IF(AND(MONTH(C2373)&gt;=1,MONTH(C2373)&lt;=3),1,IF(AND(MONTH(C2373)&gt;=4,MONTH(C2373)&lt;=6),2,IF(AND(MONTH(C2373)&gt;=7,MONTH(C2373)&lt;=9),3,4))))</f>
        <v>2</v>
      </c>
      <c r="D2374" s="37"/>
      <c r="E2374" s="35" t="s">
        <v>39</v>
      </c>
      <c r="F2374" s="36" t="s">
        <v>36</v>
      </c>
    </row>
    <row r="2375" spans="1:6" ht="17.25" thickBot="1" x14ac:dyDescent="0.3"/>
    <row r="2376" spans="1:6" ht="17.25" thickBot="1" x14ac:dyDescent="0.3">
      <c r="A2376" s="39" t="s">
        <v>40</v>
      </c>
      <c r="B2376" s="39" t="s">
        <v>41</v>
      </c>
      <c r="C2376" s="39" t="s">
        <v>42</v>
      </c>
      <c r="D2376" s="39" t="s">
        <v>43</v>
      </c>
      <c r="E2376" s="39" t="s">
        <v>44</v>
      </c>
      <c r="F2376" s="39" t="s">
        <v>45</v>
      </c>
    </row>
    <row r="2377" spans="1:6" x14ac:dyDescent="0.25">
      <c r="A2377" s="40" t="s">
        <v>546</v>
      </c>
      <c r="B2377" s="41" t="str">
        <f ca="1">IFERROR(INDEX(UNSPSCDes,MATCH(INDIRECT(ADDRESS(ROW(),COLUMN()-1,4)),UNSPSCCode,0)),IF(INDIRECT(ADDRESS(ROW(),COLUMN()-1,4))="80131502","Arrendamiento de instalaciones comerciales o industriales",""))</f>
        <v>Arrendamiento de instalaciones comerciales o industriales</v>
      </c>
      <c r="C2377" s="42" t="str">
        <f>IFERROR(VLOOKUP("UD",'[1]Informacion '!P:Q,2,FALSE),"")</f>
        <v>Unidad</v>
      </c>
      <c r="D2377" s="40">
        <v>1</v>
      </c>
      <c r="E2377" s="43">
        <v>1</v>
      </c>
      <c r="F2377" s="44">
        <f ca="1">INDIRECT(ADDRESS(ROW(),COLUMN()-2,4))*INDIRECT(ADDRESS(ROW(),COLUMN()-1,4))</f>
        <v>1</v>
      </c>
    </row>
    <row r="2378" spans="1:6" x14ac:dyDescent="0.25">
      <c r="E2378" s="45" t="s">
        <v>47</v>
      </c>
      <c r="F2378" s="46">
        <f ca="1">SUM(Table193[MONTO TOTAL ESTIMADO])</f>
        <v>1</v>
      </c>
    </row>
    <row r="2379" spans="1:6" ht="17.25" thickBot="1" x14ac:dyDescent="0.3"/>
    <row r="2380" spans="1:6" ht="23.25" thickBot="1" x14ac:dyDescent="0.3">
      <c r="A2380" s="30" t="s">
        <v>18</v>
      </c>
      <c r="B2380" s="30" t="s">
        <v>19</v>
      </c>
      <c r="C2380" s="30" t="s">
        <v>20</v>
      </c>
      <c r="D2380" s="30" t="s">
        <v>21</v>
      </c>
      <c r="E2380" s="30" t="s">
        <v>22</v>
      </c>
      <c r="F2380" s="30" t="s">
        <v>23</v>
      </c>
    </row>
    <row r="2381" spans="1:6" ht="17.25" thickBot="1" x14ac:dyDescent="0.3">
      <c r="A2381" s="31" t="s">
        <v>544</v>
      </c>
      <c r="B2381" s="31" t="s">
        <v>545</v>
      </c>
      <c r="C2381" s="31" t="s">
        <v>26</v>
      </c>
      <c r="D2381" s="31" t="s">
        <v>50</v>
      </c>
      <c r="E2381" s="31" t="s">
        <v>58</v>
      </c>
      <c r="F2381" s="31"/>
    </row>
    <row r="2382" spans="1:6" ht="17.25" thickBot="1" x14ac:dyDescent="0.3">
      <c r="A2382" s="32" t="s">
        <v>29</v>
      </c>
      <c r="B2382" s="33" t="s">
        <v>30</v>
      </c>
      <c r="C2382" s="34">
        <v>45108</v>
      </c>
      <c r="D2382" s="32" t="s">
        <v>31</v>
      </c>
      <c r="E2382" s="35" t="s">
        <v>32</v>
      </c>
      <c r="F2382" s="36" t="s">
        <v>33</v>
      </c>
    </row>
    <row r="2383" spans="1:6" ht="17.25" thickBot="1" x14ac:dyDescent="0.3">
      <c r="A2383" s="37"/>
      <c r="B2383" s="33" t="s">
        <v>34</v>
      </c>
      <c r="C2383" s="38">
        <f>IF(C2382="","",IF(AND(MONTH(C2382)&gt;=1,MONTH(C2382)&lt;=3),1,IF(AND(MONTH(C2382)&gt;=4,MONTH(C2382)&lt;=6),2,IF(AND(MONTH(C2382)&gt;=7,MONTH(C2382)&lt;=9),3,4))))</f>
        <v>3</v>
      </c>
      <c r="D2383" s="37"/>
      <c r="E2383" s="35" t="s">
        <v>35</v>
      </c>
      <c r="F2383" s="36" t="s">
        <v>36</v>
      </c>
    </row>
    <row r="2384" spans="1:6" ht="17.25" thickBot="1" x14ac:dyDescent="0.3">
      <c r="A2384" s="37"/>
      <c r="B2384" s="33" t="s">
        <v>37</v>
      </c>
      <c r="C2384" s="34">
        <v>45198</v>
      </c>
      <c r="D2384" s="37"/>
      <c r="E2384" s="35" t="s">
        <v>38</v>
      </c>
      <c r="F2384" s="36" t="s">
        <v>36</v>
      </c>
    </row>
    <row r="2385" spans="1:6" ht="17.25" thickBot="1" x14ac:dyDescent="0.3">
      <c r="A2385" s="37"/>
      <c r="B2385" s="33" t="s">
        <v>34</v>
      </c>
      <c r="C2385" s="38">
        <f>IF(C2384="","",IF(AND(MONTH(C2384)&gt;=1,MONTH(C2384)&lt;=3),1,IF(AND(MONTH(C2384)&gt;=4,MONTH(C2384)&lt;=6),2,IF(AND(MONTH(C2384)&gt;=7,MONTH(C2384)&lt;=9),3,4))))</f>
        <v>3</v>
      </c>
      <c r="D2385" s="37"/>
      <c r="E2385" s="35" t="s">
        <v>39</v>
      </c>
      <c r="F2385" s="36" t="s">
        <v>36</v>
      </c>
    </row>
    <row r="2386" spans="1:6" ht="17.25" thickBot="1" x14ac:dyDescent="0.3"/>
    <row r="2387" spans="1:6" ht="17.25" thickBot="1" x14ac:dyDescent="0.3">
      <c r="A2387" s="39" t="s">
        <v>40</v>
      </c>
      <c r="B2387" s="39" t="s">
        <v>41</v>
      </c>
      <c r="C2387" s="39" t="s">
        <v>42</v>
      </c>
      <c r="D2387" s="39" t="s">
        <v>43</v>
      </c>
      <c r="E2387" s="39" t="s">
        <v>44</v>
      </c>
      <c r="F2387" s="39" t="s">
        <v>45</v>
      </c>
    </row>
    <row r="2388" spans="1:6" x14ac:dyDescent="0.25">
      <c r="A2388" s="40" t="s">
        <v>546</v>
      </c>
      <c r="B2388" s="41" t="str">
        <f ca="1">IFERROR(INDEX(UNSPSCDes,MATCH(INDIRECT(ADDRESS(ROW(),COLUMN()-1,4)),UNSPSCCode,0)),IF(INDIRECT(ADDRESS(ROW(),COLUMN()-1,4))="80131502","Arrendamiento de instalaciones comerciales o industriales",""))</f>
        <v>Arrendamiento de instalaciones comerciales o industriales</v>
      </c>
      <c r="C2388" s="42" t="str">
        <f>IFERROR(VLOOKUP("UD",'[1]Informacion '!P:Q,2,FALSE),"")</f>
        <v>Unidad</v>
      </c>
      <c r="D2388" s="40">
        <v>1</v>
      </c>
      <c r="E2388" s="43">
        <v>1026600</v>
      </c>
      <c r="F2388" s="44">
        <f ca="1">INDIRECT(ADDRESS(ROW(),COLUMN()-2,4))*INDIRECT(ADDRESS(ROW(),COLUMN()-1,4))</f>
        <v>1026600</v>
      </c>
    </row>
    <row r="2389" spans="1:6" x14ac:dyDescent="0.25">
      <c r="E2389" s="45" t="s">
        <v>47</v>
      </c>
      <c r="F2389" s="46">
        <f ca="1">SUM(Table194[MONTO TOTAL ESTIMADO])</f>
        <v>1026600</v>
      </c>
    </row>
    <row r="2390" spans="1:6" ht="17.25" thickBot="1" x14ac:dyDescent="0.3"/>
    <row r="2391" spans="1:6" ht="23.25" thickBot="1" x14ac:dyDescent="0.3">
      <c r="A2391" s="30" t="s">
        <v>18</v>
      </c>
      <c r="B2391" s="30" t="s">
        <v>19</v>
      </c>
      <c r="C2391" s="30" t="s">
        <v>20</v>
      </c>
      <c r="D2391" s="30" t="s">
        <v>21</v>
      </c>
      <c r="E2391" s="30" t="s">
        <v>22</v>
      </c>
      <c r="F2391" s="30" t="s">
        <v>23</v>
      </c>
    </row>
    <row r="2392" spans="1:6" ht="17.25" thickBot="1" x14ac:dyDescent="0.3">
      <c r="A2392" s="31" t="s">
        <v>544</v>
      </c>
      <c r="B2392" s="31" t="s">
        <v>545</v>
      </c>
      <c r="C2392" s="31" t="s">
        <v>26</v>
      </c>
      <c r="D2392" s="31" t="s">
        <v>27</v>
      </c>
      <c r="E2392" s="31" t="s">
        <v>58</v>
      </c>
      <c r="F2392" s="31"/>
    </row>
    <row r="2393" spans="1:6" ht="17.25" thickBot="1" x14ac:dyDescent="0.3">
      <c r="A2393" s="32" t="s">
        <v>29</v>
      </c>
      <c r="B2393" s="33" t="s">
        <v>30</v>
      </c>
      <c r="C2393" s="34">
        <v>45200</v>
      </c>
      <c r="D2393" s="32" t="s">
        <v>31</v>
      </c>
      <c r="E2393" s="35" t="s">
        <v>32</v>
      </c>
      <c r="F2393" s="36" t="s">
        <v>33</v>
      </c>
    </row>
    <row r="2394" spans="1:6" ht="17.25" thickBot="1" x14ac:dyDescent="0.3">
      <c r="A2394" s="37"/>
      <c r="B2394" s="33" t="s">
        <v>34</v>
      </c>
      <c r="C2394" s="38">
        <f>IF(C2393="","",IF(AND(MONTH(C2393)&gt;=1,MONTH(C2393)&lt;=3),1,IF(AND(MONTH(C2393)&gt;=4,MONTH(C2393)&lt;=6),2,IF(AND(MONTH(C2393)&gt;=7,MONTH(C2393)&lt;=9),3,4))))</f>
        <v>4</v>
      </c>
      <c r="D2394" s="37"/>
      <c r="E2394" s="35" t="s">
        <v>35</v>
      </c>
      <c r="F2394" s="36" t="s">
        <v>36</v>
      </c>
    </row>
    <row r="2395" spans="1:6" ht="17.25" thickBot="1" x14ac:dyDescent="0.3">
      <c r="A2395" s="37"/>
      <c r="B2395" s="33" t="s">
        <v>37</v>
      </c>
      <c r="C2395" s="34">
        <v>45290</v>
      </c>
      <c r="D2395" s="37"/>
      <c r="E2395" s="35" t="s">
        <v>38</v>
      </c>
      <c r="F2395" s="36" t="s">
        <v>36</v>
      </c>
    </row>
    <row r="2396" spans="1:6" ht="17.25" thickBot="1" x14ac:dyDescent="0.3">
      <c r="A2396" s="37"/>
      <c r="B2396" s="33" t="s">
        <v>34</v>
      </c>
      <c r="C2396" s="38">
        <f>IF(C2395="","",IF(AND(MONTH(C2395)&gt;=1,MONTH(C2395)&lt;=3),1,IF(AND(MONTH(C2395)&gt;=4,MONTH(C2395)&lt;=6),2,IF(AND(MONTH(C2395)&gt;=7,MONTH(C2395)&lt;=9),3,4))))</f>
        <v>4</v>
      </c>
      <c r="D2396" s="37"/>
      <c r="E2396" s="35" t="s">
        <v>39</v>
      </c>
      <c r="F2396" s="36" t="s">
        <v>36</v>
      </c>
    </row>
    <row r="2397" spans="1:6" ht="17.25" thickBot="1" x14ac:dyDescent="0.3"/>
    <row r="2398" spans="1:6" ht="17.25" thickBot="1" x14ac:dyDescent="0.3">
      <c r="A2398" s="39" t="s">
        <v>40</v>
      </c>
      <c r="B2398" s="39" t="s">
        <v>41</v>
      </c>
      <c r="C2398" s="39" t="s">
        <v>42</v>
      </c>
      <c r="D2398" s="39" t="s">
        <v>43</v>
      </c>
      <c r="E2398" s="39" t="s">
        <v>44</v>
      </c>
      <c r="F2398" s="39" t="s">
        <v>45</v>
      </c>
    </row>
    <row r="2399" spans="1:6" x14ac:dyDescent="0.25">
      <c r="A2399" s="40" t="s">
        <v>546</v>
      </c>
      <c r="B2399" s="41" t="str">
        <f ca="1">IFERROR(INDEX(UNSPSCDes,MATCH(INDIRECT(ADDRESS(ROW(),COLUMN()-1,4)),UNSPSCCode,0)),IF(INDIRECT(ADDRESS(ROW(),COLUMN()-1,4))="80131502","Arrendamiento de instalaciones comerciales o industriales",""))</f>
        <v>Arrendamiento de instalaciones comerciales o industriales</v>
      </c>
      <c r="C2399" s="42" t="str">
        <f>IFERROR(VLOOKUP("UD",'[1]Informacion '!P:Q,2,FALSE),"")</f>
        <v>Unidad</v>
      </c>
      <c r="D2399" s="40">
        <v>1</v>
      </c>
      <c r="E2399" s="43">
        <v>1</v>
      </c>
      <c r="F2399" s="44">
        <f ca="1">INDIRECT(ADDRESS(ROW(),COLUMN()-2,4))*INDIRECT(ADDRESS(ROW(),COLUMN()-1,4))</f>
        <v>1</v>
      </c>
    </row>
    <row r="2400" spans="1:6" x14ac:dyDescent="0.25">
      <c r="E2400" s="45" t="s">
        <v>47</v>
      </c>
      <c r="F2400" s="46">
        <f ca="1">SUM(Table195[MONTO TOTAL ESTIMADO])</f>
        <v>1</v>
      </c>
    </row>
    <row r="2401" spans="1:6" ht="17.25" thickBot="1" x14ac:dyDescent="0.3"/>
    <row r="2402" spans="1:6" ht="23.25" thickBot="1" x14ac:dyDescent="0.3">
      <c r="A2402" s="30" t="s">
        <v>18</v>
      </c>
      <c r="B2402" s="30" t="s">
        <v>19</v>
      </c>
      <c r="C2402" s="30" t="s">
        <v>20</v>
      </c>
      <c r="D2402" s="30" t="s">
        <v>21</v>
      </c>
      <c r="E2402" s="30" t="s">
        <v>22</v>
      </c>
      <c r="F2402" s="30" t="s">
        <v>23</v>
      </c>
    </row>
    <row r="2403" spans="1:6" ht="17.25" thickBot="1" x14ac:dyDescent="0.3">
      <c r="A2403" s="31" t="s">
        <v>486</v>
      </c>
      <c r="B2403" s="31" t="s">
        <v>547</v>
      </c>
      <c r="C2403" s="31" t="s">
        <v>92</v>
      </c>
      <c r="D2403" s="31" t="s">
        <v>50</v>
      </c>
      <c r="E2403" s="31" t="s">
        <v>58</v>
      </c>
      <c r="F2403" s="31"/>
    </row>
    <row r="2404" spans="1:6" ht="17.25" thickBot="1" x14ac:dyDescent="0.3">
      <c r="A2404" s="32" t="s">
        <v>29</v>
      </c>
      <c r="B2404" s="33" t="s">
        <v>30</v>
      </c>
      <c r="C2404" s="34">
        <v>44927</v>
      </c>
      <c r="D2404" s="32" t="s">
        <v>31</v>
      </c>
      <c r="E2404" s="35" t="s">
        <v>32</v>
      </c>
      <c r="F2404" s="36" t="s">
        <v>33</v>
      </c>
    </row>
    <row r="2405" spans="1:6" ht="17.25" thickBot="1" x14ac:dyDescent="0.3">
      <c r="A2405" s="37"/>
      <c r="B2405" s="33" t="s">
        <v>34</v>
      </c>
      <c r="C2405" s="38">
        <f>IF(C2404="","",IF(AND(MONTH(C2404)&gt;=1,MONTH(C2404)&lt;=3),1,IF(AND(MONTH(C2404)&gt;=4,MONTH(C2404)&lt;=6),2,IF(AND(MONTH(C2404)&gt;=7,MONTH(C2404)&lt;=9),3,4))))</f>
        <v>1</v>
      </c>
      <c r="D2405" s="37"/>
      <c r="E2405" s="35" t="s">
        <v>35</v>
      </c>
      <c r="F2405" s="36" t="s">
        <v>36</v>
      </c>
    </row>
    <row r="2406" spans="1:6" ht="17.25" thickBot="1" x14ac:dyDescent="0.3">
      <c r="A2406" s="37"/>
      <c r="B2406" s="33" t="s">
        <v>37</v>
      </c>
      <c r="C2406" s="34">
        <v>45015</v>
      </c>
      <c r="D2406" s="37"/>
      <c r="E2406" s="35" t="s">
        <v>38</v>
      </c>
      <c r="F2406" s="36" t="s">
        <v>36</v>
      </c>
    </row>
    <row r="2407" spans="1:6" ht="17.25" thickBot="1" x14ac:dyDescent="0.3">
      <c r="A2407" s="37"/>
      <c r="B2407" s="33" t="s">
        <v>34</v>
      </c>
      <c r="C2407" s="38">
        <f>IF(C2406="","",IF(AND(MONTH(C2406)&gt;=1,MONTH(C2406)&lt;=3),1,IF(AND(MONTH(C2406)&gt;=4,MONTH(C2406)&lt;=6),2,IF(AND(MONTH(C2406)&gt;=7,MONTH(C2406)&lt;=9),3,4))))</f>
        <v>1</v>
      </c>
      <c r="D2407" s="37"/>
      <c r="E2407" s="35" t="s">
        <v>39</v>
      </c>
      <c r="F2407" s="36" t="s">
        <v>36</v>
      </c>
    </row>
    <row r="2408" spans="1:6" ht="17.25" thickBot="1" x14ac:dyDescent="0.3"/>
    <row r="2409" spans="1:6" ht="17.25" thickBot="1" x14ac:dyDescent="0.3">
      <c r="A2409" s="39" t="s">
        <v>40</v>
      </c>
      <c r="B2409" s="39" t="s">
        <v>41</v>
      </c>
      <c r="C2409" s="39" t="s">
        <v>42</v>
      </c>
      <c r="D2409" s="39" t="s">
        <v>43</v>
      </c>
      <c r="E2409" s="39" t="s">
        <v>44</v>
      </c>
      <c r="F2409" s="39" t="s">
        <v>45</v>
      </c>
    </row>
    <row r="2410" spans="1:6" x14ac:dyDescent="0.25">
      <c r="A2410" s="40" t="s">
        <v>548</v>
      </c>
      <c r="B2410" s="41" t="str">
        <f ca="1">IFERROR(INDEX(UNSPSCDes,MATCH(INDIRECT(ADDRESS(ROW(),COLUMN()-1,4)),UNSPSCCode,0)),IF(INDIRECT(ADDRESS(ROW(),COLUMN()-1,4))="43231512","Software de manejo de licencias",""))</f>
        <v>Software de manejo de licencias</v>
      </c>
      <c r="C2410" s="42" t="str">
        <f>IFERROR(VLOOKUP("UD",'[1]Informacion '!P:Q,2,FALSE),"")</f>
        <v>Unidad</v>
      </c>
      <c r="D2410" s="40">
        <v>1</v>
      </c>
      <c r="E2410" s="43">
        <v>900000</v>
      </c>
      <c r="F2410" s="44">
        <f ca="1">INDIRECT(ADDRESS(ROW(),COLUMN()-2,4))*INDIRECT(ADDRESS(ROW(),COLUMN()-1,4))</f>
        <v>900000</v>
      </c>
    </row>
    <row r="2411" spans="1:6" x14ac:dyDescent="0.25">
      <c r="E2411" s="45" t="s">
        <v>47</v>
      </c>
      <c r="F2411" s="46">
        <f ca="1">SUM(Table196[MONTO TOTAL ESTIMADO])</f>
        <v>900000</v>
      </c>
    </row>
    <row r="2412" spans="1:6" ht="17.25" thickBot="1" x14ac:dyDescent="0.3"/>
    <row r="2413" spans="1:6" ht="23.25" thickBot="1" x14ac:dyDescent="0.3">
      <c r="A2413" s="30" t="s">
        <v>18</v>
      </c>
      <c r="B2413" s="30" t="s">
        <v>19</v>
      </c>
      <c r="C2413" s="30" t="s">
        <v>20</v>
      </c>
      <c r="D2413" s="30" t="s">
        <v>21</v>
      </c>
      <c r="E2413" s="30" t="s">
        <v>22</v>
      </c>
      <c r="F2413" s="30" t="s">
        <v>23</v>
      </c>
    </row>
    <row r="2414" spans="1:6" ht="17.25" thickBot="1" x14ac:dyDescent="0.3">
      <c r="A2414" s="31" t="s">
        <v>486</v>
      </c>
      <c r="B2414" s="31" t="s">
        <v>547</v>
      </c>
      <c r="C2414" s="31" t="s">
        <v>26</v>
      </c>
      <c r="D2414" s="31" t="s">
        <v>52</v>
      </c>
      <c r="E2414" s="31" t="s">
        <v>58</v>
      </c>
      <c r="F2414" s="31"/>
    </row>
    <row r="2415" spans="1:6" ht="17.25" thickBot="1" x14ac:dyDescent="0.3">
      <c r="A2415" s="32" t="s">
        <v>29</v>
      </c>
      <c r="B2415" s="33" t="s">
        <v>30</v>
      </c>
      <c r="C2415" s="34">
        <v>45017</v>
      </c>
      <c r="D2415" s="32" t="s">
        <v>31</v>
      </c>
      <c r="E2415" s="35" t="s">
        <v>32</v>
      </c>
      <c r="F2415" s="36" t="s">
        <v>33</v>
      </c>
    </row>
    <row r="2416" spans="1:6" ht="17.25" thickBot="1" x14ac:dyDescent="0.3">
      <c r="A2416" s="37"/>
      <c r="B2416" s="33" t="s">
        <v>34</v>
      </c>
      <c r="C2416" s="38">
        <f>IF(C2415="","",IF(AND(MONTH(C2415)&gt;=1,MONTH(C2415)&lt;=3),1,IF(AND(MONTH(C2415)&gt;=4,MONTH(C2415)&lt;=6),2,IF(AND(MONTH(C2415)&gt;=7,MONTH(C2415)&lt;=9),3,4))))</f>
        <v>2</v>
      </c>
      <c r="D2416" s="37"/>
      <c r="E2416" s="35" t="s">
        <v>35</v>
      </c>
      <c r="F2416" s="36" t="s">
        <v>36</v>
      </c>
    </row>
    <row r="2417" spans="1:6" ht="17.25" thickBot="1" x14ac:dyDescent="0.3">
      <c r="A2417" s="37"/>
      <c r="B2417" s="33" t="s">
        <v>37</v>
      </c>
      <c r="C2417" s="34">
        <v>45107</v>
      </c>
      <c r="D2417" s="37"/>
      <c r="E2417" s="35" t="s">
        <v>38</v>
      </c>
      <c r="F2417" s="36" t="s">
        <v>36</v>
      </c>
    </row>
    <row r="2418" spans="1:6" ht="17.25" thickBot="1" x14ac:dyDescent="0.3">
      <c r="A2418" s="37"/>
      <c r="B2418" s="33" t="s">
        <v>34</v>
      </c>
      <c r="C2418" s="38">
        <f>IF(C2417="","",IF(AND(MONTH(C2417)&gt;=1,MONTH(C2417)&lt;=3),1,IF(AND(MONTH(C2417)&gt;=4,MONTH(C2417)&lt;=6),2,IF(AND(MONTH(C2417)&gt;=7,MONTH(C2417)&lt;=9),3,4))))</f>
        <v>2</v>
      </c>
      <c r="D2418" s="37"/>
      <c r="E2418" s="35" t="s">
        <v>39</v>
      </c>
      <c r="F2418" s="36" t="s">
        <v>36</v>
      </c>
    </row>
    <row r="2419" spans="1:6" ht="17.25" thickBot="1" x14ac:dyDescent="0.3"/>
    <row r="2420" spans="1:6" ht="17.25" thickBot="1" x14ac:dyDescent="0.3">
      <c r="A2420" s="39" t="s">
        <v>40</v>
      </c>
      <c r="B2420" s="39" t="s">
        <v>41</v>
      </c>
      <c r="C2420" s="39" t="s">
        <v>42</v>
      </c>
      <c r="D2420" s="39" t="s">
        <v>43</v>
      </c>
      <c r="E2420" s="39" t="s">
        <v>44</v>
      </c>
      <c r="F2420" s="39" t="s">
        <v>45</v>
      </c>
    </row>
    <row r="2421" spans="1:6" x14ac:dyDescent="0.25">
      <c r="A2421" s="40" t="s">
        <v>548</v>
      </c>
      <c r="B2421" s="41" t="str">
        <f ca="1">IFERROR(INDEX(UNSPSCDes,MATCH(INDIRECT(ADDRESS(ROW(),COLUMN()-1,4)),UNSPSCCode,0)),IF(INDIRECT(ADDRESS(ROW(),COLUMN()-1,4))="43231512","Software de manejo de licencias",""))</f>
        <v>Software de manejo de licencias</v>
      </c>
      <c r="C2421" s="42" t="str">
        <f>IFERROR(VLOOKUP("UD",'[1]Informacion '!P:Q,2,FALSE),"")</f>
        <v>Unidad</v>
      </c>
      <c r="D2421" s="40">
        <v>1</v>
      </c>
      <c r="E2421" s="43">
        <v>5118000</v>
      </c>
      <c r="F2421" s="44">
        <f ca="1">INDIRECT(ADDRESS(ROW(),COLUMN()-2,4))*INDIRECT(ADDRESS(ROW(),COLUMN()-1,4))</f>
        <v>5118000</v>
      </c>
    </row>
    <row r="2422" spans="1:6" x14ac:dyDescent="0.25">
      <c r="E2422" s="45" t="s">
        <v>47</v>
      </c>
      <c r="F2422" s="46">
        <f ca="1">SUM(Table197[MONTO TOTAL ESTIMADO])</f>
        <v>5118000</v>
      </c>
    </row>
    <row r="2423" spans="1:6" ht="17.25" thickBot="1" x14ac:dyDescent="0.3"/>
    <row r="2424" spans="1:6" ht="23.25" thickBot="1" x14ac:dyDescent="0.3">
      <c r="A2424" s="30" t="s">
        <v>18</v>
      </c>
      <c r="B2424" s="30" t="s">
        <v>19</v>
      </c>
      <c r="C2424" s="30" t="s">
        <v>20</v>
      </c>
      <c r="D2424" s="30" t="s">
        <v>21</v>
      </c>
      <c r="E2424" s="30" t="s">
        <v>22</v>
      </c>
      <c r="F2424" s="30" t="s">
        <v>23</v>
      </c>
    </row>
    <row r="2425" spans="1:6" ht="17.25" thickBot="1" x14ac:dyDescent="0.3">
      <c r="A2425" s="31" t="s">
        <v>486</v>
      </c>
      <c r="B2425" s="31" t="s">
        <v>547</v>
      </c>
      <c r="C2425" s="31" t="s">
        <v>92</v>
      </c>
      <c r="D2425" s="31" t="s">
        <v>50</v>
      </c>
      <c r="E2425" s="31" t="s">
        <v>58</v>
      </c>
      <c r="F2425" s="31"/>
    </row>
    <row r="2426" spans="1:6" ht="17.25" thickBot="1" x14ac:dyDescent="0.3">
      <c r="A2426" s="32" t="s">
        <v>29</v>
      </c>
      <c r="B2426" s="33" t="s">
        <v>30</v>
      </c>
      <c r="C2426" s="34">
        <v>45108</v>
      </c>
      <c r="D2426" s="32" t="s">
        <v>31</v>
      </c>
      <c r="E2426" s="35" t="s">
        <v>32</v>
      </c>
      <c r="F2426" s="36" t="s">
        <v>33</v>
      </c>
    </row>
    <row r="2427" spans="1:6" ht="17.25" thickBot="1" x14ac:dyDescent="0.3">
      <c r="A2427" s="37"/>
      <c r="B2427" s="33" t="s">
        <v>34</v>
      </c>
      <c r="C2427" s="38">
        <f>IF(C2426="","",IF(AND(MONTH(C2426)&gt;=1,MONTH(C2426)&lt;=3),1,IF(AND(MONTH(C2426)&gt;=4,MONTH(C2426)&lt;=6),2,IF(AND(MONTH(C2426)&gt;=7,MONTH(C2426)&lt;=9),3,4))))</f>
        <v>3</v>
      </c>
      <c r="D2427" s="37"/>
      <c r="E2427" s="35" t="s">
        <v>35</v>
      </c>
      <c r="F2427" s="36" t="s">
        <v>36</v>
      </c>
    </row>
    <row r="2428" spans="1:6" ht="17.25" thickBot="1" x14ac:dyDescent="0.3">
      <c r="A2428" s="37"/>
      <c r="B2428" s="33" t="s">
        <v>37</v>
      </c>
      <c r="C2428" s="34">
        <v>45199</v>
      </c>
      <c r="D2428" s="37"/>
      <c r="E2428" s="35" t="s">
        <v>38</v>
      </c>
      <c r="F2428" s="36" t="s">
        <v>36</v>
      </c>
    </row>
    <row r="2429" spans="1:6" ht="17.25" thickBot="1" x14ac:dyDescent="0.3">
      <c r="A2429" s="37"/>
      <c r="B2429" s="33" t="s">
        <v>34</v>
      </c>
      <c r="C2429" s="38">
        <f>IF(C2428="","",IF(AND(MONTH(C2428)&gt;=1,MONTH(C2428)&lt;=3),1,IF(AND(MONTH(C2428)&gt;=4,MONTH(C2428)&lt;=6),2,IF(AND(MONTH(C2428)&gt;=7,MONTH(C2428)&lt;=9),3,4))))</f>
        <v>3</v>
      </c>
      <c r="D2429" s="37"/>
      <c r="E2429" s="35" t="s">
        <v>39</v>
      </c>
      <c r="F2429" s="36" t="s">
        <v>36</v>
      </c>
    </row>
    <row r="2430" spans="1:6" ht="17.25" thickBot="1" x14ac:dyDescent="0.3"/>
    <row r="2431" spans="1:6" ht="17.25" thickBot="1" x14ac:dyDescent="0.3">
      <c r="A2431" s="39" t="s">
        <v>40</v>
      </c>
      <c r="B2431" s="39" t="s">
        <v>41</v>
      </c>
      <c r="C2431" s="39" t="s">
        <v>42</v>
      </c>
      <c r="D2431" s="39" t="s">
        <v>43</v>
      </c>
      <c r="E2431" s="39" t="s">
        <v>44</v>
      </c>
      <c r="F2431" s="39" t="s">
        <v>45</v>
      </c>
    </row>
    <row r="2432" spans="1:6" x14ac:dyDescent="0.25">
      <c r="A2432" s="40" t="s">
        <v>548</v>
      </c>
      <c r="B2432" s="41" t="str">
        <f ca="1">IFERROR(INDEX(UNSPSCDes,MATCH(INDIRECT(ADDRESS(ROW(),COLUMN()-1,4)),UNSPSCCode,0)),IF(INDIRECT(ADDRESS(ROW(),COLUMN()-1,4))="43231512","Software de manejo de licencias",""))</f>
        <v>Software de manejo de licencias</v>
      </c>
      <c r="C2432" s="42" t="str">
        <f>IFERROR(VLOOKUP("UD",'[1]Informacion '!P:Q,2,FALSE),"")</f>
        <v>Unidad</v>
      </c>
      <c r="D2432" s="40">
        <v>1</v>
      </c>
      <c r="E2432" s="43">
        <v>100000</v>
      </c>
      <c r="F2432" s="44">
        <f ca="1">INDIRECT(ADDRESS(ROW(),COLUMN()-2,4))*INDIRECT(ADDRESS(ROW(),COLUMN()-1,4))</f>
        <v>100000</v>
      </c>
    </row>
    <row r="2433" spans="1:6" x14ac:dyDescent="0.25">
      <c r="A2433" s="40" t="s">
        <v>549</v>
      </c>
      <c r="B2433" s="41" t="str">
        <f ca="1">IFERROR(INDEX(UNSPSCDes,MATCH(INDIRECT(ADDRESS(ROW(),COLUMN()-1,4)),UNSPSCCode,0)),IF(INDIRECT(ADDRESS(ROW(),COLUMN()-1,4))="43233201","Software de servidor de autenticación",""))</f>
        <v>Software de servidor de autenticación</v>
      </c>
      <c r="C2433" s="42" t="str">
        <f>IFERROR(VLOOKUP("UD",'[1]Informacion '!P:Q,2,FALSE),"")</f>
        <v>Unidad</v>
      </c>
      <c r="D2433" s="40">
        <v>1</v>
      </c>
      <c r="E2433" s="43">
        <v>100000</v>
      </c>
      <c r="F2433" s="44">
        <f ca="1">INDIRECT(ADDRESS(ROW(),COLUMN()-2,4))*INDIRECT(ADDRESS(ROW(),COLUMN()-1,4))</f>
        <v>100000</v>
      </c>
    </row>
    <row r="2434" spans="1:6" x14ac:dyDescent="0.25">
      <c r="E2434" s="45" t="s">
        <v>47</v>
      </c>
      <c r="F2434" s="46">
        <f ca="1">SUM(Table198[MONTO TOTAL ESTIMADO])</f>
        <v>200000</v>
      </c>
    </row>
    <row r="2435" spans="1:6" ht="17.25" thickBot="1" x14ac:dyDescent="0.3"/>
    <row r="2436" spans="1:6" ht="23.25" thickBot="1" x14ac:dyDescent="0.3">
      <c r="A2436" s="30" t="s">
        <v>18</v>
      </c>
      <c r="B2436" s="30" t="s">
        <v>19</v>
      </c>
      <c r="C2436" s="30" t="s">
        <v>20</v>
      </c>
      <c r="D2436" s="30" t="s">
        <v>21</v>
      </c>
      <c r="E2436" s="30" t="s">
        <v>22</v>
      </c>
      <c r="F2436" s="30" t="s">
        <v>23</v>
      </c>
    </row>
    <row r="2437" spans="1:6" ht="17.25" thickBot="1" x14ac:dyDescent="0.3">
      <c r="A2437" s="31" t="s">
        <v>550</v>
      </c>
      <c r="B2437" s="31" t="s">
        <v>551</v>
      </c>
      <c r="C2437" s="31" t="s">
        <v>26</v>
      </c>
      <c r="D2437" s="31" t="s">
        <v>27</v>
      </c>
      <c r="E2437" s="31" t="s">
        <v>58</v>
      </c>
      <c r="F2437" s="31"/>
    </row>
    <row r="2438" spans="1:6" ht="17.25" thickBot="1" x14ac:dyDescent="0.3">
      <c r="A2438" s="32" t="s">
        <v>29</v>
      </c>
      <c r="B2438" s="33" t="s">
        <v>30</v>
      </c>
      <c r="C2438" s="34">
        <v>44927</v>
      </c>
      <c r="D2438" s="32" t="s">
        <v>31</v>
      </c>
      <c r="E2438" s="35" t="s">
        <v>32</v>
      </c>
      <c r="F2438" s="36" t="s">
        <v>33</v>
      </c>
    </row>
    <row r="2439" spans="1:6" ht="17.25" thickBot="1" x14ac:dyDescent="0.3">
      <c r="A2439" s="37"/>
      <c r="B2439" s="33" t="s">
        <v>34</v>
      </c>
      <c r="C2439" s="38">
        <f>IF(C2438="","",IF(AND(MONTH(C2438)&gt;=1,MONTH(C2438)&lt;=3),1,IF(AND(MONTH(C2438)&gt;=4,MONTH(C2438)&lt;=6),2,IF(AND(MONTH(C2438)&gt;=7,MONTH(C2438)&lt;=9),3,4))))</f>
        <v>1</v>
      </c>
      <c r="D2439" s="37"/>
      <c r="E2439" s="35" t="s">
        <v>35</v>
      </c>
      <c r="F2439" s="36" t="s">
        <v>36</v>
      </c>
    </row>
    <row r="2440" spans="1:6" ht="17.25" thickBot="1" x14ac:dyDescent="0.3">
      <c r="A2440" s="37"/>
      <c r="B2440" s="33" t="s">
        <v>37</v>
      </c>
      <c r="C2440" s="34">
        <v>44929</v>
      </c>
      <c r="D2440" s="37"/>
      <c r="E2440" s="35" t="s">
        <v>38</v>
      </c>
      <c r="F2440" s="36" t="s">
        <v>36</v>
      </c>
    </row>
    <row r="2441" spans="1:6" ht="17.25" thickBot="1" x14ac:dyDescent="0.3">
      <c r="A2441" s="37"/>
      <c r="B2441" s="33" t="s">
        <v>34</v>
      </c>
      <c r="C2441" s="38">
        <f>IF(C2440="","",IF(AND(MONTH(C2440)&gt;=1,MONTH(C2440)&lt;=3),1,IF(AND(MONTH(C2440)&gt;=4,MONTH(C2440)&lt;=6),2,IF(AND(MONTH(C2440)&gt;=7,MONTH(C2440)&lt;=9),3,4))))</f>
        <v>1</v>
      </c>
      <c r="D2441" s="37"/>
      <c r="E2441" s="35" t="s">
        <v>39</v>
      </c>
      <c r="F2441" s="36" t="s">
        <v>36</v>
      </c>
    </row>
    <row r="2442" spans="1:6" ht="17.25" thickBot="1" x14ac:dyDescent="0.3"/>
    <row r="2443" spans="1:6" ht="17.25" thickBot="1" x14ac:dyDescent="0.3">
      <c r="A2443" s="39" t="s">
        <v>40</v>
      </c>
      <c r="B2443" s="39" t="s">
        <v>41</v>
      </c>
      <c r="C2443" s="39" t="s">
        <v>42</v>
      </c>
      <c r="D2443" s="39" t="s">
        <v>43</v>
      </c>
      <c r="E2443" s="39" t="s">
        <v>44</v>
      </c>
      <c r="F2443" s="39" t="s">
        <v>45</v>
      </c>
    </row>
    <row r="2444" spans="1:6" x14ac:dyDescent="0.25">
      <c r="A2444" s="40" t="s">
        <v>552</v>
      </c>
      <c r="B2444" s="41" t="str">
        <f ca="1">IFERROR(INDEX(UNSPSCDes,MATCH(INDIRECT(ADDRESS(ROW(),COLUMN()-1,4)),UNSPSCCode,0)),IF(INDIRECT(ADDRESS(ROW(),COLUMN()-1,4))="46171619","Sistemas de seguridad o de control de acceso",""))</f>
        <v>Sistemas de seguridad o de control de acceso</v>
      </c>
      <c r="C2444" s="42" t="str">
        <f>IFERROR(VLOOKUP("UD",'[1]Informacion '!P:Q,2,FALSE),"")</f>
        <v>Unidad</v>
      </c>
      <c r="D2444" s="40">
        <v>1</v>
      </c>
      <c r="E2444" s="43">
        <v>1</v>
      </c>
      <c r="F2444" s="44">
        <f ca="1">INDIRECT(ADDRESS(ROW(),COLUMN()-2,4))*INDIRECT(ADDRESS(ROW(),COLUMN()-1,4))</f>
        <v>1</v>
      </c>
    </row>
    <row r="2445" spans="1:6" x14ac:dyDescent="0.25">
      <c r="E2445" s="45" t="s">
        <v>47</v>
      </c>
      <c r="F2445" s="46">
        <f ca="1">SUM(Table199[MONTO TOTAL ESTIMADO])</f>
        <v>1</v>
      </c>
    </row>
    <row r="2446" spans="1:6" ht="17.25" thickBot="1" x14ac:dyDescent="0.3"/>
    <row r="2447" spans="1:6" ht="23.25" thickBot="1" x14ac:dyDescent="0.3">
      <c r="A2447" s="30" t="s">
        <v>18</v>
      </c>
      <c r="B2447" s="30" t="s">
        <v>19</v>
      </c>
      <c r="C2447" s="30" t="s">
        <v>20</v>
      </c>
      <c r="D2447" s="30" t="s">
        <v>21</v>
      </c>
      <c r="E2447" s="30" t="s">
        <v>22</v>
      </c>
      <c r="F2447" s="30" t="s">
        <v>23</v>
      </c>
    </row>
    <row r="2448" spans="1:6" ht="17.25" thickBot="1" x14ac:dyDescent="0.3">
      <c r="A2448" s="31" t="s">
        <v>550</v>
      </c>
      <c r="B2448" s="31" t="s">
        <v>551</v>
      </c>
      <c r="C2448" s="31" t="s">
        <v>26</v>
      </c>
      <c r="D2448" s="31" t="s">
        <v>27</v>
      </c>
      <c r="E2448" s="31" t="s">
        <v>58</v>
      </c>
      <c r="F2448" s="31"/>
    </row>
    <row r="2449" spans="1:6" ht="17.25" thickBot="1" x14ac:dyDescent="0.3">
      <c r="A2449" s="32" t="s">
        <v>29</v>
      </c>
      <c r="B2449" s="33" t="s">
        <v>30</v>
      </c>
      <c r="C2449" s="34">
        <v>45017</v>
      </c>
      <c r="D2449" s="32" t="s">
        <v>31</v>
      </c>
      <c r="E2449" s="35" t="s">
        <v>32</v>
      </c>
      <c r="F2449" s="36" t="s">
        <v>33</v>
      </c>
    </row>
    <row r="2450" spans="1:6" ht="17.25" thickBot="1" x14ac:dyDescent="0.3">
      <c r="A2450" s="37"/>
      <c r="B2450" s="33" t="s">
        <v>34</v>
      </c>
      <c r="C2450" s="38">
        <f>IF(C2449="","",IF(AND(MONTH(C2449)&gt;=1,MONTH(C2449)&lt;=3),1,IF(AND(MONTH(C2449)&gt;=4,MONTH(C2449)&lt;=6),2,IF(AND(MONTH(C2449)&gt;=7,MONTH(C2449)&lt;=9),3,4))))</f>
        <v>2</v>
      </c>
      <c r="D2450" s="37"/>
      <c r="E2450" s="35" t="s">
        <v>35</v>
      </c>
      <c r="F2450" s="36" t="s">
        <v>36</v>
      </c>
    </row>
    <row r="2451" spans="1:6" ht="17.25" thickBot="1" x14ac:dyDescent="0.3">
      <c r="A2451" s="37"/>
      <c r="B2451" s="33" t="s">
        <v>37</v>
      </c>
      <c r="C2451" s="34">
        <v>45106</v>
      </c>
      <c r="D2451" s="37"/>
      <c r="E2451" s="35" t="s">
        <v>38</v>
      </c>
      <c r="F2451" s="36" t="s">
        <v>36</v>
      </c>
    </row>
    <row r="2452" spans="1:6" ht="17.25" thickBot="1" x14ac:dyDescent="0.3">
      <c r="A2452" s="37"/>
      <c r="B2452" s="33" t="s">
        <v>34</v>
      </c>
      <c r="C2452" s="38">
        <f>IF(C2451="","",IF(AND(MONTH(C2451)&gt;=1,MONTH(C2451)&lt;=3),1,IF(AND(MONTH(C2451)&gt;=4,MONTH(C2451)&lt;=6),2,IF(AND(MONTH(C2451)&gt;=7,MONTH(C2451)&lt;=9),3,4))))</f>
        <v>2</v>
      </c>
      <c r="D2452" s="37"/>
      <c r="E2452" s="35" t="s">
        <v>39</v>
      </c>
      <c r="F2452" s="36" t="s">
        <v>36</v>
      </c>
    </row>
    <row r="2453" spans="1:6" ht="17.25" thickBot="1" x14ac:dyDescent="0.3"/>
    <row r="2454" spans="1:6" ht="17.25" thickBot="1" x14ac:dyDescent="0.3">
      <c r="A2454" s="39" t="s">
        <v>40</v>
      </c>
      <c r="B2454" s="39" t="s">
        <v>41</v>
      </c>
      <c r="C2454" s="39" t="s">
        <v>42</v>
      </c>
      <c r="D2454" s="39" t="s">
        <v>43</v>
      </c>
      <c r="E2454" s="39" t="s">
        <v>44</v>
      </c>
      <c r="F2454" s="39" t="s">
        <v>45</v>
      </c>
    </row>
    <row r="2455" spans="1:6" x14ac:dyDescent="0.25">
      <c r="A2455" s="40" t="s">
        <v>552</v>
      </c>
      <c r="B2455" s="41" t="str">
        <f ca="1">IFERROR(INDEX(UNSPSCDes,MATCH(INDIRECT(ADDRESS(ROW(),COLUMN()-1,4)),UNSPSCCode,0)),IF(INDIRECT(ADDRESS(ROW(),COLUMN()-1,4))="46171619","Sistemas de seguridad o de control de acceso",""))</f>
        <v>Sistemas de seguridad o de control de acceso</v>
      </c>
      <c r="C2455" s="42" t="str">
        <f>IFERROR(VLOOKUP("UD",'[1]Informacion '!P:Q,2,FALSE),"")</f>
        <v>Unidad</v>
      </c>
      <c r="D2455" s="40">
        <v>1</v>
      </c>
      <c r="E2455" s="43">
        <v>1</v>
      </c>
      <c r="F2455" s="44">
        <f ca="1">INDIRECT(ADDRESS(ROW(),COLUMN()-2,4))*INDIRECT(ADDRESS(ROW(),COLUMN()-1,4))</f>
        <v>1</v>
      </c>
    </row>
    <row r="2456" spans="1:6" x14ac:dyDescent="0.25">
      <c r="E2456" s="45" t="s">
        <v>47</v>
      </c>
      <c r="F2456" s="46">
        <f ca="1">SUM(Table200[MONTO TOTAL ESTIMADO])</f>
        <v>1</v>
      </c>
    </row>
    <row r="2457" spans="1:6" ht="17.25" thickBot="1" x14ac:dyDescent="0.3"/>
    <row r="2458" spans="1:6" ht="23.25" thickBot="1" x14ac:dyDescent="0.3">
      <c r="A2458" s="30" t="s">
        <v>18</v>
      </c>
      <c r="B2458" s="30" t="s">
        <v>19</v>
      </c>
      <c r="C2458" s="30" t="s">
        <v>20</v>
      </c>
      <c r="D2458" s="30" t="s">
        <v>21</v>
      </c>
      <c r="E2458" s="30" t="s">
        <v>22</v>
      </c>
      <c r="F2458" s="30" t="s">
        <v>23</v>
      </c>
    </row>
    <row r="2459" spans="1:6" ht="17.25" thickBot="1" x14ac:dyDescent="0.3">
      <c r="A2459" s="31" t="s">
        <v>550</v>
      </c>
      <c r="B2459" s="31" t="s">
        <v>551</v>
      </c>
      <c r="C2459" s="31" t="s">
        <v>26</v>
      </c>
      <c r="D2459" s="31" t="s">
        <v>27</v>
      </c>
      <c r="E2459" s="31" t="s">
        <v>58</v>
      </c>
      <c r="F2459" s="31"/>
    </row>
    <row r="2460" spans="1:6" ht="17.25" thickBot="1" x14ac:dyDescent="0.3">
      <c r="A2460" s="32" t="s">
        <v>29</v>
      </c>
      <c r="B2460" s="33" t="s">
        <v>30</v>
      </c>
      <c r="C2460" s="34">
        <v>45108</v>
      </c>
      <c r="D2460" s="32" t="s">
        <v>31</v>
      </c>
      <c r="E2460" s="35" t="s">
        <v>32</v>
      </c>
      <c r="F2460" s="36" t="s">
        <v>33</v>
      </c>
    </row>
    <row r="2461" spans="1:6" ht="17.25" thickBot="1" x14ac:dyDescent="0.3">
      <c r="A2461" s="37"/>
      <c r="B2461" s="33" t="s">
        <v>34</v>
      </c>
      <c r="C2461" s="38">
        <f>IF(C2460="","",IF(AND(MONTH(C2460)&gt;=1,MONTH(C2460)&lt;=3),1,IF(AND(MONTH(C2460)&gt;=4,MONTH(C2460)&lt;=6),2,IF(AND(MONTH(C2460)&gt;=7,MONTH(C2460)&lt;=9),3,4))))</f>
        <v>3</v>
      </c>
      <c r="D2461" s="37"/>
      <c r="E2461" s="35" t="s">
        <v>35</v>
      </c>
      <c r="F2461" s="36" t="s">
        <v>36</v>
      </c>
    </row>
    <row r="2462" spans="1:6" ht="17.25" thickBot="1" x14ac:dyDescent="0.3">
      <c r="A2462" s="37"/>
      <c r="B2462" s="33" t="s">
        <v>37</v>
      </c>
      <c r="C2462" s="34">
        <v>45198</v>
      </c>
      <c r="D2462" s="37"/>
      <c r="E2462" s="35" t="s">
        <v>38</v>
      </c>
      <c r="F2462" s="36" t="s">
        <v>36</v>
      </c>
    </row>
    <row r="2463" spans="1:6" ht="17.25" thickBot="1" x14ac:dyDescent="0.3">
      <c r="A2463" s="37"/>
      <c r="B2463" s="33" t="s">
        <v>34</v>
      </c>
      <c r="C2463" s="38">
        <f>IF(C2462="","",IF(AND(MONTH(C2462)&gt;=1,MONTH(C2462)&lt;=3),1,IF(AND(MONTH(C2462)&gt;=4,MONTH(C2462)&lt;=6),2,IF(AND(MONTH(C2462)&gt;=7,MONTH(C2462)&lt;=9),3,4))))</f>
        <v>3</v>
      </c>
      <c r="D2463" s="37"/>
      <c r="E2463" s="35" t="s">
        <v>39</v>
      </c>
      <c r="F2463" s="36" t="s">
        <v>36</v>
      </c>
    </row>
    <row r="2464" spans="1:6" ht="17.25" thickBot="1" x14ac:dyDescent="0.3"/>
    <row r="2465" spans="1:6" ht="17.25" thickBot="1" x14ac:dyDescent="0.3">
      <c r="A2465" s="39" t="s">
        <v>40</v>
      </c>
      <c r="B2465" s="39" t="s">
        <v>41</v>
      </c>
      <c r="C2465" s="39" t="s">
        <v>42</v>
      </c>
      <c r="D2465" s="39" t="s">
        <v>43</v>
      </c>
      <c r="E2465" s="39" t="s">
        <v>44</v>
      </c>
      <c r="F2465" s="39" t="s">
        <v>45</v>
      </c>
    </row>
    <row r="2466" spans="1:6" x14ac:dyDescent="0.25">
      <c r="A2466" s="40" t="s">
        <v>552</v>
      </c>
      <c r="B2466" s="41" t="str">
        <f ca="1">IFERROR(INDEX(UNSPSCDes,MATCH(INDIRECT(ADDRESS(ROW(),COLUMN()-1,4)),UNSPSCCode,0)),IF(INDIRECT(ADDRESS(ROW(),COLUMN()-1,4))="46171619","Sistemas de seguridad o de control de acceso",""))</f>
        <v>Sistemas de seguridad o de control de acceso</v>
      </c>
      <c r="C2466" s="42" t="str">
        <f>IFERROR(VLOOKUP("UD",'[1]Informacion '!P:Q,2,FALSE),"")</f>
        <v>Unidad</v>
      </c>
      <c r="D2466" s="40">
        <v>1</v>
      </c>
      <c r="E2466" s="43">
        <v>1</v>
      </c>
      <c r="F2466" s="44">
        <f ca="1">INDIRECT(ADDRESS(ROW(),COLUMN()-2,4))*INDIRECT(ADDRESS(ROW(),COLUMN()-1,4))</f>
        <v>1</v>
      </c>
    </row>
    <row r="2467" spans="1:6" x14ac:dyDescent="0.25">
      <c r="E2467" s="45" t="s">
        <v>47</v>
      </c>
      <c r="F2467" s="46">
        <f ca="1">SUM(Table201[MONTO TOTAL ESTIMADO])</f>
        <v>1</v>
      </c>
    </row>
    <row r="2468" spans="1:6" ht="17.25" thickBot="1" x14ac:dyDescent="0.3"/>
    <row r="2469" spans="1:6" ht="23.25" thickBot="1" x14ac:dyDescent="0.3">
      <c r="A2469" s="30" t="s">
        <v>18</v>
      </c>
      <c r="B2469" s="30" t="s">
        <v>19</v>
      </c>
      <c r="C2469" s="30" t="s">
        <v>20</v>
      </c>
      <c r="D2469" s="30" t="s">
        <v>21</v>
      </c>
      <c r="E2469" s="30" t="s">
        <v>22</v>
      </c>
      <c r="F2469" s="30" t="s">
        <v>23</v>
      </c>
    </row>
    <row r="2470" spans="1:6" ht="17.25" thickBot="1" x14ac:dyDescent="0.3">
      <c r="A2470" s="31" t="s">
        <v>550</v>
      </c>
      <c r="B2470" s="31" t="s">
        <v>551</v>
      </c>
      <c r="C2470" s="31" t="s">
        <v>26</v>
      </c>
      <c r="D2470" s="31" t="s">
        <v>27</v>
      </c>
      <c r="E2470" s="31" t="s">
        <v>58</v>
      </c>
      <c r="F2470" s="31"/>
    </row>
    <row r="2471" spans="1:6" ht="17.25" thickBot="1" x14ac:dyDescent="0.3">
      <c r="A2471" s="32" t="s">
        <v>29</v>
      </c>
      <c r="B2471" s="33" t="s">
        <v>30</v>
      </c>
      <c r="C2471" s="34">
        <v>45200</v>
      </c>
      <c r="D2471" s="32" t="s">
        <v>31</v>
      </c>
      <c r="E2471" s="35" t="s">
        <v>32</v>
      </c>
      <c r="F2471" s="36" t="s">
        <v>33</v>
      </c>
    </row>
    <row r="2472" spans="1:6" ht="17.25" thickBot="1" x14ac:dyDescent="0.3">
      <c r="A2472" s="37"/>
      <c r="B2472" s="33" t="s">
        <v>34</v>
      </c>
      <c r="C2472" s="38">
        <f>IF(C2471="","",IF(AND(MONTH(C2471)&gt;=1,MONTH(C2471)&lt;=3),1,IF(AND(MONTH(C2471)&gt;=4,MONTH(C2471)&lt;=6),2,IF(AND(MONTH(C2471)&gt;=7,MONTH(C2471)&lt;=9),3,4))))</f>
        <v>4</v>
      </c>
      <c r="D2472" s="37"/>
      <c r="E2472" s="35" t="s">
        <v>35</v>
      </c>
      <c r="F2472" s="36" t="s">
        <v>36</v>
      </c>
    </row>
    <row r="2473" spans="1:6" ht="17.25" thickBot="1" x14ac:dyDescent="0.3">
      <c r="A2473" s="37"/>
      <c r="B2473" s="33" t="s">
        <v>37</v>
      </c>
      <c r="C2473" s="34">
        <v>45290</v>
      </c>
      <c r="D2473" s="37"/>
      <c r="E2473" s="35" t="s">
        <v>38</v>
      </c>
      <c r="F2473" s="36" t="s">
        <v>36</v>
      </c>
    </row>
    <row r="2474" spans="1:6" ht="17.25" thickBot="1" x14ac:dyDescent="0.3">
      <c r="A2474" s="37"/>
      <c r="B2474" s="33" t="s">
        <v>34</v>
      </c>
      <c r="C2474" s="38">
        <f>IF(C2473="","",IF(AND(MONTH(C2473)&gt;=1,MONTH(C2473)&lt;=3),1,IF(AND(MONTH(C2473)&gt;=4,MONTH(C2473)&lt;=6),2,IF(AND(MONTH(C2473)&gt;=7,MONTH(C2473)&lt;=9),3,4))))</f>
        <v>4</v>
      </c>
      <c r="D2474" s="37"/>
      <c r="E2474" s="35" t="s">
        <v>39</v>
      </c>
      <c r="F2474" s="36" t="s">
        <v>36</v>
      </c>
    </row>
    <row r="2475" spans="1:6" ht="17.25" thickBot="1" x14ac:dyDescent="0.3"/>
    <row r="2476" spans="1:6" ht="17.25" thickBot="1" x14ac:dyDescent="0.3">
      <c r="A2476" s="39" t="s">
        <v>40</v>
      </c>
      <c r="B2476" s="39" t="s">
        <v>41</v>
      </c>
      <c r="C2476" s="39" t="s">
        <v>42</v>
      </c>
      <c r="D2476" s="39" t="s">
        <v>43</v>
      </c>
      <c r="E2476" s="39" t="s">
        <v>44</v>
      </c>
      <c r="F2476" s="39" t="s">
        <v>45</v>
      </c>
    </row>
    <row r="2477" spans="1:6" x14ac:dyDescent="0.25">
      <c r="A2477" s="40" t="s">
        <v>552</v>
      </c>
      <c r="B2477" s="41" t="str">
        <f ca="1">IFERROR(INDEX(UNSPSCDes,MATCH(INDIRECT(ADDRESS(ROW(),COLUMN()-1,4)),UNSPSCCode,0)),IF(INDIRECT(ADDRESS(ROW(),COLUMN()-1,4))="46171619","Sistemas de seguridad o de control de acceso",""))</f>
        <v>Sistemas de seguridad o de control de acceso</v>
      </c>
      <c r="C2477" s="42" t="str">
        <f>IFERROR(VLOOKUP("UD",'[1]Informacion '!P:Q,2,FALSE),"")</f>
        <v>Unidad</v>
      </c>
      <c r="D2477" s="40">
        <v>1</v>
      </c>
      <c r="E2477" s="43">
        <v>1</v>
      </c>
      <c r="F2477" s="44">
        <f ca="1">INDIRECT(ADDRESS(ROW(),COLUMN()-2,4))*INDIRECT(ADDRESS(ROW(),COLUMN()-1,4))</f>
        <v>1</v>
      </c>
    </row>
    <row r="2478" spans="1:6" x14ac:dyDescent="0.25">
      <c r="E2478" s="45" t="s">
        <v>47</v>
      </c>
      <c r="F2478" s="46">
        <f ca="1">SUM(Table202[MONTO TOTAL ESTIMADO])</f>
        <v>1</v>
      </c>
    </row>
    <row r="2479" spans="1:6" ht="17.25" thickBot="1" x14ac:dyDescent="0.3"/>
    <row r="2480" spans="1:6" ht="23.25" thickBot="1" x14ac:dyDescent="0.3">
      <c r="A2480" s="30" t="s">
        <v>18</v>
      </c>
      <c r="B2480" s="30" t="s">
        <v>19</v>
      </c>
      <c r="C2480" s="30" t="s">
        <v>20</v>
      </c>
      <c r="D2480" s="30" t="s">
        <v>21</v>
      </c>
      <c r="E2480" s="30" t="s">
        <v>22</v>
      </c>
      <c r="F2480" s="30" t="s">
        <v>23</v>
      </c>
    </row>
    <row r="2481" spans="1:6" ht="17.25" thickBot="1" x14ac:dyDescent="0.3">
      <c r="A2481" s="31" t="s">
        <v>553</v>
      </c>
      <c r="B2481" s="31" t="s">
        <v>554</v>
      </c>
      <c r="C2481" s="31" t="s">
        <v>26</v>
      </c>
      <c r="D2481" s="31" t="s">
        <v>27</v>
      </c>
      <c r="E2481" s="31" t="s">
        <v>58</v>
      </c>
      <c r="F2481" s="31"/>
    </row>
    <row r="2482" spans="1:6" ht="17.25" thickBot="1" x14ac:dyDescent="0.3">
      <c r="A2482" s="32" t="s">
        <v>29</v>
      </c>
      <c r="B2482" s="33" t="s">
        <v>30</v>
      </c>
      <c r="C2482" s="34">
        <v>44927</v>
      </c>
      <c r="D2482" s="32" t="s">
        <v>31</v>
      </c>
      <c r="E2482" s="35" t="s">
        <v>32</v>
      </c>
      <c r="F2482" s="36" t="s">
        <v>33</v>
      </c>
    </row>
    <row r="2483" spans="1:6" ht="17.25" thickBot="1" x14ac:dyDescent="0.3">
      <c r="A2483" s="37"/>
      <c r="B2483" s="33" t="s">
        <v>34</v>
      </c>
      <c r="C2483" s="38">
        <f>IF(C2482="","",IF(AND(MONTH(C2482)&gt;=1,MONTH(C2482)&lt;=3),1,IF(AND(MONTH(C2482)&gt;=4,MONTH(C2482)&lt;=6),2,IF(AND(MONTH(C2482)&gt;=7,MONTH(C2482)&lt;=9),3,4))))</f>
        <v>1</v>
      </c>
      <c r="D2483" s="37"/>
      <c r="E2483" s="35" t="s">
        <v>35</v>
      </c>
      <c r="F2483" s="36" t="s">
        <v>36</v>
      </c>
    </row>
    <row r="2484" spans="1:6" ht="17.25" thickBot="1" x14ac:dyDescent="0.3">
      <c r="A2484" s="37"/>
      <c r="B2484" s="33" t="s">
        <v>37</v>
      </c>
      <c r="C2484" s="34">
        <v>45014</v>
      </c>
      <c r="D2484" s="37"/>
      <c r="E2484" s="35" t="s">
        <v>38</v>
      </c>
      <c r="F2484" s="36" t="s">
        <v>36</v>
      </c>
    </row>
    <row r="2485" spans="1:6" ht="17.25" thickBot="1" x14ac:dyDescent="0.3">
      <c r="A2485" s="37"/>
      <c r="B2485" s="33" t="s">
        <v>34</v>
      </c>
      <c r="C2485" s="38">
        <f>IF(C2484="","",IF(AND(MONTH(C2484)&gt;=1,MONTH(C2484)&lt;=3),1,IF(AND(MONTH(C2484)&gt;=4,MONTH(C2484)&lt;=6),2,IF(AND(MONTH(C2484)&gt;=7,MONTH(C2484)&lt;=9),3,4))))</f>
        <v>1</v>
      </c>
      <c r="D2485" s="37"/>
      <c r="E2485" s="35" t="s">
        <v>39</v>
      </c>
      <c r="F2485" s="36" t="s">
        <v>36</v>
      </c>
    </row>
    <row r="2486" spans="1:6" ht="17.25" thickBot="1" x14ac:dyDescent="0.3"/>
    <row r="2487" spans="1:6" ht="17.25" thickBot="1" x14ac:dyDescent="0.3">
      <c r="A2487" s="39" t="s">
        <v>40</v>
      </c>
      <c r="B2487" s="39" t="s">
        <v>41</v>
      </c>
      <c r="C2487" s="39" t="s">
        <v>42</v>
      </c>
      <c r="D2487" s="39" t="s">
        <v>43</v>
      </c>
      <c r="E2487" s="39" t="s">
        <v>44</v>
      </c>
      <c r="F2487" s="39" t="s">
        <v>45</v>
      </c>
    </row>
    <row r="2488" spans="1:6" x14ac:dyDescent="0.25">
      <c r="A2488" s="40" t="s">
        <v>555</v>
      </c>
      <c r="B2488" s="41" t="str">
        <f ca="1">IFERROR(INDEX(UNSPSCDes,MATCH(INDIRECT(ADDRESS(ROW(),COLUMN()-1,4)),UNSPSCCode,0)),IF(INDIRECT(ADDRESS(ROW(),COLUMN()-1,4))="72102201","Instalación o servicio de sistemas de energía eléctrica",""))</f>
        <v>Instalación o servicio de sistemas de energía eléctrica</v>
      </c>
      <c r="C2488" s="42" t="str">
        <f>IFERROR(VLOOKUP("UD",'[1]Informacion '!P:Q,2,FALSE),"")</f>
        <v>Unidad</v>
      </c>
      <c r="D2488" s="40">
        <v>1</v>
      </c>
      <c r="E2488" s="43">
        <v>1</v>
      </c>
      <c r="F2488" s="44">
        <f ca="1">INDIRECT(ADDRESS(ROW(),COLUMN()-2,4))*INDIRECT(ADDRESS(ROW(),COLUMN()-1,4))</f>
        <v>1</v>
      </c>
    </row>
    <row r="2489" spans="1:6" x14ac:dyDescent="0.25">
      <c r="A2489" s="40"/>
      <c r="B2489" s="41" t="str">
        <f ca="1">IFERROR(INDEX(UNSPSCDes,MATCH(INDIRECT(ADDRESS(ROW(),COLUMN()-1,4)),UNSPSCCode,0)),"")</f>
        <v/>
      </c>
      <c r="C2489" s="42"/>
      <c r="D2489" s="40"/>
      <c r="E2489" s="43"/>
      <c r="F2489" s="44">
        <f ca="1">INDIRECT(ADDRESS(ROW(),COLUMN()-2,4))*INDIRECT(ADDRESS(ROW(),COLUMN()-1,4))</f>
        <v>0</v>
      </c>
    </row>
    <row r="2490" spans="1:6" x14ac:dyDescent="0.25">
      <c r="E2490" s="45" t="s">
        <v>47</v>
      </c>
      <c r="F2490" s="46">
        <f ca="1">SUM(Table203[MONTO TOTAL ESTIMADO])</f>
        <v>1</v>
      </c>
    </row>
    <row r="2491" spans="1:6" ht="17.25" thickBot="1" x14ac:dyDescent="0.3"/>
    <row r="2492" spans="1:6" ht="23.25" thickBot="1" x14ac:dyDescent="0.3">
      <c r="A2492" s="30" t="s">
        <v>18</v>
      </c>
      <c r="B2492" s="30" t="s">
        <v>19</v>
      </c>
      <c r="C2492" s="30" t="s">
        <v>20</v>
      </c>
      <c r="D2492" s="30" t="s">
        <v>21</v>
      </c>
      <c r="E2492" s="30" t="s">
        <v>22</v>
      </c>
      <c r="F2492" s="30" t="s">
        <v>23</v>
      </c>
    </row>
    <row r="2493" spans="1:6" ht="17.25" thickBot="1" x14ac:dyDescent="0.3">
      <c r="A2493" s="31" t="s">
        <v>553</v>
      </c>
      <c r="B2493" s="31" t="s">
        <v>554</v>
      </c>
      <c r="C2493" s="31" t="s">
        <v>26</v>
      </c>
      <c r="D2493" s="31" t="s">
        <v>50</v>
      </c>
      <c r="E2493" s="31" t="s">
        <v>58</v>
      </c>
      <c r="F2493" s="31"/>
    </row>
    <row r="2494" spans="1:6" ht="17.25" thickBot="1" x14ac:dyDescent="0.3">
      <c r="A2494" s="32" t="s">
        <v>29</v>
      </c>
      <c r="B2494" s="33" t="s">
        <v>30</v>
      </c>
      <c r="C2494" s="34">
        <v>45017</v>
      </c>
      <c r="D2494" s="32" t="s">
        <v>31</v>
      </c>
      <c r="E2494" s="35" t="s">
        <v>32</v>
      </c>
      <c r="F2494" s="36" t="s">
        <v>33</v>
      </c>
    </row>
    <row r="2495" spans="1:6" ht="17.25" thickBot="1" x14ac:dyDescent="0.3">
      <c r="A2495" s="37"/>
      <c r="B2495" s="33" t="s">
        <v>34</v>
      </c>
      <c r="C2495" s="38">
        <f>IF(C2494="","",IF(AND(MONTH(C2494)&gt;=1,MONTH(C2494)&lt;=3),1,IF(AND(MONTH(C2494)&gt;=4,MONTH(C2494)&lt;=6),2,IF(AND(MONTH(C2494)&gt;=7,MONTH(C2494)&lt;=9),3,4))))</f>
        <v>2</v>
      </c>
      <c r="D2495" s="37"/>
      <c r="E2495" s="35" t="s">
        <v>35</v>
      </c>
      <c r="F2495" s="36" t="s">
        <v>36</v>
      </c>
    </row>
    <row r="2496" spans="1:6" ht="17.25" thickBot="1" x14ac:dyDescent="0.3">
      <c r="A2496" s="37"/>
      <c r="B2496" s="33" t="s">
        <v>37</v>
      </c>
      <c r="C2496" s="34">
        <v>45106</v>
      </c>
      <c r="D2496" s="37"/>
      <c r="E2496" s="35" t="s">
        <v>38</v>
      </c>
      <c r="F2496" s="36" t="s">
        <v>36</v>
      </c>
    </row>
    <row r="2497" spans="1:6" ht="17.25" thickBot="1" x14ac:dyDescent="0.3">
      <c r="A2497" s="37"/>
      <c r="B2497" s="33" t="s">
        <v>34</v>
      </c>
      <c r="C2497" s="38">
        <f>IF(C2496="","",IF(AND(MONTH(C2496)&gt;=1,MONTH(C2496)&lt;=3),1,IF(AND(MONTH(C2496)&gt;=4,MONTH(C2496)&lt;=6),2,IF(AND(MONTH(C2496)&gt;=7,MONTH(C2496)&lt;=9),3,4))))</f>
        <v>2</v>
      </c>
      <c r="D2497" s="37"/>
      <c r="E2497" s="35" t="s">
        <v>39</v>
      </c>
      <c r="F2497" s="36" t="s">
        <v>36</v>
      </c>
    </row>
    <row r="2498" spans="1:6" ht="17.25" thickBot="1" x14ac:dyDescent="0.3"/>
    <row r="2499" spans="1:6" ht="17.25" thickBot="1" x14ac:dyDescent="0.3">
      <c r="A2499" s="39" t="s">
        <v>40</v>
      </c>
      <c r="B2499" s="39" t="s">
        <v>41</v>
      </c>
      <c r="C2499" s="39" t="s">
        <v>42</v>
      </c>
      <c r="D2499" s="39" t="s">
        <v>43</v>
      </c>
      <c r="E2499" s="39" t="s">
        <v>44</v>
      </c>
      <c r="F2499" s="39" t="s">
        <v>45</v>
      </c>
    </row>
    <row r="2500" spans="1:6" x14ac:dyDescent="0.25">
      <c r="A2500" s="40" t="s">
        <v>555</v>
      </c>
      <c r="B2500" s="41" t="str">
        <f ca="1">IFERROR(INDEX(UNSPSCDes,MATCH(INDIRECT(ADDRESS(ROW(),COLUMN()-1,4)),UNSPSCCode,0)),IF(INDIRECT(ADDRESS(ROW(),COLUMN()-1,4))="72102201","Instalación o servicio de sistemas de energía eléctrica",""))</f>
        <v>Instalación o servicio de sistemas de energía eléctrica</v>
      </c>
      <c r="C2500" s="42" t="str">
        <f>IFERROR(VLOOKUP("UD",'[1]Informacion '!P:Q,2,FALSE),"")</f>
        <v>Unidad</v>
      </c>
      <c r="D2500" s="40">
        <v>1</v>
      </c>
      <c r="E2500" s="43">
        <v>1</v>
      </c>
      <c r="F2500" s="44">
        <f ca="1">INDIRECT(ADDRESS(ROW(),COLUMN()-2,4))*INDIRECT(ADDRESS(ROW(),COLUMN()-1,4))</f>
        <v>1</v>
      </c>
    </row>
    <row r="2501" spans="1:6" x14ac:dyDescent="0.25">
      <c r="E2501" s="45" t="s">
        <v>47</v>
      </c>
      <c r="F2501" s="46">
        <f ca="1">SUM(Table204[MONTO TOTAL ESTIMADO])</f>
        <v>1</v>
      </c>
    </row>
    <row r="2502" spans="1:6" ht="17.25" thickBot="1" x14ac:dyDescent="0.3"/>
    <row r="2503" spans="1:6" ht="23.25" thickBot="1" x14ac:dyDescent="0.3">
      <c r="A2503" s="30" t="s">
        <v>18</v>
      </c>
      <c r="B2503" s="30" t="s">
        <v>19</v>
      </c>
      <c r="C2503" s="30" t="s">
        <v>20</v>
      </c>
      <c r="D2503" s="30" t="s">
        <v>21</v>
      </c>
      <c r="E2503" s="30" t="s">
        <v>22</v>
      </c>
      <c r="F2503" s="30" t="s">
        <v>23</v>
      </c>
    </row>
    <row r="2504" spans="1:6" ht="17.25" thickBot="1" x14ac:dyDescent="0.3">
      <c r="A2504" s="31" t="s">
        <v>556</v>
      </c>
      <c r="B2504" s="31" t="s">
        <v>556</v>
      </c>
      <c r="C2504" s="31" t="s">
        <v>26</v>
      </c>
      <c r="D2504" s="31" t="s">
        <v>27</v>
      </c>
      <c r="E2504" s="31" t="s">
        <v>58</v>
      </c>
      <c r="F2504" s="31"/>
    </row>
    <row r="2505" spans="1:6" ht="17.25" thickBot="1" x14ac:dyDescent="0.3">
      <c r="A2505" s="32" t="s">
        <v>29</v>
      </c>
      <c r="B2505" s="33" t="s">
        <v>30</v>
      </c>
      <c r="C2505" s="34">
        <v>45000</v>
      </c>
      <c r="D2505" s="32" t="s">
        <v>31</v>
      </c>
      <c r="E2505" s="35" t="s">
        <v>32</v>
      </c>
      <c r="F2505" s="36" t="s">
        <v>33</v>
      </c>
    </row>
    <row r="2506" spans="1:6" ht="17.25" thickBot="1" x14ac:dyDescent="0.3">
      <c r="A2506" s="37"/>
      <c r="B2506" s="33" t="s">
        <v>34</v>
      </c>
      <c r="C2506" s="38">
        <f>IF(C2505="","",IF(AND(MONTH(C2505)&gt;=1,MONTH(C2505)&lt;=3),1,IF(AND(MONTH(C2505)&gt;=4,MONTH(C2505)&lt;=6),2,IF(AND(MONTH(C2505)&gt;=7,MONTH(C2505)&lt;=9),3,4))))</f>
        <v>1</v>
      </c>
      <c r="D2506" s="37"/>
      <c r="E2506" s="35" t="s">
        <v>35</v>
      </c>
      <c r="F2506" s="36" t="s">
        <v>36</v>
      </c>
    </row>
    <row r="2507" spans="1:6" ht="17.25" thickBot="1" x14ac:dyDescent="0.3">
      <c r="A2507" s="37"/>
      <c r="B2507" s="33" t="s">
        <v>37</v>
      </c>
      <c r="C2507" s="34">
        <v>45077</v>
      </c>
      <c r="D2507" s="37"/>
      <c r="E2507" s="35" t="s">
        <v>38</v>
      </c>
      <c r="F2507" s="36" t="s">
        <v>36</v>
      </c>
    </row>
    <row r="2508" spans="1:6" ht="17.25" thickBot="1" x14ac:dyDescent="0.3">
      <c r="A2508" s="37"/>
      <c r="B2508" s="33" t="s">
        <v>34</v>
      </c>
      <c r="C2508" s="38">
        <f>IF(C2507="","",IF(AND(MONTH(C2507)&gt;=1,MONTH(C2507)&lt;=3),1,IF(AND(MONTH(C2507)&gt;=4,MONTH(C2507)&lt;=6),2,IF(AND(MONTH(C2507)&gt;=7,MONTH(C2507)&lt;=9),3,4))))</f>
        <v>2</v>
      </c>
      <c r="D2508" s="37"/>
      <c r="E2508" s="35" t="s">
        <v>39</v>
      </c>
      <c r="F2508" s="36" t="s">
        <v>36</v>
      </c>
    </row>
    <row r="2509" spans="1:6" ht="17.25" thickBot="1" x14ac:dyDescent="0.3"/>
    <row r="2510" spans="1:6" ht="17.25" thickBot="1" x14ac:dyDescent="0.3">
      <c r="A2510" s="39" t="s">
        <v>40</v>
      </c>
      <c r="B2510" s="39" t="s">
        <v>41</v>
      </c>
      <c r="C2510" s="39" t="s">
        <v>42</v>
      </c>
      <c r="D2510" s="39" t="s">
        <v>43</v>
      </c>
      <c r="E2510" s="39" t="s">
        <v>44</v>
      </c>
      <c r="F2510" s="39" t="s">
        <v>45</v>
      </c>
    </row>
    <row r="2511" spans="1:6" x14ac:dyDescent="0.25">
      <c r="A2511" s="40" t="s">
        <v>533</v>
      </c>
      <c r="B2511" s="41" t="str">
        <f ca="1">IFERROR(INDEX(UNSPSCDes,MATCH(INDIRECT(ADDRESS(ROW(),COLUMN()-1,4)),UNSPSCCode,0)),IF(INDIRECT(ADDRESS(ROW(),COLUMN()-1,4))="82101504","Publicidad en periódicos",""))</f>
        <v>Publicidad en periódicos</v>
      </c>
      <c r="C2511" s="42" t="str">
        <f>IFERROR(VLOOKUP("UD",'[1]Informacion '!P:Q,2,FALSE),"")</f>
        <v>Unidad</v>
      </c>
      <c r="D2511" s="40">
        <v>1</v>
      </c>
      <c r="E2511" s="43">
        <v>1</v>
      </c>
      <c r="F2511" s="44">
        <f ca="1">INDIRECT(ADDRESS(ROW(),COLUMN()-2,4))*INDIRECT(ADDRESS(ROW(),COLUMN()-1,4))</f>
        <v>1</v>
      </c>
    </row>
    <row r="2512" spans="1:6" x14ac:dyDescent="0.25">
      <c r="A2512" s="40" t="s">
        <v>557</v>
      </c>
      <c r="B2512" s="41" t="str">
        <f ca="1">IFERROR(INDEX(UNSPSCDes,MATCH(INDIRECT(ADDRESS(ROW(),COLUMN()-1,4)),UNSPSCCode,0)),IF(INDIRECT(ADDRESS(ROW(),COLUMN()-1,4))="44111516","Organizadores personales",""))</f>
        <v>Organizadores personales</v>
      </c>
      <c r="C2512" s="42" t="str">
        <f>IFERROR(VLOOKUP("UD",'[1]Informacion '!P:Q,2,FALSE),"")</f>
        <v>Unidad</v>
      </c>
      <c r="D2512" s="40">
        <v>2</v>
      </c>
      <c r="E2512" s="43">
        <v>1</v>
      </c>
      <c r="F2512" s="44">
        <f ca="1">INDIRECT(ADDRESS(ROW(),COLUMN()-2,4))*INDIRECT(ADDRESS(ROW(),COLUMN()-1,4))</f>
        <v>2</v>
      </c>
    </row>
    <row r="2513" spans="1:6" x14ac:dyDescent="0.25">
      <c r="E2513" s="45" t="s">
        <v>47</v>
      </c>
      <c r="F2513" s="46">
        <f ca="1">SUM(Table205[MONTO TOTAL ESTIMADO])</f>
        <v>3</v>
      </c>
    </row>
    <row r="2514" spans="1:6" ht="17.25" thickBot="1" x14ac:dyDescent="0.3"/>
    <row r="2515" spans="1:6" ht="23.25" thickBot="1" x14ac:dyDescent="0.3">
      <c r="A2515" s="30" t="s">
        <v>18</v>
      </c>
      <c r="B2515" s="30" t="s">
        <v>19</v>
      </c>
      <c r="C2515" s="30" t="s">
        <v>20</v>
      </c>
      <c r="D2515" s="30" t="s">
        <v>21</v>
      </c>
      <c r="E2515" s="30" t="s">
        <v>22</v>
      </c>
      <c r="F2515" s="30" t="s">
        <v>23</v>
      </c>
    </row>
    <row r="2516" spans="1:6" ht="17.25" thickBot="1" x14ac:dyDescent="0.3">
      <c r="A2516" s="31" t="s">
        <v>224</v>
      </c>
      <c r="B2516" s="31" t="s">
        <v>224</v>
      </c>
      <c r="C2516" s="31" t="s">
        <v>92</v>
      </c>
      <c r="D2516" s="31" t="s">
        <v>27</v>
      </c>
      <c r="E2516" s="31" t="s">
        <v>58</v>
      </c>
      <c r="F2516" s="31"/>
    </row>
    <row r="2517" spans="1:6" ht="17.25" thickBot="1" x14ac:dyDescent="0.3">
      <c r="A2517" s="32" t="s">
        <v>29</v>
      </c>
      <c r="B2517" s="33" t="s">
        <v>30</v>
      </c>
      <c r="C2517" s="34">
        <v>45000</v>
      </c>
      <c r="D2517" s="32" t="s">
        <v>31</v>
      </c>
      <c r="E2517" s="35" t="s">
        <v>32</v>
      </c>
      <c r="F2517" s="36" t="s">
        <v>33</v>
      </c>
    </row>
    <row r="2518" spans="1:6" ht="17.25" thickBot="1" x14ac:dyDescent="0.3">
      <c r="A2518" s="37"/>
      <c r="B2518" s="33" t="s">
        <v>34</v>
      </c>
      <c r="C2518" s="38">
        <f>IF(C2517="","",IF(AND(MONTH(C2517)&gt;=1,MONTH(C2517)&lt;=3),1,IF(AND(MONTH(C2517)&gt;=4,MONTH(C2517)&lt;=6),2,IF(AND(MONTH(C2517)&gt;=7,MONTH(C2517)&lt;=9),3,4))))</f>
        <v>1</v>
      </c>
      <c r="D2518" s="37"/>
      <c r="E2518" s="35" t="s">
        <v>35</v>
      </c>
      <c r="F2518" s="36" t="s">
        <v>36</v>
      </c>
    </row>
    <row r="2519" spans="1:6" ht="17.25" thickBot="1" x14ac:dyDescent="0.3">
      <c r="A2519" s="37"/>
      <c r="B2519" s="33" t="s">
        <v>37</v>
      </c>
      <c r="C2519" s="34">
        <v>45077</v>
      </c>
      <c r="D2519" s="37"/>
      <c r="E2519" s="35" t="s">
        <v>38</v>
      </c>
      <c r="F2519" s="36" t="s">
        <v>36</v>
      </c>
    </row>
    <row r="2520" spans="1:6" ht="17.25" thickBot="1" x14ac:dyDescent="0.3">
      <c r="A2520" s="37"/>
      <c r="B2520" s="33" t="s">
        <v>34</v>
      </c>
      <c r="C2520" s="38">
        <f>IF(C2519="","",IF(AND(MONTH(C2519)&gt;=1,MONTH(C2519)&lt;=3),1,IF(AND(MONTH(C2519)&gt;=4,MONTH(C2519)&lt;=6),2,IF(AND(MONTH(C2519)&gt;=7,MONTH(C2519)&lt;=9),3,4))))</f>
        <v>2</v>
      </c>
      <c r="D2520" s="37"/>
      <c r="E2520" s="35" t="s">
        <v>39</v>
      </c>
      <c r="F2520" s="36" t="s">
        <v>36</v>
      </c>
    </row>
    <row r="2521" spans="1:6" ht="17.25" thickBot="1" x14ac:dyDescent="0.3"/>
    <row r="2522" spans="1:6" ht="17.25" thickBot="1" x14ac:dyDescent="0.3">
      <c r="A2522" s="39" t="s">
        <v>40</v>
      </c>
      <c r="B2522" s="39" t="s">
        <v>41</v>
      </c>
      <c r="C2522" s="39" t="s">
        <v>42</v>
      </c>
      <c r="D2522" s="39" t="s">
        <v>43</v>
      </c>
      <c r="E2522" s="39" t="s">
        <v>44</v>
      </c>
      <c r="F2522" s="39" t="s">
        <v>45</v>
      </c>
    </row>
    <row r="2523" spans="1:6" x14ac:dyDescent="0.25">
      <c r="A2523" s="40">
        <v>30102906</v>
      </c>
      <c r="B2523" s="41" t="str">
        <f ca="1">IFERROR(INDEX(UNSPSCDes,MATCH(INDIRECT(ADDRESS(ROW(),COLUMN()-1,4)),UNSPSCCode,0)),IF(INDIRECT(ADDRESS(ROW(),COLUMN()-1,4))="30102906","Postes de fibra de vidrio",""))</f>
        <v>Postes de fibra de vidrio</v>
      </c>
      <c r="C2523" s="42" t="str">
        <f>IFERROR(VLOOKUP("UD",'[1]Informacion '!P:Q,2,FALSE),"")</f>
        <v>Unidad</v>
      </c>
      <c r="D2523" s="40">
        <v>1</v>
      </c>
      <c r="E2523" s="43">
        <v>1</v>
      </c>
      <c r="F2523" s="44">
        <f ca="1">INDIRECT(ADDRESS(ROW(),COLUMN()-2,4))*INDIRECT(ADDRESS(ROW(),COLUMN()-1,4))</f>
        <v>1</v>
      </c>
    </row>
    <row r="2524" spans="1:6" x14ac:dyDescent="0.25">
      <c r="A2524" s="40">
        <v>31242202</v>
      </c>
      <c r="B2524" s="41" t="str">
        <f ca="1">IFERROR(INDEX(UNSPSCDes,MATCH(INDIRECT(ADDRESS(ROW(),COLUMN()-1,4)),UNSPSCCode,0)),IF(INDIRECT(ADDRESS(ROW(),COLUMN()-1,4))="30102906","Postes de fibra de vidrio",""))</f>
        <v>Polarizadores</v>
      </c>
      <c r="C2524" s="42" t="str">
        <f>IFERROR(VLOOKUP("UD",'[1]Informacion '!P:Q,2,FALSE),"")</f>
        <v>Unidad</v>
      </c>
      <c r="D2524" s="40">
        <v>1</v>
      </c>
      <c r="E2524" s="43">
        <v>1</v>
      </c>
      <c r="F2524" s="44">
        <f ca="1">INDIRECT(ADDRESS(ROW(),COLUMN()-2,4))*INDIRECT(ADDRESS(ROW(),COLUMN()-1,4))</f>
        <v>1</v>
      </c>
    </row>
    <row r="2525" spans="1:6" x14ac:dyDescent="0.25">
      <c r="E2525" s="45" t="s">
        <v>47</v>
      </c>
      <c r="F2525" s="46">
        <f ca="1">SUM(Table206[MONTO TOTAL ESTIMADO])</f>
        <v>2</v>
      </c>
    </row>
    <row r="2526" spans="1:6" ht="17.25" thickBot="1" x14ac:dyDescent="0.3"/>
    <row r="2527" spans="1:6" ht="23.25" thickBot="1" x14ac:dyDescent="0.3">
      <c r="A2527" s="30" t="s">
        <v>18</v>
      </c>
      <c r="B2527" s="30" t="s">
        <v>19</v>
      </c>
      <c r="C2527" s="30" t="s">
        <v>20</v>
      </c>
      <c r="D2527" s="30" t="s">
        <v>21</v>
      </c>
      <c r="E2527" s="30" t="s">
        <v>22</v>
      </c>
      <c r="F2527" s="30" t="s">
        <v>23</v>
      </c>
    </row>
    <row r="2528" spans="1:6" ht="17.25" thickBot="1" x14ac:dyDescent="0.3">
      <c r="A2528" s="31" t="s">
        <v>558</v>
      </c>
      <c r="B2528" s="31" t="s">
        <v>559</v>
      </c>
      <c r="C2528" s="31" t="s">
        <v>26</v>
      </c>
      <c r="D2528" s="31" t="s">
        <v>27</v>
      </c>
      <c r="E2528" s="31" t="s">
        <v>58</v>
      </c>
      <c r="F2528" s="31"/>
    </row>
    <row r="2529" spans="1:6" ht="17.25" thickBot="1" x14ac:dyDescent="0.3">
      <c r="A2529" s="32" t="s">
        <v>29</v>
      </c>
      <c r="B2529" s="33" t="s">
        <v>30</v>
      </c>
      <c r="C2529" s="34">
        <v>45001</v>
      </c>
      <c r="D2529" s="32" t="s">
        <v>31</v>
      </c>
      <c r="E2529" s="35" t="s">
        <v>32</v>
      </c>
      <c r="F2529" s="36" t="s">
        <v>33</v>
      </c>
    </row>
    <row r="2530" spans="1:6" ht="17.25" thickBot="1" x14ac:dyDescent="0.3">
      <c r="A2530" s="37"/>
      <c r="B2530" s="33" t="s">
        <v>34</v>
      </c>
      <c r="C2530" s="38">
        <f>IF(C2529="","",IF(AND(MONTH(C2529)&gt;=1,MONTH(C2529)&lt;=3),1,IF(AND(MONTH(C2529)&gt;=4,MONTH(C2529)&lt;=6),2,IF(AND(MONTH(C2529)&gt;=7,MONTH(C2529)&lt;=9),3,4))))</f>
        <v>1</v>
      </c>
      <c r="D2530" s="37"/>
      <c r="E2530" s="35" t="s">
        <v>35</v>
      </c>
      <c r="F2530" s="36" t="s">
        <v>36</v>
      </c>
    </row>
    <row r="2531" spans="1:6" ht="17.25" thickBot="1" x14ac:dyDescent="0.3">
      <c r="A2531" s="37"/>
      <c r="B2531" s="33" t="s">
        <v>37</v>
      </c>
      <c r="C2531" s="34">
        <v>45046</v>
      </c>
      <c r="D2531" s="37"/>
      <c r="E2531" s="35" t="s">
        <v>38</v>
      </c>
      <c r="F2531" s="36"/>
    </row>
    <row r="2532" spans="1:6" ht="17.25" thickBot="1" x14ac:dyDescent="0.3">
      <c r="A2532" s="37"/>
      <c r="B2532" s="33" t="s">
        <v>34</v>
      </c>
      <c r="C2532" s="38">
        <f>IF(C2531="","",IF(AND(MONTH(C2531)&gt;=1,MONTH(C2531)&lt;=3),1,IF(AND(MONTH(C2531)&gt;=4,MONTH(C2531)&lt;=6),2,IF(AND(MONTH(C2531)&gt;=7,MONTH(C2531)&lt;=9),3,4))))</f>
        <v>2</v>
      </c>
      <c r="D2532" s="37"/>
      <c r="E2532" s="35" t="s">
        <v>39</v>
      </c>
      <c r="F2532" s="36"/>
    </row>
    <row r="2533" spans="1:6" ht="17.25" thickBot="1" x14ac:dyDescent="0.3"/>
    <row r="2534" spans="1:6" ht="17.25" thickBot="1" x14ac:dyDescent="0.3">
      <c r="A2534" s="39" t="s">
        <v>40</v>
      </c>
      <c r="B2534" s="39" t="s">
        <v>41</v>
      </c>
      <c r="C2534" s="39" t="s">
        <v>42</v>
      </c>
      <c r="D2534" s="39" t="s">
        <v>43</v>
      </c>
      <c r="E2534" s="39" t="s">
        <v>44</v>
      </c>
      <c r="F2534" s="39" t="s">
        <v>45</v>
      </c>
    </row>
    <row r="2535" spans="1:6" x14ac:dyDescent="0.25">
      <c r="A2535" s="40">
        <v>81101505</v>
      </c>
      <c r="B2535" s="41" t="str">
        <f ca="1">IFERROR(INDEX(UNSPSCDes,MATCH(INDIRECT(ADDRESS(ROW(),COLUMN()-1,4)),UNSPSCCode,0)),IF(INDIRECT(ADDRESS(ROW(),COLUMN()-1,4))="81101505","Ingeniería estructural",""))</f>
        <v>Ingeniería estructural</v>
      </c>
      <c r="C2535" s="42" t="str">
        <f>IFERROR(VLOOKUP("UD",'[1]Informacion '!P:Q,2,FALSE),"")</f>
        <v>Unidad</v>
      </c>
      <c r="D2535" s="40">
        <v>1</v>
      </c>
      <c r="E2535" s="43">
        <v>1</v>
      </c>
      <c r="F2535" s="44">
        <f ca="1">INDIRECT(ADDRESS(ROW(),COLUMN()-2,4))*INDIRECT(ADDRESS(ROW(),COLUMN()-1,4))</f>
        <v>1</v>
      </c>
    </row>
    <row r="2536" spans="1:6" x14ac:dyDescent="0.25">
      <c r="E2536" s="45" t="s">
        <v>47</v>
      </c>
      <c r="F2536" s="46">
        <f ca="1">SUM(Table207[MONTO TOTAL ESTIMADO])</f>
        <v>1</v>
      </c>
    </row>
    <row r="2537" spans="1:6" ht="17.25" thickBot="1" x14ac:dyDescent="0.3"/>
    <row r="2538" spans="1:6" ht="23.25" thickBot="1" x14ac:dyDescent="0.3">
      <c r="A2538" s="30" t="s">
        <v>18</v>
      </c>
      <c r="B2538" s="30" t="s">
        <v>19</v>
      </c>
      <c r="C2538" s="30" t="s">
        <v>20</v>
      </c>
      <c r="D2538" s="30" t="s">
        <v>21</v>
      </c>
      <c r="E2538" s="30" t="s">
        <v>22</v>
      </c>
      <c r="F2538" s="30" t="s">
        <v>23</v>
      </c>
    </row>
    <row r="2539" spans="1:6" ht="17.25" thickBot="1" x14ac:dyDescent="0.3">
      <c r="A2539" s="31" t="s">
        <v>560</v>
      </c>
      <c r="B2539" s="31" t="s">
        <v>561</v>
      </c>
      <c r="C2539" s="31" t="s">
        <v>26</v>
      </c>
      <c r="D2539" s="31" t="s">
        <v>27</v>
      </c>
      <c r="E2539" s="31" t="s">
        <v>58</v>
      </c>
      <c r="F2539" s="31"/>
    </row>
    <row r="2540" spans="1:6" ht="17.25" thickBot="1" x14ac:dyDescent="0.3">
      <c r="A2540" s="32" t="s">
        <v>29</v>
      </c>
      <c r="B2540" s="33" t="s">
        <v>30</v>
      </c>
      <c r="C2540" s="34">
        <v>45200</v>
      </c>
      <c r="D2540" s="32" t="s">
        <v>31</v>
      </c>
      <c r="E2540" s="35" t="s">
        <v>32</v>
      </c>
      <c r="F2540" s="36" t="s">
        <v>33</v>
      </c>
    </row>
    <row r="2541" spans="1:6" ht="17.25" thickBot="1" x14ac:dyDescent="0.3">
      <c r="A2541" s="37"/>
      <c r="B2541" s="33" t="s">
        <v>34</v>
      </c>
      <c r="C2541" s="38">
        <f>IF(C2540="","",IF(AND(MONTH(C2540)&gt;=1,MONTH(C2540)&lt;=3),1,IF(AND(MONTH(C2540)&gt;=4,MONTH(C2540)&lt;=6),2,IF(AND(MONTH(C2540)&gt;=7,MONTH(C2540)&lt;=9),3,4))))</f>
        <v>4</v>
      </c>
      <c r="D2541" s="37"/>
      <c r="E2541" s="35" t="s">
        <v>35</v>
      </c>
      <c r="F2541" s="36" t="s">
        <v>36</v>
      </c>
    </row>
    <row r="2542" spans="1:6" ht="17.25" thickBot="1" x14ac:dyDescent="0.3">
      <c r="A2542" s="37"/>
      <c r="B2542" s="33" t="s">
        <v>37</v>
      </c>
      <c r="C2542" s="34">
        <v>45291</v>
      </c>
      <c r="D2542" s="37"/>
      <c r="E2542" s="35" t="s">
        <v>38</v>
      </c>
      <c r="F2542" s="36" t="s">
        <v>36</v>
      </c>
    </row>
    <row r="2543" spans="1:6" ht="17.25" thickBot="1" x14ac:dyDescent="0.3">
      <c r="A2543" s="37"/>
      <c r="B2543" s="33" t="s">
        <v>34</v>
      </c>
      <c r="C2543" s="38">
        <f>IF(C2542="","",IF(AND(MONTH(C2542)&gt;=1,MONTH(C2542)&lt;=3),1,IF(AND(MONTH(C2542)&gt;=4,MONTH(C2542)&lt;=6),2,IF(AND(MONTH(C2542)&gt;=7,MONTH(C2542)&lt;=9),3,4))))</f>
        <v>4</v>
      </c>
      <c r="D2543" s="37"/>
      <c r="E2543" s="35" t="s">
        <v>39</v>
      </c>
      <c r="F2543" s="36" t="s">
        <v>36</v>
      </c>
    </row>
    <row r="2544" spans="1:6" ht="17.25" thickBot="1" x14ac:dyDescent="0.3"/>
    <row r="2545" spans="1:6" ht="17.25" thickBot="1" x14ac:dyDescent="0.3">
      <c r="A2545" s="39" t="s">
        <v>40</v>
      </c>
      <c r="B2545" s="39" t="s">
        <v>41</v>
      </c>
      <c r="C2545" s="39" t="s">
        <v>42</v>
      </c>
      <c r="D2545" s="39" t="s">
        <v>43</v>
      </c>
      <c r="E2545" s="39" t="s">
        <v>44</v>
      </c>
      <c r="F2545" s="39" t="s">
        <v>45</v>
      </c>
    </row>
    <row r="2546" spans="1:6" x14ac:dyDescent="0.25">
      <c r="A2546" s="40" t="s">
        <v>562</v>
      </c>
      <c r="B2546" s="41" t="str">
        <f ca="1">IFERROR(INDEX(UNSPSCDes,MATCH(INDIRECT(ADDRESS(ROW(),COLUMN()-1,4)),UNSPSCCode,0)),IF(INDIRECT(ADDRESS(ROW(),COLUMN()-1,4))="82101801","Servicios de campañas publicitarias",""))</f>
        <v>Servicios de campañas publicitarias</v>
      </c>
      <c r="C2546" s="42" t="str">
        <f>IFERROR(VLOOKUP("UD",'[1]Informacion '!P:Q,2,FALSE),"")</f>
        <v>Unidad</v>
      </c>
      <c r="D2546" s="40">
        <v>1</v>
      </c>
      <c r="E2546" s="43">
        <v>60000</v>
      </c>
      <c r="F2546" s="44">
        <f ca="1">INDIRECT(ADDRESS(ROW(),COLUMN()-2,4))*INDIRECT(ADDRESS(ROW(),COLUMN()-1,4))</f>
        <v>60000</v>
      </c>
    </row>
    <row r="2547" spans="1:6" x14ac:dyDescent="0.25">
      <c r="A2547" s="40" t="s">
        <v>563</v>
      </c>
      <c r="B2547" s="41" t="str">
        <f ca="1">IFERROR(INDEX(UNSPSCDes,MATCH(INDIRECT(ADDRESS(ROW(),COLUMN()-1,4)),UNSPSCCode,0)),IF(INDIRECT(ADDRESS(ROW(),COLUMN()-1,4))="82101602","Publicidad en televisión",""))</f>
        <v>Publicidad en televisión</v>
      </c>
      <c r="C2547" s="42" t="str">
        <f>IFERROR(VLOOKUP("UD",'[1]Informacion '!P:Q,2,FALSE),"")</f>
        <v>Unidad</v>
      </c>
      <c r="D2547" s="40">
        <v>1</v>
      </c>
      <c r="E2547" s="43">
        <v>57000</v>
      </c>
      <c r="F2547" s="44">
        <f ca="1">INDIRECT(ADDRESS(ROW(),COLUMN()-2,4))*INDIRECT(ADDRESS(ROW(),COLUMN()-1,4))</f>
        <v>57000</v>
      </c>
    </row>
    <row r="2548" spans="1:6" x14ac:dyDescent="0.25">
      <c r="E2548" s="45" t="s">
        <v>47</v>
      </c>
      <c r="F2548" s="46">
        <f ca="1">SUM(Table208[MONTO TOTAL ESTIMADO])</f>
        <v>117000</v>
      </c>
    </row>
    <row r="2549" spans="1:6" ht="17.25" thickBot="1" x14ac:dyDescent="0.3"/>
    <row r="2550" spans="1:6" ht="23.25" thickBot="1" x14ac:dyDescent="0.3">
      <c r="A2550" s="30" t="s">
        <v>18</v>
      </c>
      <c r="B2550" s="30" t="s">
        <v>19</v>
      </c>
      <c r="C2550" s="30" t="s">
        <v>20</v>
      </c>
      <c r="D2550" s="30" t="s">
        <v>21</v>
      </c>
      <c r="E2550" s="30" t="s">
        <v>22</v>
      </c>
      <c r="F2550" s="30" t="s">
        <v>23</v>
      </c>
    </row>
    <row r="2551" spans="1:6" ht="17.25" thickBot="1" x14ac:dyDescent="0.3">
      <c r="A2551" s="31" t="s">
        <v>564</v>
      </c>
      <c r="B2551" s="31" t="s">
        <v>565</v>
      </c>
      <c r="C2551" s="31" t="s">
        <v>26</v>
      </c>
      <c r="D2551" s="31" t="s">
        <v>27</v>
      </c>
      <c r="E2551" s="31" t="s">
        <v>58</v>
      </c>
      <c r="F2551" s="31"/>
    </row>
    <row r="2552" spans="1:6" ht="17.25" thickBot="1" x14ac:dyDescent="0.3">
      <c r="A2552" s="32" t="s">
        <v>29</v>
      </c>
      <c r="B2552" s="33" t="s">
        <v>30</v>
      </c>
      <c r="C2552" s="34">
        <v>45025</v>
      </c>
      <c r="D2552" s="32" t="s">
        <v>31</v>
      </c>
      <c r="E2552" s="35" t="s">
        <v>32</v>
      </c>
      <c r="F2552" s="36" t="s">
        <v>33</v>
      </c>
    </row>
    <row r="2553" spans="1:6" ht="17.25" thickBot="1" x14ac:dyDescent="0.3">
      <c r="A2553" s="37"/>
      <c r="B2553" s="33" t="s">
        <v>34</v>
      </c>
      <c r="C2553" s="38">
        <f>IF(C2552="","",IF(AND(MONTH(C2552)&gt;=1,MONTH(C2552)&lt;=3),1,IF(AND(MONTH(C2552)&gt;=4,MONTH(C2552)&lt;=6),2,IF(AND(MONTH(C2552)&gt;=7,MONTH(C2552)&lt;=9),3,4))))</f>
        <v>2</v>
      </c>
      <c r="D2553" s="37"/>
      <c r="E2553" s="35" t="s">
        <v>35</v>
      </c>
      <c r="F2553" s="36" t="s">
        <v>36</v>
      </c>
    </row>
    <row r="2554" spans="1:6" ht="17.25" thickBot="1" x14ac:dyDescent="0.3">
      <c r="A2554" s="37"/>
      <c r="B2554" s="33" t="s">
        <v>37</v>
      </c>
      <c r="C2554" s="34">
        <v>45138</v>
      </c>
      <c r="D2554" s="37"/>
      <c r="E2554" s="35" t="s">
        <v>38</v>
      </c>
      <c r="F2554" s="36" t="s">
        <v>36</v>
      </c>
    </row>
    <row r="2555" spans="1:6" ht="17.25" thickBot="1" x14ac:dyDescent="0.3">
      <c r="A2555" s="37"/>
      <c r="B2555" s="33" t="s">
        <v>34</v>
      </c>
      <c r="C2555" s="38">
        <f>IF(C2554="","",IF(AND(MONTH(C2554)&gt;=1,MONTH(C2554)&lt;=3),1,IF(AND(MONTH(C2554)&gt;=4,MONTH(C2554)&lt;=6),2,IF(AND(MONTH(C2554)&gt;=7,MONTH(C2554)&lt;=9),3,4))))</f>
        <v>3</v>
      </c>
      <c r="D2555" s="37"/>
      <c r="E2555" s="35" t="s">
        <v>39</v>
      </c>
      <c r="F2555" s="36" t="s">
        <v>36</v>
      </c>
    </row>
    <row r="2556" spans="1:6" ht="17.25" thickBot="1" x14ac:dyDescent="0.3"/>
    <row r="2557" spans="1:6" ht="17.25" thickBot="1" x14ac:dyDescent="0.3">
      <c r="A2557" s="39" t="s">
        <v>40</v>
      </c>
      <c r="B2557" s="39" t="s">
        <v>41</v>
      </c>
      <c r="C2557" s="39" t="s">
        <v>42</v>
      </c>
      <c r="D2557" s="39" t="s">
        <v>43</v>
      </c>
      <c r="E2557" s="39" t="s">
        <v>44</v>
      </c>
      <c r="F2557" s="39" t="s">
        <v>45</v>
      </c>
    </row>
    <row r="2558" spans="1:6" x14ac:dyDescent="0.25">
      <c r="A2558" s="40">
        <v>78111808</v>
      </c>
      <c r="B2558" s="41" t="str">
        <f ca="1">IFERROR(INDEX(UNSPSCDes,MATCH(INDIRECT(ADDRESS(ROW(),COLUMN()-1,4)),UNSPSCCode,0)),IF(INDIRECT(ADDRESS(ROW(),COLUMN()-1,4))="78111808","Alquiler de vehículos",""))</f>
        <v>Alquiler de vehículos</v>
      </c>
      <c r="C2558" s="42" t="str">
        <f>IFERROR(VLOOKUP("UD",'[1]Informacion '!P:Q,2,FALSE),"")</f>
        <v>Unidad</v>
      </c>
      <c r="D2558" s="40">
        <v>1</v>
      </c>
      <c r="E2558" s="43">
        <v>1</v>
      </c>
      <c r="F2558" s="44">
        <f ca="1">INDIRECT(ADDRESS(ROW(),COLUMN()-2,4))*INDIRECT(ADDRESS(ROW(),COLUMN()-1,4))</f>
        <v>1</v>
      </c>
    </row>
    <row r="2559" spans="1:6" x14ac:dyDescent="0.25">
      <c r="E2559" s="45" t="s">
        <v>47</v>
      </c>
      <c r="F2559" s="46">
        <f ca="1">SUM(Table209[MONTO TOTAL ESTIMADO])</f>
        <v>1</v>
      </c>
    </row>
    <row r="2560" spans="1:6" ht="17.25" thickBot="1" x14ac:dyDescent="0.3"/>
    <row r="2561" spans="1:6" ht="23.25" thickBot="1" x14ac:dyDescent="0.3">
      <c r="A2561" s="30" t="s">
        <v>18</v>
      </c>
      <c r="B2561" s="30" t="s">
        <v>19</v>
      </c>
      <c r="C2561" s="30" t="s">
        <v>20</v>
      </c>
      <c r="D2561" s="30" t="s">
        <v>21</v>
      </c>
      <c r="E2561" s="30" t="s">
        <v>22</v>
      </c>
      <c r="F2561" s="30" t="s">
        <v>23</v>
      </c>
    </row>
    <row r="2562" spans="1:6" ht="17.25" thickBot="1" x14ac:dyDescent="0.3">
      <c r="A2562" s="31" t="s">
        <v>70</v>
      </c>
      <c r="B2562" s="31" t="s">
        <v>566</v>
      </c>
      <c r="C2562" s="31" t="s">
        <v>26</v>
      </c>
      <c r="D2562" s="31" t="s">
        <v>50</v>
      </c>
      <c r="E2562" s="31" t="s">
        <v>28</v>
      </c>
      <c r="F2562" s="31"/>
    </row>
    <row r="2563" spans="1:6" ht="17.25" thickBot="1" x14ac:dyDescent="0.3">
      <c r="A2563" s="32" t="s">
        <v>29</v>
      </c>
      <c r="B2563" s="33" t="s">
        <v>30</v>
      </c>
      <c r="C2563" s="34">
        <v>44927</v>
      </c>
      <c r="D2563" s="32" t="s">
        <v>31</v>
      </c>
      <c r="E2563" s="35" t="s">
        <v>32</v>
      </c>
      <c r="F2563" s="36" t="s">
        <v>33</v>
      </c>
    </row>
    <row r="2564" spans="1:6" ht="17.25" thickBot="1" x14ac:dyDescent="0.3">
      <c r="A2564" s="37"/>
      <c r="B2564" s="33" t="s">
        <v>34</v>
      </c>
      <c r="C2564" s="38">
        <f>IF(C2563="","",IF(AND(MONTH(C2563)&gt;=1,MONTH(C2563)&lt;=3),1,IF(AND(MONTH(C2563)&gt;=4,MONTH(C2563)&lt;=6),2,IF(AND(MONTH(C2563)&gt;=7,MONTH(C2563)&lt;=9),3,4))))</f>
        <v>1</v>
      </c>
      <c r="D2564" s="37"/>
      <c r="E2564" s="35" t="s">
        <v>35</v>
      </c>
      <c r="F2564" s="36" t="s">
        <v>36</v>
      </c>
    </row>
    <row r="2565" spans="1:6" ht="17.25" thickBot="1" x14ac:dyDescent="0.3">
      <c r="A2565" s="37"/>
      <c r="B2565" s="33" t="s">
        <v>37</v>
      </c>
      <c r="C2565" s="34">
        <v>44986</v>
      </c>
      <c r="D2565" s="37"/>
      <c r="E2565" s="35" t="s">
        <v>38</v>
      </c>
      <c r="F2565" s="36" t="s">
        <v>36</v>
      </c>
    </row>
    <row r="2566" spans="1:6" ht="17.25" thickBot="1" x14ac:dyDescent="0.3">
      <c r="A2566" s="37"/>
      <c r="B2566" s="33" t="s">
        <v>34</v>
      </c>
      <c r="C2566" s="38">
        <f>IF(C2565="","",IF(AND(MONTH(C2565)&gt;=1,MONTH(C2565)&lt;=3),1,IF(AND(MONTH(C2565)&gt;=4,MONTH(C2565)&lt;=6),2,IF(AND(MONTH(C2565)&gt;=7,MONTH(C2565)&lt;=9),3,4))))</f>
        <v>1</v>
      </c>
      <c r="D2566" s="37"/>
      <c r="E2566" s="35" t="s">
        <v>39</v>
      </c>
      <c r="F2566" s="36" t="s">
        <v>36</v>
      </c>
    </row>
    <row r="2567" spans="1:6" ht="17.25" thickBot="1" x14ac:dyDescent="0.3"/>
    <row r="2568" spans="1:6" ht="17.25" thickBot="1" x14ac:dyDescent="0.3">
      <c r="A2568" s="39" t="s">
        <v>40</v>
      </c>
      <c r="B2568" s="39" t="s">
        <v>41</v>
      </c>
      <c r="C2568" s="39" t="s">
        <v>42</v>
      </c>
      <c r="D2568" s="39" t="s">
        <v>43</v>
      </c>
      <c r="E2568" s="39" t="s">
        <v>44</v>
      </c>
      <c r="F2568" s="39" t="s">
        <v>45</v>
      </c>
    </row>
    <row r="2569" spans="1:6" x14ac:dyDescent="0.25">
      <c r="A2569" s="40" t="s">
        <v>72</v>
      </c>
      <c r="B2569" s="41" t="str">
        <f ca="1">IFERROR(INDEX(UNSPSCDes,MATCH(INDIRECT(ADDRESS(ROW(),COLUMN()-1,4)),UNSPSCCode,0)),IF(INDIRECT(ADDRESS(ROW(),COLUMN()-1,4))="86101705","Capacitación administrativa",""))</f>
        <v>Capacitación administrativa</v>
      </c>
      <c r="C2569" s="42" t="str">
        <f>IFERROR(VLOOKUP("UD",'[1]Informacion '!P:Q,2,FALSE),"")</f>
        <v>Unidad</v>
      </c>
      <c r="D2569" s="40">
        <v>1</v>
      </c>
      <c r="E2569" s="43">
        <v>500000</v>
      </c>
      <c r="F2569" s="44">
        <f ca="1">INDIRECT(ADDRESS(ROW(),COLUMN()-2,4))*INDIRECT(ADDRESS(ROW(),COLUMN()-1,4))</f>
        <v>500000</v>
      </c>
    </row>
    <row r="2570" spans="1:6" x14ac:dyDescent="0.25">
      <c r="E2570" s="45" t="s">
        <v>47</v>
      </c>
      <c r="F2570" s="46">
        <f ca="1">SUM(Table210[MONTO TOTAL ESTIMADO])</f>
        <v>500000</v>
      </c>
    </row>
    <row r="2571" spans="1:6" ht="17.25" thickBot="1" x14ac:dyDescent="0.3"/>
    <row r="2572" spans="1:6" ht="23.25" thickBot="1" x14ac:dyDescent="0.3">
      <c r="A2572" s="30" t="s">
        <v>18</v>
      </c>
      <c r="B2572" s="30" t="s">
        <v>19</v>
      </c>
      <c r="C2572" s="30" t="s">
        <v>20</v>
      </c>
      <c r="D2572" s="30" t="s">
        <v>21</v>
      </c>
      <c r="E2572" s="30" t="s">
        <v>22</v>
      </c>
      <c r="F2572" s="30" t="s">
        <v>23</v>
      </c>
    </row>
    <row r="2573" spans="1:6" ht="17.25" thickBot="1" x14ac:dyDescent="0.3">
      <c r="A2573" s="31" t="s">
        <v>567</v>
      </c>
      <c r="B2573" s="31" t="s">
        <v>567</v>
      </c>
      <c r="C2573" s="31" t="s">
        <v>26</v>
      </c>
      <c r="D2573" s="31" t="s">
        <v>27</v>
      </c>
      <c r="E2573" s="31" t="s">
        <v>58</v>
      </c>
      <c r="F2573" s="31"/>
    </row>
    <row r="2574" spans="1:6" ht="17.25" thickBot="1" x14ac:dyDescent="0.3">
      <c r="A2574" s="32" t="s">
        <v>29</v>
      </c>
      <c r="B2574" s="33" t="s">
        <v>30</v>
      </c>
      <c r="C2574" s="34">
        <v>44927</v>
      </c>
      <c r="D2574" s="32" t="s">
        <v>31</v>
      </c>
      <c r="E2574" s="35" t="s">
        <v>32</v>
      </c>
      <c r="F2574" s="36" t="s">
        <v>33</v>
      </c>
    </row>
    <row r="2575" spans="1:6" ht="17.25" thickBot="1" x14ac:dyDescent="0.3">
      <c r="A2575" s="37"/>
      <c r="B2575" s="33" t="s">
        <v>34</v>
      </c>
      <c r="C2575" s="38">
        <f>IF(C2574="","",IF(AND(MONTH(C2574)&gt;=1,MONTH(C2574)&lt;=3),1,IF(AND(MONTH(C2574)&gt;=4,MONTH(C2574)&lt;=6),2,IF(AND(MONTH(C2574)&gt;=7,MONTH(C2574)&lt;=9),3,4))))</f>
        <v>1</v>
      </c>
      <c r="D2575" s="37"/>
      <c r="E2575" s="35" t="s">
        <v>35</v>
      </c>
      <c r="F2575" s="36" t="s">
        <v>36</v>
      </c>
    </row>
    <row r="2576" spans="1:6" ht="17.25" thickBot="1" x14ac:dyDescent="0.3">
      <c r="A2576" s="37"/>
      <c r="B2576" s="33" t="s">
        <v>37</v>
      </c>
      <c r="C2576" s="34">
        <v>45015</v>
      </c>
      <c r="D2576" s="37"/>
      <c r="E2576" s="35" t="s">
        <v>38</v>
      </c>
      <c r="F2576" s="36" t="s">
        <v>36</v>
      </c>
    </row>
    <row r="2577" spans="1:6" ht="17.25" thickBot="1" x14ac:dyDescent="0.3">
      <c r="A2577" s="37"/>
      <c r="B2577" s="33" t="s">
        <v>34</v>
      </c>
      <c r="C2577" s="38">
        <f>IF(C2576="","",IF(AND(MONTH(C2576)&gt;=1,MONTH(C2576)&lt;=3),1,IF(AND(MONTH(C2576)&gt;=4,MONTH(C2576)&lt;=6),2,IF(AND(MONTH(C2576)&gt;=7,MONTH(C2576)&lt;=9),3,4))))</f>
        <v>1</v>
      </c>
      <c r="D2577" s="37"/>
      <c r="E2577" s="35" t="s">
        <v>39</v>
      </c>
      <c r="F2577" s="36" t="s">
        <v>36</v>
      </c>
    </row>
    <row r="2578" spans="1:6" ht="17.25" thickBot="1" x14ac:dyDescent="0.3"/>
    <row r="2579" spans="1:6" ht="17.25" thickBot="1" x14ac:dyDescent="0.3">
      <c r="A2579" s="39" t="s">
        <v>40</v>
      </c>
      <c r="B2579" s="39" t="s">
        <v>41</v>
      </c>
      <c r="C2579" s="39" t="s">
        <v>42</v>
      </c>
      <c r="D2579" s="39" t="s">
        <v>43</v>
      </c>
      <c r="E2579" s="39" t="s">
        <v>44</v>
      </c>
      <c r="F2579" s="39" t="s">
        <v>45</v>
      </c>
    </row>
    <row r="2580" spans="1:6" x14ac:dyDescent="0.25">
      <c r="A2580" s="40">
        <v>72101501</v>
      </c>
      <c r="B2580" s="41" t="str">
        <f ca="1">IFERROR(INDEX(UNSPSCDes,MATCH(INDIRECT(ADDRESS(ROW(),COLUMN()-1,4)),UNSPSCCode,0)),IF(INDIRECT(ADDRESS(ROW(),COLUMN()-1,4))="72101501","Servicios de todero",""))</f>
        <v>Servicios de todero</v>
      </c>
      <c r="C2580" s="42" t="str">
        <f>IFERROR(VLOOKUP("UD",'[1]Informacion '!P:Q,2,FALSE),"")</f>
        <v>Unidad</v>
      </c>
      <c r="D2580" s="40">
        <v>1</v>
      </c>
      <c r="E2580" s="43">
        <v>139000</v>
      </c>
      <c r="F2580" s="44">
        <f ca="1">INDIRECT(ADDRESS(ROW(),COLUMN()-2,4))*INDIRECT(ADDRESS(ROW(),COLUMN()-1,4))</f>
        <v>139000</v>
      </c>
    </row>
    <row r="2581" spans="1:6" x14ac:dyDescent="0.25">
      <c r="E2581" s="45" t="s">
        <v>47</v>
      </c>
      <c r="F2581" s="46">
        <f ca="1">SUM(Table211[MONTO TOTAL ESTIMADO])</f>
        <v>139000</v>
      </c>
    </row>
    <row r="2582" spans="1:6" ht="17.25" thickBot="1" x14ac:dyDescent="0.3"/>
    <row r="2583" spans="1:6" ht="23.25" thickBot="1" x14ac:dyDescent="0.3">
      <c r="A2583" s="30" t="s">
        <v>18</v>
      </c>
      <c r="B2583" s="30" t="s">
        <v>19</v>
      </c>
      <c r="C2583" s="30" t="s">
        <v>20</v>
      </c>
      <c r="D2583" s="30" t="s">
        <v>21</v>
      </c>
      <c r="E2583" s="30" t="s">
        <v>22</v>
      </c>
      <c r="F2583" s="30" t="s">
        <v>23</v>
      </c>
    </row>
    <row r="2584" spans="1:6" ht="17.25" thickBot="1" x14ac:dyDescent="0.3">
      <c r="A2584" s="31" t="s">
        <v>263</v>
      </c>
      <c r="B2584" s="31" t="s">
        <v>263</v>
      </c>
      <c r="C2584" s="31" t="s">
        <v>92</v>
      </c>
      <c r="D2584" s="31" t="s">
        <v>27</v>
      </c>
      <c r="E2584" s="31" t="s">
        <v>58</v>
      </c>
      <c r="F2584" s="31"/>
    </row>
    <row r="2585" spans="1:6" ht="17.25" thickBot="1" x14ac:dyDescent="0.3">
      <c r="A2585" s="32" t="s">
        <v>29</v>
      </c>
      <c r="B2585" s="33" t="s">
        <v>30</v>
      </c>
      <c r="C2585" s="34">
        <v>45017</v>
      </c>
      <c r="D2585" s="32" t="s">
        <v>31</v>
      </c>
      <c r="E2585" s="35" t="s">
        <v>32</v>
      </c>
      <c r="F2585" s="36" t="s">
        <v>33</v>
      </c>
    </row>
    <row r="2586" spans="1:6" ht="17.25" thickBot="1" x14ac:dyDescent="0.3">
      <c r="A2586" s="37"/>
      <c r="B2586" s="33" t="s">
        <v>34</v>
      </c>
      <c r="C2586" s="38">
        <f>IF(C2585="","",IF(AND(MONTH(C2585)&gt;=1,MONTH(C2585)&lt;=3),1,IF(AND(MONTH(C2585)&gt;=4,MONTH(C2585)&lt;=6),2,IF(AND(MONTH(C2585)&gt;=7,MONTH(C2585)&lt;=9),3,4))))</f>
        <v>2</v>
      </c>
      <c r="D2586" s="37"/>
      <c r="E2586" s="35" t="s">
        <v>35</v>
      </c>
      <c r="F2586" s="36" t="s">
        <v>36</v>
      </c>
    </row>
    <row r="2587" spans="1:6" ht="17.25" thickBot="1" x14ac:dyDescent="0.3">
      <c r="A2587" s="37"/>
      <c r="B2587" s="33" t="s">
        <v>37</v>
      </c>
      <c r="C2587" s="34">
        <v>45107</v>
      </c>
      <c r="D2587" s="37"/>
      <c r="E2587" s="35" t="s">
        <v>38</v>
      </c>
      <c r="F2587" s="36" t="s">
        <v>36</v>
      </c>
    </row>
    <row r="2588" spans="1:6" ht="17.25" thickBot="1" x14ac:dyDescent="0.3">
      <c r="A2588" s="37"/>
      <c r="B2588" s="33" t="s">
        <v>34</v>
      </c>
      <c r="C2588" s="38">
        <f>IF(C2587="","",IF(AND(MONTH(C2587)&gt;=1,MONTH(C2587)&lt;=3),1,IF(AND(MONTH(C2587)&gt;=4,MONTH(C2587)&lt;=6),2,IF(AND(MONTH(C2587)&gt;=7,MONTH(C2587)&lt;=9),3,4))))</f>
        <v>2</v>
      </c>
      <c r="D2588" s="37"/>
      <c r="E2588" s="35" t="s">
        <v>39</v>
      </c>
      <c r="F2588" s="36" t="s">
        <v>36</v>
      </c>
    </row>
    <row r="2589" spans="1:6" ht="17.25" thickBot="1" x14ac:dyDescent="0.3"/>
    <row r="2590" spans="1:6" ht="17.25" thickBot="1" x14ac:dyDescent="0.3">
      <c r="A2590" s="39" t="s">
        <v>40</v>
      </c>
      <c r="B2590" s="39" t="s">
        <v>41</v>
      </c>
      <c r="C2590" s="39" t="s">
        <v>42</v>
      </c>
      <c r="D2590" s="39" t="s">
        <v>43</v>
      </c>
      <c r="E2590" s="39" t="s">
        <v>44</v>
      </c>
      <c r="F2590" s="39" t="s">
        <v>45</v>
      </c>
    </row>
    <row r="2591" spans="1:6" x14ac:dyDescent="0.25">
      <c r="A2591" s="40" t="s">
        <v>568</v>
      </c>
      <c r="B2591" s="41" t="str">
        <f ca="1">IFERROR(INDEX(UNSPSCDes,MATCH(INDIRECT(ADDRESS(ROW(),COLUMN()-1,4)),UNSPSCCode,0)),IF(INDIRECT(ADDRESS(ROW(),COLUMN()-1,4))="12181601","Aceites sintéticos",""))</f>
        <v>Aceites sintéticos</v>
      </c>
      <c r="C2591" s="42" t="str">
        <f>IFERROR(VLOOKUP("UD",'[1]Informacion '!P:Q,2,FALSE),"")</f>
        <v>Unidad</v>
      </c>
      <c r="D2591" s="40">
        <v>1</v>
      </c>
      <c r="E2591" s="43">
        <v>1</v>
      </c>
      <c r="F2591" s="44">
        <f t="shared" ref="F2591:F2597" ca="1" si="28">INDIRECT(ADDRESS(ROW(),COLUMN()-2,4))*INDIRECT(ADDRESS(ROW(),COLUMN()-1,4))</f>
        <v>1</v>
      </c>
    </row>
    <row r="2592" spans="1:6" x14ac:dyDescent="0.25">
      <c r="A2592" s="40" t="s">
        <v>569</v>
      </c>
      <c r="B2592" s="41" t="str">
        <f ca="1">IFERROR(INDEX(UNSPSCDes,MATCH(INDIRECT(ADDRESS(ROW(),COLUMN()-1,4)),UNSPSCCode,0)),IF(INDIRECT(ADDRESS(ROW(),COLUMN()-1,4))="15121504","Aceite hidráulico",""))</f>
        <v>Aceite hidráulico</v>
      </c>
      <c r="C2592" s="42" t="str">
        <f>IFERROR(VLOOKUP("UD",'[1]Informacion '!P:Q,2,FALSE),"")</f>
        <v>Unidad</v>
      </c>
      <c r="D2592" s="40">
        <v>1</v>
      </c>
      <c r="E2592" s="43">
        <v>1</v>
      </c>
      <c r="F2592" s="44">
        <f t="shared" ca="1" si="28"/>
        <v>1</v>
      </c>
    </row>
    <row r="2593" spans="1:6" x14ac:dyDescent="0.25">
      <c r="A2593" s="40">
        <v>15121504</v>
      </c>
      <c r="B2593" s="41" t="str">
        <f ca="1">IFERROR(INDEX(UNSPSCDes,MATCH(INDIRECT(ADDRESS(ROW(),COLUMN()-1,4)),UNSPSCCode,0)),IF(INDIRECT(ADDRESS(ROW(),COLUMN()-1,4))="15121504","Aceite hidráulico",""))</f>
        <v>Aceite hidráulico</v>
      </c>
      <c r="C2593" s="42" t="str">
        <f>IFERROR(VLOOKUP("UD",'[1]Informacion '!P:Q,2,FALSE),"")</f>
        <v>Unidad</v>
      </c>
      <c r="D2593" s="40">
        <v>1</v>
      </c>
      <c r="E2593" s="43">
        <v>1</v>
      </c>
      <c r="F2593" s="44">
        <f t="shared" ca="1" si="28"/>
        <v>1</v>
      </c>
    </row>
    <row r="2594" spans="1:6" x14ac:dyDescent="0.25">
      <c r="A2594" s="40" t="s">
        <v>570</v>
      </c>
      <c r="B2594" s="41" t="str">
        <f ca="1">IFERROR(INDEX(UNSPSCDes,MATCH(INDIRECT(ADDRESS(ROW(),COLUMN()-1,4)),UNSPSCCode,0)),IF(INDIRECT(ADDRESS(ROW(),COLUMN()-1,4))="15121508","Aceite de transmisión",""))</f>
        <v>Aceite de transmisión</v>
      </c>
      <c r="C2594" s="42" t="str">
        <f>IFERROR(VLOOKUP("UD",'[1]Informacion '!P:Q,2,FALSE),"")</f>
        <v>Unidad</v>
      </c>
      <c r="D2594" s="40">
        <v>1</v>
      </c>
      <c r="E2594" s="43">
        <v>1</v>
      </c>
      <c r="F2594" s="44">
        <f t="shared" ca="1" si="28"/>
        <v>1</v>
      </c>
    </row>
    <row r="2595" spans="1:6" x14ac:dyDescent="0.25">
      <c r="A2595" s="40" t="s">
        <v>571</v>
      </c>
      <c r="B2595" s="41" t="str">
        <f ca="1">IFERROR(INDEX(UNSPSCDes,MATCH(INDIRECT(ADDRESS(ROW(),COLUMN()-1,4)),UNSPSCCode,0)),IF(INDIRECT(ADDRESS(ROW(),COLUMN()-1,4))="15121806","Aceites penetrantes",""))</f>
        <v>Aceites penetrantes</v>
      </c>
      <c r="C2595" s="42" t="str">
        <f>IFERROR(VLOOKUP("UD",'[1]Informacion '!P:Q,2,FALSE),"")</f>
        <v>Unidad</v>
      </c>
      <c r="D2595" s="40">
        <v>1</v>
      </c>
      <c r="E2595" s="43">
        <v>1</v>
      </c>
      <c r="F2595" s="44">
        <f t="shared" ca="1" si="28"/>
        <v>1</v>
      </c>
    </row>
    <row r="2596" spans="1:6" x14ac:dyDescent="0.25">
      <c r="A2596" s="40" t="s">
        <v>265</v>
      </c>
      <c r="B2596" s="41" t="str">
        <f ca="1">IFERROR(INDEX(UNSPSCDes,MATCH(INDIRECT(ADDRESS(ROW(),COLUMN()-1,4)),UNSPSCCode,0)),IF(INDIRECT(ADDRESS(ROW(),COLUMN()-1,4))="15121501","Aceite motor",""))</f>
        <v>Aceite motor</v>
      </c>
      <c r="C2596" s="42" t="str">
        <f>IFERROR(VLOOKUP("UD",'[1]Informacion '!P:Q,2,FALSE),"")</f>
        <v>Unidad</v>
      </c>
      <c r="D2596" s="40">
        <v>1</v>
      </c>
      <c r="E2596" s="43">
        <v>20000</v>
      </c>
      <c r="F2596" s="44">
        <f t="shared" ca="1" si="28"/>
        <v>20000</v>
      </c>
    </row>
    <row r="2597" spans="1:6" x14ac:dyDescent="0.25">
      <c r="A2597" s="40" t="s">
        <v>572</v>
      </c>
      <c r="B2597" s="41" t="str">
        <f ca="1">IFERROR(INDEX(UNSPSCDes,MATCH(INDIRECT(ADDRESS(ROW(),COLUMN()-1,4)),UNSPSCCode,0)),IF(INDIRECT(ADDRESS(ROW(),COLUMN()-1,4))="25174004","Refrigerante de motor",""))</f>
        <v>Refrigerante de motor</v>
      </c>
      <c r="C2597" s="42" t="str">
        <f>IFERROR(VLOOKUP("UD",'[1]Informacion '!P:Q,2,FALSE),"")</f>
        <v>Unidad</v>
      </c>
      <c r="D2597" s="40">
        <v>1</v>
      </c>
      <c r="E2597" s="43">
        <v>1</v>
      </c>
      <c r="F2597" s="44">
        <f t="shared" ca="1" si="28"/>
        <v>1</v>
      </c>
    </row>
    <row r="2598" spans="1:6" x14ac:dyDescent="0.25">
      <c r="E2598" s="45" t="s">
        <v>47</v>
      </c>
      <c r="F2598" s="46">
        <f ca="1">SUM(Table215[MONTO TOTAL ESTIMADO])</f>
        <v>20006</v>
      </c>
    </row>
    <row r="2599" spans="1:6" ht="17.25" thickBot="1" x14ac:dyDescent="0.3"/>
    <row r="2600" spans="1:6" ht="23.25" thickBot="1" x14ac:dyDescent="0.3">
      <c r="A2600" s="30" t="s">
        <v>18</v>
      </c>
      <c r="B2600" s="30" t="s">
        <v>19</v>
      </c>
      <c r="C2600" s="30" t="s">
        <v>20</v>
      </c>
      <c r="D2600" s="30" t="s">
        <v>21</v>
      </c>
      <c r="E2600" s="30" t="s">
        <v>22</v>
      </c>
      <c r="F2600" s="30" t="s">
        <v>23</v>
      </c>
    </row>
    <row r="2601" spans="1:6" ht="17.25" thickBot="1" x14ac:dyDescent="0.3">
      <c r="A2601" s="31" t="s">
        <v>573</v>
      </c>
      <c r="B2601" s="31" t="s">
        <v>573</v>
      </c>
      <c r="C2601" s="31" t="s">
        <v>92</v>
      </c>
      <c r="D2601" s="31" t="s">
        <v>27</v>
      </c>
      <c r="E2601" s="31" t="s">
        <v>58</v>
      </c>
      <c r="F2601" s="31"/>
    </row>
    <row r="2602" spans="1:6" ht="17.25" thickBot="1" x14ac:dyDescent="0.3">
      <c r="A2602" s="32" t="s">
        <v>29</v>
      </c>
      <c r="B2602" s="33" t="s">
        <v>30</v>
      </c>
      <c r="C2602" s="34">
        <v>45069</v>
      </c>
      <c r="D2602" s="32" t="s">
        <v>31</v>
      </c>
      <c r="E2602" s="35" t="s">
        <v>32</v>
      </c>
      <c r="F2602" s="36" t="s">
        <v>33</v>
      </c>
    </row>
    <row r="2603" spans="1:6" ht="17.25" thickBot="1" x14ac:dyDescent="0.3">
      <c r="A2603" s="37"/>
      <c r="B2603" s="33" t="s">
        <v>34</v>
      </c>
      <c r="C2603" s="38">
        <f>IF(C2602="","",IF(AND(MONTH(C2602)&gt;=1,MONTH(C2602)&lt;=3),1,IF(AND(MONTH(C2602)&gt;=4,MONTH(C2602)&lt;=6),2,IF(AND(MONTH(C2602)&gt;=7,MONTH(C2602)&lt;=9),3,4))))</f>
        <v>2</v>
      </c>
      <c r="D2603" s="37"/>
      <c r="E2603" s="35" t="s">
        <v>35</v>
      </c>
      <c r="F2603" s="36" t="s">
        <v>36</v>
      </c>
    </row>
    <row r="2604" spans="1:6" ht="17.25" thickBot="1" x14ac:dyDescent="0.3">
      <c r="A2604" s="37"/>
      <c r="B2604" s="33" t="s">
        <v>37</v>
      </c>
      <c r="C2604" s="34">
        <v>45137</v>
      </c>
      <c r="D2604" s="37"/>
      <c r="E2604" s="35" t="s">
        <v>38</v>
      </c>
      <c r="F2604" s="36" t="s">
        <v>36</v>
      </c>
    </row>
    <row r="2605" spans="1:6" ht="17.25" thickBot="1" x14ac:dyDescent="0.3">
      <c r="A2605" s="37"/>
      <c r="B2605" s="33" t="s">
        <v>34</v>
      </c>
      <c r="C2605" s="38">
        <f>IF(C2604="","",IF(AND(MONTH(C2604)&gt;=1,MONTH(C2604)&lt;=3),1,IF(AND(MONTH(C2604)&gt;=4,MONTH(C2604)&lt;=6),2,IF(AND(MONTH(C2604)&gt;=7,MONTH(C2604)&lt;=9),3,4))))</f>
        <v>3</v>
      </c>
      <c r="D2605" s="37"/>
      <c r="E2605" s="35" t="s">
        <v>39</v>
      </c>
      <c r="F2605" s="36" t="s">
        <v>36</v>
      </c>
    </row>
    <row r="2606" spans="1:6" ht="17.25" thickBot="1" x14ac:dyDescent="0.3"/>
    <row r="2607" spans="1:6" ht="17.25" thickBot="1" x14ac:dyDescent="0.3">
      <c r="A2607" s="39" t="s">
        <v>40</v>
      </c>
      <c r="B2607" s="39" t="s">
        <v>41</v>
      </c>
      <c r="C2607" s="39" t="s">
        <v>42</v>
      </c>
      <c r="D2607" s="39" t="s">
        <v>43</v>
      </c>
      <c r="E2607" s="39" t="s">
        <v>44</v>
      </c>
      <c r="F2607" s="39" t="s">
        <v>45</v>
      </c>
    </row>
    <row r="2608" spans="1:6" x14ac:dyDescent="0.25">
      <c r="A2608" s="40" t="s">
        <v>574</v>
      </c>
      <c r="B2608" s="41" t="str">
        <f ca="1">IFERROR(INDEX(UNSPSCDes,MATCH(INDIRECT(ADDRESS(ROW(),COLUMN()-1,4)),UNSPSCCode,0)),IF(INDIRECT(ADDRESS(ROW(),COLUMN()-1,4))="31201528","Cinta de montaje",""))</f>
        <v>Cinta de montaje</v>
      </c>
      <c r="C2608" s="42" t="str">
        <f>IFERROR(VLOOKUP("UD",'[1]Informacion '!P:Q,2,FALSE),"")</f>
        <v>Unidad</v>
      </c>
      <c r="D2608" s="40">
        <v>1</v>
      </c>
      <c r="E2608" s="43">
        <v>1</v>
      </c>
      <c r="F2608" s="44">
        <f ca="1">INDIRECT(ADDRESS(ROW(),COLUMN()-2,4))*INDIRECT(ADDRESS(ROW(),COLUMN()-1,4))</f>
        <v>1</v>
      </c>
    </row>
    <row r="2609" spans="1:6" x14ac:dyDescent="0.25">
      <c r="A2609" s="40" t="s">
        <v>574</v>
      </c>
      <c r="B2609" s="41" t="str">
        <f ca="1">IFERROR(INDEX(UNSPSCDes,MATCH(INDIRECT(ADDRESS(ROW(),COLUMN()-1,4)),UNSPSCCode,0)),IF(INDIRECT(ADDRESS(ROW(),COLUMN()-1,4))="31201528","Cinta de montaje",""))</f>
        <v>Cinta de montaje</v>
      </c>
      <c r="C2609" s="42" t="str">
        <f>IFERROR(VLOOKUP("UD",'[1]Informacion '!P:Q,2,FALSE),"")</f>
        <v>Unidad</v>
      </c>
      <c r="D2609" s="40">
        <v>1</v>
      </c>
      <c r="E2609" s="43">
        <v>1</v>
      </c>
      <c r="F2609" s="44">
        <f ca="1">INDIRECT(ADDRESS(ROW(),COLUMN()-2,4))*INDIRECT(ADDRESS(ROW(),COLUMN()-1,4))</f>
        <v>1</v>
      </c>
    </row>
    <row r="2610" spans="1:6" x14ac:dyDescent="0.25">
      <c r="A2610" s="40" t="s">
        <v>575</v>
      </c>
      <c r="B2610" s="41" t="str">
        <f ca="1">IFERROR(INDEX(UNSPSCDes,MATCH(INDIRECT(ADDRESS(ROW(),COLUMN()-1,4)),UNSPSCCode,0)),IF(INDIRECT(ADDRESS(ROW(),COLUMN()-1,4))="31201525","Cinta de vinilo",""))</f>
        <v>Cinta de vinilo</v>
      </c>
      <c r="C2610" s="42" t="str">
        <f>IFERROR(VLOOKUP("UD",'[1]Informacion '!P:Q,2,FALSE),"")</f>
        <v>Unidad</v>
      </c>
      <c r="D2610" s="40">
        <v>1</v>
      </c>
      <c r="E2610" s="43">
        <v>1</v>
      </c>
      <c r="F2610" s="44">
        <f ca="1">INDIRECT(ADDRESS(ROW(),COLUMN()-2,4))*INDIRECT(ADDRESS(ROW(),COLUMN()-1,4))</f>
        <v>1</v>
      </c>
    </row>
    <row r="2611" spans="1:6" x14ac:dyDescent="0.25">
      <c r="A2611" s="40" t="s">
        <v>576</v>
      </c>
      <c r="B2611" s="41" t="str">
        <f ca="1">IFERROR(INDEX(UNSPSCDes,MATCH(INDIRECT(ADDRESS(ROW(),COLUMN()-1,4)),UNSPSCCode,0)),IF(INDIRECT(ADDRESS(ROW(),COLUMN()-1,4))="31201514","Cinta de sellado de hilo de poli tetrafluoretileno (ptfe)",""))</f>
        <v>Cinta de sellado de hilo de poli tetrafluoretileno (ptfe)</v>
      </c>
      <c r="C2611" s="42" t="str">
        <f>IFERROR(VLOOKUP("UD",'[1]Informacion '!P:Q,2,FALSE),"")</f>
        <v>Unidad</v>
      </c>
      <c r="D2611" s="40">
        <v>1</v>
      </c>
      <c r="E2611" s="43">
        <v>1</v>
      </c>
      <c r="F2611" s="44">
        <f ca="1">INDIRECT(ADDRESS(ROW(),COLUMN()-2,4))*INDIRECT(ADDRESS(ROW(),COLUMN()-1,4))</f>
        <v>1</v>
      </c>
    </row>
    <row r="2612" spans="1:6" x14ac:dyDescent="0.25">
      <c r="E2612" s="45" t="s">
        <v>47</v>
      </c>
      <c r="F2612" s="46">
        <f ca="1">SUM(Table216[MONTO TOTAL ESTIMADO])</f>
        <v>4</v>
      </c>
    </row>
    <row r="2613" spans="1:6" ht="17.25" thickBot="1" x14ac:dyDescent="0.3"/>
    <row r="2614" spans="1:6" ht="23.25" thickBot="1" x14ac:dyDescent="0.3">
      <c r="A2614" s="30" t="s">
        <v>18</v>
      </c>
      <c r="B2614" s="30" t="s">
        <v>19</v>
      </c>
      <c r="C2614" s="30" t="s">
        <v>20</v>
      </c>
      <c r="D2614" s="30" t="s">
        <v>21</v>
      </c>
      <c r="E2614" s="30" t="s">
        <v>22</v>
      </c>
      <c r="F2614" s="30" t="s">
        <v>23</v>
      </c>
    </row>
    <row r="2615" spans="1:6" ht="17.25" thickBot="1" x14ac:dyDescent="0.3">
      <c r="A2615" s="31" t="s">
        <v>266</v>
      </c>
      <c r="B2615" s="31" t="s">
        <v>266</v>
      </c>
      <c r="C2615" s="31" t="s">
        <v>92</v>
      </c>
      <c r="D2615" s="31" t="s">
        <v>27</v>
      </c>
      <c r="E2615" s="31" t="s">
        <v>58</v>
      </c>
      <c r="F2615" s="31"/>
    </row>
    <row r="2616" spans="1:6" ht="17.25" thickBot="1" x14ac:dyDescent="0.3">
      <c r="A2616" s="32" t="s">
        <v>29</v>
      </c>
      <c r="B2616" s="33" t="s">
        <v>30</v>
      </c>
      <c r="C2616" s="34">
        <v>45079</v>
      </c>
      <c r="D2616" s="32" t="s">
        <v>31</v>
      </c>
      <c r="E2616" s="35" t="s">
        <v>32</v>
      </c>
      <c r="F2616" s="36" t="s">
        <v>33</v>
      </c>
    </row>
    <row r="2617" spans="1:6" ht="17.25" thickBot="1" x14ac:dyDescent="0.3">
      <c r="A2617" s="37"/>
      <c r="B2617" s="33" t="s">
        <v>34</v>
      </c>
      <c r="C2617" s="38">
        <f>IF(C2616="","",IF(AND(MONTH(C2616)&gt;=1,MONTH(C2616)&lt;=3),1,IF(AND(MONTH(C2616)&gt;=4,MONTH(C2616)&lt;=6),2,IF(AND(MONTH(C2616)&gt;=7,MONTH(C2616)&lt;=9),3,4))))</f>
        <v>2</v>
      </c>
      <c r="D2617" s="37"/>
      <c r="E2617" s="35" t="s">
        <v>35</v>
      </c>
      <c r="F2617" s="36" t="s">
        <v>36</v>
      </c>
    </row>
    <row r="2618" spans="1:6" ht="17.25" thickBot="1" x14ac:dyDescent="0.3">
      <c r="A2618" s="37"/>
      <c r="B2618" s="33" t="s">
        <v>37</v>
      </c>
      <c r="C2618" s="34">
        <v>45138</v>
      </c>
      <c r="D2618" s="37"/>
      <c r="E2618" s="35" t="s">
        <v>38</v>
      </c>
      <c r="F2618" s="36" t="s">
        <v>36</v>
      </c>
    </row>
    <row r="2619" spans="1:6" ht="17.25" thickBot="1" x14ac:dyDescent="0.3">
      <c r="A2619" s="37"/>
      <c r="B2619" s="33" t="s">
        <v>34</v>
      </c>
      <c r="C2619" s="38">
        <f>IF(C2618="","",IF(AND(MONTH(C2618)&gt;=1,MONTH(C2618)&lt;=3),1,IF(AND(MONTH(C2618)&gt;=4,MONTH(C2618)&lt;=6),2,IF(AND(MONTH(C2618)&gt;=7,MONTH(C2618)&lt;=9),3,4))))</f>
        <v>3</v>
      </c>
      <c r="D2619" s="37"/>
      <c r="E2619" s="35" t="s">
        <v>39</v>
      </c>
      <c r="F2619" s="36" t="s">
        <v>36</v>
      </c>
    </row>
    <row r="2620" spans="1:6" ht="17.25" thickBot="1" x14ac:dyDescent="0.3"/>
    <row r="2621" spans="1:6" ht="17.25" thickBot="1" x14ac:dyDescent="0.3">
      <c r="A2621" s="39" t="s">
        <v>40</v>
      </c>
      <c r="B2621" s="39" t="s">
        <v>41</v>
      </c>
      <c r="C2621" s="39" t="s">
        <v>42</v>
      </c>
      <c r="D2621" s="39" t="s">
        <v>43</v>
      </c>
      <c r="E2621" s="39" t="s">
        <v>44</v>
      </c>
      <c r="F2621" s="39" t="s">
        <v>45</v>
      </c>
    </row>
    <row r="2622" spans="1:6" x14ac:dyDescent="0.25">
      <c r="A2622" s="40" t="s">
        <v>272</v>
      </c>
      <c r="B2622" s="41" t="str">
        <f ca="1">IFERROR(INDEX(UNSPSCDes,MATCH(INDIRECT(ADDRESS(ROW(),COLUMN()-1,4)),UNSPSCCode,0)),IF(INDIRECT(ADDRESS(ROW(),COLUMN()-1,4))="53131608","Jabones",""))</f>
        <v>Jabones</v>
      </c>
      <c r="C2622" s="42" t="str">
        <f>IFERROR(VLOOKUP("UD",'[1]Informacion '!P:Q,2,FALSE),"")</f>
        <v>Unidad</v>
      </c>
      <c r="D2622" s="40">
        <v>1</v>
      </c>
      <c r="E2622" s="43">
        <v>1</v>
      </c>
      <c r="F2622" s="44">
        <f ca="1">INDIRECT(ADDRESS(ROW(),COLUMN()-2,4))*INDIRECT(ADDRESS(ROW(),COLUMN()-1,4))</f>
        <v>1</v>
      </c>
    </row>
    <row r="2623" spans="1:6" x14ac:dyDescent="0.25">
      <c r="E2623" s="45" t="s">
        <v>47</v>
      </c>
      <c r="F2623" s="46">
        <f ca="1">SUM(Table217[MONTO TOTAL ESTIMADO])</f>
        <v>1</v>
      </c>
    </row>
    <row r="2624" spans="1:6" ht="17.25" thickBot="1" x14ac:dyDescent="0.3"/>
    <row r="2625" spans="1:6" ht="23.25" thickBot="1" x14ac:dyDescent="0.3">
      <c r="A2625" s="30" t="s">
        <v>18</v>
      </c>
      <c r="B2625" s="30" t="s">
        <v>19</v>
      </c>
      <c r="C2625" s="30" t="s">
        <v>20</v>
      </c>
      <c r="D2625" s="30" t="s">
        <v>21</v>
      </c>
      <c r="E2625" s="30" t="s">
        <v>22</v>
      </c>
      <c r="F2625" s="30" t="s">
        <v>23</v>
      </c>
    </row>
    <row r="2626" spans="1:6" ht="17.25" thickBot="1" x14ac:dyDescent="0.3">
      <c r="A2626" s="31" t="s">
        <v>337</v>
      </c>
      <c r="B2626" s="31" t="s">
        <v>337</v>
      </c>
      <c r="C2626" s="31" t="s">
        <v>92</v>
      </c>
      <c r="D2626" s="31" t="s">
        <v>27</v>
      </c>
      <c r="E2626" s="31" t="s">
        <v>58</v>
      </c>
      <c r="F2626" s="31"/>
    </row>
    <row r="2627" spans="1:6" ht="17.25" thickBot="1" x14ac:dyDescent="0.3">
      <c r="A2627" s="32" t="s">
        <v>29</v>
      </c>
      <c r="B2627" s="33" t="s">
        <v>30</v>
      </c>
      <c r="C2627" s="34">
        <v>45017</v>
      </c>
      <c r="D2627" s="32" t="s">
        <v>31</v>
      </c>
      <c r="E2627" s="35" t="s">
        <v>32</v>
      </c>
      <c r="F2627" s="36" t="s">
        <v>33</v>
      </c>
    </row>
    <row r="2628" spans="1:6" ht="17.25" thickBot="1" x14ac:dyDescent="0.3">
      <c r="A2628" s="37"/>
      <c r="B2628" s="33" t="s">
        <v>34</v>
      </c>
      <c r="C2628" s="38">
        <f>IF(C2627="","",IF(AND(MONTH(C2627)&gt;=1,MONTH(C2627)&lt;=3),1,IF(AND(MONTH(C2627)&gt;=4,MONTH(C2627)&lt;=6),2,IF(AND(MONTH(C2627)&gt;=7,MONTH(C2627)&lt;=9),3,4))))</f>
        <v>2</v>
      </c>
      <c r="D2628" s="37"/>
      <c r="E2628" s="35" t="s">
        <v>35</v>
      </c>
      <c r="F2628" s="36" t="s">
        <v>36</v>
      </c>
    </row>
    <row r="2629" spans="1:6" ht="17.25" thickBot="1" x14ac:dyDescent="0.3">
      <c r="A2629" s="37"/>
      <c r="B2629" s="33" t="s">
        <v>37</v>
      </c>
      <c r="C2629" s="34">
        <v>45107</v>
      </c>
      <c r="D2629" s="37"/>
      <c r="E2629" s="35" t="s">
        <v>38</v>
      </c>
      <c r="F2629" s="36" t="s">
        <v>36</v>
      </c>
    </row>
    <row r="2630" spans="1:6" ht="17.25" thickBot="1" x14ac:dyDescent="0.3">
      <c r="A2630" s="37"/>
      <c r="B2630" s="33" t="s">
        <v>34</v>
      </c>
      <c r="C2630" s="38">
        <f>IF(C2629="","",IF(AND(MONTH(C2629)&gt;=1,MONTH(C2629)&lt;=3),1,IF(AND(MONTH(C2629)&gt;=4,MONTH(C2629)&lt;=6),2,IF(AND(MONTH(C2629)&gt;=7,MONTH(C2629)&lt;=9),3,4))))</f>
        <v>2</v>
      </c>
      <c r="D2630" s="37"/>
      <c r="E2630" s="35" t="s">
        <v>39</v>
      </c>
      <c r="F2630" s="36" t="s">
        <v>36</v>
      </c>
    </row>
    <row r="2631" spans="1:6" ht="17.25" thickBot="1" x14ac:dyDescent="0.3"/>
    <row r="2632" spans="1:6" ht="17.25" thickBot="1" x14ac:dyDescent="0.3">
      <c r="A2632" s="39" t="s">
        <v>40</v>
      </c>
      <c r="B2632" s="39" t="s">
        <v>41</v>
      </c>
      <c r="C2632" s="39" t="s">
        <v>42</v>
      </c>
      <c r="D2632" s="39" t="s">
        <v>43</v>
      </c>
      <c r="E2632" s="39" t="s">
        <v>44</v>
      </c>
      <c r="F2632" s="39" t="s">
        <v>45</v>
      </c>
    </row>
    <row r="2633" spans="1:6" x14ac:dyDescent="0.25">
      <c r="A2633" s="40" t="s">
        <v>577</v>
      </c>
      <c r="B2633" s="41" t="str">
        <f ca="1">IFERROR(INDEX(UNSPSCDes,MATCH(INDIRECT(ADDRESS(ROW(),COLUMN()-1,4)),UNSPSCCode,0)),IF(INDIRECT(ADDRESS(ROW(),COLUMN()-1,4))="52151502","Platos desechables para uso doméstico",""))</f>
        <v>Platos desechables para uso doméstico</v>
      </c>
      <c r="C2633" s="42" t="str">
        <f>IFERROR(VLOOKUP("UD",'[1]Informacion '!P:Q,2,FALSE),"")</f>
        <v>Unidad</v>
      </c>
      <c r="D2633" s="40">
        <v>1</v>
      </c>
      <c r="E2633" s="43">
        <v>1000</v>
      </c>
      <c r="F2633" s="44">
        <f ca="1">INDIRECT(ADDRESS(ROW(),COLUMN()-2,4))*INDIRECT(ADDRESS(ROW(),COLUMN()-1,4))</f>
        <v>1000</v>
      </c>
    </row>
    <row r="2634" spans="1:6" x14ac:dyDescent="0.25">
      <c r="A2634" s="40" t="s">
        <v>578</v>
      </c>
      <c r="B2634" s="41" t="str">
        <f ca="1">IFERROR(INDEX(UNSPSCDes,MATCH(INDIRECT(ADDRESS(ROW(),COLUMN()-1,4)),UNSPSCCode,0)),IF(INDIRECT(ADDRESS(ROW(),COLUMN()-1,4))="52151644","Rociadores de rocío o de gatillo para uso doméstico",""))</f>
        <v>Rociadores de rocío o de gatillo para uso doméstico</v>
      </c>
      <c r="C2634" s="42" t="str">
        <f>IFERROR(VLOOKUP("UD",'[1]Informacion '!P:Q,2,FALSE),"")</f>
        <v>Unidad</v>
      </c>
      <c r="D2634" s="40">
        <v>1</v>
      </c>
      <c r="E2634" s="43">
        <v>1000</v>
      </c>
      <c r="F2634" s="44">
        <f ca="1">INDIRECT(ADDRESS(ROW(),COLUMN()-2,4))*INDIRECT(ADDRESS(ROW(),COLUMN()-1,4))</f>
        <v>1000</v>
      </c>
    </row>
    <row r="2635" spans="1:6" x14ac:dyDescent="0.25">
      <c r="A2635" s="40">
        <v>48101907</v>
      </c>
      <c r="B2635" s="41" t="str">
        <f ca="1">IFERROR(INDEX(UNSPSCDes,MATCH(INDIRECT(ADDRESS(ROW(),COLUMN()-1,4)),UNSPSCCode,0)),IF(INDIRECT(ADDRESS(ROW(),COLUMN()-1,4))="52151644","Rociadores de rocío o de gatillo para uso doméstico",""))</f>
        <v>Jarras para servicio de comidas</v>
      </c>
      <c r="C2635" s="42" t="str">
        <f>IFERROR(VLOOKUP("UD",'[1]Informacion '!P:Q,2,FALSE),"")</f>
        <v>Unidad</v>
      </c>
      <c r="D2635" s="40">
        <v>5</v>
      </c>
      <c r="E2635" s="43">
        <v>200</v>
      </c>
      <c r="F2635" s="44">
        <f ca="1">INDIRECT(ADDRESS(ROW(),COLUMN()-2,4))*INDIRECT(ADDRESS(ROW(),COLUMN()-1,4))</f>
        <v>1000</v>
      </c>
    </row>
    <row r="2636" spans="1:6" x14ac:dyDescent="0.25">
      <c r="A2636" s="40">
        <v>52152010</v>
      </c>
      <c r="B2636" s="41" t="str">
        <f ca="1">IFERROR(INDEX(UNSPSCDes,MATCH(INDIRECT(ADDRESS(ROW(),COLUMN()-1,4)),UNSPSCCode,0)),IF(INDIRECT(ADDRESS(ROW(),COLUMN()-1,4))="52151644","Rociadores de rocío o de gatillo para uso doméstico",""))</f>
        <v>Frascos al vacío para uso doméstico</v>
      </c>
      <c r="C2636" s="42" t="str">
        <f>IFERROR(VLOOKUP("UD",'[1]Informacion '!P:Q,2,FALSE),"")</f>
        <v>Unidad</v>
      </c>
      <c r="D2636" s="40">
        <v>20</v>
      </c>
      <c r="E2636" s="43">
        <v>400</v>
      </c>
      <c r="F2636" s="44">
        <f ca="1">INDIRECT(ADDRESS(ROW(),COLUMN()-2,4))*INDIRECT(ADDRESS(ROW(),COLUMN()-1,4))</f>
        <v>8000</v>
      </c>
    </row>
    <row r="2637" spans="1:6" x14ac:dyDescent="0.25">
      <c r="A2637" s="40">
        <v>52152008</v>
      </c>
      <c r="B2637" s="41" t="str">
        <f ca="1">IFERROR(INDEX(UNSPSCDes,MATCH(INDIRECT(ADDRESS(ROW(),COLUMN()-1,4)),UNSPSCCode,0)),IF(INDIRECT(ADDRESS(ROW(),COLUMN()-1,4))="52151644","Rociadores de rocío o de gatillo para uso doméstico",""))</f>
        <v>Teteras o cafeteras para uso doméstico</v>
      </c>
      <c r="C2637" s="42" t="str">
        <f>IFERROR(VLOOKUP("UD",'[1]Informacion '!P:Q,2,FALSE),"")</f>
        <v>Unidad</v>
      </c>
      <c r="D2637" s="40">
        <v>20</v>
      </c>
      <c r="E2637" s="43">
        <v>200</v>
      </c>
      <c r="F2637" s="44">
        <f ca="1">INDIRECT(ADDRESS(ROW(),COLUMN()-2,4))*INDIRECT(ADDRESS(ROW(),COLUMN()-1,4))</f>
        <v>4000</v>
      </c>
    </row>
    <row r="2638" spans="1:6" x14ac:dyDescent="0.25">
      <c r="E2638" s="45" t="s">
        <v>47</v>
      </c>
      <c r="F2638" s="46">
        <f ca="1">SUM(Table218[MONTO TOTAL ESTIMADO])</f>
        <v>15000</v>
      </c>
    </row>
    <row r="2639" spans="1:6" ht="17.25" thickBot="1" x14ac:dyDescent="0.3"/>
    <row r="2640" spans="1:6" ht="23.25" thickBot="1" x14ac:dyDescent="0.3">
      <c r="A2640" s="30" t="s">
        <v>18</v>
      </c>
      <c r="B2640" s="30" t="s">
        <v>19</v>
      </c>
      <c r="C2640" s="30" t="s">
        <v>20</v>
      </c>
      <c r="D2640" s="30" t="s">
        <v>21</v>
      </c>
      <c r="E2640" s="30" t="s">
        <v>22</v>
      </c>
      <c r="F2640" s="30" t="s">
        <v>23</v>
      </c>
    </row>
    <row r="2641" spans="1:6" ht="17.25" thickBot="1" x14ac:dyDescent="0.3">
      <c r="A2641" s="31" t="s">
        <v>579</v>
      </c>
      <c r="B2641" s="31" t="s">
        <v>579</v>
      </c>
      <c r="C2641" s="31" t="s">
        <v>92</v>
      </c>
      <c r="D2641" s="31" t="s">
        <v>50</v>
      </c>
      <c r="E2641" s="31" t="s">
        <v>58</v>
      </c>
      <c r="F2641" s="31"/>
    </row>
    <row r="2642" spans="1:6" ht="17.25" thickBot="1" x14ac:dyDescent="0.3">
      <c r="A2642" s="32" t="s">
        <v>29</v>
      </c>
      <c r="B2642" s="33" t="s">
        <v>30</v>
      </c>
      <c r="C2642" s="34">
        <v>45080</v>
      </c>
      <c r="D2642" s="32" t="s">
        <v>31</v>
      </c>
      <c r="E2642" s="35" t="s">
        <v>32</v>
      </c>
      <c r="F2642" s="36" t="s">
        <v>33</v>
      </c>
    </row>
    <row r="2643" spans="1:6" ht="17.25" thickBot="1" x14ac:dyDescent="0.3">
      <c r="A2643" s="37"/>
      <c r="B2643" s="33" t="s">
        <v>34</v>
      </c>
      <c r="C2643" s="38">
        <f>IF(C2642="","",IF(AND(MONTH(C2642)&gt;=1,MONTH(C2642)&lt;=3),1,IF(AND(MONTH(C2642)&gt;=4,MONTH(C2642)&lt;=6),2,IF(AND(MONTH(C2642)&gt;=7,MONTH(C2642)&lt;=9),3,4))))</f>
        <v>2</v>
      </c>
      <c r="D2643" s="37"/>
      <c r="E2643" s="35" t="s">
        <v>35</v>
      </c>
      <c r="F2643" s="36" t="s">
        <v>36</v>
      </c>
    </row>
    <row r="2644" spans="1:6" ht="17.25" thickBot="1" x14ac:dyDescent="0.3">
      <c r="A2644" s="37"/>
      <c r="B2644" s="33" t="s">
        <v>37</v>
      </c>
      <c r="C2644" s="34">
        <v>45169</v>
      </c>
      <c r="D2644" s="37"/>
      <c r="E2644" s="35" t="s">
        <v>38</v>
      </c>
      <c r="F2644" s="36" t="s">
        <v>36</v>
      </c>
    </row>
    <row r="2645" spans="1:6" ht="17.25" thickBot="1" x14ac:dyDescent="0.3">
      <c r="A2645" s="37"/>
      <c r="B2645" s="33" t="s">
        <v>34</v>
      </c>
      <c r="C2645" s="38">
        <f>IF(C2644="","",IF(AND(MONTH(C2644)&gt;=1,MONTH(C2644)&lt;=3),1,IF(AND(MONTH(C2644)&gt;=4,MONTH(C2644)&lt;=6),2,IF(AND(MONTH(C2644)&gt;=7,MONTH(C2644)&lt;=9),3,4))))</f>
        <v>3</v>
      </c>
      <c r="D2645" s="37"/>
      <c r="E2645" s="35" t="s">
        <v>39</v>
      </c>
      <c r="F2645" s="36" t="s">
        <v>36</v>
      </c>
    </row>
    <row r="2646" spans="1:6" ht="17.25" thickBot="1" x14ac:dyDescent="0.3"/>
    <row r="2647" spans="1:6" ht="17.25" thickBot="1" x14ac:dyDescent="0.3">
      <c r="A2647" s="39" t="s">
        <v>40</v>
      </c>
      <c r="B2647" s="39" t="s">
        <v>41</v>
      </c>
      <c r="C2647" s="39" t="s">
        <v>42</v>
      </c>
      <c r="D2647" s="39" t="s">
        <v>43</v>
      </c>
      <c r="E2647" s="39" t="s">
        <v>44</v>
      </c>
      <c r="F2647" s="39" t="s">
        <v>45</v>
      </c>
    </row>
    <row r="2648" spans="1:6" x14ac:dyDescent="0.25">
      <c r="A2648" s="40" t="s">
        <v>580</v>
      </c>
      <c r="B2648" s="41" t="str">
        <f ca="1">IFERROR(INDEX(UNSPSCDes,MATCH(INDIRECT(ADDRESS(ROW(),COLUMN()-1,4)),UNSPSCCode,0)),IF(INDIRECT(ADDRESS(ROW(),COLUMN()-1,4))="24101510","Contenedor de basura plástico",""))</f>
        <v>Contenedor de basura plástico</v>
      </c>
      <c r="C2648" s="42" t="str">
        <f>IFERROR(VLOOKUP("UD",'[1]Informacion '!P:Q,2,FALSE),"")</f>
        <v>Unidad</v>
      </c>
      <c r="D2648" s="40">
        <v>1</v>
      </c>
      <c r="E2648" s="43">
        <v>1</v>
      </c>
      <c r="F2648" s="44">
        <f ca="1">INDIRECT(ADDRESS(ROW(),COLUMN()-2,4))*INDIRECT(ADDRESS(ROW(),COLUMN()-1,4))</f>
        <v>1</v>
      </c>
    </row>
    <row r="2649" spans="1:6" x14ac:dyDescent="0.25">
      <c r="E2649" s="45" t="s">
        <v>47</v>
      </c>
      <c r="F2649" s="46">
        <f ca="1">SUM(Table219[MONTO TOTAL ESTIMADO])</f>
        <v>1</v>
      </c>
    </row>
    <row r="2650" spans="1:6" ht="17.25" thickBot="1" x14ac:dyDescent="0.3"/>
    <row r="2651" spans="1:6" ht="23.25" thickBot="1" x14ac:dyDescent="0.3">
      <c r="A2651" s="30" t="s">
        <v>18</v>
      </c>
      <c r="B2651" s="30" t="s">
        <v>19</v>
      </c>
      <c r="C2651" s="30" t="s">
        <v>20</v>
      </c>
      <c r="D2651" s="30" t="s">
        <v>21</v>
      </c>
      <c r="E2651" s="30" t="s">
        <v>22</v>
      </c>
      <c r="F2651" s="30" t="s">
        <v>23</v>
      </c>
    </row>
    <row r="2652" spans="1:6" ht="17.25" thickBot="1" x14ac:dyDescent="0.3">
      <c r="A2652" s="31" t="s">
        <v>581</v>
      </c>
      <c r="B2652" s="31" t="s">
        <v>582</v>
      </c>
      <c r="C2652" s="31" t="s">
        <v>92</v>
      </c>
      <c r="D2652" s="31" t="s">
        <v>27</v>
      </c>
      <c r="E2652" s="31" t="s">
        <v>58</v>
      </c>
      <c r="F2652" s="31"/>
    </row>
    <row r="2653" spans="1:6" ht="17.25" thickBot="1" x14ac:dyDescent="0.3">
      <c r="A2653" s="32" t="s">
        <v>29</v>
      </c>
      <c r="B2653" s="33" t="s">
        <v>30</v>
      </c>
      <c r="C2653" s="34">
        <v>45088</v>
      </c>
      <c r="D2653" s="32" t="s">
        <v>31</v>
      </c>
      <c r="E2653" s="35" t="s">
        <v>32</v>
      </c>
      <c r="F2653" s="36" t="s">
        <v>33</v>
      </c>
    </row>
    <row r="2654" spans="1:6" ht="17.25" thickBot="1" x14ac:dyDescent="0.3">
      <c r="A2654" s="37"/>
      <c r="B2654" s="33" t="s">
        <v>34</v>
      </c>
      <c r="C2654" s="38">
        <f>IF(C2653="","",IF(AND(MONTH(C2653)&gt;=1,MONTH(C2653)&lt;=3),1,IF(AND(MONTH(C2653)&gt;=4,MONTH(C2653)&lt;=6),2,IF(AND(MONTH(C2653)&gt;=7,MONTH(C2653)&lt;=9),3,4))))</f>
        <v>2</v>
      </c>
      <c r="D2654" s="37"/>
      <c r="E2654" s="35" t="s">
        <v>35</v>
      </c>
      <c r="F2654" s="36" t="s">
        <v>36</v>
      </c>
    </row>
    <row r="2655" spans="1:6" ht="17.25" thickBot="1" x14ac:dyDescent="0.3">
      <c r="A2655" s="37"/>
      <c r="B2655" s="33" t="s">
        <v>37</v>
      </c>
      <c r="C2655" s="34">
        <v>45169</v>
      </c>
      <c r="D2655" s="37"/>
      <c r="E2655" s="35" t="s">
        <v>38</v>
      </c>
      <c r="F2655" s="36" t="s">
        <v>36</v>
      </c>
    </row>
    <row r="2656" spans="1:6" ht="17.25" thickBot="1" x14ac:dyDescent="0.3">
      <c r="A2656" s="37"/>
      <c r="B2656" s="33" t="s">
        <v>34</v>
      </c>
      <c r="C2656" s="38">
        <f>IF(C2655="","",IF(AND(MONTH(C2655)&gt;=1,MONTH(C2655)&lt;=3),1,IF(AND(MONTH(C2655)&gt;=4,MONTH(C2655)&lt;=6),2,IF(AND(MONTH(C2655)&gt;=7,MONTH(C2655)&lt;=9),3,4))))</f>
        <v>3</v>
      </c>
      <c r="D2656" s="37"/>
      <c r="E2656" s="35" t="s">
        <v>39</v>
      </c>
      <c r="F2656" s="36" t="s">
        <v>36</v>
      </c>
    </row>
    <row r="2657" spans="1:6" ht="17.25" thickBot="1" x14ac:dyDescent="0.3"/>
    <row r="2658" spans="1:6" ht="17.25" thickBot="1" x14ac:dyDescent="0.3">
      <c r="A2658" s="39" t="s">
        <v>40</v>
      </c>
      <c r="B2658" s="39" t="s">
        <v>41</v>
      </c>
      <c r="C2658" s="39" t="s">
        <v>42</v>
      </c>
      <c r="D2658" s="39" t="s">
        <v>43</v>
      </c>
      <c r="E2658" s="39" t="s">
        <v>44</v>
      </c>
      <c r="F2658" s="39" t="s">
        <v>45</v>
      </c>
    </row>
    <row r="2659" spans="1:6" x14ac:dyDescent="0.25">
      <c r="A2659" s="40" t="s">
        <v>583</v>
      </c>
      <c r="B2659" s="41" t="str">
        <f ca="1">IFERROR(INDEX(UNSPSCDes,MATCH(INDIRECT(ADDRESS(ROW(),COLUMN()-1,4)),UNSPSCCode,0)),IF(INDIRECT(ADDRESS(ROW(),COLUMN()-1,4))="41111903","Detectores de metales",""))</f>
        <v>Detectores de metales</v>
      </c>
      <c r="C2659" s="42" t="str">
        <f>IFERROR(VLOOKUP("UD",'[1]Informacion '!P:Q,2,FALSE),"")</f>
        <v>Unidad</v>
      </c>
      <c r="D2659" s="40">
        <v>1</v>
      </c>
      <c r="E2659" s="43">
        <v>1</v>
      </c>
      <c r="F2659" s="44">
        <f ca="1">INDIRECT(ADDRESS(ROW(),COLUMN()-2,4))*INDIRECT(ADDRESS(ROW(),COLUMN()-1,4))</f>
        <v>1</v>
      </c>
    </row>
    <row r="2660" spans="1:6" x14ac:dyDescent="0.25">
      <c r="E2660" s="45" t="s">
        <v>47</v>
      </c>
      <c r="F2660" s="46">
        <f ca="1">SUM(Table221[MONTO TOTAL ESTIMADO])</f>
        <v>1</v>
      </c>
    </row>
    <row r="2661" spans="1:6" ht="17.25" thickBot="1" x14ac:dyDescent="0.3"/>
    <row r="2662" spans="1:6" ht="23.25" thickBot="1" x14ac:dyDescent="0.3">
      <c r="A2662" s="30" t="s">
        <v>18</v>
      </c>
      <c r="B2662" s="30" t="s">
        <v>19</v>
      </c>
      <c r="C2662" s="30" t="s">
        <v>20</v>
      </c>
      <c r="D2662" s="30" t="s">
        <v>21</v>
      </c>
      <c r="E2662" s="30" t="s">
        <v>22</v>
      </c>
      <c r="F2662" s="30" t="s">
        <v>23</v>
      </c>
    </row>
    <row r="2663" spans="1:6" ht="17.25" thickBot="1" x14ac:dyDescent="0.3">
      <c r="A2663" s="31" t="s">
        <v>584</v>
      </c>
      <c r="B2663" s="31" t="s">
        <v>585</v>
      </c>
      <c r="C2663" s="31" t="s">
        <v>92</v>
      </c>
      <c r="D2663" s="31" t="s">
        <v>27</v>
      </c>
      <c r="E2663" s="31" t="s">
        <v>58</v>
      </c>
      <c r="F2663" s="31"/>
    </row>
    <row r="2664" spans="1:6" ht="17.25" thickBot="1" x14ac:dyDescent="0.3">
      <c r="A2664" s="32" t="s">
        <v>29</v>
      </c>
      <c r="B2664" s="33" t="s">
        <v>30</v>
      </c>
      <c r="C2664" s="34">
        <v>45091</v>
      </c>
      <c r="D2664" s="32" t="s">
        <v>31</v>
      </c>
      <c r="E2664" s="35" t="s">
        <v>32</v>
      </c>
      <c r="F2664" s="36" t="s">
        <v>33</v>
      </c>
    </row>
    <row r="2665" spans="1:6" ht="17.25" thickBot="1" x14ac:dyDescent="0.3">
      <c r="A2665" s="37"/>
      <c r="B2665" s="33" t="s">
        <v>34</v>
      </c>
      <c r="C2665" s="38">
        <f>IF(C2664="","",IF(AND(MONTH(C2664)&gt;=1,MONTH(C2664)&lt;=3),1,IF(AND(MONTH(C2664)&gt;=4,MONTH(C2664)&lt;=6),2,IF(AND(MONTH(C2664)&gt;=7,MONTH(C2664)&lt;=9),3,4))))</f>
        <v>2</v>
      </c>
      <c r="D2665" s="37"/>
      <c r="E2665" s="35" t="s">
        <v>35</v>
      </c>
      <c r="F2665" s="36" t="s">
        <v>36</v>
      </c>
    </row>
    <row r="2666" spans="1:6" ht="17.25" thickBot="1" x14ac:dyDescent="0.3">
      <c r="A2666" s="37"/>
      <c r="B2666" s="33" t="s">
        <v>37</v>
      </c>
      <c r="C2666" s="34">
        <v>45169</v>
      </c>
      <c r="D2666" s="37"/>
      <c r="E2666" s="35" t="s">
        <v>38</v>
      </c>
      <c r="F2666" s="36" t="s">
        <v>36</v>
      </c>
    </row>
    <row r="2667" spans="1:6" ht="17.25" thickBot="1" x14ac:dyDescent="0.3">
      <c r="A2667" s="37"/>
      <c r="B2667" s="33" t="s">
        <v>34</v>
      </c>
      <c r="C2667" s="38">
        <f>IF(C2666="","",IF(AND(MONTH(C2666)&gt;=1,MONTH(C2666)&lt;=3),1,IF(AND(MONTH(C2666)&gt;=4,MONTH(C2666)&lt;=6),2,IF(AND(MONTH(C2666)&gt;=7,MONTH(C2666)&lt;=9),3,4))))</f>
        <v>3</v>
      </c>
      <c r="D2667" s="37"/>
      <c r="E2667" s="35" t="s">
        <v>39</v>
      </c>
      <c r="F2667" s="36" t="s">
        <v>36</v>
      </c>
    </row>
    <row r="2668" spans="1:6" ht="17.25" thickBot="1" x14ac:dyDescent="0.3"/>
    <row r="2669" spans="1:6" ht="17.25" thickBot="1" x14ac:dyDescent="0.3">
      <c r="A2669" s="39" t="s">
        <v>40</v>
      </c>
      <c r="B2669" s="39" t="s">
        <v>41</v>
      </c>
      <c r="C2669" s="39" t="s">
        <v>42</v>
      </c>
      <c r="D2669" s="39" t="s">
        <v>43</v>
      </c>
      <c r="E2669" s="39" t="s">
        <v>44</v>
      </c>
      <c r="F2669" s="39" t="s">
        <v>45</v>
      </c>
    </row>
    <row r="2670" spans="1:6" x14ac:dyDescent="0.25">
      <c r="A2670" s="40" t="s">
        <v>586</v>
      </c>
      <c r="B2670" s="41" t="str">
        <f ca="1">IFERROR(INDEX(UNSPSCDes,MATCH(INDIRECT(ADDRESS(ROW(),COLUMN()-1,4)),UNSPSCCode,0)),IF(INDIRECT(ADDRESS(ROW(),COLUMN()-1,4))="11101502","Lija o esmeril",""))</f>
        <v>Lija o esmeril</v>
      </c>
      <c r="C2670" s="42" t="str">
        <f>IFERROR(VLOOKUP("UD",'[1]Informacion '!P:Q,2,FALSE),"")</f>
        <v>Unidad</v>
      </c>
      <c r="D2670" s="40">
        <v>1</v>
      </c>
      <c r="E2670" s="43">
        <v>1</v>
      </c>
      <c r="F2670" s="44">
        <f ca="1">INDIRECT(ADDRESS(ROW(),COLUMN()-2,4))*INDIRECT(ADDRESS(ROW(),COLUMN()-1,4))</f>
        <v>1</v>
      </c>
    </row>
    <row r="2671" spans="1:6" x14ac:dyDescent="0.25">
      <c r="A2671" s="40" t="s">
        <v>587</v>
      </c>
      <c r="B2671" s="41" t="str">
        <f ca="1">IFERROR(INDEX(UNSPSCDes,MATCH(INDIRECT(ADDRESS(ROW(),COLUMN()-1,4)),UNSPSCCode,0)),IF(INDIRECT(ADDRESS(ROW(),COLUMN()-1,4))="31211908","Pistolas de pintar",""))</f>
        <v>Pistolas de pintar</v>
      </c>
      <c r="C2671" s="42" t="str">
        <f>IFERROR(VLOOKUP("UD",'[1]Informacion '!P:Q,2,FALSE),"")</f>
        <v>Unidad</v>
      </c>
      <c r="D2671" s="40">
        <v>1</v>
      </c>
      <c r="E2671" s="43">
        <v>1</v>
      </c>
      <c r="F2671" s="44">
        <f ca="1">INDIRECT(ADDRESS(ROW(),COLUMN()-2,4))*INDIRECT(ADDRESS(ROW(),COLUMN()-1,4))</f>
        <v>1</v>
      </c>
    </row>
    <row r="2672" spans="1:6" x14ac:dyDescent="0.25">
      <c r="E2672" s="45" t="s">
        <v>47</v>
      </c>
      <c r="F2672" s="46">
        <f ca="1">SUM(Table222[MONTO TOTAL ESTIMADO])</f>
        <v>2</v>
      </c>
    </row>
    <row r="2673" spans="1:6" ht="17.25" thickBot="1" x14ac:dyDescent="0.3"/>
    <row r="2674" spans="1:6" ht="23.25" thickBot="1" x14ac:dyDescent="0.3">
      <c r="A2674" s="30" t="s">
        <v>18</v>
      </c>
      <c r="B2674" s="30" t="s">
        <v>19</v>
      </c>
      <c r="C2674" s="30" t="s">
        <v>20</v>
      </c>
      <c r="D2674" s="30" t="s">
        <v>21</v>
      </c>
      <c r="E2674" s="30" t="s">
        <v>22</v>
      </c>
      <c r="F2674" s="30" t="s">
        <v>23</v>
      </c>
    </row>
    <row r="2675" spans="1:6" ht="17.25" thickBot="1" x14ac:dyDescent="0.3">
      <c r="A2675" s="31" t="s">
        <v>588</v>
      </c>
      <c r="B2675" s="31" t="s">
        <v>589</v>
      </c>
      <c r="C2675" s="31" t="s">
        <v>92</v>
      </c>
      <c r="D2675" s="31" t="s">
        <v>27</v>
      </c>
      <c r="E2675" s="31" t="s">
        <v>58</v>
      </c>
      <c r="F2675" s="31"/>
    </row>
    <row r="2676" spans="1:6" ht="17.25" thickBot="1" x14ac:dyDescent="0.3">
      <c r="A2676" s="32" t="s">
        <v>29</v>
      </c>
      <c r="B2676" s="33" t="s">
        <v>30</v>
      </c>
      <c r="C2676" s="34">
        <v>45091</v>
      </c>
      <c r="D2676" s="32" t="s">
        <v>31</v>
      </c>
      <c r="E2676" s="35" t="s">
        <v>32</v>
      </c>
      <c r="F2676" s="36" t="s">
        <v>33</v>
      </c>
    </row>
    <row r="2677" spans="1:6" ht="17.25" thickBot="1" x14ac:dyDescent="0.3">
      <c r="A2677" s="37"/>
      <c r="B2677" s="33" t="s">
        <v>34</v>
      </c>
      <c r="C2677" s="38">
        <f>IF(C2676="","",IF(AND(MONTH(C2676)&gt;=1,MONTH(C2676)&lt;=3),1,IF(AND(MONTH(C2676)&gt;=4,MONTH(C2676)&lt;=6),2,IF(AND(MONTH(C2676)&gt;=7,MONTH(C2676)&lt;=9),3,4))))</f>
        <v>2</v>
      </c>
      <c r="D2677" s="37"/>
      <c r="E2677" s="35" t="s">
        <v>35</v>
      </c>
      <c r="F2677" s="36" t="s">
        <v>36</v>
      </c>
    </row>
    <row r="2678" spans="1:6" ht="17.25" thickBot="1" x14ac:dyDescent="0.3">
      <c r="A2678" s="37"/>
      <c r="B2678" s="33" t="s">
        <v>37</v>
      </c>
      <c r="C2678" s="34">
        <v>45169</v>
      </c>
      <c r="D2678" s="37"/>
      <c r="E2678" s="35" t="s">
        <v>38</v>
      </c>
      <c r="F2678" s="36" t="s">
        <v>36</v>
      </c>
    </row>
    <row r="2679" spans="1:6" ht="17.25" thickBot="1" x14ac:dyDescent="0.3">
      <c r="A2679" s="37"/>
      <c r="B2679" s="33" t="s">
        <v>34</v>
      </c>
      <c r="C2679" s="38">
        <f>IF(C2678="","",IF(AND(MONTH(C2678)&gt;=1,MONTH(C2678)&lt;=3),1,IF(AND(MONTH(C2678)&gt;=4,MONTH(C2678)&lt;=6),2,IF(AND(MONTH(C2678)&gt;=7,MONTH(C2678)&lt;=9),3,4))))</f>
        <v>3</v>
      </c>
      <c r="D2679" s="37"/>
      <c r="E2679" s="35" t="s">
        <v>39</v>
      </c>
      <c r="F2679" s="36" t="s">
        <v>36</v>
      </c>
    </row>
    <row r="2680" spans="1:6" ht="17.25" thickBot="1" x14ac:dyDescent="0.3"/>
    <row r="2681" spans="1:6" ht="17.25" thickBot="1" x14ac:dyDescent="0.3">
      <c r="A2681" s="39" t="s">
        <v>40</v>
      </c>
      <c r="B2681" s="39" t="s">
        <v>41</v>
      </c>
      <c r="C2681" s="39" t="s">
        <v>42</v>
      </c>
      <c r="D2681" s="39" t="s">
        <v>43</v>
      </c>
      <c r="E2681" s="39" t="s">
        <v>44</v>
      </c>
      <c r="F2681" s="39" t="s">
        <v>45</v>
      </c>
    </row>
    <row r="2682" spans="1:6" x14ac:dyDescent="0.25">
      <c r="A2682" s="40" t="s">
        <v>470</v>
      </c>
      <c r="B2682" s="41" t="str">
        <f ca="1">IFERROR(INDEX(UNSPSCDes,MATCH(INDIRECT(ADDRESS(ROW(),COLUMN()-1,4)),UNSPSCCode,0)),IF(INDIRECT(ADDRESS(ROW(),COLUMN()-1,4))="40151601","Compresores de aire",""))</f>
        <v>Compresores de aire</v>
      </c>
      <c r="C2682" s="42" t="str">
        <f>IFERROR(VLOOKUP("UD",'[1]Informacion '!P:Q,2,FALSE),"")</f>
        <v>Unidad</v>
      </c>
      <c r="D2682" s="40">
        <v>1</v>
      </c>
      <c r="E2682" s="43">
        <v>1</v>
      </c>
      <c r="F2682" s="44">
        <f ca="1">INDIRECT(ADDRESS(ROW(),COLUMN()-2,4))*INDIRECT(ADDRESS(ROW(),COLUMN()-1,4))</f>
        <v>1</v>
      </c>
    </row>
    <row r="2683" spans="1:6" x14ac:dyDescent="0.25">
      <c r="E2683" s="45" t="s">
        <v>47</v>
      </c>
      <c r="F2683" s="46">
        <f ca="1">SUM(Table223[MONTO TOTAL ESTIMADO])</f>
        <v>1</v>
      </c>
    </row>
    <row r="2684" spans="1:6" ht="17.25" thickBot="1" x14ac:dyDescent="0.3"/>
    <row r="2685" spans="1:6" ht="23.25" thickBot="1" x14ac:dyDescent="0.3">
      <c r="A2685" s="30" t="s">
        <v>18</v>
      </c>
      <c r="B2685" s="30" t="s">
        <v>19</v>
      </c>
      <c r="C2685" s="30" t="s">
        <v>20</v>
      </c>
      <c r="D2685" s="30" t="s">
        <v>21</v>
      </c>
      <c r="E2685" s="30" t="s">
        <v>22</v>
      </c>
      <c r="F2685" s="30" t="s">
        <v>23</v>
      </c>
    </row>
    <row r="2686" spans="1:6" ht="17.25" thickBot="1" x14ac:dyDescent="0.3">
      <c r="A2686" s="31" t="s">
        <v>485</v>
      </c>
      <c r="B2686" s="31" t="s">
        <v>590</v>
      </c>
      <c r="C2686" s="31" t="s">
        <v>92</v>
      </c>
      <c r="D2686" s="31" t="s">
        <v>27</v>
      </c>
      <c r="E2686" s="31" t="s">
        <v>58</v>
      </c>
      <c r="F2686" s="31"/>
    </row>
    <row r="2687" spans="1:6" ht="17.25" thickBot="1" x14ac:dyDescent="0.3">
      <c r="A2687" s="32" t="s">
        <v>29</v>
      </c>
      <c r="B2687" s="33" t="s">
        <v>30</v>
      </c>
      <c r="C2687" s="34">
        <v>45092</v>
      </c>
      <c r="D2687" s="32" t="s">
        <v>31</v>
      </c>
      <c r="E2687" s="35" t="s">
        <v>32</v>
      </c>
      <c r="F2687" s="36" t="s">
        <v>33</v>
      </c>
    </row>
    <row r="2688" spans="1:6" ht="17.25" thickBot="1" x14ac:dyDescent="0.3">
      <c r="A2688" s="37"/>
      <c r="B2688" s="33" t="s">
        <v>34</v>
      </c>
      <c r="C2688" s="38">
        <f>IF(C2687="","",IF(AND(MONTH(C2687)&gt;=1,MONTH(C2687)&lt;=3),1,IF(AND(MONTH(C2687)&gt;=4,MONTH(C2687)&lt;=6),2,IF(AND(MONTH(C2687)&gt;=7,MONTH(C2687)&lt;=9),3,4))))</f>
        <v>2</v>
      </c>
      <c r="D2688" s="37"/>
      <c r="E2688" s="35" t="s">
        <v>35</v>
      </c>
      <c r="F2688" s="36" t="s">
        <v>36</v>
      </c>
    </row>
    <row r="2689" spans="1:6" ht="17.25" thickBot="1" x14ac:dyDescent="0.3">
      <c r="A2689" s="37"/>
      <c r="B2689" s="33" t="s">
        <v>37</v>
      </c>
      <c r="C2689" s="34">
        <v>45138</v>
      </c>
      <c r="D2689" s="37"/>
      <c r="E2689" s="35" t="s">
        <v>38</v>
      </c>
      <c r="F2689" s="36" t="s">
        <v>36</v>
      </c>
    </row>
    <row r="2690" spans="1:6" ht="17.25" thickBot="1" x14ac:dyDescent="0.3">
      <c r="A2690" s="37"/>
      <c r="B2690" s="33" t="s">
        <v>34</v>
      </c>
      <c r="C2690" s="38">
        <f>IF(C2689="","",IF(AND(MONTH(C2689)&gt;=1,MONTH(C2689)&lt;=3),1,IF(AND(MONTH(C2689)&gt;=4,MONTH(C2689)&lt;=6),2,IF(AND(MONTH(C2689)&gt;=7,MONTH(C2689)&lt;=9),3,4))))</f>
        <v>3</v>
      </c>
      <c r="D2690" s="37"/>
      <c r="E2690" s="35" t="s">
        <v>39</v>
      </c>
      <c r="F2690" s="36" t="s">
        <v>36</v>
      </c>
    </row>
    <row r="2691" spans="1:6" ht="17.25" thickBot="1" x14ac:dyDescent="0.3"/>
    <row r="2692" spans="1:6" ht="17.25" thickBot="1" x14ac:dyDescent="0.3">
      <c r="A2692" s="39" t="s">
        <v>40</v>
      </c>
      <c r="B2692" s="39" t="s">
        <v>41</v>
      </c>
      <c r="C2692" s="39" t="s">
        <v>42</v>
      </c>
      <c r="D2692" s="39" t="s">
        <v>43</v>
      </c>
      <c r="E2692" s="39" t="s">
        <v>44</v>
      </c>
      <c r="F2692" s="39" t="s">
        <v>45</v>
      </c>
    </row>
    <row r="2693" spans="1:6" x14ac:dyDescent="0.25">
      <c r="A2693" s="40" t="s">
        <v>591</v>
      </c>
      <c r="B2693" s="41" t="str">
        <f ca="1">IFERROR(INDEX(UNSPSCDes,MATCH(INDIRECT(ADDRESS(ROW(),COLUMN()-1,4)),UNSPSCCode,0)),IF(INDIRECT(ADDRESS(ROW(),COLUMN()-1,4))="46151605","Detectores de armas o explosivos y suministros",""))</f>
        <v>Detectores de armas o explosivos y suministros</v>
      </c>
      <c r="C2693" s="42" t="str">
        <f>IFERROR(VLOOKUP("UD",'[1]Informacion '!P:Q,2,FALSE),"")</f>
        <v>Unidad</v>
      </c>
      <c r="D2693" s="40">
        <v>1</v>
      </c>
      <c r="E2693" s="43">
        <v>1</v>
      </c>
      <c r="F2693" s="44">
        <f ca="1">INDIRECT(ADDRESS(ROW(),COLUMN()-2,4))*INDIRECT(ADDRESS(ROW(),COLUMN()-1,4))</f>
        <v>1</v>
      </c>
    </row>
    <row r="2694" spans="1:6" x14ac:dyDescent="0.25">
      <c r="E2694" s="45" t="s">
        <v>47</v>
      </c>
      <c r="F2694" s="46">
        <f ca="1">SUM(Table224[MONTO TOTAL ESTIMADO])</f>
        <v>1</v>
      </c>
    </row>
    <row r="2695" spans="1:6" ht="17.25" thickBot="1" x14ac:dyDescent="0.3"/>
    <row r="2696" spans="1:6" ht="23.25" thickBot="1" x14ac:dyDescent="0.3">
      <c r="A2696" s="30" t="s">
        <v>18</v>
      </c>
      <c r="B2696" s="30" t="s">
        <v>19</v>
      </c>
      <c r="C2696" s="30" t="s">
        <v>20</v>
      </c>
      <c r="D2696" s="30" t="s">
        <v>21</v>
      </c>
      <c r="E2696" s="30" t="s">
        <v>22</v>
      </c>
      <c r="F2696" s="30" t="s">
        <v>23</v>
      </c>
    </row>
    <row r="2697" spans="1:6" ht="17.25" thickBot="1" x14ac:dyDescent="0.3">
      <c r="A2697" s="31" t="s">
        <v>592</v>
      </c>
      <c r="B2697" s="31" t="s">
        <v>592</v>
      </c>
      <c r="C2697" s="31" t="s">
        <v>26</v>
      </c>
      <c r="D2697" s="31" t="s">
        <v>27</v>
      </c>
      <c r="E2697" s="31" t="s">
        <v>58</v>
      </c>
      <c r="F2697" s="31"/>
    </row>
    <row r="2698" spans="1:6" ht="17.25" thickBot="1" x14ac:dyDescent="0.3">
      <c r="A2698" s="32" t="s">
        <v>29</v>
      </c>
      <c r="B2698" s="33" t="s">
        <v>30</v>
      </c>
      <c r="C2698" s="34">
        <v>45120</v>
      </c>
      <c r="D2698" s="32" t="s">
        <v>31</v>
      </c>
      <c r="E2698" s="35" t="s">
        <v>32</v>
      </c>
      <c r="F2698" s="36" t="s">
        <v>33</v>
      </c>
    </row>
    <row r="2699" spans="1:6" ht="17.25" thickBot="1" x14ac:dyDescent="0.3">
      <c r="A2699" s="37"/>
      <c r="B2699" s="33" t="s">
        <v>34</v>
      </c>
      <c r="C2699" s="38">
        <f>IF(C2698="","",IF(AND(MONTH(C2698)&gt;=1,MONTH(C2698)&lt;=3),1,IF(AND(MONTH(C2698)&gt;=4,MONTH(C2698)&lt;=6),2,IF(AND(MONTH(C2698)&gt;=7,MONTH(C2698)&lt;=9),3,4))))</f>
        <v>3</v>
      </c>
      <c r="D2699" s="37"/>
      <c r="E2699" s="35" t="s">
        <v>35</v>
      </c>
      <c r="F2699" s="36" t="s">
        <v>36</v>
      </c>
    </row>
    <row r="2700" spans="1:6" ht="17.25" thickBot="1" x14ac:dyDescent="0.3">
      <c r="A2700" s="37"/>
      <c r="B2700" s="33" t="s">
        <v>37</v>
      </c>
      <c r="C2700" s="34">
        <v>45199</v>
      </c>
      <c r="D2700" s="37"/>
      <c r="E2700" s="35" t="s">
        <v>38</v>
      </c>
      <c r="F2700" s="36" t="s">
        <v>36</v>
      </c>
    </row>
    <row r="2701" spans="1:6" ht="17.25" thickBot="1" x14ac:dyDescent="0.3">
      <c r="A2701" s="37"/>
      <c r="B2701" s="33" t="s">
        <v>34</v>
      </c>
      <c r="C2701" s="38">
        <f>IF(C2700="","",IF(AND(MONTH(C2700)&gt;=1,MONTH(C2700)&lt;=3),1,IF(AND(MONTH(C2700)&gt;=4,MONTH(C2700)&lt;=6),2,IF(AND(MONTH(C2700)&gt;=7,MONTH(C2700)&lt;=9),3,4))))</f>
        <v>3</v>
      </c>
      <c r="D2701" s="37"/>
      <c r="E2701" s="35" t="s">
        <v>39</v>
      </c>
      <c r="F2701" s="36" t="s">
        <v>36</v>
      </c>
    </row>
    <row r="2702" spans="1:6" ht="17.25" thickBot="1" x14ac:dyDescent="0.3"/>
    <row r="2703" spans="1:6" ht="17.25" thickBot="1" x14ac:dyDescent="0.3">
      <c r="A2703" s="39" t="s">
        <v>40</v>
      </c>
      <c r="B2703" s="39" t="s">
        <v>41</v>
      </c>
      <c r="C2703" s="39" t="s">
        <v>42</v>
      </c>
      <c r="D2703" s="39" t="s">
        <v>43</v>
      </c>
      <c r="E2703" s="39" t="s">
        <v>44</v>
      </c>
      <c r="F2703" s="39" t="s">
        <v>45</v>
      </c>
    </row>
    <row r="2704" spans="1:6" x14ac:dyDescent="0.25">
      <c r="A2704" s="40" t="s">
        <v>593</v>
      </c>
      <c r="B2704" s="41" t="str">
        <f ca="1">IFERROR(INDEX(UNSPSCDes,MATCH(INDIRECT(ADDRESS(ROW(),COLUMN()-1,4)),UNSPSCCode,0)),IF(INDIRECT(ADDRESS(ROW(),COLUMN()-1,4))="72101508","Servicio de limpieza de pisos",""))</f>
        <v>Servicio de limpieza de pisos</v>
      </c>
      <c r="C2704" s="42" t="str">
        <f>IFERROR(VLOOKUP("UD",'[1]Informacion '!P:Q,2,FALSE),"")</f>
        <v>Unidad</v>
      </c>
      <c r="D2704" s="40">
        <v>1</v>
      </c>
      <c r="E2704" s="43">
        <v>1</v>
      </c>
      <c r="F2704" s="44">
        <f ca="1">INDIRECT(ADDRESS(ROW(),COLUMN()-2,4))*INDIRECT(ADDRESS(ROW(),COLUMN()-1,4))</f>
        <v>1</v>
      </c>
    </row>
    <row r="2705" spans="1:6" x14ac:dyDescent="0.25">
      <c r="E2705" s="45" t="s">
        <v>47</v>
      </c>
      <c r="F2705" s="46">
        <f ca="1">SUM(Table225[MONTO TOTAL ESTIMADO])</f>
        <v>1</v>
      </c>
    </row>
    <row r="2706" spans="1:6" ht="17.25" thickBot="1" x14ac:dyDescent="0.3"/>
    <row r="2707" spans="1:6" ht="23.25" thickBot="1" x14ac:dyDescent="0.3">
      <c r="A2707" s="30" t="s">
        <v>18</v>
      </c>
      <c r="B2707" s="30" t="s">
        <v>19</v>
      </c>
      <c r="C2707" s="30" t="s">
        <v>20</v>
      </c>
      <c r="D2707" s="30" t="s">
        <v>21</v>
      </c>
      <c r="E2707" s="30" t="s">
        <v>22</v>
      </c>
      <c r="F2707" s="30" t="s">
        <v>23</v>
      </c>
    </row>
    <row r="2708" spans="1:6" ht="17.25" thickBot="1" x14ac:dyDescent="0.3">
      <c r="A2708" s="31" t="s">
        <v>594</v>
      </c>
      <c r="B2708" s="31" t="s">
        <v>594</v>
      </c>
      <c r="C2708" s="31" t="s">
        <v>92</v>
      </c>
      <c r="D2708" s="31" t="s">
        <v>27</v>
      </c>
      <c r="E2708" s="31" t="s">
        <v>58</v>
      </c>
      <c r="F2708" s="31"/>
    </row>
    <row r="2709" spans="1:6" ht="17.25" thickBot="1" x14ac:dyDescent="0.3">
      <c r="A2709" s="32" t="s">
        <v>29</v>
      </c>
      <c r="B2709" s="33" t="s">
        <v>30</v>
      </c>
      <c r="C2709" s="34">
        <v>45120</v>
      </c>
      <c r="D2709" s="32" t="s">
        <v>31</v>
      </c>
      <c r="E2709" s="35" t="s">
        <v>32</v>
      </c>
      <c r="F2709" s="36" t="s">
        <v>33</v>
      </c>
    </row>
    <row r="2710" spans="1:6" ht="17.25" thickBot="1" x14ac:dyDescent="0.3">
      <c r="A2710" s="37"/>
      <c r="B2710" s="33" t="s">
        <v>34</v>
      </c>
      <c r="C2710" s="38">
        <f>IF(C2709="","",IF(AND(MONTH(C2709)&gt;=1,MONTH(C2709)&lt;=3),1,IF(AND(MONTH(C2709)&gt;=4,MONTH(C2709)&lt;=6),2,IF(AND(MONTH(C2709)&gt;=7,MONTH(C2709)&lt;=9),3,4))))</f>
        <v>3</v>
      </c>
      <c r="D2710" s="37"/>
      <c r="E2710" s="35" t="s">
        <v>35</v>
      </c>
      <c r="F2710" s="36" t="s">
        <v>36</v>
      </c>
    </row>
    <row r="2711" spans="1:6" ht="17.25" thickBot="1" x14ac:dyDescent="0.3">
      <c r="A2711" s="37"/>
      <c r="B2711" s="33" t="s">
        <v>37</v>
      </c>
      <c r="C2711" s="34">
        <v>45169</v>
      </c>
      <c r="D2711" s="37"/>
      <c r="E2711" s="35" t="s">
        <v>38</v>
      </c>
      <c r="F2711" s="36" t="s">
        <v>36</v>
      </c>
    </row>
    <row r="2712" spans="1:6" ht="17.25" thickBot="1" x14ac:dyDescent="0.3">
      <c r="A2712" s="37"/>
      <c r="B2712" s="33" t="s">
        <v>34</v>
      </c>
      <c r="C2712" s="38">
        <f>IF(C2711="","",IF(AND(MONTH(C2711)&gt;=1,MONTH(C2711)&lt;=3),1,IF(AND(MONTH(C2711)&gt;=4,MONTH(C2711)&lt;=6),2,IF(AND(MONTH(C2711)&gt;=7,MONTH(C2711)&lt;=9),3,4))))</f>
        <v>3</v>
      </c>
      <c r="D2712" s="37"/>
      <c r="E2712" s="35" t="s">
        <v>39</v>
      </c>
      <c r="F2712" s="36" t="s">
        <v>36</v>
      </c>
    </row>
    <row r="2713" spans="1:6" ht="17.25" thickBot="1" x14ac:dyDescent="0.3"/>
    <row r="2714" spans="1:6" ht="17.25" thickBot="1" x14ac:dyDescent="0.3">
      <c r="A2714" s="39" t="s">
        <v>40</v>
      </c>
      <c r="B2714" s="39" t="s">
        <v>41</v>
      </c>
      <c r="C2714" s="39" t="s">
        <v>42</v>
      </c>
      <c r="D2714" s="39" t="s">
        <v>43</v>
      </c>
      <c r="E2714" s="39" t="s">
        <v>44</v>
      </c>
      <c r="F2714" s="39" t="s">
        <v>45</v>
      </c>
    </row>
    <row r="2715" spans="1:6" x14ac:dyDescent="0.25">
      <c r="A2715" s="40" t="s">
        <v>595</v>
      </c>
      <c r="B2715" s="41" t="str">
        <f ca="1">IFERROR(INDEX(UNSPSCDes,MATCH(INDIRECT(ADDRESS(ROW(),COLUMN()-1,4)),UNSPSCCode,0)),IF(INDIRECT(ADDRESS(ROW(),COLUMN()-1,4))="55121727","Letreros",""))</f>
        <v>Letreros</v>
      </c>
      <c r="C2715" s="42" t="str">
        <f>IFERROR(VLOOKUP("UD",'[1]Informacion '!P:Q,2,FALSE),"")</f>
        <v>Unidad</v>
      </c>
      <c r="D2715" s="40">
        <v>4</v>
      </c>
      <c r="E2715" s="43">
        <v>15500</v>
      </c>
      <c r="F2715" s="44">
        <f t="shared" ref="F2715:F2725" ca="1" si="29">INDIRECT(ADDRESS(ROW(),COLUMN()-2,4))*INDIRECT(ADDRESS(ROW(),COLUMN()-1,4))</f>
        <v>62000</v>
      </c>
    </row>
    <row r="2716" spans="1:6" x14ac:dyDescent="0.25">
      <c r="A2716" s="40" t="s">
        <v>596</v>
      </c>
      <c r="B2716" s="41" t="str">
        <f ca="1">IFERROR(INDEX(UNSPSCDes,MATCH(INDIRECT(ADDRESS(ROW(),COLUMN()-1,4)),UNSPSCCode,0)),IF(INDIRECT(ADDRESS(ROW(),COLUMN()-1,4))="52151604","Coladores o coladeras para uso doméstico",""))</f>
        <v>Coladores o coladeras para uso doméstico</v>
      </c>
      <c r="C2716" s="42" t="str">
        <f>IFERROR(VLOOKUP("UD",'[1]Informacion '!P:Q,2,FALSE),"")</f>
        <v>Unidad</v>
      </c>
      <c r="D2716" s="40">
        <v>5</v>
      </c>
      <c r="E2716" s="43">
        <v>7400</v>
      </c>
      <c r="F2716" s="44">
        <f t="shared" ca="1" si="29"/>
        <v>37000</v>
      </c>
    </row>
    <row r="2717" spans="1:6" x14ac:dyDescent="0.25">
      <c r="A2717" s="40" t="s">
        <v>597</v>
      </c>
      <c r="B2717" s="41" t="str">
        <f ca="1">IFERROR(INDEX(UNSPSCDes,MATCH(INDIRECT(ADDRESS(ROW(),COLUMN()-1,4)),UNSPSCCode,0)),IF(INDIRECT(ADDRESS(ROW(),COLUMN()-1,4))="52151620","Cernedor para uso doméstico",""))</f>
        <v>Cernedor para uso doméstico</v>
      </c>
      <c r="C2717" s="42" t="str">
        <f>IFERROR(VLOOKUP("UD",'[1]Informacion '!P:Q,2,FALSE),"")</f>
        <v>Unidad</v>
      </c>
      <c r="D2717" s="40">
        <v>5</v>
      </c>
      <c r="E2717" s="43">
        <v>5500</v>
      </c>
      <c r="F2717" s="44">
        <f t="shared" ca="1" si="29"/>
        <v>27500</v>
      </c>
    </row>
    <row r="2718" spans="1:6" x14ac:dyDescent="0.25">
      <c r="A2718" s="40" t="s">
        <v>598</v>
      </c>
      <c r="B2718" s="41" t="str">
        <f ca="1">IFERROR(INDEX(UNSPSCDes,MATCH(INDIRECT(ADDRESS(ROW(),COLUMN()-1,4)),UNSPSCCode,0)),IF(INDIRECT(ADDRESS(ROW(),COLUMN()-1,4))="48101809","Ollas para salsas o cocción para uso comercial",""))</f>
        <v>Ollas para salsas o cocción para uso comercial</v>
      </c>
      <c r="C2718" s="42" t="str">
        <f>IFERROR(VLOOKUP("UD",'[1]Informacion '!P:Q,2,FALSE),"")</f>
        <v>Unidad</v>
      </c>
      <c r="D2718" s="40">
        <v>5</v>
      </c>
      <c r="E2718" s="43">
        <v>2500</v>
      </c>
      <c r="F2718" s="44">
        <f t="shared" ca="1" si="29"/>
        <v>12500</v>
      </c>
    </row>
    <row r="2719" spans="1:6" x14ac:dyDescent="0.25">
      <c r="A2719" s="40" t="s">
        <v>599</v>
      </c>
      <c r="B2719" s="41" t="str">
        <f ca="1">IFERROR(INDEX(UNSPSCDes,MATCH(INDIRECT(ADDRESS(ROW(),COLUMN()-1,4)),UNSPSCCode,0)),IF(INDIRECT(ADDRESS(ROW(),COLUMN()-1,4))="52152010","Frascos al vacío para uso doméstico",""))</f>
        <v>Frascos al vacío para uso doméstico</v>
      </c>
      <c r="C2719" s="42" t="str">
        <f>IFERROR(VLOOKUP("UD",'[1]Informacion '!P:Q,2,FALSE),"")</f>
        <v>Unidad</v>
      </c>
      <c r="D2719" s="40">
        <v>1</v>
      </c>
      <c r="E2719" s="43">
        <v>6500</v>
      </c>
      <c r="F2719" s="44">
        <f t="shared" ca="1" si="29"/>
        <v>6500</v>
      </c>
    </row>
    <row r="2720" spans="1:6" x14ac:dyDescent="0.25">
      <c r="A2720" s="40" t="s">
        <v>600</v>
      </c>
      <c r="B2720" s="41" t="str">
        <f t="shared" ref="B2720:B2725" ca="1" si="30">IFERROR(INDEX(UNSPSCDes,MATCH(INDIRECT(ADDRESS(ROW(),COLUMN()-1,4)),UNSPSCCode,0)),IF(INDIRECT(ADDRESS(ROW(),COLUMN()-1,4))="31201501","Cinta de ductos",""))</f>
        <v>Cinta de ductos</v>
      </c>
      <c r="C2720" s="42" t="str">
        <f>IFERROR(VLOOKUP("UD",'[1]Informacion '!P:Q,2,FALSE),"")</f>
        <v>Unidad</v>
      </c>
      <c r="D2720" s="40">
        <v>2</v>
      </c>
      <c r="E2720" s="43">
        <v>100</v>
      </c>
      <c r="F2720" s="44">
        <f t="shared" ca="1" si="29"/>
        <v>200</v>
      </c>
    </row>
    <row r="2721" spans="1:6" x14ac:dyDescent="0.25">
      <c r="A2721" s="40">
        <v>56101528</v>
      </c>
      <c r="B2721" s="41" t="str">
        <f t="shared" ca="1" si="30"/>
        <v>Plantas artificiales</v>
      </c>
      <c r="C2721" s="42" t="str">
        <f>IFERROR(VLOOKUP("UD",'[1]Informacion '!P:Q,2,FALSE),"")</f>
        <v>Unidad</v>
      </c>
      <c r="D2721" s="40">
        <v>5</v>
      </c>
      <c r="E2721" s="43">
        <v>50000</v>
      </c>
      <c r="F2721" s="44">
        <f t="shared" ca="1" si="29"/>
        <v>250000</v>
      </c>
    </row>
    <row r="2722" spans="1:6" x14ac:dyDescent="0.25">
      <c r="A2722" s="40">
        <v>24112404</v>
      </c>
      <c r="B2722" s="41" t="str">
        <f t="shared" ca="1" si="30"/>
        <v>Caja</v>
      </c>
      <c r="C2722" s="42" t="str">
        <f>IFERROR(VLOOKUP("UD",'[1]Informacion '!P:Q,2,FALSE),"")</f>
        <v>Unidad</v>
      </c>
      <c r="D2722" s="40">
        <v>1</v>
      </c>
      <c r="E2722" s="43">
        <v>7300</v>
      </c>
      <c r="F2722" s="44">
        <f t="shared" ca="1" si="29"/>
        <v>7300</v>
      </c>
    </row>
    <row r="2723" spans="1:6" x14ac:dyDescent="0.25">
      <c r="A2723" s="40">
        <v>24121503</v>
      </c>
      <c r="B2723" s="41" t="str">
        <f t="shared" ca="1" si="30"/>
        <v>Cajas para empacar</v>
      </c>
      <c r="C2723" s="42" t="str">
        <f>IFERROR(VLOOKUP("UD",'[1]Informacion '!P:Q,2,FALSE),"")</f>
        <v>Unidad</v>
      </c>
      <c r="D2723" s="40">
        <v>5</v>
      </c>
      <c r="E2723" s="43">
        <v>5000</v>
      </c>
      <c r="F2723" s="44">
        <f t="shared" ca="1" si="29"/>
        <v>25000</v>
      </c>
    </row>
    <row r="2724" spans="1:6" x14ac:dyDescent="0.25">
      <c r="A2724" s="40">
        <v>49101609</v>
      </c>
      <c r="B2724" s="41" t="str">
        <f t="shared" ca="1" si="30"/>
        <v>Ornamentos o decoraciones</v>
      </c>
      <c r="C2724" s="42" t="str">
        <f>IFERROR(VLOOKUP("UD",'[1]Informacion '!P:Q,2,FALSE),"")</f>
        <v>Unidad</v>
      </c>
      <c r="D2724" s="40">
        <v>5</v>
      </c>
      <c r="E2724" s="43">
        <v>10000</v>
      </c>
      <c r="F2724" s="44">
        <f t="shared" ca="1" si="29"/>
        <v>50000</v>
      </c>
    </row>
    <row r="2725" spans="1:6" x14ac:dyDescent="0.25">
      <c r="A2725" s="40">
        <v>21102302</v>
      </c>
      <c r="B2725" s="41" t="str">
        <f t="shared" ca="1" si="30"/>
        <v>Materas para invernadero</v>
      </c>
      <c r="C2725" s="42" t="str">
        <f>IFERROR(VLOOKUP("UD",'[1]Informacion '!P:Q,2,FALSE),"")</f>
        <v>Unidad</v>
      </c>
      <c r="D2725" s="40">
        <v>5</v>
      </c>
      <c r="E2725" s="43">
        <v>10000</v>
      </c>
      <c r="F2725" s="44">
        <f t="shared" ca="1" si="29"/>
        <v>50000</v>
      </c>
    </row>
    <row r="2726" spans="1:6" x14ac:dyDescent="0.25">
      <c r="E2726" s="45" t="s">
        <v>47</v>
      </c>
      <c r="F2726" s="46">
        <f ca="1">SUM(Table226[MONTO TOTAL ESTIMADO])</f>
        <v>528000</v>
      </c>
    </row>
    <row r="2727" spans="1:6" ht="17.25" thickBot="1" x14ac:dyDescent="0.3"/>
    <row r="2728" spans="1:6" ht="23.25" thickBot="1" x14ac:dyDescent="0.3">
      <c r="A2728" s="30" t="s">
        <v>18</v>
      </c>
      <c r="B2728" s="30" t="s">
        <v>19</v>
      </c>
      <c r="C2728" s="30" t="s">
        <v>20</v>
      </c>
      <c r="D2728" s="30" t="s">
        <v>21</v>
      </c>
      <c r="E2728" s="30" t="s">
        <v>22</v>
      </c>
      <c r="F2728" s="30" t="s">
        <v>23</v>
      </c>
    </row>
    <row r="2729" spans="1:6" ht="17.25" thickBot="1" x14ac:dyDescent="0.3">
      <c r="A2729" s="31" t="s">
        <v>601</v>
      </c>
      <c r="B2729" s="31" t="s">
        <v>601</v>
      </c>
      <c r="C2729" s="31" t="s">
        <v>26</v>
      </c>
      <c r="D2729" s="31" t="s">
        <v>27</v>
      </c>
      <c r="E2729" s="31" t="s">
        <v>58</v>
      </c>
      <c r="F2729" s="31"/>
    </row>
    <row r="2730" spans="1:6" ht="17.25" thickBot="1" x14ac:dyDescent="0.3">
      <c r="A2730" s="32" t="s">
        <v>29</v>
      </c>
      <c r="B2730" s="33" t="s">
        <v>30</v>
      </c>
      <c r="C2730" s="34">
        <v>45140</v>
      </c>
      <c r="D2730" s="32" t="s">
        <v>31</v>
      </c>
      <c r="E2730" s="35" t="s">
        <v>32</v>
      </c>
      <c r="F2730" s="36" t="s">
        <v>33</v>
      </c>
    </row>
    <row r="2731" spans="1:6" ht="17.25" thickBot="1" x14ac:dyDescent="0.3">
      <c r="A2731" s="37"/>
      <c r="B2731" s="33" t="s">
        <v>34</v>
      </c>
      <c r="C2731" s="38">
        <f>IF(C2730="","",IF(AND(MONTH(C2730)&gt;=1,MONTH(C2730)&lt;=3),1,IF(AND(MONTH(C2730)&gt;=4,MONTH(C2730)&lt;=6),2,IF(AND(MONTH(C2730)&gt;=7,MONTH(C2730)&lt;=9),3,4))))</f>
        <v>3</v>
      </c>
      <c r="D2731" s="37"/>
      <c r="E2731" s="35" t="s">
        <v>35</v>
      </c>
      <c r="F2731" s="36" t="s">
        <v>36</v>
      </c>
    </row>
    <row r="2732" spans="1:6" ht="17.25" thickBot="1" x14ac:dyDescent="0.3">
      <c r="A2732" s="37"/>
      <c r="B2732" s="33" t="s">
        <v>37</v>
      </c>
      <c r="C2732" s="34">
        <v>45199</v>
      </c>
      <c r="D2732" s="37"/>
      <c r="E2732" s="35" t="s">
        <v>38</v>
      </c>
      <c r="F2732" s="36" t="s">
        <v>36</v>
      </c>
    </row>
    <row r="2733" spans="1:6" ht="17.25" thickBot="1" x14ac:dyDescent="0.3">
      <c r="A2733" s="37"/>
      <c r="B2733" s="33" t="s">
        <v>34</v>
      </c>
      <c r="C2733" s="38">
        <f>IF(C2732="","",IF(AND(MONTH(C2732)&gt;=1,MONTH(C2732)&lt;=3),1,IF(AND(MONTH(C2732)&gt;=4,MONTH(C2732)&lt;=6),2,IF(AND(MONTH(C2732)&gt;=7,MONTH(C2732)&lt;=9),3,4))))</f>
        <v>3</v>
      </c>
      <c r="D2733" s="37"/>
      <c r="E2733" s="35" t="s">
        <v>39</v>
      </c>
      <c r="F2733" s="36" t="s">
        <v>36</v>
      </c>
    </row>
    <row r="2734" spans="1:6" ht="17.25" thickBot="1" x14ac:dyDescent="0.3"/>
    <row r="2735" spans="1:6" ht="17.25" thickBot="1" x14ac:dyDescent="0.3">
      <c r="A2735" s="39" t="s">
        <v>40</v>
      </c>
      <c r="B2735" s="39" t="s">
        <v>41</v>
      </c>
      <c r="C2735" s="39" t="s">
        <v>42</v>
      </c>
      <c r="D2735" s="39" t="s">
        <v>43</v>
      </c>
      <c r="E2735" s="39" t="s">
        <v>44</v>
      </c>
      <c r="F2735" s="39" t="s">
        <v>45</v>
      </c>
    </row>
    <row r="2736" spans="1:6" x14ac:dyDescent="0.25">
      <c r="A2736" s="40" t="s">
        <v>602</v>
      </c>
      <c r="B2736" s="41" t="str">
        <f ca="1">IFERROR(INDEX(UNSPSCDes,MATCH(INDIRECT(ADDRESS(ROW(),COLUMN()-1,4)),UNSPSCCode,0)),IF(INDIRECT(ADDRESS(ROW(),COLUMN()-1,4))="83101808","Monitoreo de la calidad de la energía",""))</f>
        <v>Monitoreo de la calidad de la energía</v>
      </c>
      <c r="C2736" s="42" t="str">
        <f>IFERROR(VLOOKUP("UD",'[1]Informacion '!P:Q,2,FALSE),"")</f>
        <v>Unidad</v>
      </c>
      <c r="D2736" s="40">
        <v>1</v>
      </c>
      <c r="E2736" s="43">
        <v>1</v>
      </c>
      <c r="F2736" s="44">
        <f ca="1">INDIRECT(ADDRESS(ROW(),COLUMN()-2,4))*INDIRECT(ADDRESS(ROW(),COLUMN()-1,4))</f>
        <v>1</v>
      </c>
    </row>
    <row r="2737" spans="1:6" x14ac:dyDescent="0.25">
      <c r="E2737" s="45" t="s">
        <v>47</v>
      </c>
      <c r="F2737" s="46">
        <f ca="1">SUM(Table227[MONTO TOTAL ESTIMADO])</f>
        <v>1</v>
      </c>
    </row>
    <row r="2738" spans="1:6" ht="17.25" thickBot="1" x14ac:dyDescent="0.3"/>
    <row r="2739" spans="1:6" ht="23.25" thickBot="1" x14ac:dyDescent="0.3">
      <c r="A2739" s="30" t="s">
        <v>18</v>
      </c>
      <c r="B2739" s="30" t="s">
        <v>19</v>
      </c>
      <c r="C2739" s="30" t="s">
        <v>20</v>
      </c>
      <c r="D2739" s="30" t="s">
        <v>21</v>
      </c>
      <c r="E2739" s="30" t="s">
        <v>22</v>
      </c>
      <c r="F2739" s="30" t="s">
        <v>23</v>
      </c>
    </row>
    <row r="2740" spans="1:6" ht="17.25" thickBot="1" x14ac:dyDescent="0.3">
      <c r="A2740" s="31" t="s">
        <v>603</v>
      </c>
      <c r="B2740" s="31" t="s">
        <v>603</v>
      </c>
      <c r="C2740" s="31" t="s">
        <v>604</v>
      </c>
      <c r="D2740" s="31" t="s">
        <v>159</v>
      </c>
      <c r="E2740" s="31" t="s">
        <v>58</v>
      </c>
      <c r="F2740" s="31"/>
    </row>
    <row r="2741" spans="1:6" ht="17.25" thickBot="1" x14ac:dyDescent="0.3">
      <c r="A2741" s="32" t="s">
        <v>29</v>
      </c>
      <c r="B2741" s="33" t="s">
        <v>30</v>
      </c>
      <c r="C2741" s="34">
        <v>44959</v>
      </c>
      <c r="D2741" s="32" t="s">
        <v>31</v>
      </c>
      <c r="E2741" s="35" t="s">
        <v>32</v>
      </c>
      <c r="F2741" s="36" t="s">
        <v>33</v>
      </c>
    </row>
    <row r="2742" spans="1:6" ht="17.25" thickBot="1" x14ac:dyDescent="0.3">
      <c r="A2742" s="37"/>
      <c r="B2742" s="33" t="s">
        <v>34</v>
      </c>
      <c r="C2742" s="38">
        <f>IF(C2741="","",IF(AND(MONTH(C2741)&gt;=1,MONTH(C2741)&lt;=3),1,IF(AND(MONTH(C2741)&gt;=4,MONTH(C2741)&lt;=6),2,IF(AND(MONTH(C2741)&gt;=7,MONTH(C2741)&lt;=9),3,4))))</f>
        <v>1</v>
      </c>
      <c r="D2742" s="37"/>
      <c r="E2742" s="35" t="s">
        <v>35</v>
      </c>
      <c r="F2742" s="36" t="s">
        <v>36</v>
      </c>
    </row>
    <row r="2743" spans="1:6" ht="17.25" thickBot="1" x14ac:dyDescent="0.3">
      <c r="A2743" s="37"/>
      <c r="B2743" s="33" t="s">
        <v>37</v>
      </c>
      <c r="C2743" s="34">
        <v>45015</v>
      </c>
      <c r="D2743" s="37"/>
      <c r="E2743" s="35" t="s">
        <v>38</v>
      </c>
      <c r="F2743" s="36" t="s">
        <v>36</v>
      </c>
    </row>
    <row r="2744" spans="1:6" ht="17.25" thickBot="1" x14ac:dyDescent="0.3">
      <c r="A2744" s="37"/>
      <c r="B2744" s="33" t="s">
        <v>34</v>
      </c>
      <c r="C2744" s="38">
        <f>IF(C2743="","",IF(AND(MONTH(C2743)&gt;=1,MONTH(C2743)&lt;=3),1,IF(AND(MONTH(C2743)&gt;=4,MONTH(C2743)&lt;=6),2,IF(AND(MONTH(C2743)&gt;=7,MONTH(C2743)&lt;=9),3,4))))</f>
        <v>1</v>
      </c>
      <c r="D2744" s="37"/>
      <c r="E2744" s="35" t="s">
        <v>39</v>
      </c>
      <c r="F2744" s="36" t="s">
        <v>36</v>
      </c>
    </row>
    <row r="2745" spans="1:6" ht="17.25" thickBot="1" x14ac:dyDescent="0.3"/>
    <row r="2746" spans="1:6" ht="17.25" thickBot="1" x14ac:dyDescent="0.3">
      <c r="A2746" s="39" t="s">
        <v>40</v>
      </c>
      <c r="B2746" s="39" t="s">
        <v>41</v>
      </c>
      <c r="C2746" s="39" t="s">
        <v>42</v>
      </c>
      <c r="D2746" s="39" t="s">
        <v>43</v>
      </c>
      <c r="E2746" s="39" t="s">
        <v>44</v>
      </c>
      <c r="F2746" s="39" t="s">
        <v>45</v>
      </c>
    </row>
    <row r="2747" spans="1:6" x14ac:dyDescent="0.25">
      <c r="A2747" s="40" t="s">
        <v>605</v>
      </c>
      <c r="B2747" s="41" t="str">
        <f ca="1">IFERROR(INDEX(UNSPSCDes,MATCH(INDIRECT(ADDRESS(ROW(),COLUMN()-1,4)),UNSPSCCode,0)),IF(INDIRECT(ADDRESS(ROW(),COLUMN()-1,4))="30222701","Oficinas",""))</f>
        <v>Oficinas</v>
      </c>
      <c r="C2747" s="42" t="str">
        <f>IFERROR(VLOOKUP("UD",'[1]Informacion '!P:Q,2,FALSE),"")</f>
        <v>Unidad</v>
      </c>
      <c r="D2747" s="40">
        <v>1</v>
      </c>
      <c r="E2747" s="43">
        <v>18000000</v>
      </c>
      <c r="F2747" s="44">
        <f ca="1">INDIRECT(ADDRESS(ROW(),COLUMN()-2,4))*INDIRECT(ADDRESS(ROW(),COLUMN()-1,4))</f>
        <v>18000000</v>
      </c>
    </row>
    <row r="2748" spans="1:6" x14ac:dyDescent="0.25">
      <c r="E2748" s="45" t="s">
        <v>47</v>
      </c>
      <c r="F2748" s="46">
        <f ca="1">SUM(Table230[MONTO TOTAL ESTIMADO])</f>
        <v>18000000</v>
      </c>
    </row>
    <row r="2749" spans="1:6" ht="17.25" thickBot="1" x14ac:dyDescent="0.3"/>
    <row r="2750" spans="1:6" ht="23.25" thickBot="1" x14ac:dyDescent="0.3">
      <c r="A2750" s="30" t="s">
        <v>18</v>
      </c>
      <c r="B2750" s="30" t="s">
        <v>19</v>
      </c>
      <c r="C2750" s="30" t="s">
        <v>20</v>
      </c>
      <c r="D2750" s="30" t="s">
        <v>21</v>
      </c>
      <c r="E2750" s="30" t="s">
        <v>22</v>
      </c>
      <c r="F2750" s="30" t="s">
        <v>23</v>
      </c>
    </row>
    <row r="2751" spans="1:6" ht="17.25" thickBot="1" x14ac:dyDescent="0.3">
      <c r="A2751" s="31" t="s">
        <v>606</v>
      </c>
      <c r="B2751" s="31" t="s">
        <v>606</v>
      </c>
      <c r="C2751" s="31" t="s">
        <v>92</v>
      </c>
      <c r="D2751" s="31" t="s">
        <v>27</v>
      </c>
      <c r="E2751" s="31" t="s">
        <v>58</v>
      </c>
      <c r="F2751" s="31"/>
    </row>
    <row r="2752" spans="1:6" ht="17.25" thickBot="1" x14ac:dyDescent="0.3">
      <c r="A2752" s="32" t="s">
        <v>29</v>
      </c>
      <c r="B2752" s="33" t="s">
        <v>30</v>
      </c>
      <c r="C2752" s="34">
        <v>45150</v>
      </c>
      <c r="D2752" s="32" t="s">
        <v>31</v>
      </c>
      <c r="E2752" s="35" t="s">
        <v>32</v>
      </c>
      <c r="F2752" s="36" t="s">
        <v>33</v>
      </c>
    </row>
    <row r="2753" spans="1:6" ht="17.25" thickBot="1" x14ac:dyDescent="0.3">
      <c r="A2753" s="37"/>
      <c r="B2753" s="33" t="s">
        <v>34</v>
      </c>
      <c r="C2753" s="38">
        <f>IF(C2752="","",IF(AND(MONTH(C2752)&gt;=1,MONTH(C2752)&lt;=3),1,IF(AND(MONTH(C2752)&gt;=4,MONTH(C2752)&lt;=6),2,IF(AND(MONTH(C2752)&gt;=7,MONTH(C2752)&lt;=9),3,4))))</f>
        <v>3</v>
      </c>
      <c r="D2753" s="37"/>
      <c r="E2753" s="35" t="s">
        <v>35</v>
      </c>
      <c r="F2753" s="36" t="s">
        <v>36</v>
      </c>
    </row>
    <row r="2754" spans="1:6" ht="17.25" thickBot="1" x14ac:dyDescent="0.3">
      <c r="A2754" s="37"/>
      <c r="B2754" s="33" t="s">
        <v>37</v>
      </c>
      <c r="C2754" s="34">
        <v>45260</v>
      </c>
      <c r="D2754" s="37"/>
      <c r="E2754" s="35" t="s">
        <v>38</v>
      </c>
      <c r="F2754" s="36" t="s">
        <v>36</v>
      </c>
    </row>
    <row r="2755" spans="1:6" ht="17.25" thickBot="1" x14ac:dyDescent="0.3">
      <c r="A2755" s="37"/>
      <c r="B2755" s="33" t="s">
        <v>34</v>
      </c>
      <c r="C2755" s="38">
        <f>IF(C2754="","",IF(AND(MONTH(C2754)&gt;=1,MONTH(C2754)&lt;=3),1,IF(AND(MONTH(C2754)&gt;=4,MONTH(C2754)&lt;=6),2,IF(AND(MONTH(C2754)&gt;=7,MONTH(C2754)&lt;=9),3,4))))</f>
        <v>4</v>
      </c>
      <c r="D2755" s="37"/>
      <c r="E2755" s="35" t="s">
        <v>39</v>
      </c>
      <c r="F2755" s="36" t="s">
        <v>36</v>
      </c>
    </row>
    <row r="2756" spans="1:6" ht="17.25" thickBot="1" x14ac:dyDescent="0.3"/>
    <row r="2757" spans="1:6" ht="17.25" thickBot="1" x14ac:dyDescent="0.3">
      <c r="A2757" s="39" t="s">
        <v>40</v>
      </c>
      <c r="B2757" s="39" t="s">
        <v>41</v>
      </c>
      <c r="C2757" s="39" t="s">
        <v>42</v>
      </c>
      <c r="D2757" s="39" t="s">
        <v>43</v>
      </c>
      <c r="E2757" s="39" t="s">
        <v>44</v>
      </c>
      <c r="F2757" s="39" t="s">
        <v>45</v>
      </c>
    </row>
    <row r="2758" spans="1:6" x14ac:dyDescent="0.25">
      <c r="A2758" s="40" t="s">
        <v>607</v>
      </c>
      <c r="B2758" s="41" t="str">
        <f ca="1">IFERROR(INDEX(UNSPSCDes,MATCH(INDIRECT(ADDRESS(ROW(),COLUMN()-1,4)),UNSPSCCode,0)),IF(INDIRECT(ADDRESS(ROW(),COLUMN()-1,4))="80161508","Servicios de destrucción de documentos",""))</f>
        <v>Servicios de destrucción de documentos</v>
      </c>
      <c r="C2758" s="42" t="str">
        <f>IFERROR(VLOOKUP("UD",'[1]Informacion '!P:Q,2,FALSE),"")</f>
        <v>Unidad</v>
      </c>
      <c r="D2758" s="40">
        <v>1</v>
      </c>
      <c r="E2758" s="43">
        <v>120000</v>
      </c>
      <c r="F2758" s="44">
        <f ca="1">INDIRECT(ADDRESS(ROW(),COLUMN()-2,4))*INDIRECT(ADDRESS(ROW(),COLUMN()-1,4))</f>
        <v>120000</v>
      </c>
    </row>
    <row r="2759" spans="1:6" x14ac:dyDescent="0.25">
      <c r="E2759" s="45" t="s">
        <v>47</v>
      </c>
      <c r="F2759" s="46">
        <f ca="1">SUM(Table231[MONTO TOTAL ESTIMADO])</f>
        <v>120000</v>
      </c>
    </row>
    <row r="2760" spans="1:6" ht="17.25" thickBot="1" x14ac:dyDescent="0.3"/>
    <row r="2761" spans="1:6" ht="23.25" thickBot="1" x14ac:dyDescent="0.3">
      <c r="A2761" s="30" t="s">
        <v>18</v>
      </c>
      <c r="B2761" s="30" t="s">
        <v>19</v>
      </c>
      <c r="C2761" s="30" t="s">
        <v>20</v>
      </c>
      <c r="D2761" s="30" t="s">
        <v>21</v>
      </c>
      <c r="E2761" s="30" t="s">
        <v>22</v>
      </c>
      <c r="F2761" s="30" t="s">
        <v>23</v>
      </c>
    </row>
    <row r="2762" spans="1:6" ht="17.25" thickBot="1" x14ac:dyDescent="0.3">
      <c r="A2762" s="31" t="s">
        <v>608</v>
      </c>
      <c r="B2762" s="31" t="s">
        <v>609</v>
      </c>
      <c r="C2762" s="31" t="s">
        <v>92</v>
      </c>
      <c r="D2762" s="31" t="s">
        <v>50</v>
      </c>
      <c r="E2762" s="31" t="s">
        <v>58</v>
      </c>
      <c r="F2762" s="31"/>
    </row>
    <row r="2763" spans="1:6" ht="17.25" thickBot="1" x14ac:dyDescent="0.3">
      <c r="A2763" s="32" t="s">
        <v>29</v>
      </c>
      <c r="B2763" s="33" t="s">
        <v>30</v>
      </c>
      <c r="C2763" s="34">
        <v>45200</v>
      </c>
      <c r="D2763" s="32" t="s">
        <v>31</v>
      </c>
      <c r="E2763" s="35" t="s">
        <v>32</v>
      </c>
      <c r="F2763" s="36" t="s">
        <v>33</v>
      </c>
    </row>
    <row r="2764" spans="1:6" ht="17.25" thickBot="1" x14ac:dyDescent="0.3">
      <c r="A2764" s="37"/>
      <c r="B2764" s="33" t="s">
        <v>34</v>
      </c>
      <c r="C2764" s="38">
        <f>IF(C2763="","",IF(AND(MONTH(C2763)&gt;=1,MONTH(C2763)&lt;=3),1,IF(AND(MONTH(C2763)&gt;=4,MONTH(C2763)&lt;=6),2,IF(AND(MONTH(C2763)&gt;=7,MONTH(C2763)&lt;=9),3,4))))</f>
        <v>4</v>
      </c>
      <c r="D2764" s="37"/>
      <c r="E2764" s="35" t="s">
        <v>35</v>
      </c>
      <c r="F2764" s="36" t="s">
        <v>36</v>
      </c>
    </row>
    <row r="2765" spans="1:6" ht="17.25" thickBot="1" x14ac:dyDescent="0.3">
      <c r="A2765" s="37"/>
      <c r="B2765" s="33" t="s">
        <v>37</v>
      </c>
      <c r="C2765" s="34">
        <v>45291</v>
      </c>
      <c r="D2765" s="37"/>
      <c r="E2765" s="35" t="s">
        <v>38</v>
      </c>
      <c r="F2765" s="36" t="s">
        <v>36</v>
      </c>
    </row>
    <row r="2766" spans="1:6" ht="17.25" thickBot="1" x14ac:dyDescent="0.3">
      <c r="A2766" s="37"/>
      <c r="B2766" s="33" t="s">
        <v>34</v>
      </c>
      <c r="C2766" s="38">
        <f>IF(C2765="","",IF(AND(MONTH(C2765)&gt;=1,MONTH(C2765)&lt;=3),1,IF(AND(MONTH(C2765)&gt;=4,MONTH(C2765)&lt;=6),2,IF(AND(MONTH(C2765)&gt;=7,MONTH(C2765)&lt;=9),3,4))))</f>
        <v>4</v>
      </c>
      <c r="D2766" s="37"/>
      <c r="E2766" s="35" t="s">
        <v>39</v>
      </c>
      <c r="F2766" s="36" t="s">
        <v>36</v>
      </c>
    </row>
    <row r="2767" spans="1:6" ht="17.25" thickBot="1" x14ac:dyDescent="0.3"/>
    <row r="2768" spans="1:6" ht="17.25" thickBot="1" x14ac:dyDescent="0.3">
      <c r="A2768" s="39" t="s">
        <v>40</v>
      </c>
      <c r="B2768" s="39" t="s">
        <v>41</v>
      </c>
      <c r="C2768" s="39" t="s">
        <v>42</v>
      </c>
      <c r="D2768" s="39" t="s">
        <v>43</v>
      </c>
      <c r="E2768" s="39" t="s">
        <v>44</v>
      </c>
      <c r="F2768" s="39" t="s">
        <v>45</v>
      </c>
    </row>
    <row r="2769" spans="1:6" x14ac:dyDescent="0.25">
      <c r="A2769" s="40">
        <v>72101507</v>
      </c>
      <c r="B2769" s="41" t="s">
        <v>610</v>
      </c>
      <c r="C2769" s="42" t="str">
        <f>IFERROR(VLOOKUP("UD",'[1]Informacion '!P:Q,2,FALSE),"")</f>
        <v>Unidad</v>
      </c>
      <c r="D2769" s="40">
        <v>1</v>
      </c>
      <c r="E2769" s="43">
        <v>4155000</v>
      </c>
      <c r="F2769" s="44">
        <f ca="1">INDIRECT(ADDRESS(ROW(),COLUMN()-2,4))*INDIRECT(ADDRESS(ROW(),COLUMN()-1,4))</f>
        <v>4155000</v>
      </c>
    </row>
    <row r="2770" spans="1:6" x14ac:dyDescent="0.25">
      <c r="E2770" s="45" t="s">
        <v>47</v>
      </c>
      <c r="F2770" s="46">
        <f ca="1">SUM(Table233[MONTO TOTAL ESTIMADO])</f>
        <v>4155000</v>
      </c>
    </row>
    <row r="2771" spans="1:6" ht="17.25" thickBot="1" x14ac:dyDescent="0.3"/>
    <row r="2772" spans="1:6" ht="23.25" thickBot="1" x14ac:dyDescent="0.3">
      <c r="A2772" s="30" t="s">
        <v>18</v>
      </c>
      <c r="B2772" s="30" t="s">
        <v>19</v>
      </c>
      <c r="C2772" s="30" t="s">
        <v>20</v>
      </c>
      <c r="D2772" s="30" t="s">
        <v>21</v>
      </c>
      <c r="E2772" s="30" t="s">
        <v>22</v>
      </c>
      <c r="F2772" s="30" t="s">
        <v>23</v>
      </c>
    </row>
    <row r="2773" spans="1:6" ht="17.25" thickBot="1" x14ac:dyDescent="0.3">
      <c r="A2773" s="31" t="s">
        <v>558</v>
      </c>
      <c r="B2773" s="31" t="s">
        <v>611</v>
      </c>
      <c r="C2773" s="31" t="s">
        <v>26</v>
      </c>
      <c r="D2773" s="31" t="s">
        <v>27</v>
      </c>
      <c r="E2773" s="31" t="s">
        <v>58</v>
      </c>
      <c r="F2773" s="31"/>
    </row>
    <row r="2774" spans="1:6" ht="17.25" thickBot="1" x14ac:dyDescent="0.3">
      <c r="A2774" s="32" t="s">
        <v>29</v>
      </c>
      <c r="B2774" s="33" t="s">
        <v>30</v>
      </c>
      <c r="C2774" s="34">
        <v>45161</v>
      </c>
      <c r="D2774" s="32" t="s">
        <v>31</v>
      </c>
      <c r="E2774" s="35" t="s">
        <v>32</v>
      </c>
      <c r="F2774" s="36" t="s">
        <v>33</v>
      </c>
    </row>
    <row r="2775" spans="1:6" ht="17.25" thickBot="1" x14ac:dyDescent="0.3">
      <c r="A2775" s="37"/>
      <c r="B2775" s="33" t="s">
        <v>34</v>
      </c>
      <c r="C2775" s="38">
        <f>IF(C2774="","",IF(AND(MONTH(C2774)&gt;=1,MONTH(C2774)&lt;=3),1,IF(AND(MONTH(C2774)&gt;=4,MONTH(C2774)&lt;=6),2,IF(AND(MONTH(C2774)&gt;=7,MONTH(C2774)&lt;=9),3,4))))</f>
        <v>3</v>
      </c>
      <c r="D2775" s="37"/>
      <c r="E2775" s="35" t="s">
        <v>35</v>
      </c>
      <c r="F2775" s="36" t="s">
        <v>36</v>
      </c>
    </row>
    <row r="2776" spans="1:6" ht="17.25" thickBot="1" x14ac:dyDescent="0.3">
      <c r="A2776" s="37"/>
      <c r="B2776" s="33" t="s">
        <v>37</v>
      </c>
      <c r="C2776" s="34">
        <v>45230</v>
      </c>
      <c r="D2776" s="37"/>
      <c r="E2776" s="35" t="s">
        <v>38</v>
      </c>
      <c r="F2776" s="36" t="s">
        <v>36</v>
      </c>
    </row>
    <row r="2777" spans="1:6" ht="17.25" thickBot="1" x14ac:dyDescent="0.3">
      <c r="A2777" s="37"/>
      <c r="B2777" s="33" t="s">
        <v>34</v>
      </c>
      <c r="C2777" s="38">
        <f>IF(C2776="","",IF(AND(MONTH(C2776)&gt;=1,MONTH(C2776)&lt;=3),1,IF(AND(MONTH(C2776)&gt;=4,MONTH(C2776)&lt;=6),2,IF(AND(MONTH(C2776)&gt;=7,MONTH(C2776)&lt;=9),3,4))))</f>
        <v>4</v>
      </c>
      <c r="D2777" s="37"/>
      <c r="E2777" s="35" t="s">
        <v>39</v>
      </c>
      <c r="F2777" s="36" t="s">
        <v>36</v>
      </c>
    </row>
    <row r="2778" spans="1:6" ht="17.25" thickBot="1" x14ac:dyDescent="0.3"/>
    <row r="2779" spans="1:6" ht="17.25" thickBot="1" x14ac:dyDescent="0.3">
      <c r="A2779" s="39" t="s">
        <v>40</v>
      </c>
      <c r="B2779" s="39" t="s">
        <v>41</v>
      </c>
      <c r="C2779" s="39" t="s">
        <v>42</v>
      </c>
      <c r="D2779" s="39" t="s">
        <v>43</v>
      </c>
      <c r="E2779" s="39" t="s">
        <v>44</v>
      </c>
      <c r="F2779" s="39" t="s">
        <v>45</v>
      </c>
    </row>
    <row r="2780" spans="1:6" x14ac:dyDescent="0.25">
      <c r="A2780" s="40">
        <v>81101502</v>
      </c>
      <c r="B2780" s="41" t="str">
        <f ca="1">IFERROR(INDEX(UNSPSCDes,MATCH(INDIRECT(ADDRESS(ROW(),COLUMN()-1,4)),UNSPSCCode,0)),IF(INDIRECT(ADDRESS(ROW(),COLUMN()-1,4))="81101502","Dibujo técnico",""))</f>
        <v>Dibujo técnico</v>
      </c>
      <c r="C2780" s="42" t="str">
        <f>IFERROR(VLOOKUP("UD",'[1]Informacion '!P:Q,2,FALSE),"")</f>
        <v>Unidad</v>
      </c>
      <c r="D2780" s="40">
        <v>1</v>
      </c>
      <c r="E2780" s="43">
        <v>10000</v>
      </c>
      <c r="F2780" s="44">
        <f ca="1">INDIRECT(ADDRESS(ROW(),COLUMN()-2,4))*INDIRECT(ADDRESS(ROW(),COLUMN()-1,4))</f>
        <v>10000</v>
      </c>
    </row>
    <row r="2781" spans="1:6" x14ac:dyDescent="0.25">
      <c r="E2781" s="45" t="s">
        <v>47</v>
      </c>
      <c r="F2781" s="46">
        <f ca="1">SUM(Table235[MONTO TOTAL ESTIMADO])</f>
        <v>10000</v>
      </c>
    </row>
    <row r="2782" spans="1:6" ht="17.25" thickBot="1" x14ac:dyDescent="0.3"/>
    <row r="2783" spans="1:6" ht="23.25" thickBot="1" x14ac:dyDescent="0.3">
      <c r="A2783" s="30" t="s">
        <v>18</v>
      </c>
      <c r="B2783" s="30" t="s">
        <v>19</v>
      </c>
      <c r="C2783" s="30" t="s">
        <v>20</v>
      </c>
      <c r="D2783" s="30" t="s">
        <v>21</v>
      </c>
      <c r="E2783" s="30" t="s">
        <v>22</v>
      </c>
      <c r="F2783" s="30" t="s">
        <v>23</v>
      </c>
    </row>
    <row r="2784" spans="1:6" ht="17.25" thickBot="1" x14ac:dyDescent="0.3">
      <c r="A2784" s="31" t="s">
        <v>612</v>
      </c>
      <c r="B2784" s="31" t="s">
        <v>612</v>
      </c>
      <c r="C2784" s="31" t="s">
        <v>92</v>
      </c>
      <c r="D2784" s="31" t="s">
        <v>27</v>
      </c>
      <c r="E2784" s="31" t="s">
        <v>58</v>
      </c>
      <c r="F2784" s="31"/>
    </row>
    <row r="2785" spans="1:6" ht="17.25" thickBot="1" x14ac:dyDescent="0.3">
      <c r="A2785" s="32" t="s">
        <v>29</v>
      </c>
      <c r="B2785" s="33" t="s">
        <v>30</v>
      </c>
      <c r="C2785" s="34">
        <v>45182</v>
      </c>
      <c r="D2785" s="32" t="s">
        <v>31</v>
      </c>
      <c r="E2785" s="35" t="s">
        <v>32</v>
      </c>
      <c r="F2785" s="36" t="s">
        <v>33</v>
      </c>
    </row>
    <row r="2786" spans="1:6" ht="17.25" thickBot="1" x14ac:dyDescent="0.3">
      <c r="A2786" s="37"/>
      <c r="B2786" s="33" t="s">
        <v>34</v>
      </c>
      <c r="C2786" s="38">
        <f>IF(C2785="","",IF(AND(MONTH(C2785)&gt;=1,MONTH(C2785)&lt;=3),1,IF(AND(MONTH(C2785)&gt;=4,MONTH(C2785)&lt;=6),2,IF(AND(MONTH(C2785)&gt;=7,MONTH(C2785)&lt;=9),3,4))))</f>
        <v>3</v>
      </c>
      <c r="D2786" s="37"/>
      <c r="E2786" s="35" t="s">
        <v>35</v>
      </c>
      <c r="F2786" s="36" t="s">
        <v>36</v>
      </c>
    </row>
    <row r="2787" spans="1:6" ht="17.25" thickBot="1" x14ac:dyDescent="0.3">
      <c r="A2787" s="37"/>
      <c r="B2787" s="33" t="s">
        <v>37</v>
      </c>
      <c r="C2787" s="34">
        <v>45260</v>
      </c>
      <c r="D2787" s="37"/>
      <c r="E2787" s="35" t="s">
        <v>38</v>
      </c>
      <c r="F2787" s="36" t="s">
        <v>36</v>
      </c>
    </row>
    <row r="2788" spans="1:6" ht="17.25" thickBot="1" x14ac:dyDescent="0.3">
      <c r="A2788" s="37"/>
      <c r="B2788" s="33" t="s">
        <v>34</v>
      </c>
      <c r="C2788" s="38">
        <f>IF(C2787="","",IF(AND(MONTH(C2787)&gt;=1,MONTH(C2787)&lt;=3),1,IF(AND(MONTH(C2787)&gt;=4,MONTH(C2787)&lt;=6),2,IF(AND(MONTH(C2787)&gt;=7,MONTH(C2787)&lt;=9),3,4))))</f>
        <v>4</v>
      </c>
      <c r="D2788" s="37"/>
      <c r="E2788" s="35" t="s">
        <v>39</v>
      </c>
      <c r="F2788" s="36" t="s">
        <v>36</v>
      </c>
    </row>
    <row r="2789" spans="1:6" ht="17.25" thickBot="1" x14ac:dyDescent="0.3"/>
    <row r="2790" spans="1:6" ht="17.25" thickBot="1" x14ac:dyDescent="0.3">
      <c r="A2790" s="39" t="s">
        <v>40</v>
      </c>
      <c r="B2790" s="39" t="s">
        <v>41</v>
      </c>
      <c r="C2790" s="39" t="s">
        <v>42</v>
      </c>
      <c r="D2790" s="39" t="s">
        <v>43</v>
      </c>
      <c r="E2790" s="39" t="s">
        <v>44</v>
      </c>
      <c r="F2790" s="39" t="s">
        <v>45</v>
      </c>
    </row>
    <row r="2791" spans="1:6" x14ac:dyDescent="0.25">
      <c r="A2791" s="40" t="s">
        <v>613</v>
      </c>
      <c r="B2791" s="41" t="str">
        <f ca="1">IFERROR(INDEX(UNSPSCDes,MATCH(INDIRECT(ADDRESS(ROW(),COLUMN()-1,4)),UNSPSCCode,0)),IF(INDIRECT(ADDRESS(ROW(),COLUMN()-1,4))="11151503","Fibras de poliéster",""))</f>
        <v>Fibras de poliéster</v>
      </c>
      <c r="C2791" s="42" t="str">
        <f>IFERROR(VLOOKUP("UD",'[1]Informacion '!P:Q,2,FALSE),"")</f>
        <v>Unidad</v>
      </c>
      <c r="D2791" s="40">
        <v>1</v>
      </c>
      <c r="E2791" s="43">
        <v>1</v>
      </c>
      <c r="F2791" s="44">
        <f ca="1">INDIRECT(ADDRESS(ROW(),COLUMN()-2,4))*INDIRECT(ADDRESS(ROW(),COLUMN()-1,4))</f>
        <v>1</v>
      </c>
    </row>
    <row r="2792" spans="1:6" x14ac:dyDescent="0.25">
      <c r="A2792" s="40" t="s">
        <v>614</v>
      </c>
      <c r="B2792" s="41" t="str">
        <f ca="1">IFERROR(INDEX(UNSPSCDes,MATCH(INDIRECT(ADDRESS(ROW(),COLUMN()-1,4)),UNSPSCCode,0)),IF(INDIRECT(ADDRESS(ROW(),COLUMN()-1,4))="11151715","Hilado de lino",""))</f>
        <v>Hilado de lino</v>
      </c>
      <c r="C2792" s="42" t="str">
        <f>IFERROR(VLOOKUP("UD",'[1]Informacion '!P:Q,2,FALSE),"")</f>
        <v>Unidad</v>
      </c>
      <c r="D2792" s="40">
        <v>1</v>
      </c>
      <c r="E2792" s="43">
        <v>1</v>
      </c>
      <c r="F2792" s="44">
        <f ca="1">INDIRECT(ADDRESS(ROW(),COLUMN()-2,4))*INDIRECT(ADDRESS(ROW(),COLUMN()-1,4))</f>
        <v>1</v>
      </c>
    </row>
    <row r="2793" spans="1:6" x14ac:dyDescent="0.25">
      <c r="A2793" s="40" t="s">
        <v>615</v>
      </c>
      <c r="B2793" s="41" t="str">
        <f ca="1">IFERROR(INDEX(UNSPSCDes,MATCH(INDIRECT(ADDRESS(ROW(),COLUMN()-1,4)),UNSPSCCode,0)),IF(INDIRECT(ADDRESS(ROW(),COLUMN()-1,4))="11162112","Telas revestidas",""))</f>
        <v>Telas revestidas</v>
      </c>
      <c r="C2793" s="42" t="str">
        <f>IFERROR(VLOOKUP("UD",'[1]Informacion '!P:Q,2,FALSE),"")</f>
        <v>Unidad</v>
      </c>
      <c r="D2793" s="40">
        <v>1</v>
      </c>
      <c r="E2793" s="43">
        <v>1</v>
      </c>
      <c r="F2793" s="44">
        <f ca="1">INDIRECT(ADDRESS(ROW(),COLUMN()-2,4))*INDIRECT(ADDRESS(ROW(),COLUMN()-1,4))</f>
        <v>1</v>
      </c>
    </row>
    <row r="2794" spans="1:6" x14ac:dyDescent="0.25">
      <c r="A2794" s="40" t="s">
        <v>616</v>
      </c>
      <c r="B2794" s="41" t="str">
        <f ca="1">IFERROR(INDEX(UNSPSCDes,MATCH(INDIRECT(ADDRESS(ROW(),COLUMN()-1,4)),UNSPSCCode,0)),IF(INDIRECT(ADDRESS(ROW(),COLUMN()-1,4))="11151507","Fibras de algodón",""))</f>
        <v>Fibras de algodón</v>
      </c>
      <c r="C2794" s="42" t="str">
        <f>IFERROR(VLOOKUP("UD",'[1]Informacion '!P:Q,2,FALSE),"")</f>
        <v>Unidad</v>
      </c>
      <c r="D2794" s="40">
        <v>1</v>
      </c>
      <c r="E2794" s="43">
        <v>1</v>
      </c>
      <c r="F2794" s="44">
        <f ca="1">INDIRECT(ADDRESS(ROW(),COLUMN()-2,4))*INDIRECT(ADDRESS(ROW(),COLUMN()-1,4))</f>
        <v>1</v>
      </c>
    </row>
    <row r="2795" spans="1:6" x14ac:dyDescent="0.25">
      <c r="A2795" s="40" t="s">
        <v>617</v>
      </c>
      <c r="B2795" s="41" t="str">
        <f ca="1">IFERROR(INDEX(UNSPSCDes,MATCH(INDIRECT(ADDRESS(ROW(),COLUMN()-1,4)),UNSPSCCode,0)),IF(INDIRECT(ADDRESS(ROW(),COLUMN()-1,4))="11162116","Tela de fique o estopa",""))</f>
        <v>Tela de fique o estopa</v>
      </c>
      <c r="C2795" s="42" t="str">
        <f>IFERROR(VLOOKUP("UD",'[1]Informacion '!P:Q,2,FALSE),"")</f>
        <v>Unidad</v>
      </c>
      <c r="D2795" s="40">
        <v>1</v>
      </c>
      <c r="E2795" s="43">
        <v>1</v>
      </c>
      <c r="F2795" s="44">
        <f ca="1">INDIRECT(ADDRESS(ROW(),COLUMN()-2,4))*INDIRECT(ADDRESS(ROW(),COLUMN()-1,4))</f>
        <v>1</v>
      </c>
    </row>
    <row r="2796" spans="1:6" x14ac:dyDescent="0.25">
      <c r="E2796" s="45" t="s">
        <v>47</v>
      </c>
      <c r="F2796" s="46">
        <f ca="1">SUM(Table236[MONTO TOTAL ESTIMADO])</f>
        <v>5</v>
      </c>
    </row>
    <row r="2797" spans="1:6" ht="17.25" thickBot="1" x14ac:dyDescent="0.3"/>
    <row r="2798" spans="1:6" ht="23.25" thickBot="1" x14ac:dyDescent="0.3">
      <c r="A2798" s="30" t="s">
        <v>18</v>
      </c>
      <c r="B2798" s="30" t="s">
        <v>19</v>
      </c>
      <c r="C2798" s="30" t="s">
        <v>20</v>
      </c>
      <c r="D2798" s="30" t="s">
        <v>21</v>
      </c>
      <c r="E2798" s="30" t="s">
        <v>22</v>
      </c>
      <c r="F2798" s="30" t="s">
        <v>23</v>
      </c>
    </row>
    <row r="2799" spans="1:6" ht="17.25" thickBot="1" x14ac:dyDescent="0.3">
      <c r="A2799" s="31" t="s">
        <v>553</v>
      </c>
      <c r="B2799" s="31" t="s">
        <v>554</v>
      </c>
      <c r="C2799" s="31" t="s">
        <v>26</v>
      </c>
      <c r="D2799" s="31" t="s">
        <v>50</v>
      </c>
      <c r="E2799" s="31" t="s">
        <v>58</v>
      </c>
      <c r="F2799" s="31"/>
    </row>
    <row r="2800" spans="1:6" ht="17.25" thickBot="1" x14ac:dyDescent="0.3">
      <c r="A2800" s="32" t="s">
        <v>29</v>
      </c>
      <c r="B2800" s="33" t="s">
        <v>30</v>
      </c>
      <c r="C2800" s="34">
        <v>45199</v>
      </c>
      <c r="D2800" s="32" t="s">
        <v>31</v>
      </c>
      <c r="E2800" s="35" t="s">
        <v>32</v>
      </c>
      <c r="F2800" s="36" t="s">
        <v>33</v>
      </c>
    </row>
    <row r="2801" spans="1:6" ht="17.25" thickBot="1" x14ac:dyDescent="0.3">
      <c r="A2801" s="37"/>
      <c r="B2801" s="33" t="s">
        <v>34</v>
      </c>
      <c r="C2801" s="38">
        <f>IF(C2800="","",IF(AND(MONTH(C2800)&gt;=1,MONTH(C2800)&lt;=3),1,IF(AND(MONTH(C2800)&gt;=4,MONTH(C2800)&lt;=6),2,IF(AND(MONTH(C2800)&gt;=7,MONTH(C2800)&lt;=9),3,4))))</f>
        <v>3</v>
      </c>
      <c r="D2801" s="37"/>
      <c r="E2801" s="35" t="s">
        <v>35</v>
      </c>
      <c r="F2801" s="36" t="s">
        <v>36</v>
      </c>
    </row>
    <row r="2802" spans="1:6" ht="17.25" thickBot="1" x14ac:dyDescent="0.3">
      <c r="A2802" s="37"/>
      <c r="B2802" s="33" t="s">
        <v>37</v>
      </c>
      <c r="C2802" s="34">
        <v>45290</v>
      </c>
      <c r="D2802" s="37"/>
      <c r="E2802" s="35" t="s">
        <v>38</v>
      </c>
      <c r="F2802" s="36" t="s">
        <v>36</v>
      </c>
    </row>
    <row r="2803" spans="1:6" ht="17.25" thickBot="1" x14ac:dyDescent="0.3">
      <c r="A2803" s="37"/>
      <c r="B2803" s="33" t="s">
        <v>34</v>
      </c>
      <c r="C2803" s="38">
        <f>IF(C2802="","",IF(AND(MONTH(C2802)&gt;=1,MONTH(C2802)&lt;=3),1,IF(AND(MONTH(C2802)&gt;=4,MONTH(C2802)&lt;=6),2,IF(AND(MONTH(C2802)&gt;=7,MONTH(C2802)&lt;=9),3,4))))</f>
        <v>4</v>
      </c>
      <c r="D2803" s="37"/>
      <c r="E2803" s="35" t="s">
        <v>39</v>
      </c>
      <c r="F2803" s="36" t="s">
        <v>36</v>
      </c>
    </row>
    <row r="2804" spans="1:6" ht="17.25" thickBot="1" x14ac:dyDescent="0.3"/>
    <row r="2805" spans="1:6" ht="17.25" thickBot="1" x14ac:dyDescent="0.3">
      <c r="A2805" s="39" t="s">
        <v>40</v>
      </c>
      <c r="B2805" s="39" t="s">
        <v>41</v>
      </c>
      <c r="C2805" s="39" t="s">
        <v>42</v>
      </c>
      <c r="D2805" s="39" t="s">
        <v>43</v>
      </c>
      <c r="E2805" s="39" t="s">
        <v>44</v>
      </c>
      <c r="F2805" s="39" t="s">
        <v>45</v>
      </c>
    </row>
    <row r="2806" spans="1:6" x14ac:dyDescent="0.25">
      <c r="A2806" s="40" t="s">
        <v>555</v>
      </c>
      <c r="B2806" s="41" t="str">
        <f ca="1">IFERROR(INDEX(UNSPSCDes,MATCH(INDIRECT(ADDRESS(ROW(),COLUMN()-1,4)),UNSPSCCode,0)),IF(INDIRECT(ADDRESS(ROW(),COLUMN()-1,4))="72102201","Instalación o servicio de sistemas de energía eléctrica",""))</f>
        <v>Instalación o servicio de sistemas de energía eléctrica</v>
      </c>
      <c r="C2806" s="42" t="str">
        <f>IFERROR(VLOOKUP("UD",'[1]Informacion '!P:Q,2,FALSE),"")</f>
        <v>Unidad</v>
      </c>
      <c r="D2806" s="40">
        <v>1</v>
      </c>
      <c r="E2806" s="43">
        <v>1</v>
      </c>
      <c r="F2806" s="44">
        <f ca="1">INDIRECT(ADDRESS(ROW(),COLUMN()-2,4))*INDIRECT(ADDRESS(ROW(),COLUMN()-1,4))</f>
        <v>1</v>
      </c>
    </row>
    <row r="2807" spans="1:6" x14ac:dyDescent="0.25">
      <c r="E2807" s="45" t="s">
        <v>47</v>
      </c>
      <c r="F2807" s="46">
        <f ca="1">SUM(Table237[MONTO TOTAL ESTIMADO])</f>
        <v>1</v>
      </c>
    </row>
    <row r="2808" spans="1:6" ht="17.25" thickBot="1" x14ac:dyDescent="0.3"/>
    <row r="2809" spans="1:6" ht="23.25" thickBot="1" x14ac:dyDescent="0.3">
      <c r="A2809" s="30" t="s">
        <v>18</v>
      </c>
      <c r="B2809" s="30" t="s">
        <v>19</v>
      </c>
      <c r="C2809" s="30" t="s">
        <v>20</v>
      </c>
      <c r="D2809" s="30" t="s">
        <v>21</v>
      </c>
      <c r="E2809" s="30" t="s">
        <v>22</v>
      </c>
      <c r="F2809" s="30" t="s">
        <v>23</v>
      </c>
    </row>
    <row r="2810" spans="1:6" ht="17.25" thickBot="1" x14ac:dyDescent="0.3">
      <c r="A2810" s="31" t="s">
        <v>618</v>
      </c>
      <c r="B2810" s="31" t="s">
        <v>91</v>
      </c>
      <c r="C2810" s="31" t="s">
        <v>26</v>
      </c>
      <c r="D2810" s="31" t="s">
        <v>27</v>
      </c>
      <c r="E2810" s="31" t="s">
        <v>58</v>
      </c>
      <c r="F2810" s="31"/>
    </row>
    <row r="2811" spans="1:6" ht="17.25" thickBot="1" x14ac:dyDescent="0.3">
      <c r="A2811" s="32" t="s">
        <v>29</v>
      </c>
      <c r="B2811" s="33" t="s">
        <v>30</v>
      </c>
      <c r="C2811" s="34">
        <v>45016</v>
      </c>
      <c r="D2811" s="32" t="s">
        <v>31</v>
      </c>
      <c r="E2811" s="35" t="s">
        <v>32</v>
      </c>
      <c r="F2811" s="36" t="s">
        <v>33</v>
      </c>
    </row>
    <row r="2812" spans="1:6" ht="17.25" thickBot="1" x14ac:dyDescent="0.3">
      <c r="A2812" s="37"/>
      <c r="B2812" s="33" t="s">
        <v>34</v>
      </c>
      <c r="C2812" s="38">
        <f>IF(C2811="","",IF(AND(MONTH(C2811)&gt;=1,MONTH(C2811)&lt;=3),1,IF(AND(MONTH(C2811)&gt;=4,MONTH(C2811)&lt;=6),2,IF(AND(MONTH(C2811)&gt;=7,MONTH(C2811)&lt;=9),3,4))))</f>
        <v>1</v>
      </c>
      <c r="D2812" s="37"/>
      <c r="E2812" s="35" t="s">
        <v>35</v>
      </c>
      <c r="F2812" s="36" t="s">
        <v>36</v>
      </c>
    </row>
    <row r="2813" spans="1:6" ht="17.25" thickBot="1" x14ac:dyDescent="0.3">
      <c r="A2813" s="37"/>
      <c r="B2813" s="33" t="s">
        <v>37</v>
      </c>
      <c r="C2813" s="34">
        <v>45106</v>
      </c>
      <c r="D2813" s="37"/>
      <c r="E2813" s="35" t="s">
        <v>38</v>
      </c>
      <c r="F2813" s="36" t="s">
        <v>36</v>
      </c>
    </row>
    <row r="2814" spans="1:6" ht="17.25" thickBot="1" x14ac:dyDescent="0.3">
      <c r="A2814" s="37"/>
      <c r="B2814" s="33" t="s">
        <v>34</v>
      </c>
      <c r="C2814" s="38">
        <f>IF(C2813="","",IF(AND(MONTH(C2813)&gt;=1,MONTH(C2813)&lt;=3),1,IF(AND(MONTH(C2813)&gt;=4,MONTH(C2813)&lt;=6),2,IF(AND(MONTH(C2813)&gt;=7,MONTH(C2813)&lt;=9),3,4))))</f>
        <v>2</v>
      </c>
      <c r="D2814" s="37"/>
      <c r="E2814" s="35" t="s">
        <v>39</v>
      </c>
      <c r="F2814" s="36" t="s">
        <v>36</v>
      </c>
    </row>
    <row r="2815" spans="1:6" ht="17.25" thickBot="1" x14ac:dyDescent="0.3"/>
    <row r="2816" spans="1:6" ht="17.25" thickBot="1" x14ac:dyDescent="0.3">
      <c r="A2816" s="39" t="s">
        <v>40</v>
      </c>
      <c r="B2816" s="39" t="s">
        <v>41</v>
      </c>
      <c r="C2816" s="39" t="s">
        <v>42</v>
      </c>
      <c r="D2816" s="39" t="s">
        <v>43</v>
      </c>
      <c r="E2816" s="39" t="s">
        <v>44</v>
      </c>
      <c r="F2816" s="39" t="s">
        <v>45</v>
      </c>
    </row>
    <row r="2817" spans="1:6" x14ac:dyDescent="0.25">
      <c r="A2817" s="40" t="s">
        <v>619</v>
      </c>
      <c r="B2817" s="41" t="str">
        <f ca="1">IFERROR(INDEX(UNSPSCDes,MATCH(INDIRECT(ADDRESS(ROW(),COLUMN()-1,4)),UNSPSCCode,0)),IF(INDIRECT(ADDRESS(ROW(),COLUMN()-1,4))="72102402","Servicios de pintura de interiores",""))</f>
        <v>Servicios de pintura de interiores</v>
      </c>
      <c r="C2817" s="42" t="str">
        <f>IFERROR(VLOOKUP("UD",'[1]Informacion '!P:Q,2,FALSE),"")</f>
        <v>Unidad</v>
      </c>
      <c r="D2817" s="40">
        <v>1</v>
      </c>
      <c r="E2817" s="43">
        <v>1</v>
      </c>
      <c r="F2817" s="44">
        <f ca="1">INDIRECT(ADDRESS(ROW(),COLUMN()-2,4))*INDIRECT(ADDRESS(ROW(),COLUMN()-1,4))</f>
        <v>1</v>
      </c>
    </row>
    <row r="2818" spans="1:6" x14ac:dyDescent="0.25">
      <c r="E2818" s="45" t="s">
        <v>47</v>
      </c>
      <c r="F2818" s="46">
        <f ca="1">SUM(Table238[MONTO TOTAL ESTIMADO])</f>
        <v>1</v>
      </c>
    </row>
    <row r="2819" spans="1:6" ht="17.25" thickBot="1" x14ac:dyDescent="0.3"/>
    <row r="2820" spans="1:6" ht="23.25" thickBot="1" x14ac:dyDescent="0.3">
      <c r="A2820" s="30" t="s">
        <v>18</v>
      </c>
      <c r="B2820" s="30" t="s">
        <v>19</v>
      </c>
      <c r="C2820" s="30" t="s">
        <v>20</v>
      </c>
      <c r="D2820" s="30" t="s">
        <v>21</v>
      </c>
      <c r="E2820" s="30" t="s">
        <v>22</v>
      </c>
      <c r="F2820" s="30" t="s">
        <v>23</v>
      </c>
    </row>
    <row r="2821" spans="1:6" ht="17.25" thickBot="1" x14ac:dyDescent="0.3">
      <c r="A2821" s="31" t="s">
        <v>620</v>
      </c>
      <c r="B2821" s="31" t="s">
        <v>621</v>
      </c>
      <c r="C2821" s="31" t="s">
        <v>26</v>
      </c>
      <c r="D2821" s="31" t="s">
        <v>50</v>
      </c>
      <c r="E2821" s="31" t="s">
        <v>58</v>
      </c>
      <c r="F2821" s="31"/>
    </row>
    <row r="2822" spans="1:6" ht="17.25" thickBot="1" x14ac:dyDescent="0.3">
      <c r="A2822" s="32" t="s">
        <v>29</v>
      </c>
      <c r="B2822" s="33" t="s">
        <v>30</v>
      </c>
      <c r="C2822" s="34">
        <v>44958</v>
      </c>
      <c r="D2822" s="32" t="s">
        <v>31</v>
      </c>
      <c r="E2822" s="35" t="s">
        <v>32</v>
      </c>
      <c r="F2822" s="36" t="s">
        <v>33</v>
      </c>
    </row>
    <row r="2823" spans="1:6" ht="17.25" thickBot="1" x14ac:dyDescent="0.3">
      <c r="A2823" s="37"/>
      <c r="B2823" s="33" t="s">
        <v>34</v>
      </c>
      <c r="C2823" s="38">
        <f>IF(C2822="","",IF(AND(MONTH(C2822)&gt;=1,MONTH(C2822)&lt;=3),1,IF(AND(MONTH(C2822)&gt;=4,MONTH(C2822)&lt;=6),2,IF(AND(MONTH(C2822)&gt;=7,MONTH(C2822)&lt;=9),3,4))))</f>
        <v>1</v>
      </c>
      <c r="D2823" s="37"/>
      <c r="E2823" s="35" t="s">
        <v>35</v>
      </c>
      <c r="F2823" s="36" t="s">
        <v>36</v>
      </c>
    </row>
    <row r="2824" spans="1:6" ht="17.25" thickBot="1" x14ac:dyDescent="0.3">
      <c r="A2824" s="37"/>
      <c r="B2824" s="33" t="s">
        <v>37</v>
      </c>
      <c r="C2824" s="34">
        <v>45015</v>
      </c>
      <c r="D2824" s="37"/>
      <c r="E2824" s="35" t="s">
        <v>38</v>
      </c>
      <c r="F2824" s="36" t="s">
        <v>36</v>
      </c>
    </row>
    <row r="2825" spans="1:6" ht="17.25" thickBot="1" x14ac:dyDescent="0.3">
      <c r="A2825" s="37"/>
      <c r="B2825" s="33" t="s">
        <v>34</v>
      </c>
      <c r="C2825" s="38">
        <f>IF(C2824="","",IF(AND(MONTH(C2824)&gt;=1,MONTH(C2824)&lt;=3),1,IF(AND(MONTH(C2824)&gt;=4,MONTH(C2824)&lt;=6),2,IF(AND(MONTH(C2824)&gt;=7,MONTH(C2824)&lt;=9),3,4))))</f>
        <v>1</v>
      </c>
      <c r="D2825" s="37"/>
      <c r="E2825" s="35" t="s">
        <v>39</v>
      </c>
      <c r="F2825" s="36" t="s">
        <v>36</v>
      </c>
    </row>
    <row r="2826" spans="1:6" ht="17.25" thickBot="1" x14ac:dyDescent="0.3"/>
    <row r="2827" spans="1:6" ht="17.25" thickBot="1" x14ac:dyDescent="0.3">
      <c r="A2827" s="39" t="s">
        <v>40</v>
      </c>
      <c r="B2827" s="39" t="s">
        <v>41</v>
      </c>
      <c r="C2827" s="39" t="s">
        <v>42</v>
      </c>
      <c r="D2827" s="39" t="s">
        <v>43</v>
      </c>
      <c r="E2827" s="39" t="s">
        <v>44</v>
      </c>
      <c r="F2827" s="39" t="s">
        <v>45</v>
      </c>
    </row>
    <row r="2828" spans="1:6" ht="22.5" x14ac:dyDescent="0.25">
      <c r="A2828" s="40">
        <v>81111812</v>
      </c>
      <c r="B2828" s="41" t="str">
        <f ca="1">IFERROR(INDEX(UNSPSCDes,MATCH(INDIRECT(ADDRESS(ROW(),COLUMN()-1,4)),UNSPSCCode,0)),IF(INDIRECT(ADDRESS(ROW(),COLUMN()-1,4))="81111812","Servicio de mantenimiento o soporte del hardware del computador",""))</f>
        <v>Servicio de mantenimiento o soporte del hardware del computador</v>
      </c>
      <c r="C2828" s="42" t="s">
        <v>66</v>
      </c>
      <c r="D2828" s="40">
        <v>1</v>
      </c>
      <c r="E2828" s="43">
        <v>1</v>
      </c>
      <c r="F2828" s="44">
        <f ca="1">INDIRECT(ADDRESS(ROW(),COLUMN()-2,4))*INDIRECT(ADDRESS(ROW(),COLUMN()-1,4))</f>
        <v>1</v>
      </c>
    </row>
    <row r="2829" spans="1:6" x14ac:dyDescent="0.25">
      <c r="E2829" s="45" t="s">
        <v>47</v>
      </c>
      <c r="F2829" s="46">
        <f ca="1">SUM(Table239[MONTO TOTAL ESTIMADO])</f>
        <v>1</v>
      </c>
    </row>
    <row r="2830" spans="1:6" ht="17.25" thickBot="1" x14ac:dyDescent="0.3"/>
    <row r="2831" spans="1:6" ht="23.25" thickBot="1" x14ac:dyDescent="0.3">
      <c r="A2831" s="30" t="s">
        <v>18</v>
      </c>
      <c r="B2831" s="30" t="s">
        <v>19</v>
      </c>
      <c r="C2831" s="30" t="s">
        <v>20</v>
      </c>
      <c r="D2831" s="30" t="s">
        <v>21</v>
      </c>
      <c r="E2831" s="30" t="s">
        <v>22</v>
      </c>
      <c r="F2831" s="30" t="s">
        <v>23</v>
      </c>
    </row>
    <row r="2832" spans="1:6" ht="17.25" thickBot="1" x14ac:dyDescent="0.3">
      <c r="A2832" s="31" t="s">
        <v>622</v>
      </c>
      <c r="B2832" s="31" t="s">
        <v>623</v>
      </c>
      <c r="C2832" s="31" t="s">
        <v>92</v>
      </c>
      <c r="D2832" s="31" t="s">
        <v>27</v>
      </c>
      <c r="E2832" s="31" t="s">
        <v>58</v>
      </c>
      <c r="F2832" s="31"/>
    </row>
    <row r="2833" spans="1:6" ht="17.25" thickBot="1" x14ac:dyDescent="0.3">
      <c r="A2833" s="32" t="s">
        <v>29</v>
      </c>
      <c r="B2833" s="33" t="s">
        <v>30</v>
      </c>
      <c r="C2833" s="34">
        <v>44958</v>
      </c>
      <c r="D2833" s="32" t="s">
        <v>31</v>
      </c>
      <c r="E2833" s="35" t="s">
        <v>32</v>
      </c>
      <c r="F2833" s="36" t="s">
        <v>33</v>
      </c>
    </row>
    <row r="2834" spans="1:6" ht="17.25" thickBot="1" x14ac:dyDescent="0.3">
      <c r="A2834" s="37"/>
      <c r="B2834" s="33" t="s">
        <v>34</v>
      </c>
      <c r="C2834" s="38">
        <f>IF(C2833="","",IF(AND(MONTH(C2833)&gt;=1,MONTH(C2833)&lt;=3),1,IF(AND(MONTH(C2833)&gt;=4,MONTH(C2833)&lt;=6),2,IF(AND(MONTH(C2833)&gt;=7,MONTH(C2833)&lt;=9),3,4))))</f>
        <v>1</v>
      </c>
      <c r="D2834" s="37"/>
      <c r="E2834" s="35" t="s">
        <v>35</v>
      </c>
      <c r="F2834" s="36" t="s">
        <v>36</v>
      </c>
    </row>
    <row r="2835" spans="1:6" ht="17.25" thickBot="1" x14ac:dyDescent="0.3">
      <c r="A2835" s="37"/>
      <c r="B2835" s="33" t="s">
        <v>37</v>
      </c>
      <c r="C2835" s="34">
        <v>45015</v>
      </c>
      <c r="D2835" s="37"/>
      <c r="E2835" s="35" t="s">
        <v>38</v>
      </c>
      <c r="F2835" s="36" t="s">
        <v>36</v>
      </c>
    </row>
    <row r="2836" spans="1:6" ht="17.25" thickBot="1" x14ac:dyDescent="0.3">
      <c r="A2836" s="37"/>
      <c r="B2836" s="33" t="s">
        <v>34</v>
      </c>
      <c r="C2836" s="38">
        <f>IF(C2835="","",IF(AND(MONTH(C2835)&gt;=1,MONTH(C2835)&lt;=3),1,IF(AND(MONTH(C2835)&gt;=4,MONTH(C2835)&lt;=6),2,IF(AND(MONTH(C2835)&gt;=7,MONTH(C2835)&lt;=9),3,4))))</f>
        <v>1</v>
      </c>
      <c r="D2836" s="37"/>
      <c r="E2836" s="35" t="s">
        <v>39</v>
      </c>
      <c r="F2836" s="36" t="s">
        <v>36</v>
      </c>
    </row>
    <row r="2837" spans="1:6" ht="17.25" thickBot="1" x14ac:dyDescent="0.3"/>
    <row r="2838" spans="1:6" ht="17.25" thickBot="1" x14ac:dyDescent="0.3">
      <c r="A2838" s="39" t="s">
        <v>40</v>
      </c>
      <c r="B2838" s="39" t="s">
        <v>41</v>
      </c>
      <c r="C2838" s="39" t="s">
        <v>42</v>
      </c>
      <c r="D2838" s="39" t="s">
        <v>43</v>
      </c>
      <c r="E2838" s="39" t="s">
        <v>44</v>
      </c>
      <c r="F2838" s="39" t="s">
        <v>45</v>
      </c>
    </row>
    <row r="2839" spans="1:6" x14ac:dyDescent="0.25">
      <c r="A2839" s="40" t="s">
        <v>624</v>
      </c>
      <c r="B2839" s="41" t="str">
        <f ca="1">IFERROR(INDEX(UNSPSCDes,MATCH(INDIRECT(ADDRESS(ROW(),COLUMN()-1,4)),UNSPSCCode,0)),IF(INDIRECT(ADDRESS(ROW(),COLUMN()-1,4))="44101501","Fotocopiadoras",""))</f>
        <v>Fotocopiadoras</v>
      </c>
      <c r="C2839" s="42" t="str">
        <f>IFERROR(VLOOKUP("UD",'[1]Informacion '!P:Q,2,FALSE),"")</f>
        <v>Unidad</v>
      </c>
      <c r="D2839" s="40">
        <v>1</v>
      </c>
      <c r="E2839" s="43">
        <v>1</v>
      </c>
      <c r="F2839" s="44">
        <f ca="1">INDIRECT(ADDRESS(ROW(),COLUMN()-2,4))*INDIRECT(ADDRESS(ROW(),COLUMN()-1,4))</f>
        <v>1</v>
      </c>
    </row>
    <row r="2840" spans="1:6" x14ac:dyDescent="0.25">
      <c r="E2840" s="45" t="s">
        <v>47</v>
      </c>
      <c r="F2840" s="46">
        <f ca="1">SUM(Table243[MONTO TOTAL ESTIMADO])</f>
        <v>1</v>
      </c>
    </row>
    <row r="2841" spans="1:6" ht="17.25" thickBot="1" x14ac:dyDescent="0.3"/>
    <row r="2842" spans="1:6" ht="23.25" thickBot="1" x14ac:dyDescent="0.3">
      <c r="A2842" s="30" t="s">
        <v>18</v>
      </c>
      <c r="B2842" s="30" t="s">
        <v>19</v>
      </c>
      <c r="C2842" s="30" t="s">
        <v>20</v>
      </c>
      <c r="D2842" s="30" t="s">
        <v>21</v>
      </c>
      <c r="E2842" s="30" t="s">
        <v>22</v>
      </c>
      <c r="F2842" s="30" t="s">
        <v>23</v>
      </c>
    </row>
    <row r="2843" spans="1:6" ht="17.25" thickBot="1" x14ac:dyDescent="0.3">
      <c r="A2843" s="31" t="s">
        <v>625</v>
      </c>
      <c r="B2843" s="31" t="s">
        <v>626</v>
      </c>
      <c r="C2843" s="31" t="s">
        <v>26</v>
      </c>
      <c r="D2843" s="31" t="s">
        <v>27</v>
      </c>
      <c r="E2843" s="31" t="s">
        <v>58</v>
      </c>
      <c r="F2843" s="31"/>
    </row>
    <row r="2844" spans="1:6" ht="17.25" thickBot="1" x14ac:dyDescent="0.3">
      <c r="A2844" s="32" t="s">
        <v>29</v>
      </c>
      <c r="B2844" s="33" t="s">
        <v>30</v>
      </c>
      <c r="C2844" s="34">
        <v>44958</v>
      </c>
      <c r="D2844" s="32" t="s">
        <v>31</v>
      </c>
      <c r="E2844" s="35" t="s">
        <v>32</v>
      </c>
      <c r="F2844" s="36" t="s">
        <v>33</v>
      </c>
    </row>
    <row r="2845" spans="1:6" ht="17.25" thickBot="1" x14ac:dyDescent="0.3">
      <c r="A2845" s="37"/>
      <c r="B2845" s="33" t="s">
        <v>34</v>
      </c>
      <c r="C2845" s="38">
        <f>IF(C2844="","",IF(AND(MONTH(C2844)&gt;=1,MONTH(C2844)&lt;=3),1,IF(AND(MONTH(C2844)&gt;=4,MONTH(C2844)&lt;=6),2,IF(AND(MONTH(C2844)&gt;=7,MONTH(C2844)&lt;=9),3,4))))</f>
        <v>1</v>
      </c>
      <c r="D2845" s="37"/>
      <c r="E2845" s="35" t="s">
        <v>35</v>
      </c>
      <c r="F2845" s="36" t="s">
        <v>36</v>
      </c>
    </row>
    <row r="2846" spans="1:6" ht="17.25" thickBot="1" x14ac:dyDescent="0.3">
      <c r="A2846" s="37"/>
      <c r="B2846" s="33" t="s">
        <v>37</v>
      </c>
      <c r="C2846" s="34">
        <v>45015</v>
      </c>
      <c r="D2846" s="37"/>
      <c r="E2846" s="35" t="s">
        <v>38</v>
      </c>
      <c r="F2846" s="36" t="s">
        <v>36</v>
      </c>
    </row>
    <row r="2847" spans="1:6" ht="17.25" thickBot="1" x14ac:dyDescent="0.3">
      <c r="A2847" s="37"/>
      <c r="B2847" s="33" t="s">
        <v>34</v>
      </c>
      <c r="C2847" s="38">
        <f>IF(C2846="","",IF(AND(MONTH(C2846)&gt;=1,MONTH(C2846)&lt;=3),1,IF(AND(MONTH(C2846)&gt;=4,MONTH(C2846)&lt;=6),2,IF(AND(MONTH(C2846)&gt;=7,MONTH(C2846)&lt;=9),3,4))))</f>
        <v>1</v>
      </c>
      <c r="D2847" s="37"/>
      <c r="E2847" s="35" t="s">
        <v>39</v>
      </c>
      <c r="F2847" s="36" t="s">
        <v>36</v>
      </c>
    </row>
    <row r="2848" spans="1:6" ht="17.25" thickBot="1" x14ac:dyDescent="0.3"/>
    <row r="2849" spans="1:6" ht="17.25" thickBot="1" x14ac:dyDescent="0.3">
      <c r="A2849" s="39" t="s">
        <v>40</v>
      </c>
      <c r="B2849" s="39" t="s">
        <v>41</v>
      </c>
      <c r="C2849" s="39" t="s">
        <v>42</v>
      </c>
      <c r="D2849" s="39" t="s">
        <v>43</v>
      </c>
      <c r="E2849" s="39" t="s">
        <v>44</v>
      </c>
      <c r="F2849" s="39" t="s">
        <v>45</v>
      </c>
    </row>
    <row r="2850" spans="1:6" x14ac:dyDescent="0.25">
      <c r="A2850" s="40" t="s">
        <v>627</v>
      </c>
      <c r="B2850" s="41" t="str">
        <f ca="1">IFERROR(INDEX(UNSPSCDes,MATCH(INDIRECT(ADDRESS(ROW(),COLUMN()-1,4)),UNSPSCCode,0)),IF(INDIRECT(ADDRESS(ROW(),COLUMN()-1,4))="25101611","Camiones de carga",""))</f>
        <v>Camiones de carga</v>
      </c>
      <c r="C2850" s="42" t="str">
        <f>IFERROR(VLOOKUP("UD",'[1]Informacion '!P:Q,2,FALSE),"")</f>
        <v>Unidad</v>
      </c>
      <c r="D2850" s="40">
        <v>1</v>
      </c>
      <c r="E2850" s="43">
        <v>1</v>
      </c>
      <c r="F2850" s="44">
        <f ca="1">INDIRECT(ADDRESS(ROW(),COLUMN()-2,4))*INDIRECT(ADDRESS(ROW(),COLUMN()-1,4))</f>
        <v>1</v>
      </c>
    </row>
    <row r="2851" spans="1:6" x14ac:dyDescent="0.25">
      <c r="E2851" s="45" t="s">
        <v>47</v>
      </c>
      <c r="F2851" s="46">
        <f ca="1">SUM(Table244[MONTO TOTAL ESTIMADO])</f>
        <v>1</v>
      </c>
    </row>
    <row r="2852" spans="1:6" ht="17.25" thickBot="1" x14ac:dyDescent="0.3"/>
    <row r="2853" spans="1:6" ht="23.25" thickBot="1" x14ac:dyDescent="0.3">
      <c r="A2853" s="30" t="s">
        <v>18</v>
      </c>
      <c r="B2853" s="30" t="s">
        <v>19</v>
      </c>
      <c r="C2853" s="30" t="s">
        <v>20</v>
      </c>
      <c r="D2853" s="30" t="s">
        <v>21</v>
      </c>
      <c r="E2853" s="30" t="s">
        <v>22</v>
      </c>
      <c r="F2853" s="30" t="s">
        <v>23</v>
      </c>
    </row>
    <row r="2854" spans="1:6" ht="17.25" thickBot="1" x14ac:dyDescent="0.3">
      <c r="A2854" s="31" t="s">
        <v>628</v>
      </c>
      <c r="B2854" s="31" t="s">
        <v>629</v>
      </c>
      <c r="C2854" s="31" t="s">
        <v>92</v>
      </c>
      <c r="D2854" s="31" t="s">
        <v>27</v>
      </c>
      <c r="E2854" s="31" t="s">
        <v>58</v>
      </c>
      <c r="F2854" s="31"/>
    </row>
    <row r="2855" spans="1:6" ht="17.25" thickBot="1" x14ac:dyDescent="0.3">
      <c r="A2855" s="32" t="s">
        <v>29</v>
      </c>
      <c r="B2855" s="33" t="s">
        <v>30</v>
      </c>
      <c r="C2855" s="34">
        <v>45107</v>
      </c>
      <c r="D2855" s="32" t="s">
        <v>31</v>
      </c>
      <c r="E2855" s="35" t="s">
        <v>32</v>
      </c>
      <c r="F2855" s="36" t="s">
        <v>33</v>
      </c>
    </row>
    <row r="2856" spans="1:6" ht="17.25" thickBot="1" x14ac:dyDescent="0.3">
      <c r="A2856" s="37"/>
      <c r="B2856" s="33" t="s">
        <v>34</v>
      </c>
      <c r="C2856" s="38">
        <f>IF(C2855="","",IF(AND(MONTH(C2855)&gt;=1,MONTH(C2855)&lt;=3),1,IF(AND(MONTH(C2855)&gt;=4,MONTH(C2855)&lt;=6),2,IF(AND(MONTH(C2855)&gt;=7,MONTH(C2855)&lt;=9),3,4))))</f>
        <v>2</v>
      </c>
      <c r="D2856" s="37"/>
      <c r="E2856" s="35" t="s">
        <v>35</v>
      </c>
      <c r="F2856" s="36" t="s">
        <v>36</v>
      </c>
    </row>
    <row r="2857" spans="1:6" ht="17.25" thickBot="1" x14ac:dyDescent="0.3">
      <c r="A2857" s="37"/>
      <c r="B2857" s="33" t="s">
        <v>37</v>
      </c>
      <c r="C2857" s="34">
        <v>45198</v>
      </c>
      <c r="D2857" s="37"/>
      <c r="E2857" s="35" t="s">
        <v>38</v>
      </c>
      <c r="F2857" s="36" t="s">
        <v>36</v>
      </c>
    </row>
    <row r="2858" spans="1:6" ht="17.25" thickBot="1" x14ac:dyDescent="0.3">
      <c r="A2858" s="37"/>
      <c r="B2858" s="33" t="s">
        <v>34</v>
      </c>
      <c r="C2858" s="38">
        <f>IF(C2857="","",IF(AND(MONTH(C2857)&gt;=1,MONTH(C2857)&lt;=3),1,IF(AND(MONTH(C2857)&gt;=4,MONTH(C2857)&lt;=6),2,IF(AND(MONTH(C2857)&gt;=7,MONTH(C2857)&lt;=9),3,4))))</f>
        <v>3</v>
      </c>
      <c r="D2858" s="37"/>
      <c r="E2858" s="35" t="s">
        <v>39</v>
      </c>
      <c r="F2858" s="36" t="s">
        <v>36</v>
      </c>
    </row>
    <row r="2859" spans="1:6" ht="17.25" thickBot="1" x14ac:dyDescent="0.3"/>
    <row r="2860" spans="1:6" ht="17.25" thickBot="1" x14ac:dyDescent="0.3">
      <c r="A2860" s="39" t="s">
        <v>40</v>
      </c>
      <c r="B2860" s="39" t="s">
        <v>41</v>
      </c>
      <c r="C2860" s="39" t="s">
        <v>42</v>
      </c>
      <c r="D2860" s="39" t="s">
        <v>43</v>
      </c>
      <c r="E2860" s="39" t="s">
        <v>44</v>
      </c>
      <c r="F2860" s="39" t="s">
        <v>45</v>
      </c>
    </row>
    <row r="2861" spans="1:6" x14ac:dyDescent="0.25">
      <c r="A2861" s="40" t="s">
        <v>630</v>
      </c>
      <c r="B2861" s="41" t="str">
        <f ca="1">IFERROR(INDEX(UNSPSCDes,MATCH(INDIRECT(ADDRESS(ROW(),COLUMN()-1,4)),UNSPSCCode,0)),IF(INDIRECT(ADDRESS(ROW(),COLUMN()-1,4))="72102802","Restauración de edificios, mojones o monumentos",""))</f>
        <v>Restauración de edificios, mojones o monumentos</v>
      </c>
      <c r="C2861" s="42" t="str">
        <f>IFERROR(VLOOKUP("UD",'[1]Informacion '!P:Q,2,FALSE),"")</f>
        <v>Unidad</v>
      </c>
      <c r="D2861" s="40">
        <v>1</v>
      </c>
      <c r="E2861" s="43">
        <v>1</v>
      </c>
      <c r="F2861" s="44">
        <f ca="1">INDIRECT(ADDRESS(ROW(),COLUMN()-2,4))*INDIRECT(ADDRESS(ROW(),COLUMN()-1,4))</f>
        <v>1</v>
      </c>
    </row>
    <row r="2862" spans="1:6" x14ac:dyDescent="0.25">
      <c r="A2862" s="40" t="s">
        <v>631</v>
      </c>
      <c r="B2862" s="41" t="str">
        <f ca="1">IFERROR(INDEX(UNSPSCDes,MATCH(INDIRECT(ADDRESS(ROW(),COLUMN()-1,4)),UNSPSCCode,0)),IF(INDIRECT(ADDRESS(ROW(),COLUMN()-1,4))="70111703","Servicios de plantación o mantenimiento de jardines",""))</f>
        <v>Servicios de plantación o mantenimiento de jardines</v>
      </c>
      <c r="C2862" s="42" t="str">
        <f>IFERROR(VLOOKUP("UD",'[1]Informacion '!P:Q,2,FALSE),"")</f>
        <v>Unidad</v>
      </c>
      <c r="D2862" s="40">
        <v>1</v>
      </c>
      <c r="E2862" s="43">
        <v>1</v>
      </c>
      <c r="F2862" s="44">
        <f ca="1">INDIRECT(ADDRESS(ROW(),COLUMN()-2,4))*INDIRECT(ADDRESS(ROW(),COLUMN()-1,4))</f>
        <v>1</v>
      </c>
    </row>
    <row r="2863" spans="1:6" x14ac:dyDescent="0.25">
      <c r="E2863" s="45" t="s">
        <v>47</v>
      </c>
      <c r="F2863" s="46">
        <f ca="1">SUM(Table245[MONTO TOTAL ESTIMADO])</f>
        <v>2</v>
      </c>
    </row>
    <row r="2864" spans="1:6" ht="17.25" thickBot="1" x14ac:dyDescent="0.3"/>
    <row r="2865" spans="1:6" ht="23.25" thickBot="1" x14ac:dyDescent="0.3">
      <c r="A2865" s="30" t="s">
        <v>18</v>
      </c>
      <c r="B2865" s="30" t="s">
        <v>19</v>
      </c>
      <c r="C2865" s="30" t="s">
        <v>20</v>
      </c>
      <c r="D2865" s="30" t="s">
        <v>21</v>
      </c>
      <c r="E2865" s="30" t="s">
        <v>22</v>
      </c>
      <c r="F2865" s="30" t="s">
        <v>23</v>
      </c>
    </row>
    <row r="2866" spans="1:6" ht="17.25" thickBot="1" x14ac:dyDescent="0.3">
      <c r="A2866" s="31" t="s">
        <v>628</v>
      </c>
      <c r="B2866" s="31" t="s">
        <v>632</v>
      </c>
      <c r="C2866" s="31" t="s">
        <v>26</v>
      </c>
      <c r="D2866" s="31" t="s">
        <v>27</v>
      </c>
      <c r="E2866" s="31" t="s">
        <v>58</v>
      </c>
      <c r="F2866" s="31"/>
    </row>
    <row r="2867" spans="1:6" ht="17.25" thickBot="1" x14ac:dyDescent="0.3">
      <c r="A2867" s="32" t="s">
        <v>29</v>
      </c>
      <c r="B2867" s="33" t="s">
        <v>30</v>
      </c>
      <c r="C2867" s="34">
        <v>44958</v>
      </c>
      <c r="D2867" s="32" t="s">
        <v>31</v>
      </c>
      <c r="E2867" s="35" t="s">
        <v>32</v>
      </c>
      <c r="F2867" s="36" t="s">
        <v>33</v>
      </c>
    </row>
    <row r="2868" spans="1:6" ht="17.25" thickBot="1" x14ac:dyDescent="0.3">
      <c r="A2868" s="37"/>
      <c r="B2868" s="33" t="s">
        <v>34</v>
      </c>
      <c r="C2868" s="38">
        <f>IF(C2867="","",IF(AND(MONTH(C2867)&gt;=1,MONTH(C2867)&lt;=3),1,IF(AND(MONTH(C2867)&gt;=4,MONTH(C2867)&lt;=6),2,IF(AND(MONTH(C2867)&gt;=7,MONTH(C2867)&lt;=9),3,4))))</f>
        <v>1</v>
      </c>
      <c r="D2868" s="37"/>
      <c r="E2868" s="35" t="s">
        <v>35</v>
      </c>
      <c r="F2868" s="36" t="s">
        <v>36</v>
      </c>
    </row>
    <row r="2869" spans="1:6" ht="17.25" thickBot="1" x14ac:dyDescent="0.3">
      <c r="A2869" s="37"/>
      <c r="B2869" s="33" t="s">
        <v>37</v>
      </c>
      <c r="C2869" s="34">
        <v>45015</v>
      </c>
      <c r="D2869" s="37"/>
      <c r="E2869" s="35" t="s">
        <v>38</v>
      </c>
      <c r="F2869" s="36" t="s">
        <v>36</v>
      </c>
    </row>
    <row r="2870" spans="1:6" ht="17.25" thickBot="1" x14ac:dyDescent="0.3">
      <c r="A2870" s="37"/>
      <c r="B2870" s="33" t="s">
        <v>34</v>
      </c>
      <c r="C2870" s="38">
        <f>IF(C2869="","",IF(AND(MONTH(C2869)&gt;=1,MONTH(C2869)&lt;=3),1,IF(AND(MONTH(C2869)&gt;=4,MONTH(C2869)&lt;=6),2,IF(AND(MONTH(C2869)&gt;=7,MONTH(C2869)&lt;=9),3,4))))</f>
        <v>1</v>
      </c>
      <c r="D2870" s="37"/>
      <c r="E2870" s="35" t="s">
        <v>39</v>
      </c>
      <c r="F2870" s="36" t="s">
        <v>36</v>
      </c>
    </row>
    <row r="2871" spans="1:6" ht="17.25" thickBot="1" x14ac:dyDescent="0.3"/>
    <row r="2872" spans="1:6" ht="17.25" thickBot="1" x14ac:dyDescent="0.3">
      <c r="A2872" s="39" t="s">
        <v>40</v>
      </c>
      <c r="B2872" s="39" t="s">
        <v>41</v>
      </c>
      <c r="C2872" s="39" t="s">
        <v>42</v>
      </c>
      <c r="D2872" s="39" t="s">
        <v>43</v>
      </c>
      <c r="E2872" s="39" t="s">
        <v>44</v>
      </c>
      <c r="F2872" s="39" t="s">
        <v>45</v>
      </c>
    </row>
    <row r="2873" spans="1:6" x14ac:dyDescent="0.25">
      <c r="A2873" s="40" t="s">
        <v>633</v>
      </c>
      <c r="B2873" s="41" t="str">
        <f ca="1">IFERROR(INDEX(UNSPSCDes,MATCH(INDIRECT(ADDRESS(ROW(),COLUMN()-1,4)),UNSPSCCode,0)),IF(INDIRECT(ADDRESS(ROW(),COLUMN()-1,4))="81111805","Mantenimiento o soporte de sistemas patentados o autorizados",""))</f>
        <v>Mantenimiento o soporte de sistemas patentados o autorizados</v>
      </c>
      <c r="C2873" s="42" t="str">
        <f>IFERROR(VLOOKUP("UD",'[1]Informacion '!P:Q,2,FALSE),"")</f>
        <v>Unidad</v>
      </c>
      <c r="D2873" s="40">
        <v>1</v>
      </c>
      <c r="E2873" s="43">
        <v>1</v>
      </c>
      <c r="F2873" s="44">
        <f ca="1">INDIRECT(ADDRESS(ROW(),COLUMN()-2,4))*INDIRECT(ADDRESS(ROW(),COLUMN()-1,4))</f>
        <v>1</v>
      </c>
    </row>
    <row r="2874" spans="1:6" ht="22.5" x14ac:dyDescent="0.25">
      <c r="A2874" s="40" t="s">
        <v>634</v>
      </c>
      <c r="B2874" s="41" t="str">
        <f ca="1">IFERROR(INDEX(UNSPSCDes,MATCH(INDIRECT(ADDRESS(ROW(),COLUMN()-1,4)),UNSPSCCode,0)),IF(INDIRECT(ADDRESS(ROW(),COLUMN()-1,4))="72101517","Servicio de mantenimiento o reparación de generadores portátiles",""))</f>
        <v>Servicio de mantenimiento o reparación de generadores portátiles</v>
      </c>
      <c r="C2874" s="42" t="str">
        <f>IFERROR(VLOOKUP("UD",'[1]Informacion '!P:Q,2,FALSE),"")</f>
        <v>Unidad</v>
      </c>
      <c r="D2874" s="40">
        <v>1</v>
      </c>
      <c r="E2874" s="43">
        <v>1</v>
      </c>
      <c r="F2874" s="44">
        <f ca="1">INDIRECT(ADDRESS(ROW(),COLUMN()-2,4))*INDIRECT(ADDRESS(ROW(),COLUMN()-1,4))</f>
        <v>1</v>
      </c>
    </row>
    <row r="2875" spans="1:6" x14ac:dyDescent="0.25">
      <c r="E2875" s="45" t="s">
        <v>47</v>
      </c>
      <c r="F2875" s="46">
        <f ca="1">SUM(Table246[MONTO TOTAL ESTIMADO])</f>
        <v>2</v>
      </c>
    </row>
    <row r="2876" spans="1:6" ht="17.25" thickBot="1" x14ac:dyDescent="0.3"/>
    <row r="2877" spans="1:6" ht="23.25" thickBot="1" x14ac:dyDescent="0.3">
      <c r="A2877" s="30" t="s">
        <v>18</v>
      </c>
      <c r="B2877" s="30" t="s">
        <v>19</v>
      </c>
      <c r="C2877" s="30" t="s">
        <v>20</v>
      </c>
      <c r="D2877" s="30" t="s">
        <v>21</v>
      </c>
      <c r="E2877" s="30" t="s">
        <v>22</v>
      </c>
      <c r="F2877" s="30" t="s">
        <v>23</v>
      </c>
    </row>
    <row r="2878" spans="1:6" ht="17.25" thickBot="1" x14ac:dyDescent="0.3">
      <c r="A2878" s="31" t="s">
        <v>635</v>
      </c>
      <c r="B2878" s="31" t="s">
        <v>636</v>
      </c>
      <c r="C2878" s="31" t="s">
        <v>26</v>
      </c>
      <c r="D2878" s="31" t="s">
        <v>27</v>
      </c>
      <c r="E2878" s="31" t="s">
        <v>58</v>
      </c>
      <c r="F2878" s="31"/>
    </row>
    <row r="2879" spans="1:6" ht="17.25" thickBot="1" x14ac:dyDescent="0.3">
      <c r="A2879" s="32" t="s">
        <v>29</v>
      </c>
      <c r="B2879" s="33" t="s">
        <v>30</v>
      </c>
      <c r="C2879" s="34">
        <v>44958</v>
      </c>
      <c r="D2879" s="32" t="s">
        <v>31</v>
      </c>
      <c r="E2879" s="35" t="s">
        <v>32</v>
      </c>
      <c r="F2879" s="36" t="s">
        <v>33</v>
      </c>
    </row>
    <row r="2880" spans="1:6" ht="17.25" thickBot="1" x14ac:dyDescent="0.3">
      <c r="A2880" s="37"/>
      <c r="B2880" s="33" t="s">
        <v>34</v>
      </c>
      <c r="C2880" s="38">
        <f>IF(C2879="","",IF(AND(MONTH(C2879)&gt;=1,MONTH(C2879)&lt;=3),1,IF(AND(MONTH(C2879)&gt;=4,MONTH(C2879)&lt;=6),2,IF(AND(MONTH(C2879)&gt;=7,MONTH(C2879)&lt;=9),3,4))))</f>
        <v>1</v>
      </c>
      <c r="D2880" s="37"/>
      <c r="E2880" s="35" t="s">
        <v>35</v>
      </c>
      <c r="F2880" s="36" t="s">
        <v>36</v>
      </c>
    </row>
    <row r="2881" spans="1:6" ht="17.25" thickBot="1" x14ac:dyDescent="0.3">
      <c r="A2881" s="37"/>
      <c r="B2881" s="33" t="s">
        <v>37</v>
      </c>
      <c r="C2881" s="34">
        <v>45015</v>
      </c>
      <c r="D2881" s="37"/>
      <c r="E2881" s="35" t="s">
        <v>38</v>
      </c>
      <c r="F2881" s="36" t="s">
        <v>36</v>
      </c>
    </row>
    <row r="2882" spans="1:6" ht="17.25" thickBot="1" x14ac:dyDescent="0.3">
      <c r="A2882" s="37"/>
      <c r="B2882" s="33" t="s">
        <v>34</v>
      </c>
      <c r="C2882" s="38">
        <f>IF(C2881="","",IF(AND(MONTH(C2881)&gt;=1,MONTH(C2881)&lt;=3),1,IF(AND(MONTH(C2881)&gt;=4,MONTH(C2881)&lt;=6),2,IF(AND(MONTH(C2881)&gt;=7,MONTH(C2881)&lt;=9),3,4))))</f>
        <v>1</v>
      </c>
      <c r="D2882" s="37"/>
      <c r="E2882" s="35" t="s">
        <v>39</v>
      </c>
      <c r="F2882" s="36" t="s">
        <v>36</v>
      </c>
    </row>
    <row r="2883" spans="1:6" ht="17.25" thickBot="1" x14ac:dyDescent="0.3"/>
    <row r="2884" spans="1:6" ht="17.25" thickBot="1" x14ac:dyDescent="0.3">
      <c r="A2884" s="39" t="s">
        <v>40</v>
      </c>
      <c r="B2884" s="39" t="s">
        <v>41</v>
      </c>
      <c r="C2884" s="39" t="s">
        <v>42</v>
      </c>
      <c r="D2884" s="39" t="s">
        <v>43</v>
      </c>
      <c r="E2884" s="39" t="s">
        <v>44</v>
      </c>
      <c r="F2884" s="39" t="s">
        <v>45</v>
      </c>
    </row>
    <row r="2885" spans="1:6" x14ac:dyDescent="0.25">
      <c r="A2885" s="40">
        <v>85161501</v>
      </c>
      <c r="B2885" s="41" t="str">
        <f ca="1">IFERROR(INDEX(UNSPSCDes,MATCH(INDIRECT(ADDRESS(ROW(),COLUMN()-1,4)),UNSPSCCode,0)),IF(INDIRECT(ADDRESS(ROW(),COLUMN()-1,4))="85161501","Mantenimiento o reparación de equipo médico mayor (capital)",""))</f>
        <v/>
      </c>
      <c r="C2885" s="42" t="str">
        <f>IFERROR(VLOOKUP("UD",'[1]Informacion '!P:Q,2,FALSE),"")</f>
        <v>Unidad</v>
      </c>
      <c r="D2885" s="40">
        <v>1</v>
      </c>
      <c r="E2885" s="43">
        <v>1</v>
      </c>
      <c r="F2885" s="44">
        <f ca="1">INDIRECT(ADDRESS(ROW(),COLUMN()-2,4))*INDIRECT(ADDRESS(ROW(),COLUMN()-1,4))</f>
        <v>1</v>
      </c>
    </row>
    <row r="2886" spans="1:6" x14ac:dyDescent="0.25">
      <c r="E2886" s="45" t="s">
        <v>47</v>
      </c>
      <c r="F2886" s="46">
        <f ca="1">SUM(Table247[MONTO TOTAL ESTIMADO])</f>
        <v>1</v>
      </c>
    </row>
    <row r="2887" spans="1:6" ht="17.25" thickBot="1" x14ac:dyDescent="0.3"/>
    <row r="2888" spans="1:6" ht="23.25" thickBot="1" x14ac:dyDescent="0.3">
      <c r="A2888" s="30" t="s">
        <v>18</v>
      </c>
      <c r="B2888" s="30" t="s">
        <v>19</v>
      </c>
      <c r="C2888" s="30" t="s">
        <v>20</v>
      </c>
      <c r="D2888" s="30" t="s">
        <v>21</v>
      </c>
      <c r="E2888" s="30" t="s">
        <v>22</v>
      </c>
      <c r="F2888" s="30" t="s">
        <v>23</v>
      </c>
    </row>
    <row r="2889" spans="1:6" ht="17.25" thickBot="1" x14ac:dyDescent="0.3">
      <c r="A2889" s="31" t="s">
        <v>637</v>
      </c>
      <c r="B2889" s="31" t="s">
        <v>638</v>
      </c>
      <c r="C2889" s="31" t="s">
        <v>26</v>
      </c>
      <c r="D2889" s="31" t="s">
        <v>27</v>
      </c>
      <c r="E2889" s="31" t="s">
        <v>58</v>
      </c>
      <c r="F2889" s="31"/>
    </row>
    <row r="2890" spans="1:6" ht="17.25" thickBot="1" x14ac:dyDescent="0.3">
      <c r="A2890" s="32" t="s">
        <v>29</v>
      </c>
      <c r="B2890" s="33" t="s">
        <v>30</v>
      </c>
      <c r="C2890" s="34">
        <v>44958</v>
      </c>
      <c r="D2890" s="32" t="s">
        <v>31</v>
      </c>
      <c r="E2890" s="35" t="s">
        <v>32</v>
      </c>
      <c r="F2890" s="36" t="s">
        <v>33</v>
      </c>
    </row>
    <row r="2891" spans="1:6" ht="17.25" thickBot="1" x14ac:dyDescent="0.3">
      <c r="A2891" s="37"/>
      <c r="B2891" s="33" t="s">
        <v>34</v>
      </c>
      <c r="C2891" s="38">
        <f>IF(C2890="","",IF(AND(MONTH(C2890)&gt;=1,MONTH(C2890)&lt;=3),1,IF(AND(MONTH(C2890)&gt;=4,MONTH(C2890)&lt;=6),2,IF(AND(MONTH(C2890)&gt;=7,MONTH(C2890)&lt;=9),3,4))))</f>
        <v>1</v>
      </c>
      <c r="D2891" s="37"/>
      <c r="E2891" s="35" t="s">
        <v>35</v>
      </c>
      <c r="F2891" s="36" t="s">
        <v>36</v>
      </c>
    </row>
    <row r="2892" spans="1:6" ht="17.25" thickBot="1" x14ac:dyDescent="0.3">
      <c r="A2892" s="37"/>
      <c r="B2892" s="33" t="s">
        <v>37</v>
      </c>
      <c r="C2892" s="34">
        <v>45015</v>
      </c>
      <c r="D2892" s="37"/>
      <c r="E2892" s="35" t="s">
        <v>38</v>
      </c>
      <c r="F2892" s="36" t="s">
        <v>36</v>
      </c>
    </row>
    <row r="2893" spans="1:6" ht="17.25" thickBot="1" x14ac:dyDescent="0.3">
      <c r="A2893" s="37"/>
      <c r="B2893" s="33" t="s">
        <v>34</v>
      </c>
      <c r="C2893" s="38">
        <f>IF(C2892="","",IF(AND(MONTH(C2892)&gt;=1,MONTH(C2892)&lt;=3),1,IF(AND(MONTH(C2892)&gt;=4,MONTH(C2892)&lt;=6),2,IF(AND(MONTH(C2892)&gt;=7,MONTH(C2892)&lt;=9),3,4))))</f>
        <v>1</v>
      </c>
      <c r="D2893" s="37"/>
      <c r="E2893" s="35" t="s">
        <v>39</v>
      </c>
      <c r="F2893" s="36" t="s">
        <v>36</v>
      </c>
    </row>
    <row r="2894" spans="1:6" ht="17.25" thickBot="1" x14ac:dyDescent="0.3"/>
    <row r="2895" spans="1:6" ht="17.25" thickBot="1" x14ac:dyDescent="0.3">
      <c r="A2895" s="39" t="s">
        <v>40</v>
      </c>
      <c r="B2895" s="39" t="s">
        <v>41</v>
      </c>
      <c r="C2895" s="39" t="s">
        <v>42</v>
      </c>
      <c r="D2895" s="39" t="s">
        <v>43</v>
      </c>
      <c r="E2895" s="39" t="s">
        <v>44</v>
      </c>
      <c r="F2895" s="39" t="s">
        <v>45</v>
      </c>
    </row>
    <row r="2896" spans="1:6" x14ac:dyDescent="0.25">
      <c r="A2896" s="40" t="s">
        <v>639</v>
      </c>
      <c r="B2896" s="41" t="str">
        <f ca="1">IFERROR(INDEX(UNSPSCDes,MATCH(INDIRECT(ADDRESS(ROW(),COLUMN()-1,4)),UNSPSCCode,0)),IF(INDIRECT(ADDRESS(ROW(),COLUMN()-1,4))="72102205","Asistencia o mantenimiento de servicio de telecomunicaciones",""))</f>
        <v>Asistencia o mantenimiento de servicio de telecomunicaciones</v>
      </c>
      <c r="C2896" s="42" t="str">
        <f>IFERROR(VLOOKUP("UD",'[1]Informacion '!P:Q,2,FALSE),"")</f>
        <v>Unidad</v>
      </c>
      <c r="D2896" s="40">
        <v>1</v>
      </c>
      <c r="E2896" s="43">
        <v>1</v>
      </c>
      <c r="F2896" s="44">
        <f ca="1">INDIRECT(ADDRESS(ROW(),COLUMN()-2,4))*INDIRECT(ADDRESS(ROW(),COLUMN()-1,4))</f>
        <v>1</v>
      </c>
    </row>
    <row r="2897" spans="1:6" x14ac:dyDescent="0.25">
      <c r="E2897" s="45" t="s">
        <v>47</v>
      </c>
      <c r="F2897" s="46">
        <f ca="1">SUM(Table248[MONTO TOTAL ESTIMADO])</f>
        <v>1</v>
      </c>
    </row>
    <row r="2898" spans="1:6" ht="17.25" thickBot="1" x14ac:dyDescent="0.3"/>
    <row r="2899" spans="1:6" ht="23.25" thickBot="1" x14ac:dyDescent="0.3">
      <c r="A2899" s="30" t="s">
        <v>18</v>
      </c>
      <c r="B2899" s="30" t="s">
        <v>19</v>
      </c>
      <c r="C2899" s="30" t="s">
        <v>20</v>
      </c>
      <c r="D2899" s="30" t="s">
        <v>21</v>
      </c>
      <c r="E2899" s="30" t="s">
        <v>22</v>
      </c>
      <c r="F2899" s="30" t="s">
        <v>23</v>
      </c>
    </row>
    <row r="2900" spans="1:6" ht="17.25" thickBot="1" x14ac:dyDescent="0.3">
      <c r="A2900" s="31" t="s">
        <v>640</v>
      </c>
      <c r="B2900" s="31" t="s">
        <v>641</v>
      </c>
      <c r="C2900" s="31" t="s">
        <v>26</v>
      </c>
      <c r="D2900" s="31" t="s">
        <v>52</v>
      </c>
      <c r="E2900" s="31" t="s">
        <v>58</v>
      </c>
      <c r="F2900" s="31"/>
    </row>
    <row r="2901" spans="1:6" ht="17.25" thickBot="1" x14ac:dyDescent="0.3">
      <c r="A2901" s="32" t="s">
        <v>29</v>
      </c>
      <c r="B2901" s="33" t="s">
        <v>30</v>
      </c>
      <c r="C2901" s="34">
        <v>44959</v>
      </c>
      <c r="D2901" s="32" t="s">
        <v>31</v>
      </c>
      <c r="E2901" s="35" t="s">
        <v>32</v>
      </c>
      <c r="F2901" s="36" t="s">
        <v>33</v>
      </c>
    </row>
    <row r="2902" spans="1:6" ht="17.25" thickBot="1" x14ac:dyDescent="0.3">
      <c r="A2902" s="37"/>
      <c r="B2902" s="33" t="s">
        <v>34</v>
      </c>
      <c r="C2902" s="38">
        <f>IF(C2901="","",IF(AND(MONTH(C2901)&gt;=1,MONTH(C2901)&lt;=3),1,IF(AND(MONTH(C2901)&gt;=4,MONTH(C2901)&lt;=6),2,IF(AND(MONTH(C2901)&gt;=7,MONTH(C2901)&lt;=9),3,4))))</f>
        <v>1</v>
      </c>
      <c r="D2902" s="37"/>
      <c r="E2902" s="35" t="s">
        <v>35</v>
      </c>
      <c r="F2902" s="36" t="s">
        <v>36</v>
      </c>
    </row>
    <row r="2903" spans="1:6" ht="17.25" thickBot="1" x14ac:dyDescent="0.3">
      <c r="A2903" s="37"/>
      <c r="B2903" s="33" t="s">
        <v>37</v>
      </c>
      <c r="C2903" s="34">
        <v>45290</v>
      </c>
      <c r="D2903" s="37"/>
      <c r="E2903" s="35" t="s">
        <v>38</v>
      </c>
      <c r="F2903" s="36" t="s">
        <v>36</v>
      </c>
    </row>
    <row r="2904" spans="1:6" ht="17.25" thickBot="1" x14ac:dyDescent="0.3">
      <c r="A2904" s="37"/>
      <c r="B2904" s="33" t="s">
        <v>34</v>
      </c>
      <c r="C2904" s="38">
        <f>IF(C2903="","",IF(AND(MONTH(C2903)&gt;=1,MONTH(C2903)&lt;=3),1,IF(AND(MONTH(C2903)&gt;=4,MONTH(C2903)&lt;=6),2,IF(AND(MONTH(C2903)&gt;=7,MONTH(C2903)&lt;=9),3,4))))</f>
        <v>4</v>
      </c>
      <c r="D2904" s="37"/>
      <c r="E2904" s="35" t="s">
        <v>39</v>
      </c>
      <c r="F2904" s="36" t="s">
        <v>36</v>
      </c>
    </row>
    <row r="2905" spans="1:6" ht="17.25" thickBot="1" x14ac:dyDescent="0.3"/>
    <row r="2906" spans="1:6" ht="17.25" thickBot="1" x14ac:dyDescent="0.3">
      <c r="A2906" s="39" t="s">
        <v>40</v>
      </c>
      <c r="B2906" s="39" t="s">
        <v>41</v>
      </c>
      <c r="C2906" s="39" t="s">
        <v>42</v>
      </c>
      <c r="D2906" s="39" t="s">
        <v>43</v>
      </c>
      <c r="E2906" s="39" t="s">
        <v>44</v>
      </c>
      <c r="F2906" s="39" t="s">
        <v>45</v>
      </c>
    </row>
    <row r="2907" spans="1:6" x14ac:dyDescent="0.25">
      <c r="A2907" s="40" t="s">
        <v>642</v>
      </c>
      <c r="B2907" s="41" t="str">
        <f ca="1">IFERROR(INDEX(UNSPSCDes,MATCH(INDIRECT(ADDRESS(ROW(),COLUMN()-1,4)),UNSPSCCode,0)),IF(INDIRECT(ADDRESS(ROW(),COLUMN()-1,4))="78180103","Servicios de cambio de fluidos de aceite o de la transmisión",""))</f>
        <v>Servicios de cambio de fluidos de aceite o de la transmisión</v>
      </c>
      <c r="C2907" s="42" t="str">
        <f>IFERROR(VLOOKUP("UD",'[1]Informacion '!P:Q,2,FALSE),"")</f>
        <v>Unidad</v>
      </c>
      <c r="D2907" s="40">
        <v>1</v>
      </c>
      <c r="E2907" s="43">
        <v>1</v>
      </c>
      <c r="F2907" s="44">
        <f ca="1">INDIRECT(ADDRESS(ROW(),COLUMN()-2,4))*INDIRECT(ADDRESS(ROW(),COLUMN()-1,4))</f>
        <v>1</v>
      </c>
    </row>
    <row r="2908" spans="1:6" x14ac:dyDescent="0.25">
      <c r="A2908" s="40" t="s">
        <v>643</v>
      </c>
      <c r="B2908" s="41" t="str">
        <f ca="1">IFERROR(INDEX(UNSPSCDes,MATCH(INDIRECT(ADDRESS(ROW(),COLUMN()-1,4)),UNSPSCCode,0)),IF(INDIRECT(ADDRESS(ROW(),COLUMN()-1,4))="78180101","Servicios de reparar o pintar la carrocería de vehículos",""))</f>
        <v>Servicios de reparar o pintar la carrocería de vehículos</v>
      </c>
      <c r="C2908" s="42" t="str">
        <f>IFERROR(VLOOKUP("UD",'[1]Informacion '!P:Q,2,FALSE),"")</f>
        <v>Unidad</v>
      </c>
      <c r="D2908" s="40">
        <v>1</v>
      </c>
      <c r="E2908" s="43">
        <v>1</v>
      </c>
      <c r="F2908" s="44">
        <f ca="1">INDIRECT(ADDRESS(ROW(),COLUMN()-2,4))*INDIRECT(ADDRESS(ROW(),COLUMN()-1,4))</f>
        <v>1</v>
      </c>
    </row>
    <row r="2909" spans="1:6" x14ac:dyDescent="0.25">
      <c r="A2909" s="40" t="s">
        <v>644</v>
      </c>
      <c r="B2909" s="41" t="str">
        <f ca="1">IFERROR(INDEX(UNSPSCDes,MATCH(INDIRECT(ADDRESS(ROW(),COLUMN()-1,4)),UNSPSCCode,0)),IF(INDIRECT(ADDRESS(ROW(),COLUMN()-1,4))="76111801","Limpieza de carros o barcos",""))</f>
        <v>Limpieza de carros o barcos</v>
      </c>
      <c r="C2909" s="42" t="str">
        <f>IFERROR(VLOOKUP("UD",'[1]Informacion '!P:Q,2,FALSE),"")</f>
        <v>Unidad</v>
      </c>
      <c r="D2909" s="40">
        <v>1</v>
      </c>
      <c r="E2909" s="43">
        <v>1</v>
      </c>
      <c r="F2909" s="44">
        <f ca="1">INDIRECT(ADDRESS(ROW(),COLUMN()-2,4))*INDIRECT(ADDRESS(ROW(),COLUMN()-1,4))</f>
        <v>1</v>
      </c>
    </row>
    <row r="2910" spans="1:6" x14ac:dyDescent="0.25">
      <c r="E2910" s="45" t="s">
        <v>47</v>
      </c>
      <c r="F2910" s="46">
        <f ca="1">SUM(Table252[MONTO TOTAL ESTIMADO])</f>
        <v>3</v>
      </c>
    </row>
    <row r="2911" spans="1:6" ht="17.25" thickBot="1" x14ac:dyDescent="0.3"/>
    <row r="2912" spans="1:6" ht="23.25" thickBot="1" x14ac:dyDescent="0.3">
      <c r="A2912" s="30" t="s">
        <v>18</v>
      </c>
      <c r="B2912" s="30" t="s">
        <v>19</v>
      </c>
      <c r="C2912" s="30" t="s">
        <v>20</v>
      </c>
      <c r="D2912" s="30" t="s">
        <v>21</v>
      </c>
      <c r="E2912" s="30" t="s">
        <v>22</v>
      </c>
      <c r="F2912" s="30" t="s">
        <v>23</v>
      </c>
    </row>
    <row r="2913" spans="1:6" ht="17.25" thickBot="1" x14ac:dyDescent="0.3">
      <c r="A2913" s="31" t="s">
        <v>645</v>
      </c>
      <c r="B2913" s="31" t="s">
        <v>646</v>
      </c>
      <c r="C2913" s="31" t="s">
        <v>26</v>
      </c>
      <c r="D2913" s="31" t="s">
        <v>27</v>
      </c>
      <c r="E2913" s="31" t="s">
        <v>58</v>
      </c>
      <c r="F2913" s="31"/>
    </row>
    <row r="2914" spans="1:6" ht="17.25" thickBot="1" x14ac:dyDescent="0.3">
      <c r="A2914" s="32" t="s">
        <v>29</v>
      </c>
      <c r="B2914" s="33" t="s">
        <v>30</v>
      </c>
      <c r="C2914" s="34">
        <v>44958</v>
      </c>
      <c r="D2914" s="32" t="s">
        <v>31</v>
      </c>
      <c r="E2914" s="35" t="s">
        <v>32</v>
      </c>
      <c r="F2914" s="36" t="s">
        <v>33</v>
      </c>
    </row>
    <row r="2915" spans="1:6" ht="17.25" thickBot="1" x14ac:dyDescent="0.3">
      <c r="A2915" s="37"/>
      <c r="B2915" s="33" t="s">
        <v>34</v>
      </c>
      <c r="C2915" s="38">
        <f>IF(C2914="","",IF(AND(MONTH(C2914)&gt;=1,MONTH(C2914)&lt;=3),1,IF(AND(MONTH(C2914)&gt;=4,MONTH(C2914)&lt;=6),2,IF(AND(MONTH(C2914)&gt;=7,MONTH(C2914)&lt;=9),3,4))))</f>
        <v>1</v>
      </c>
      <c r="D2915" s="37"/>
      <c r="E2915" s="35" t="s">
        <v>35</v>
      </c>
      <c r="F2915" s="36" t="s">
        <v>36</v>
      </c>
    </row>
    <row r="2916" spans="1:6" ht="17.25" thickBot="1" x14ac:dyDescent="0.3">
      <c r="A2916" s="37"/>
      <c r="B2916" s="33" t="s">
        <v>37</v>
      </c>
      <c r="C2916" s="34">
        <v>45015</v>
      </c>
      <c r="D2916" s="37"/>
      <c r="E2916" s="35" t="s">
        <v>38</v>
      </c>
      <c r="F2916" s="36" t="s">
        <v>36</v>
      </c>
    </row>
    <row r="2917" spans="1:6" ht="17.25" thickBot="1" x14ac:dyDescent="0.3">
      <c r="A2917" s="37"/>
      <c r="B2917" s="33" t="s">
        <v>34</v>
      </c>
      <c r="C2917" s="38">
        <f>IF(C2916="","",IF(AND(MONTH(C2916)&gt;=1,MONTH(C2916)&lt;=3),1,IF(AND(MONTH(C2916)&gt;=4,MONTH(C2916)&lt;=6),2,IF(AND(MONTH(C2916)&gt;=7,MONTH(C2916)&lt;=9),3,4))))</f>
        <v>1</v>
      </c>
      <c r="D2917" s="37"/>
      <c r="E2917" s="35" t="s">
        <v>39</v>
      </c>
      <c r="F2917" s="36" t="s">
        <v>36</v>
      </c>
    </row>
    <row r="2918" spans="1:6" ht="17.25" thickBot="1" x14ac:dyDescent="0.3"/>
    <row r="2919" spans="1:6" ht="17.25" thickBot="1" x14ac:dyDescent="0.3">
      <c r="A2919" s="39" t="s">
        <v>40</v>
      </c>
      <c r="B2919" s="39" t="s">
        <v>41</v>
      </c>
      <c r="C2919" s="39" t="s">
        <v>42</v>
      </c>
      <c r="D2919" s="39" t="s">
        <v>43</v>
      </c>
      <c r="E2919" s="39" t="s">
        <v>44</v>
      </c>
      <c r="F2919" s="39" t="s">
        <v>45</v>
      </c>
    </row>
    <row r="2920" spans="1:6" x14ac:dyDescent="0.25">
      <c r="A2920" s="40" t="s">
        <v>647</v>
      </c>
      <c r="B2920" s="41" t="str">
        <f ca="1">IFERROR(INDEX(UNSPSCDes,MATCH(INDIRECT(ADDRESS(ROW(),COLUMN()-1,4)),UNSPSCCode,0)),IF(INDIRECT(ADDRESS(ROW(),COLUMN()-1,4))="73152101","Servicio de mantenimiento de equipo industrial",""))</f>
        <v>Servicio de mantenimiento de equipo industrial</v>
      </c>
      <c r="C2920" s="42" t="str">
        <f>IFERROR(VLOOKUP("UD",'[1]Informacion '!P:Q,2,FALSE),"")</f>
        <v>Unidad</v>
      </c>
      <c r="D2920" s="40">
        <v>1</v>
      </c>
      <c r="E2920" s="43">
        <v>1</v>
      </c>
      <c r="F2920" s="44">
        <f t="shared" ref="F2920:F2924" ca="1" si="31">INDIRECT(ADDRESS(ROW(),COLUMN()-2,4))*INDIRECT(ADDRESS(ROW(),COLUMN()-1,4))</f>
        <v>1</v>
      </c>
    </row>
    <row r="2921" spans="1:6" x14ac:dyDescent="0.25">
      <c r="A2921" s="40">
        <v>76111503</v>
      </c>
      <c r="B2921" s="41" t="str">
        <f ca="1">IFERROR(INDEX(UNSPSCDes,MATCH(INDIRECT(ADDRESS(ROW(),COLUMN()-1,4)),UNSPSCCode,0)),IF(INDIRECT(ADDRESS(ROW(),COLUMN()-1,4))="76111503","Servicios de mantenimiento del alumbrado",""))</f>
        <v>Servicios de mantenimiento del alumbrado</v>
      </c>
      <c r="C2921" s="42" t="str">
        <f>IFERROR(VLOOKUP("UD",'[1]Informacion '!P:Q,2,FALSE),"")</f>
        <v>Unidad</v>
      </c>
      <c r="D2921" s="40">
        <v>1</v>
      </c>
      <c r="E2921" s="43">
        <v>1</v>
      </c>
      <c r="F2921" s="44">
        <f t="shared" ca="1" si="31"/>
        <v>1</v>
      </c>
    </row>
    <row r="2922" spans="1:6" ht="22.5" x14ac:dyDescent="0.25">
      <c r="A2922" s="40" t="s">
        <v>648</v>
      </c>
      <c r="B2922" s="41"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2922" s="42" t="str">
        <f>IFERROR(VLOOKUP("UD",'[1]Informacion '!P:Q,2,FALSE),"")</f>
        <v>Unidad</v>
      </c>
      <c r="D2922" s="40">
        <v>1</v>
      </c>
      <c r="E2922" s="43">
        <v>1</v>
      </c>
      <c r="F2922" s="44">
        <f t="shared" ca="1" si="31"/>
        <v>1</v>
      </c>
    </row>
    <row r="2923" spans="1:6" ht="22.5" x14ac:dyDescent="0.25">
      <c r="A2923" s="40" t="s">
        <v>649</v>
      </c>
      <c r="B2923" s="41" t="str">
        <f ca="1">IFERROR(INDEX(UNSPSCDes,MATCH(INDIRECT(ADDRESS(ROW(),COLUMN()-1,4)),UNSPSCCode,0)),IF(INDIRECT(ADDRESS(ROW(),COLUMN()-1,4))="72101511","Servicio de instalación o mantenimiento o reparación de aires acondicionados",""))</f>
        <v>Servicio de instalación o mantenimiento o reparación de aires acondicionados</v>
      </c>
      <c r="C2923" s="42" t="str">
        <f>IFERROR(VLOOKUP("UD",'[1]Informacion '!P:Q,2,FALSE),"")</f>
        <v>Unidad</v>
      </c>
      <c r="D2923" s="40">
        <v>1</v>
      </c>
      <c r="E2923" s="43">
        <v>1</v>
      </c>
      <c r="F2923" s="44">
        <f t="shared" ca="1" si="31"/>
        <v>1</v>
      </c>
    </row>
    <row r="2924" spans="1:6" x14ac:dyDescent="0.25">
      <c r="A2924" s="40" t="s">
        <v>552</v>
      </c>
      <c r="B2924" s="41" t="str">
        <f ca="1">IFERROR(INDEX(UNSPSCDes,MATCH(INDIRECT(ADDRESS(ROW(),COLUMN()-1,4)),UNSPSCCode,0)),IF(INDIRECT(ADDRESS(ROW(),COLUMN()-1,4))="46171619","Sistemas de seguridad o de control de acceso",""))</f>
        <v>Sistemas de seguridad o de control de acceso</v>
      </c>
      <c r="C2924" s="42" t="str">
        <f>IFERROR(VLOOKUP("UD",'[1]Informacion '!P:Q,2,FALSE),"")</f>
        <v>Unidad</v>
      </c>
      <c r="D2924" s="40">
        <v>1</v>
      </c>
      <c r="E2924" s="43">
        <v>1</v>
      </c>
      <c r="F2924" s="44">
        <f t="shared" ca="1" si="31"/>
        <v>1</v>
      </c>
    </row>
    <row r="2925" spans="1:6" x14ac:dyDescent="0.25">
      <c r="E2925" s="45" t="s">
        <v>47</v>
      </c>
      <c r="F2925" s="46">
        <f ca="1">SUM(Table253[MONTO TOTAL ESTIMADO])</f>
        <v>5</v>
      </c>
    </row>
    <row r="2926" spans="1:6" ht="17.25" thickBot="1" x14ac:dyDescent="0.3"/>
    <row r="2927" spans="1:6" ht="23.25" thickBot="1" x14ac:dyDescent="0.3">
      <c r="A2927" s="30" t="s">
        <v>18</v>
      </c>
      <c r="B2927" s="30" t="s">
        <v>19</v>
      </c>
      <c r="C2927" s="30" t="s">
        <v>20</v>
      </c>
      <c r="D2927" s="30" t="s">
        <v>21</v>
      </c>
      <c r="E2927" s="30" t="s">
        <v>22</v>
      </c>
      <c r="F2927" s="30" t="s">
        <v>23</v>
      </c>
    </row>
    <row r="2928" spans="1:6" ht="17.25" thickBot="1" x14ac:dyDescent="0.3">
      <c r="A2928" s="31" t="s">
        <v>650</v>
      </c>
      <c r="B2928" s="31" t="s">
        <v>651</v>
      </c>
      <c r="C2928" s="31" t="s">
        <v>26</v>
      </c>
      <c r="D2928" s="31" t="s">
        <v>50</v>
      </c>
      <c r="E2928" s="31" t="s">
        <v>58</v>
      </c>
      <c r="F2928" s="31"/>
    </row>
    <row r="2929" spans="1:6" ht="17.25" thickBot="1" x14ac:dyDescent="0.3">
      <c r="A2929" s="32" t="s">
        <v>29</v>
      </c>
      <c r="B2929" s="33" t="s">
        <v>30</v>
      </c>
      <c r="C2929" s="34">
        <v>44958</v>
      </c>
      <c r="D2929" s="32" t="s">
        <v>31</v>
      </c>
      <c r="E2929" s="35" t="s">
        <v>32</v>
      </c>
      <c r="F2929" s="36" t="s">
        <v>33</v>
      </c>
    </row>
    <row r="2930" spans="1:6" ht="17.25" thickBot="1" x14ac:dyDescent="0.3">
      <c r="A2930" s="37"/>
      <c r="B2930" s="33" t="s">
        <v>34</v>
      </c>
      <c r="C2930" s="38">
        <f>IF(C2929="","",IF(AND(MONTH(C2929)&gt;=1,MONTH(C2929)&lt;=3),1,IF(AND(MONTH(C2929)&gt;=4,MONTH(C2929)&lt;=6),2,IF(AND(MONTH(C2929)&gt;=7,MONTH(C2929)&lt;=9),3,4))))</f>
        <v>1</v>
      </c>
      <c r="D2930" s="37"/>
      <c r="E2930" s="35" t="s">
        <v>35</v>
      </c>
      <c r="F2930" s="36" t="s">
        <v>36</v>
      </c>
    </row>
    <row r="2931" spans="1:6" ht="17.25" thickBot="1" x14ac:dyDescent="0.3">
      <c r="A2931" s="37"/>
      <c r="B2931" s="33" t="s">
        <v>37</v>
      </c>
      <c r="C2931" s="34">
        <v>45014</v>
      </c>
      <c r="D2931" s="37"/>
      <c r="E2931" s="35" t="s">
        <v>38</v>
      </c>
      <c r="F2931" s="36" t="s">
        <v>36</v>
      </c>
    </row>
    <row r="2932" spans="1:6" ht="17.25" thickBot="1" x14ac:dyDescent="0.3">
      <c r="A2932" s="37"/>
      <c r="B2932" s="33" t="s">
        <v>34</v>
      </c>
      <c r="C2932" s="38">
        <f>IF(C2931="","",IF(AND(MONTH(C2931)&gt;=1,MONTH(C2931)&lt;=3),1,IF(AND(MONTH(C2931)&gt;=4,MONTH(C2931)&lt;=6),2,IF(AND(MONTH(C2931)&gt;=7,MONTH(C2931)&lt;=9),3,4))))</f>
        <v>1</v>
      </c>
      <c r="D2932" s="37"/>
      <c r="E2932" s="35" t="s">
        <v>39</v>
      </c>
      <c r="F2932" s="36" t="s">
        <v>36</v>
      </c>
    </row>
    <row r="2933" spans="1:6" ht="17.25" thickBot="1" x14ac:dyDescent="0.3"/>
    <row r="2934" spans="1:6" ht="17.25" thickBot="1" x14ac:dyDescent="0.3">
      <c r="A2934" s="39" t="s">
        <v>40</v>
      </c>
      <c r="B2934" s="39" t="s">
        <v>41</v>
      </c>
      <c r="C2934" s="39" t="s">
        <v>42</v>
      </c>
      <c r="D2934" s="39" t="s">
        <v>43</v>
      </c>
      <c r="E2934" s="39" t="s">
        <v>44</v>
      </c>
      <c r="F2934" s="39" t="s">
        <v>45</v>
      </c>
    </row>
    <row r="2935" spans="1:6" x14ac:dyDescent="0.25">
      <c r="A2935" s="40">
        <v>72102103</v>
      </c>
      <c r="B2935" s="41" t="str">
        <f ca="1">IFERROR(INDEX(UNSPSCDes,MATCH(INDIRECT(ADDRESS(ROW(),COLUMN()-1,4)),UNSPSCCode,0)),IF(INDIRECT(ADDRESS(ROW(),COLUMN()-1,4))="72102103","Servicios de exterminación o fumigación",""))</f>
        <v>Servicios de exterminación o fumigación</v>
      </c>
      <c r="C2935" s="42" t="str">
        <f>IFERROR(VLOOKUP("UD",'[1]Informacion '!P:Q,2,FALSE),"")</f>
        <v>Unidad</v>
      </c>
      <c r="D2935" s="40">
        <v>1</v>
      </c>
      <c r="E2935" s="43">
        <v>1</v>
      </c>
      <c r="F2935" s="44">
        <f ca="1">INDIRECT(ADDRESS(ROW(),COLUMN()-2,4))*INDIRECT(ADDRESS(ROW(),COLUMN()-1,4))</f>
        <v>1</v>
      </c>
    </row>
    <row r="2936" spans="1:6" x14ac:dyDescent="0.25">
      <c r="E2936" s="45" t="s">
        <v>47</v>
      </c>
      <c r="F2936" s="46">
        <f ca="1">SUM(Table254[MONTO TOTAL ESTIMADO])</f>
        <v>1</v>
      </c>
    </row>
    <row r="2937" spans="1:6" ht="17.25" thickBot="1" x14ac:dyDescent="0.3"/>
    <row r="2938" spans="1:6" ht="23.25" thickBot="1" x14ac:dyDescent="0.3">
      <c r="A2938" s="30" t="s">
        <v>18</v>
      </c>
      <c r="B2938" s="30" t="s">
        <v>19</v>
      </c>
      <c r="C2938" s="30" t="s">
        <v>20</v>
      </c>
      <c r="D2938" s="30" t="s">
        <v>21</v>
      </c>
      <c r="E2938" s="30" t="s">
        <v>22</v>
      </c>
      <c r="F2938" s="30" t="s">
        <v>23</v>
      </c>
    </row>
    <row r="2939" spans="1:6" ht="17.25" thickBot="1" x14ac:dyDescent="0.3">
      <c r="A2939" s="31" t="s">
        <v>650</v>
      </c>
      <c r="B2939" s="31" t="s">
        <v>651</v>
      </c>
      <c r="C2939" s="31" t="s">
        <v>26</v>
      </c>
      <c r="D2939" s="31" t="s">
        <v>50</v>
      </c>
      <c r="E2939" s="31" t="s">
        <v>58</v>
      </c>
      <c r="F2939" s="31"/>
    </row>
    <row r="2940" spans="1:6" ht="17.25" thickBot="1" x14ac:dyDescent="0.3">
      <c r="A2940" s="32" t="s">
        <v>29</v>
      </c>
      <c r="B2940" s="33" t="s">
        <v>30</v>
      </c>
      <c r="C2940" s="34">
        <v>45016</v>
      </c>
      <c r="D2940" s="32" t="s">
        <v>31</v>
      </c>
      <c r="E2940" s="35" t="s">
        <v>32</v>
      </c>
      <c r="F2940" s="36" t="s">
        <v>33</v>
      </c>
    </row>
    <row r="2941" spans="1:6" ht="17.25" thickBot="1" x14ac:dyDescent="0.3">
      <c r="A2941" s="37"/>
      <c r="B2941" s="33" t="s">
        <v>34</v>
      </c>
      <c r="C2941" s="38">
        <f>IF(C2940="","",IF(AND(MONTH(C2940)&gt;=1,MONTH(C2940)&lt;=3),1,IF(AND(MONTH(C2940)&gt;=4,MONTH(C2940)&lt;=6),2,IF(AND(MONTH(C2940)&gt;=7,MONTH(C2940)&lt;=9),3,4))))</f>
        <v>1</v>
      </c>
      <c r="D2941" s="37"/>
      <c r="E2941" s="35" t="s">
        <v>35</v>
      </c>
      <c r="F2941" s="36" t="s">
        <v>36</v>
      </c>
    </row>
    <row r="2942" spans="1:6" ht="17.25" thickBot="1" x14ac:dyDescent="0.3">
      <c r="A2942" s="37"/>
      <c r="B2942" s="33" t="s">
        <v>37</v>
      </c>
      <c r="C2942" s="34">
        <v>45106</v>
      </c>
      <c r="D2942" s="37"/>
      <c r="E2942" s="35" t="s">
        <v>38</v>
      </c>
      <c r="F2942" s="36" t="s">
        <v>36</v>
      </c>
    </row>
    <row r="2943" spans="1:6" ht="17.25" thickBot="1" x14ac:dyDescent="0.3">
      <c r="A2943" s="37"/>
      <c r="B2943" s="33" t="s">
        <v>34</v>
      </c>
      <c r="C2943" s="38">
        <f>IF(C2942="","",IF(AND(MONTH(C2942)&gt;=1,MONTH(C2942)&lt;=3),1,IF(AND(MONTH(C2942)&gt;=4,MONTH(C2942)&lt;=6),2,IF(AND(MONTH(C2942)&gt;=7,MONTH(C2942)&lt;=9),3,4))))</f>
        <v>2</v>
      </c>
      <c r="D2943" s="37"/>
      <c r="E2943" s="35" t="s">
        <v>39</v>
      </c>
      <c r="F2943" s="36" t="s">
        <v>36</v>
      </c>
    </row>
    <row r="2944" spans="1:6" ht="17.25" thickBot="1" x14ac:dyDescent="0.3"/>
    <row r="2945" spans="1:6" ht="17.25" thickBot="1" x14ac:dyDescent="0.3">
      <c r="A2945" s="39" t="s">
        <v>40</v>
      </c>
      <c r="B2945" s="39" t="s">
        <v>41</v>
      </c>
      <c r="C2945" s="39" t="s">
        <v>42</v>
      </c>
      <c r="D2945" s="39" t="s">
        <v>43</v>
      </c>
      <c r="E2945" s="39" t="s">
        <v>44</v>
      </c>
      <c r="F2945" s="39" t="s">
        <v>45</v>
      </c>
    </row>
    <row r="2946" spans="1:6" x14ac:dyDescent="0.25">
      <c r="A2946" s="40" t="s">
        <v>652</v>
      </c>
      <c r="B2946" s="41" t="str">
        <f ca="1">IFERROR(INDEX(UNSPSCDes,MATCH(INDIRECT(ADDRESS(ROW(),COLUMN()-1,4)),UNSPSCCode,0)),IF(INDIRECT(ADDRESS(ROW(),COLUMN()-1,4))="72102103","Servicios de exterminación o fumigación",""))</f>
        <v>Servicios de exterminación o fumigación</v>
      </c>
      <c r="C2946" s="42" t="str">
        <f>IFERROR(VLOOKUP("UD",'[1]Informacion '!P:Q,2,FALSE),"")</f>
        <v>Unidad</v>
      </c>
      <c r="D2946" s="40">
        <v>1</v>
      </c>
      <c r="E2946" s="43">
        <v>1</v>
      </c>
      <c r="F2946" s="44">
        <f ca="1">INDIRECT(ADDRESS(ROW(),COLUMN()-2,4))*INDIRECT(ADDRESS(ROW(),COLUMN()-1,4))</f>
        <v>1</v>
      </c>
    </row>
    <row r="2947" spans="1:6" x14ac:dyDescent="0.25">
      <c r="E2947" s="45" t="s">
        <v>47</v>
      </c>
      <c r="F2947" s="46">
        <f ca="1">SUM(Table255[MONTO TOTAL ESTIMADO])</f>
        <v>1</v>
      </c>
    </row>
    <row r="2948" spans="1:6" ht="17.25" thickBot="1" x14ac:dyDescent="0.3"/>
    <row r="2949" spans="1:6" ht="23.25" thickBot="1" x14ac:dyDescent="0.3">
      <c r="A2949" s="30" t="s">
        <v>18</v>
      </c>
      <c r="B2949" s="30" t="s">
        <v>19</v>
      </c>
      <c r="C2949" s="30" t="s">
        <v>20</v>
      </c>
      <c r="D2949" s="30" t="s">
        <v>21</v>
      </c>
      <c r="E2949" s="30" t="s">
        <v>22</v>
      </c>
      <c r="F2949" s="30" t="s">
        <v>23</v>
      </c>
    </row>
    <row r="2950" spans="1:6" ht="17.25" thickBot="1" x14ac:dyDescent="0.3">
      <c r="A2950" s="31" t="s">
        <v>650</v>
      </c>
      <c r="B2950" s="31" t="s">
        <v>651</v>
      </c>
      <c r="C2950" s="31" t="s">
        <v>26</v>
      </c>
      <c r="D2950" s="31" t="s">
        <v>50</v>
      </c>
      <c r="E2950" s="31" t="s">
        <v>58</v>
      </c>
      <c r="F2950" s="31"/>
    </row>
    <row r="2951" spans="1:6" ht="17.25" thickBot="1" x14ac:dyDescent="0.3">
      <c r="A2951" s="32" t="s">
        <v>29</v>
      </c>
      <c r="B2951" s="33" t="s">
        <v>30</v>
      </c>
      <c r="C2951" s="34">
        <v>45107</v>
      </c>
      <c r="D2951" s="32" t="s">
        <v>31</v>
      </c>
      <c r="E2951" s="35" t="s">
        <v>32</v>
      </c>
      <c r="F2951" s="36" t="s">
        <v>33</v>
      </c>
    </row>
    <row r="2952" spans="1:6" ht="17.25" thickBot="1" x14ac:dyDescent="0.3">
      <c r="A2952" s="37"/>
      <c r="B2952" s="33" t="s">
        <v>34</v>
      </c>
      <c r="C2952" s="38">
        <f>IF(C2951="","",IF(AND(MONTH(C2951)&gt;=1,MONTH(C2951)&lt;=3),1,IF(AND(MONTH(C2951)&gt;=4,MONTH(C2951)&lt;=6),2,IF(AND(MONTH(C2951)&gt;=7,MONTH(C2951)&lt;=9),3,4))))</f>
        <v>2</v>
      </c>
      <c r="D2952" s="37"/>
      <c r="E2952" s="35" t="s">
        <v>35</v>
      </c>
      <c r="F2952" s="36" t="s">
        <v>36</v>
      </c>
    </row>
    <row r="2953" spans="1:6" ht="17.25" thickBot="1" x14ac:dyDescent="0.3">
      <c r="A2953" s="37"/>
      <c r="B2953" s="33" t="s">
        <v>37</v>
      </c>
      <c r="C2953" s="34">
        <v>45198</v>
      </c>
      <c r="D2953" s="37"/>
      <c r="E2953" s="35" t="s">
        <v>38</v>
      </c>
      <c r="F2953" s="36" t="s">
        <v>36</v>
      </c>
    </row>
    <row r="2954" spans="1:6" ht="17.25" thickBot="1" x14ac:dyDescent="0.3">
      <c r="A2954" s="37"/>
      <c r="B2954" s="33" t="s">
        <v>34</v>
      </c>
      <c r="C2954" s="38">
        <f>IF(C2953="","",IF(AND(MONTH(C2953)&gt;=1,MONTH(C2953)&lt;=3),1,IF(AND(MONTH(C2953)&gt;=4,MONTH(C2953)&lt;=6),2,IF(AND(MONTH(C2953)&gt;=7,MONTH(C2953)&lt;=9),3,4))))</f>
        <v>3</v>
      </c>
      <c r="D2954" s="37"/>
      <c r="E2954" s="35" t="s">
        <v>39</v>
      </c>
      <c r="F2954" s="36" t="s">
        <v>36</v>
      </c>
    </row>
    <row r="2955" spans="1:6" ht="17.25" thickBot="1" x14ac:dyDescent="0.3"/>
    <row r="2956" spans="1:6" ht="17.25" thickBot="1" x14ac:dyDescent="0.3">
      <c r="A2956" s="39" t="s">
        <v>40</v>
      </c>
      <c r="B2956" s="39" t="s">
        <v>41</v>
      </c>
      <c r="C2956" s="39" t="s">
        <v>42</v>
      </c>
      <c r="D2956" s="39" t="s">
        <v>43</v>
      </c>
      <c r="E2956" s="39" t="s">
        <v>44</v>
      </c>
      <c r="F2956" s="39" t="s">
        <v>45</v>
      </c>
    </row>
    <row r="2957" spans="1:6" x14ac:dyDescent="0.25">
      <c r="A2957" s="40" t="s">
        <v>652</v>
      </c>
      <c r="B2957" s="41" t="str">
        <f ca="1">IFERROR(INDEX(UNSPSCDes,MATCH(INDIRECT(ADDRESS(ROW(),COLUMN()-1,4)),UNSPSCCode,0)),IF(INDIRECT(ADDRESS(ROW(),COLUMN()-1,4))="72102103","Servicios de exterminación o fumigación",""))</f>
        <v>Servicios de exterminación o fumigación</v>
      </c>
      <c r="C2957" s="42" t="str">
        <f>IFERROR(VLOOKUP("UD",'[1]Informacion '!P:Q,2,FALSE),"")</f>
        <v>Unidad</v>
      </c>
      <c r="D2957" s="40">
        <v>1</v>
      </c>
      <c r="E2957" s="43">
        <v>1</v>
      </c>
      <c r="F2957" s="44">
        <f ca="1">INDIRECT(ADDRESS(ROW(),COLUMN()-2,4))*INDIRECT(ADDRESS(ROW(),COLUMN()-1,4))</f>
        <v>1</v>
      </c>
    </row>
    <row r="2958" spans="1:6" x14ac:dyDescent="0.25">
      <c r="E2958" s="45" t="s">
        <v>47</v>
      </c>
      <c r="F2958" s="46">
        <f ca="1">SUM(Table256[MONTO TOTAL ESTIMADO])</f>
        <v>1</v>
      </c>
    </row>
    <row r="2959" spans="1:6" ht="17.25" thickBot="1" x14ac:dyDescent="0.3"/>
    <row r="2960" spans="1:6" ht="23.25" thickBot="1" x14ac:dyDescent="0.3">
      <c r="A2960" s="30" t="s">
        <v>18</v>
      </c>
      <c r="B2960" s="30" t="s">
        <v>19</v>
      </c>
      <c r="C2960" s="30" t="s">
        <v>20</v>
      </c>
      <c r="D2960" s="30" t="s">
        <v>21</v>
      </c>
      <c r="E2960" s="30" t="s">
        <v>22</v>
      </c>
      <c r="F2960" s="30" t="s">
        <v>23</v>
      </c>
    </row>
    <row r="2961" spans="1:6" ht="17.25" thickBot="1" x14ac:dyDescent="0.3">
      <c r="A2961" s="31" t="s">
        <v>650</v>
      </c>
      <c r="B2961" s="31" t="s">
        <v>651</v>
      </c>
      <c r="C2961" s="31" t="s">
        <v>26</v>
      </c>
      <c r="D2961" s="31" t="s">
        <v>50</v>
      </c>
      <c r="E2961" s="31" t="s">
        <v>58</v>
      </c>
      <c r="F2961" s="31"/>
    </row>
    <row r="2962" spans="1:6" ht="17.25" thickBot="1" x14ac:dyDescent="0.3">
      <c r="A2962" s="32" t="s">
        <v>29</v>
      </c>
      <c r="B2962" s="33" t="s">
        <v>30</v>
      </c>
      <c r="C2962" s="34">
        <v>45199</v>
      </c>
      <c r="D2962" s="32" t="s">
        <v>31</v>
      </c>
      <c r="E2962" s="35" t="s">
        <v>32</v>
      </c>
      <c r="F2962" s="36" t="s">
        <v>33</v>
      </c>
    </row>
    <row r="2963" spans="1:6" ht="17.25" thickBot="1" x14ac:dyDescent="0.3">
      <c r="A2963" s="37"/>
      <c r="B2963" s="33" t="s">
        <v>34</v>
      </c>
      <c r="C2963" s="38">
        <f>IF(C2962="","",IF(AND(MONTH(C2962)&gt;=1,MONTH(C2962)&lt;=3),1,IF(AND(MONTH(C2962)&gt;=4,MONTH(C2962)&lt;=6),2,IF(AND(MONTH(C2962)&gt;=7,MONTH(C2962)&lt;=9),3,4))))</f>
        <v>3</v>
      </c>
      <c r="D2963" s="37"/>
      <c r="E2963" s="35" t="s">
        <v>35</v>
      </c>
      <c r="F2963" s="36" t="s">
        <v>36</v>
      </c>
    </row>
    <row r="2964" spans="1:6" ht="17.25" thickBot="1" x14ac:dyDescent="0.3">
      <c r="A2964" s="37"/>
      <c r="B2964" s="33" t="s">
        <v>37</v>
      </c>
      <c r="C2964" s="34">
        <v>45290</v>
      </c>
      <c r="D2964" s="37"/>
      <c r="E2964" s="35" t="s">
        <v>38</v>
      </c>
      <c r="F2964" s="36" t="s">
        <v>36</v>
      </c>
    </row>
    <row r="2965" spans="1:6" ht="17.25" thickBot="1" x14ac:dyDescent="0.3">
      <c r="A2965" s="37"/>
      <c r="B2965" s="33" t="s">
        <v>34</v>
      </c>
      <c r="C2965" s="38">
        <f>IF(C2964="","",IF(AND(MONTH(C2964)&gt;=1,MONTH(C2964)&lt;=3),1,IF(AND(MONTH(C2964)&gt;=4,MONTH(C2964)&lt;=6),2,IF(AND(MONTH(C2964)&gt;=7,MONTH(C2964)&lt;=9),3,4))))</f>
        <v>4</v>
      </c>
      <c r="D2965" s="37"/>
      <c r="E2965" s="35" t="s">
        <v>39</v>
      </c>
      <c r="F2965" s="36" t="s">
        <v>36</v>
      </c>
    </row>
    <row r="2966" spans="1:6" ht="17.25" thickBot="1" x14ac:dyDescent="0.3"/>
    <row r="2967" spans="1:6" ht="17.25" thickBot="1" x14ac:dyDescent="0.3">
      <c r="A2967" s="39" t="s">
        <v>40</v>
      </c>
      <c r="B2967" s="39" t="s">
        <v>41</v>
      </c>
      <c r="C2967" s="39" t="s">
        <v>42</v>
      </c>
      <c r="D2967" s="39" t="s">
        <v>43</v>
      </c>
      <c r="E2967" s="39" t="s">
        <v>44</v>
      </c>
      <c r="F2967" s="39" t="s">
        <v>45</v>
      </c>
    </row>
    <row r="2968" spans="1:6" x14ac:dyDescent="0.25">
      <c r="A2968" s="40" t="s">
        <v>652</v>
      </c>
      <c r="B2968" s="41" t="str">
        <f ca="1">IFERROR(INDEX(UNSPSCDes,MATCH(INDIRECT(ADDRESS(ROW(),COLUMN()-1,4)),UNSPSCCode,0)),IF(INDIRECT(ADDRESS(ROW(),COLUMN()-1,4))="72102103","Servicios de exterminación o fumigación",""))</f>
        <v>Servicios de exterminación o fumigación</v>
      </c>
      <c r="C2968" s="42" t="str">
        <f>IFERROR(VLOOKUP("UD",'[1]Informacion '!P:Q,2,FALSE),"")</f>
        <v>Unidad</v>
      </c>
      <c r="D2968" s="40">
        <v>1</v>
      </c>
      <c r="E2968" s="43">
        <v>1</v>
      </c>
      <c r="F2968" s="44">
        <f ca="1">INDIRECT(ADDRESS(ROW(),COLUMN()-2,4))*INDIRECT(ADDRESS(ROW(),COLUMN()-1,4))</f>
        <v>1</v>
      </c>
    </row>
    <row r="2969" spans="1:6" x14ac:dyDescent="0.25">
      <c r="E2969" s="45" t="s">
        <v>47</v>
      </c>
      <c r="F2969" s="46">
        <f ca="1">SUM(Table257[MONTO TOTAL ESTIMADO])</f>
        <v>1</v>
      </c>
    </row>
    <row r="2970" spans="1:6" ht="17.25" thickBot="1" x14ac:dyDescent="0.3"/>
    <row r="2971" spans="1:6" ht="23.25" thickBot="1" x14ac:dyDescent="0.3">
      <c r="A2971" s="30" t="s">
        <v>18</v>
      </c>
      <c r="B2971" s="30" t="s">
        <v>19</v>
      </c>
      <c r="C2971" s="30" t="s">
        <v>20</v>
      </c>
      <c r="D2971" s="30" t="s">
        <v>21</v>
      </c>
      <c r="E2971" s="30" t="s">
        <v>22</v>
      </c>
      <c r="F2971" s="30" t="s">
        <v>23</v>
      </c>
    </row>
    <row r="2972" spans="1:6" ht="17.25" thickBot="1" x14ac:dyDescent="0.3">
      <c r="A2972" s="31" t="s">
        <v>653</v>
      </c>
      <c r="B2972" s="31" t="s">
        <v>654</v>
      </c>
      <c r="C2972" s="31" t="s">
        <v>26</v>
      </c>
      <c r="D2972" s="31" t="s">
        <v>27</v>
      </c>
      <c r="E2972" s="31" t="s">
        <v>58</v>
      </c>
      <c r="F2972" s="31"/>
    </row>
    <row r="2973" spans="1:6" ht="17.25" thickBot="1" x14ac:dyDescent="0.3">
      <c r="A2973" s="32" t="s">
        <v>29</v>
      </c>
      <c r="B2973" s="33" t="s">
        <v>30</v>
      </c>
      <c r="C2973" s="34">
        <v>44958</v>
      </c>
      <c r="D2973" s="32" t="s">
        <v>31</v>
      </c>
      <c r="E2973" s="35" t="s">
        <v>32</v>
      </c>
      <c r="F2973" s="36" t="s">
        <v>33</v>
      </c>
    </row>
    <row r="2974" spans="1:6" ht="17.25" thickBot="1" x14ac:dyDescent="0.3">
      <c r="A2974" s="37"/>
      <c r="B2974" s="33" t="s">
        <v>34</v>
      </c>
      <c r="C2974" s="38">
        <f>IF(C2973="","",IF(AND(MONTH(C2973)&gt;=1,MONTH(C2973)&lt;=3),1,IF(AND(MONTH(C2973)&gt;=4,MONTH(C2973)&lt;=6),2,IF(AND(MONTH(C2973)&gt;=7,MONTH(C2973)&lt;=9),3,4))))</f>
        <v>1</v>
      </c>
      <c r="D2974" s="37"/>
      <c r="E2974" s="35" t="s">
        <v>35</v>
      </c>
      <c r="F2974" s="36" t="s">
        <v>36</v>
      </c>
    </row>
    <row r="2975" spans="1:6" ht="17.25" thickBot="1" x14ac:dyDescent="0.3">
      <c r="A2975" s="37"/>
      <c r="B2975" s="33" t="s">
        <v>37</v>
      </c>
      <c r="C2975" s="34">
        <v>45015</v>
      </c>
      <c r="D2975" s="37"/>
      <c r="E2975" s="35" t="s">
        <v>38</v>
      </c>
      <c r="F2975" s="36" t="s">
        <v>36</v>
      </c>
    </row>
    <row r="2976" spans="1:6" ht="17.25" thickBot="1" x14ac:dyDescent="0.3">
      <c r="A2976" s="37"/>
      <c r="B2976" s="33" t="s">
        <v>34</v>
      </c>
      <c r="C2976" s="38">
        <f>IF(C2975="","",IF(AND(MONTH(C2975)&gt;=1,MONTH(C2975)&lt;=3),1,IF(AND(MONTH(C2975)&gt;=4,MONTH(C2975)&lt;=6),2,IF(AND(MONTH(C2975)&gt;=7,MONTH(C2975)&lt;=9),3,4))))</f>
        <v>1</v>
      </c>
      <c r="D2976" s="37"/>
      <c r="E2976" s="35" t="s">
        <v>39</v>
      </c>
      <c r="F2976" s="36" t="s">
        <v>36</v>
      </c>
    </row>
    <row r="2977" spans="1:6" ht="17.25" thickBot="1" x14ac:dyDescent="0.3"/>
    <row r="2978" spans="1:6" ht="17.25" thickBot="1" x14ac:dyDescent="0.3">
      <c r="A2978" s="39" t="s">
        <v>40</v>
      </c>
      <c r="B2978" s="39" t="s">
        <v>41</v>
      </c>
      <c r="C2978" s="39" t="s">
        <v>42</v>
      </c>
      <c r="D2978" s="39" t="s">
        <v>43</v>
      </c>
      <c r="E2978" s="39" t="s">
        <v>44</v>
      </c>
      <c r="F2978" s="39" t="s">
        <v>45</v>
      </c>
    </row>
    <row r="2979" spans="1:6" x14ac:dyDescent="0.25">
      <c r="A2979" s="40" t="s">
        <v>655</v>
      </c>
      <c r="B2979" s="41" t="str">
        <f ca="1">IFERROR(INDEX(UNSPSCDes,MATCH(INDIRECT(ADDRESS(ROW(),COLUMN()-1,4)),UNSPSCCode,0)),IF(INDIRECT(ADDRESS(ROW(),COLUMN()-1,4))="91111502","Servicios de lavandería",""))</f>
        <v>Servicios de lavandería</v>
      </c>
      <c r="C2979" s="42" t="str">
        <f>IFERROR(VLOOKUP("UD",'[1]Informacion '!P:Q,2,FALSE),"")</f>
        <v>Unidad</v>
      </c>
      <c r="D2979" s="40">
        <v>1</v>
      </c>
      <c r="E2979" s="43">
        <v>12500</v>
      </c>
      <c r="F2979" s="44">
        <f ca="1">INDIRECT(ADDRESS(ROW(),COLUMN()-2,4))*INDIRECT(ADDRESS(ROW(),COLUMN()-1,4))</f>
        <v>12500</v>
      </c>
    </row>
    <row r="2980" spans="1:6" x14ac:dyDescent="0.25">
      <c r="E2980" s="45" t="s">
        <v>47</v>
      </c>
      <c r="F2980" s="46">
        <f ca="1">SUM(Table258[MONTO TOTAL ESTIMADO])</f>
        <v>12500</v>
      </c>
    </row>
    <row r="2981" spans="1:6" ht="17.25" thickBot="1" x14ac:dyDescent="0.3"/>
    <row r="2982" spans="1:6" ht="23.25" thickBot="1" x14ac:dyDescent="0.3">
      <c r="A2982" s="30" t="s">
        <v>18</v>
      </c>
      <c r="B2982" s="30" t="s">
        <v>19</v>
      </c>
      <c r="C2982" s="30" t="s">
        <v>20</v>
      </c>
      <c r="D2982" s="30" t="s">
        <v>21</v>
      </c>
      <c r="E2982" s="30" t="s">
        <v>22</v>
      </c>
      <c r="F2982" s="30" t="s">
        <v>23</v>
      </c>
    </row>
    <row r="2983" spans="1:6" ht="17.25" thickBot="1" x14ac:dyDescent="0.3">
      <c r="A2983" s="31" t="s">
        <v>653</v>
      </c>
      <c r="B2983" s="31" t="s">
        <v>654</v>
      </c>
      <c r="C2983" s="31" t="s">
        <v>26</v>
      </c>
      <c r="D2983" s="31" t="s">
        <v>27</v>
      </c>
      <c r="E2983" s="31" t="s">
        <v>58</v>
      </c>
      <c r="F2983" s="31"/>
    </row>
    <row r="2984" spans="1:6" ht="17.25" thickBot="1" x14ac:dyDescent="0.3">
      <c r="A2984" s="32" t="s">
        <v>29</v>
      </c>
      <c r="B2984" s="33" t="s">
        <v>30</v>
      </c>
      <c r="C2984" s="34">
        <v>45016</v>
      </c>
      <c r="D2984" s="32" t="s">
        <v>31</v>
      </c>
      <c r="E2984" s="35" t="s">
        <v>32</v>
      </c>
      <c r="F2984" s="36" t="s">
        <v>33</v>
      </c>
    </row>
    <row r="2985" spans="1:6" ht="17.25" thickBot="1" x14ac:dyDescent="0.3">
      <c r="A2985" s="37"/>
      <c r="B2985" s="33" t="s">
        <v>34</v>
      </c>
      <c r="C2985" s="38">
        <f>IF(C2984="","",IF(AND(MONTH(C2984)&gt;=1,MONTH(C2984)&lt;=3),1,IF(AND(MONTH(C2984)&gt;=4,MONTH(C2984)&lt;=6),2,IF(AND(MONTH(C2984)&gt;=7,MONTH(C2984)&lt;=9),3,4))))</f>
        <v>1</v>
      </c>
      <c r="D2985" s="37"/>
      <c r="E2985" s="35" t="s">
        <v>35</v>
      </c>
      <c r="F2985" s="36" t="s">
        <v>36</v>
      </c>
    </row>
    <row r="2986" spans="1:6" ht="17.25" thickBot="1" x14ac:dyDescent="0.3">
      <c r="A2986" s="37"/>
      <c r="B2986" s="33" t="s">
        <v>37</v>
      </c>
      <c r="C2986" s="34">
        <v>45106</v>
      </c>
      <c r="D2986" s="37"/>
      <c r="E2986" s="35" t="s">
        <v>38</v>
      </c>
      <c r="F2986" s="36" t="s">
        <v>36</v>
      </c>
    </row>
    <row r="2987" spans="1:6" ht="17.25" thickBot="1" x14ac:dyDescent="0.3">
      <c r="A2987" s="37"/>
      <c r="B2987" s="33" t="s">
        <v>34</v>
      </c>
      <c r="C2987" s="38">
        <f>IF(C2986="","",IF(AND(MONTH(C2986)&gt;=1,MONTH(C2986)&lt;=3),1,IF(AND(MONTH(C2986)&gt;=4,MONTH(C2986)&lt;=6),2,IF(AND(MONTH(C2986)&gt;=7,MONTH(C2986)&lt;=9),3,4))))</f>
        <v>2</v>
      </c>
      <c r="D2987" s="37"/>
      <c r="E2987" s="35" t="s">
        <v>39</v>
      </c>
      <c r="F2987" s="36" t="s">
        <v>36</v>
      </c>
    </row>
    <row r="2988" spans="1:6" ht="17.25" thickBot="1" x14ac:dyDescent="0.3"/>
    <row r="2989" spans="1:6" ht="17.25" thickBot="1" x14ac:dyDescent="0.3">
      <c r="A2989" s="39" t="s">
        <v>40</v>
      </c>
      <c r="B2989" s="39" t="s">
        <v>41</v>
      </c>
      <c r="C2989" s="39" t="s">
        <v>42</v>
      </c>
      <c r="D2989" s="39" t="s">
        <v>43</v>
      </c>
      <c r="E2989" s="39" t="s">
        <v>44</v>
      </c>
      <c r="F2989" s="39" t="s">
        <v>45</v>
      </c>
    </row>
    <row r="2990" spans="1:6" x14ac:dyDescent="0.25">
      <c r="A2990" s="40" t="s">
        <v>655</v>
      </c>
      <c r="B2990" s="41" t="str">
        <f ca="1">IFERROR(INDEX(UNSPSCDes,MATCH(INDIRECT(ADDRESS(ROW(),COLUMN()-1,4)),UNSPSCCode,0)),IF(INDIRECT(ADDRESS(ROW(),COLUMN()-1,4))="91111502","Servicios de lavandería",""))</f>
        <v>Servicios de lavandería</v>
      </c>
      <c r="C2990" s="42" t="str">
        <f>IFERROR(VLOOKUP("UD",'[1]Informacion '!P:Q,2,FALSE),"")</f>
        <v>Unidad</v>
      </c>
      <c r="D2990" s="40">
        <v>1</v>
      </c>
      <c r="E2990" s="43">
        <v>12500</v>
      </c>
      <c r="F2990" s="44">
        <f ca="1">INDIRECT(ADDRESS(ROW(),COLUMN()-2,4))*INDIRECT(ADDRESS(ROW(),COLUMN()-1,4))</f>
        <v>12500</v>
      </c>
    </row>
    <row r="2991" spans="1:6" x14ac:dyDescent="0.25">
      <c r="E2991" s="45" t="s">
        <v>47</v>
      </c>
      <c r="F2991" s="46">
        <f ca="1">SUM(Table259[MONTO TOTAL ESTIMADO])</f>
        <v>12500</v>
      </c>
    </row>
    <row r="2992" spans="1:6" ht="17.25" thickBot="1" x14ac:dyDescent="0.3"/>
    <row r="2993" spans="1:6" ht="23.25" thickBot="1" x14ac:dyDescent="0.3">
      <c r="A2993" s="30" t="s">
        <v>18</v>
      </c>
      <c r="B2993" s="30" t="s">
        <v>19</v>
      </c>
      <c r="C2993" s="30" t="s">
        <v>20</v>
      </c>
      <c r="D2993" s="30" t="s">
        <v>21</v>
      </c>
      <c r="E2993" s="30" t="s">
        <v>22</v>
      </c>
      <c r="F2993" s="30" t="s">
        <v>23</v>
      </c>
    </row>
    <row r="2994" spans="1:6" ht="17.25" thickBot="1" x14ac:dyDescent="0.3">
      <c r="A2994" s="31" t="s">
        <v>653</v>
      </c>
      <c r="B2994" s="31" t="s">
        <v>654</v>
      </c>
      <c r="C2994" s="31" t="s">
        <v>26</v>
      </c>
      <c r="D2994" s="31" t="s">
        <v>27</v>
      </c>
      <c r="E2994" s="31" t="s">
        <v>58</v>
      </c>
      <c r="F2994" s="31"/>
    </row>
    <row r="2995" spans="1:6" ht="17.25" thickBot="1" x14ac:dyDescent="0.3">
      <c r="A2995" s="32" t="s">
        <v>29</v>
      </c>
      <c r="B2995" s="33" t="s">
        <v>30</v>
      </c>
      <c r="C2995" s="34">
        <v>45107</v>
      </c>
      <c r="D2995" s="32" t="s">
        <v>31</v>
      </c>
      <c r="E2995" s="35" t="s">
        <v>32</v>
      </c>
      <c r="F2995" s="36" t="s">
        <v>33</v>
      </c>
    </row>
    <row r="2996" spans="1:6" ht="17.25" thickBot="1" x14ac:dyDescent="0.3">
      <c r="A2996" s="37"/>
      <c r="B2996" s="33" t="s">
        <v>34</v>
      </c>
      <c r="C2996" s="38">
        <f>IF(C2995="","",IF(AND(MONTH(C2995)&gt;=1,MONTH(C2995)&lt;=3),1,IF(AND(MONTH(C2995)&gt;=4,MONTH(C2995)&lt;=6),2,IF(AND(MONTH(C2995)&gt;=7,MONTH(C2995)&lt;=9),3,4))))</f>
        <v>2</v>
      </c>
      <c r="D2996" s="37"/>
      <c r="E2996" s="35" t="s">
        <v>35</v>
      </c>
      <c r="F2996" s="36" t="s">
        <v>36</v>
      </c>
    </row>
    <row r="2997" spans="1:6" ht="17.25" thickBot="1" x14ac:dyDescent="0.3">
      <c r="A2997" s="37"/>
      <c r="B2997" s="33" t="s">
        <v>37</v>
      </c>
      <c r="C2997" s="34">
        <v>45198</v>
      </c>
      <c r="D2997" s="37"/>
      <c r="E2997" s="35" t="s">
        <v>38</v>
      </c>
      <c r="F2997" s="36" t="s">
        <v>36</v>
      </c>
    </row>
    <row r="2998" spans="1:6" ht="17.25" thickBot="1" x14ac:dyDescent="0.3">
      <c r="A2998" s="37"/>
      <c r="B2998" s="33" t="s">
        <v>34</v>
      </c>
      <c r="C2998" s="38">
        <f>IF(C2997="","",IF(AND(MONTH(C2997)&gt;=1,MONTH(C2997)&lt;=3),1,IF(AND(MONTH(C2997)&gt;=4,MONTH(C2997)&lt;=6),2,IF(AND(MONTH(C2997)&gt;=7,MONTH(C2997)&lt;=9),3,4))))</f>
        <v>3</v>
      </c>
      <c r="D2998" s="37"/>
      <c r="E2998" s="35" t="s">
        <v>39</v>
      </c>
      <c r="F2998" s="36" t="s">
        <v>36</v>
      </c>
    </row>
    <row r="2999" spans="1:6" ht="17.25" thickBot="1" x14ac:dyDescent="0.3"/>
    <row r="3000" spans="1:6" ht="17.25" thickBot="1" x14ac:dyDescent="0.3">
      <c r="A3000" s="39" t="s">
        <v>40</v>
      </c>
      <c r="B3000" s="39" t="s">
        <v>41</v>
      </c>
      <c r="C3000" s="39" t="s">
        <v>42</v>
      </c>
      <c r="D3000" s="39" t="s">
        <v>43</v>
      </c>
      <c r="E3000" s="39" t="s">
        <v>44</v>
      </c>
      <c r="F3000" s="39" t="s">
        <v>45</v>
      </c>
    </row>
    <row r="3001" spans="1:6" x14ac:dyDescent="0.25">
      <c r="A3001" s="40" t="s">
        <v>655</v>
      </c>
      <c r="B3001" s="41" t="str">
        <f ca="1">IFERROR(INDEX(UNSPSCDes,MATCH(INDIRECT(ADDRESS(ROW(),COLUMN()-1,4)),UNSPSCCode,0)),IF(INDIRECT(ADDRESS(ROW(),COLUMN()-1,4))="91111502","Servicios de lavandería",""))</f>
        <v>Servicios de lavandería</v>
      </c>
      <c r="C3001" s="42" t="str">
        <f>IFERROR(VLOOKUP("UD",'[1]Informacion '!P:Q,2,FALSE),"")</f>
        <v>Unidad</v>
      </c>
      <c r="D3001" s="40">
        <v>1</v>
      </c>
      <c r="E3001" s="43">
        <v>12500</v>
      </c>
      <c r="F3001" s="44">
        <f ca="1">INDIRECT(ADDRESS(ROW(),COLUMN()-2,4))*INDIRECT(ADDRESS(ROW(),COLUMN()-1,4))</f>
        <v>12500</v>
      </c>
    </row>
    <row r="3002" spans="1:6" x14ac:dyDescent="0.25">
      <c r="E3002" s="45" t="s">
        <v>47</v>
      </c>
      <c r="F3002" s="46">
        <f ca="1">SUM(Table260[MONTO TOTAL ESTIMADO])</f>
        <v>12500</v>
      </c>
    </row>
    <row r="3003" spans="1:6" ht="17.25" thickBot="1" x14ac:dyDescent="0.3"/>
    <row r="3004" spans="1:6" ht="23.25" thickBot="1" x14ac:dyDescent="0.3">
      <c r="A3004" s="30" t="s">
        <v>18</v>
      </c>
      <c r="B3004" s="30" t="s">
        <v>19</v>
      </c>
      <c r="C3004" s="30" t="s">
        <v>20</v>
      </c>
      <c r="D3004" s="30" t="s">
        <v>21</v>
      </c>
      <c r="E3004" s="30" t="s">
        <v>22</v>
      </c>
      <c r="F3004" s="30" t="s">
        <v>23</v>
      </c>
    </row>
    <row r="3005" spans="1:6" ht="17.25" thickBot="1" x14ac:dyDescent="0.3">
      <c r="A3005" s="31" t="s">
        <v>653</v>
      </c>
      <c r="B3005" s="31" t="s">
        <v>654</v>
      </c>
      <c r="C3005" s="31" t="s">
        <v>26</v>
      </c>
      <c r="D3005" s="31" t="s">
        <v>27</v>
      </c>
      <c r="E3005" s="31" t="s">
        <v>58</v>
      </c>
      <c r="F3005" s="31"/>
    </row>
    <row r="3006" spans="1:6" ht="17.25" thickBot="1" x14ac:dyDescent="0.3">
      <c r="A3006" s="32" t="s">
        <v>29</v>
      </c>
      <c r="B3006" s="33" t="s">
        <v>30</v>
      </c>
      <c r="C3006" s="34">
        <v>45199</v>
      </c>
      <c r="D3006" s="32" t="s">
        <v>31</v>
      </c>
      <c r="E3006" s="35" t="s">
        <v>32</v>
      </c>
      <c r="F3006" s="36" t="s">
        <v>33</v>
      </c>
    </row>
    <row r="3007" spans="1:6" ht="17.25" thickBot="1" x14ac:dyDescent="0.3">
      <c r="A3007" s="37"/>
      <c r="B3007" s="33" t="s">
        <v>34</v>
      </c>
      <c r="C3007" s="38">
        <f>IF(C3006="","",IF(AND(MONTH(C3006)&gt;=1,MONTH(C3006)&lt;=3),1,IF(AND(MONTH(C3006)&gt;=4,MONTH(C3006)&lt;=6),2,IF(AND(MONTH(C3006)&gt;=7,MONTH(C3006)&lt;=9),3,4))))</f>
        <v>3</v>
      </c>
      <c r="D3007" s="37"/>
      <c r="E3007" s="35" t="s">
        <v>35</v>
      </c>
      <c r="F3007" s="36" t="s">
        <v>36</v>
      </c>
    </row>
    <row r="3008" spans="1:6" ht="17.25" thickBot="1" x14ac:dyDescent="0.3">
      <c r="A3008" s="37"/>
      <c r="B3008" s="33" t="s">
        <v>37</v>
      </c>
      <c r="C3008" s="34">
        <v>45290</v>
      </c>
      <c r="D3008" s="37"/>
      <c r="E3008" s="35" t="s">
        <v>38</v>
      </c>
      <c r="F3008" s="36" t="s">
        <v>36</v>
      </c>
    </row>
    <row r="3009" spans="1:6" ht="17.25" thickBot="1" x14ac:dyDescent="0.3">
      <c r="A3009" s="37"/>
      <c r="B3009" s="33" t="s">
        <v>34</v>
      </c>
      <c r="C3009" s="38">
        <f>IF(C3008="","",IF(AND(MONTH(C3008)&gt;=1,MONTH(C3008)&lt;=3),1,IF(AND(MONTH(C3008)&gt;=4,MONTH(C3008)&lt;=6),2,IF(AND(MONTH(C3008)&gt;=7,MONTH(C3008)&lt;=9),3,4))))</f>
        <v>4</v>
      </c>
      <c r="D3009" s="37"/>
      <c r="E3009" s="35" t="s">
        <v>39</v>
      </c>
      <c r="F3009" s="36" t="s">
        <v>36</v>
      </c>
    </row>
    <row r="3010" spans="1:6" ht="17.25" thickBot="1" x14ac:dyDescent="0.3"/>
    <row r="3011" spans="1:6" ht="17.25" thickBot="1" x14ac:dyDescent="0.3">
      <c r="A3011" s="39" t="s">
        <v>40</v>
      </c>
      <c r="B3011" s="39" t="s">
        <v>41</v>
      </c>
      <c r="C3011" s="39" t="s">
        <v>42</v>
      </c>
      <c r="D3011" s="39" t="s">
        <v>43</v>
      </c>
      <c r="E3011" s="39" t="s">
        <v>44</v>
      </c>
      <c r="F3011" s="39" t="s">
        <v>45</v>
      </c>
    </row>
    <row r="3012" spans="1:6" x14ac:dyDescent="0.25">
      <c r="A3012" s="40" t="s">
        <v>655</v>
      </c>
      <c r="B3012" s="41" t="str">
        <f ca="1">IFERROR(INDEX(UNSPSCDes,MATCH(INDIRECT(ADDRESS(ROW(),COLUMN()-1,4)),UNSPSCCode,0)),IF(INDIRECT(ADDRESS(ROW(),COLUMN()-1,4))="91111502","Servicios de lavandería",""))</f>
        <v>Servicios de lavandería</v>
      </c>
      <c r="C3012" s="42" t="str">
        <f>IFERROR(VLOOKUP("UD",'[1]Informacion '!P:Q,2,FALSE),"")</f>
        <v>Unidad</v>
      </c>
      <c r="D3012" s="40">
        <v>1</v>
      </c>
      <c r="E3012" s="43">
        <v>12500</v>
      </c>
      <c r="F3012" s="44">
        <f ca="1">INDIRECT(ADDRESS(ROW(),COLUMN()-2,4))*INDIRECT(ADDRESS(ROW(),COLUMN()-1,4))</f>
        <v>12500</v>
      </c>
    </row>
    <row r="3013" spans="1:6" x14ac:dyDescent="0.25">
      <c r="E3013" s="45" t="s">
        <v>47</v>
      </c>
      <c r="F3013" s="46">
        <f ca="1">SUM(Table261[MONTO TOTAL ESTIMADO])</f>
        <v>12500</v>
      </c>
    </row>
    <row r="3014" spans="1:6" ht="17.25" thickBot="1" x14ac:dyDescent="0.3"/>
    <row r="3015" spans="1:6" ht="23.25" thickBot="1" x14ac:dyDescent="0.3">
      <c r="A3015" s="30" t="s">
        <v>18</v>
      </c>
      <c r="B3015" s="30" t="s">
        <v>19</v>
      </c>
      <c r="C3015" s="30" t="s">
        <v>20</v>
      </c>
      <c r="D3015" s="30" t="s">
        <v>21</v>
      </c>
      <c r="E3015" s="30" t="s">
        <v>22</v>
      </c>
      <c r="F3015" s="30" t="s">
        <v>23</v>
      </c>
    </row>
    <row r="3016" spans="1:6" ht="17.25" thickBot="1" x14ac:dyDescent="0.3">
      <c r="A3016" s="31" t="s">
        <v>656</v>
      </c>
      <c r="B3016" s="31" t="s">
        <v>656</v>
      </c>
      <c r="C3016" s="31" t="s">
        <v>26</v>
      </c>
      <c r="D3016" s="31" t="s">
        <v>27</v>
      </c>
      <c r="E3016" s="31" t="s">
        <v>58</v>
      </c>
      <c r="F3016" s="31"/>
    </row>
    <row r="3017" spans="1:6" ht="17.25" thickBot="1" x14ac:dyDescent="0.3">
      <c r="A3017" s="32" t="s">
        <v>29</v>
      </c>
      <c r="B3017" s="33" t="s">
        <v>30</v>
      </c>
      <c r="C3017" s="34">
        <v>45214</v>
      </c>
      <c r="D3017" s="32" t="s">
        <v>31</v>
      </c>
      <c r="E3017" s="35" t="s">
        <v>32</v>
      </c>
      <c r="F3017" s="36" t="s">
        <v>33</v>
      </c>
    </row>
    <row r="3018" spans="1:6" ht="17.25" thickBot="1" x14ac:dyDescent="0.3">
      <c r="A3018" s="37"/>
      <c r="B3018" s="33" t="s">
        <v>34</v>
      </c>
      <c r="C3018" s="38">
        <f>IF(C3017="","",IF(AND(MONTH(C3017)&gt;=1,MONTH(C3017)&lt;=3),1,IF(AND(MONTH(C3017)&gt;=4,MONTH(C3017)&lt;=6),2,IF(AND(MONTH(C3017)&gt;=7,MONTH(C3017)&lt;=9),3,4))))</f>
        <v>4</v>
      </c>
      <c r="D3018" s="37"/>
      <c r="E3018" s="35" t="s">
        <v>35</v>
      </c>
      <c r="F3018" s="36" t="s">
        <v>36</v>
      </c>
    </row>
    <row r="3019" spans="1:6" ht="17.25" thickBot="1" x14ac:dyDescent="0.3">
      <c r="A3019" s="37"/>
      <c r="B3019" s="33" t="s">
        <v>37</v>
      </c>
      <c r="C3019" s="34">
        <v>45260</v>
      </c>
      <c r="D3019" s="37"/>
      <c r="E3019" s="35" t="s">
        <v>38</v>
      </c>
      <c r="F3019" s="36" t="s">
        <v>36</v>
      </c>
    </row>
    <row r="3020" spans="1:6" ht="17.25" thickBot="1" x14ac:dyDescent="0.3">
      <c r="A3020" s="37"/>
      <c r="B3020" s="33" t="s">
        <v>34</v>
      </c>
      <c r="C3020" s="38">
        <f>IF(C3019="","",IF(AND(MONTH(C3019)&gt;=1,MONTH(C3019)&lt;=3),1,IF(AND(MONTH(C3019)&gt;=4,MONTH(C3019)&lt;=6),2,IF(AND(MONTH(C3019)&gt;=7,MONTH(C3019)&lt;=9),3,4))))</f>
        <v>4</v>
      </c>
      <c r="D3020" s="37"/>
      <c r="E3020" s="35" t="s">
        <v>39</v>
      </c>
      <c r="F3020" s="36" t="s">
        <v>36</v>
      </c>
    </row>
    <row r="3021" spans="1:6" ht="17.25" thickBot="1" x14ac:dyDescent="0.3"/>
    <row r="3022" spans="1:6" ht="17.25" thickBot="1" x14ac:dyDescent="0.3">
      <c r="A3022" s="39" t="s">
        <v>40</v>
      </c>
      <c r="B3022" s="39" t="s">
        <v>41</v>
      </c>
      <c r="C3022" s="39" t="s">
        <v>42</v>
      </c>
      <c r="D3022" s="39" t="s">
        <v>43</v>
      </c>
      <c r="E3022" s="39" t="s">
        <v>44</v>
      </c>
      <c r="F3022" s="39" t="s">
        <v>45</v>
      </c>
    </row>
    <row r="3023" spans="1:6" x14ac:dyDescent="0.25">
      <c r="A3023" s="40">
        <v>90121502</v>
      </c>
      <c r="B3023" s="41" t="str">
        <f ca="1">IFERROR(INDEX(UNSPSCDes,MATCH(INDIRECT(ADDRESS(ROW(),COLUMN()-1,4)),UNSPSCCode,0)),IF(INDIRECT(ADDRESS(ROW(),COLUMN()-1,4))="90121502","Agencias de viajes",""))</f>
        <v>Agencias de viajes</v>
      </c>
      <c r="C3023" s="42" t="str">
        <f>IFERROR(VLOOKUP("UD",'[1]Informacion '!P:Q,2,FALSE),"")</f>
        <v>Unidad</v>
      </c>
      <c r="D3023" s="40">
        <v>1</v>
      </c>
      <c r="E3023" s="43">
        <v>1</v>
      </c>
      <c r="F3023" s="44">
        <f ca="1">INDIRECT(ADDRESS(ROW(),COLUMN()-2,4))*INDIRECT(ADDRESS(ROW(),COLUMN()-1,4))</f>
        <v>1</v>
      </c>
    </row>
    <row r="3024" spans="1:6" x14ac:dyDescent="0.25">
      <c r="E3024" s="45" t="s">
        <v>47</v>
      </c>
      <c r="F3024" s="46">
        <f ca="1">SUM(Table262[MONTO TOTAL ESTIMADO])</f>
        <v>1</v>
      </c>
    </row>
    <row r="3025" spans="1:6" ht="17.25" thickBot="1" x14ac:dyDescent="0.3"/>
    <row r="3026" spans="1:6" ht="23.25" thickBot="1" x14ac:dyDescent="0.3">
      <c r="A3026" s="30" t="s">
        <v>18</v>
      </c>
      <c r="B3026" s="30" t="s">
        <v>19</v>
      </c>
      <c r="C3026" s="30" t="s">
        <v>20</v>
      </c>
      <c r="D3026" s="30" t="s">
        <v>21</v>
      </c>
      <c r="E3026" s="30" t="s">
        <v>22</v>
      </c>
      <c r="F3026" s="30" t="s">
        <v>23</v>
      </c>
    </row>
    <row r="3027" spans="1:6" ht="17.25" thickBot="1" x14ac:dyDescent="0.3">
      <c r="A3027" s="31" t="s">
        <v>253</v>
      </c>
      <c r="B3027" s="31" t="s">
        <v>253</v>
      </c>
      <c r="C3027" s="31" t="s">
        <v>92</v>
      </c>
      <c r="D3027" s="31" t="s">
        <v>27</v>
      </c>
      <c r="E3027" s="31" t="s">
        <v>58</v>
      </c>
      <c r="F3027" s="31"/>
    </row>
    <row r="3028" spans="1:6" ht="17.25" thickBot="1" x14ac:dyDescent="0.3">
      <c r="A3028" s="32" t="s">
        <v>29</v>
      </c>
      <c r="B3028" s="33" t="s">
        <v>30</v>
      </c>
      <c r="C3028" s="34">
        <v>45214</v>
      </c>
      <c r="D3028" s="32" t="s">
        <v>31</v>
      </c>
      <c r="E3028" s="35" t="s">
        <v>32</v>
      </c>
      <c r="F3028" s="36" t="s">
        <v>33</v>
      </c>
    </row>
    <row r="3029" spans="1:6" ht="17.25" thickBot="1" x14ac:dyDescent="0.3">
      <c r="A3029" s="37"/>
      <c r="B3029" s="33" t="s">
        <v>34</v>
      </c>
      <c r="C3029" s="38">
        <f>IF(C3028="","",IF(AND(MONTH(C3028)&gt;=1,MONTH(C3028)&lt;=3),1,IF(AND(MONTH(C3028)&gt;=4,MONTH(C3028)&lt;=6),2,IF(AND(MONTH(C3028)&gt;=7,MONTH(C3028)&lt;=9),3,4))))</f>
        <v>4</v>
      </c>
      <c r="D3029" s="37"/>
      <c r="E3029" s="35" t="s">
        <v>35</v>
      </c>
      <c r="F3029" s="36" t="s">
        <v>36</v>
      </c>
    </row>
    <row r="3030" spans="1:6" ht="17.25" thickBot="1" x14ac:dyDescent="0.3">
      <c r="A3030" s="37"/>
      <c r="B3030" s="33" t="s">
        <v>37</v>
      </c>
      <c r="C3030" s="34">
        <v>45260</v>
      </c>
      <c r="D3030" s="37"/>
      <c r="E3030" s="35" t="s">
        <v>38</v>
      </c>
      <c r="F3030" s="36" t="s">
        <v>36</v>
      </c>
    </row>
    <row r="3031" spans="1:6" ht="17.25" thickBot="1" x14ac:dyDescent="0.3">
      <c r="A3031" s="37"/>
      <c r="B3031" s="33" t="s">
        <v>34</v>
      </c>
      <c r="C3031" s="38">
        <f>IF(C3030="","",IF(AND(MONTH(C3030)&gt;=1,MONTH(C3030)&lt;=3),1,IF(AND(MONTH(C3030)&gt;=4,MONTH(C3030)&lt;=6),2,IF(AND(MONTH(C3030)&gt;=7,MONTH(C3030)&lt;=9),3,4))))</f>
        <v>4</v>
      </c>
      <c r="D3031" s="37"/>
      <c r="E3031" s="35" t="s">
        <v>39</v>
      </c>
      <c r="F3031" s="36" t="s">
        <v>36</v>
      </c>
    </row>
    <row r="3032" spans="1:6" ht="17.25" thickBot="1" x14ac:dyDescent="0.3"/>
    <row r="3033" spans="1:6" ht="17.25" thickBot="1" x14ac:dyDescent="0.3">
      <c r="A3033" s="39" t="s">
        <v>40</v>
      </c>
      <c r="B3033" s="39" t="s">
        <v>41</v>
      </c>
      <c r="C3033" s="39" t="s">
        <v>42</v>
      </c>
      <c r="D3033" s="39" t="s">
        <v>43</v>
      </c>
      <c r="E3033" s="39" t="s">
        <v>44</v>
      </c>
      <c r="F3033" s="39" t="s">
        <v>45</v>
      </c>
    </row>
    <row r="3034" spans="1:6" x14ac:dyDescent="0.25">
      <c r="A3034" s="40" t="s">
        <v>657</v>
      </c>
      <c r="B3034" s="41" t="str">
        <f ca="1">IFERROR(INDEX(UNSPSCDes,MATCH(INDIRECT(ADDRESS(ROW(),COLUMN()-1,4)),UNSPSCCode,0)),IF(INDIRECT(ADDRESS(ROW(),COLUMN()-1,4))="11111611","Gravilla",""))</f>
        <v>Gravilla</v>
      </c>
      <c r="C3034" s="42" t="str">
        <f>IFERROR(VLOOKUP("UD",'[1]Informacion '!P:Q,2,FALSE),"")</f>
        <v>Unidad</v>
      </c>
      <c r="D3034" s="40">
        <v>1</v>
      </c>
      <c r="E3034" s="43">
        <v>1</v>
      </c>
      <c r="F3034" s="44">
        <f ca="1">INDIRECT(ADDRESS(ROW(),COLUMN()-2,4))*INDIRECT(ADDRESS(ROW(),COLUMN()-1,4))</f>
        <v>1</v>
      </c>
    </row>
    <row r="3035" spans="1:6" x14ac:dyDescent="0.25">
      <c r="E3035" s="45" t="s">
        <v>47</v>
      </c>
      <c r="F3035" s="46">
        <f ca="1">SUM(Table263[MONTO TOTAL ESTIMADO])</f>
        <v>1</v>
      </c>
    </row>
    <row r="3036" spans="1:6" ht="17.25" thickBot="1" x14ac:dyDescent="0.3"/>
    <row r="3037" spans="1:6" ht="23.25" thickBot="1" x14ac:dyDescent="0.3">
      <c r="A3037" s="30" t="s">
        <v>18</v>
      </c>
      <c r="B3037" s="30" t="s">
        <v>19</v>
      </c>
      <c r="C3037" s="30" t="s">
        <v>20</v>
      </c>
      <c r="D3037" s="30" t="s">
        <v>21</v>
      </c>
      <c r="E3037" s="30" t="s">
        <v>22</v>
      </c>
      <c r="F3037" s="30" t="s">
        <v>23</v>
      </c>
    </row>
    <row r="3038" spans="1:6" ht="17.25" thickBot="1" x14ac:dyDescent="0.3">
      <c r="A3038" s="31" t="s">
        <v>584</v>
      </c>
      <c r="B3038" s="31" t="s">
        <v>658</v>
      </c>
      <c r="C3038" s="31" t="s">
        <v>92</v>
      </c>
      <c r="D3038" s="31" t="s">
        <v>27</v>
      </c>
      <c r="E3038" s="31" t="s">
        <v>58</v>
      </c>
      <c r="F3038" s="31"/>
    </row>
    <row r="3039" spans="1:6" ht="17.25" thickBot="1" x14ac:dyDescent="0.3">
      <c r="A3039" s="32" t="s">
        <v>29</v>
      </c>
      <c r="B3039" s="33" t="s">
        <v>30</v>
      </c>
      <c r="C3039" s="34">
        <v>45247</v>
      </c>
      <c r="D3039" s="32" t="s">
        <v>31</v>
      </c>
      <c r="E3039" s="35" t="s">
        <v>32</v>
      </c>
      <c r="F3039" s="36" t="s">
        <v>33</v>
      </c>
    </row>
    <row r="3040" spans="1:6" ht="17.25" thickBot="1" x14ac:dyDescent="0.3">
      <c r="A3040" s="37"/>
      <c r="B3040" s="33" t="s">
        <v>34</v>
      </c>
      <c r="C3040" s="38">
        <f>IF(C3039="","",IF(AND(MONTH(C3039)&gt;=1,MONTH(C3039)&lt;=3),1,IF(AND(MONTH(C3039)&gt;=4,MONTH(C3039)&lt;=6),2,IF(AND(MONTH(C3039)&gt;=7,MONTH(C3039)&lt;=9),3,4))))</f>
        <v>4</v>
      </c>
      <c r="D3040" s="37"/>
      <c r="E3040" s="35" t="s">
        <v>35</v>
      </c>
      <c r="F3040" s="36" t="s">
        <v>36</v>
      </c>
    </row>
    <row r="3041" spans="1:6" ht="17.25" thickBot="1" x14ac:dyDescent="0.3">
      <c r="A3041" s="37"/>
      <c r="B3041" s="33" t="s">
        <v>37</v>
      </c>
      <c r="C3041" s="34">
        <v>45260</v>
      </c>
      <c r="D3041" s="37"/>
      <c r="E3041" s="35" t="s">
        <v>38</v>
      </c>
      <c r="F3041" s="36" t="s">
        <v>36</v>
      </c>
    </row>
    <row r="3042" spans="1:6" ht="17.25" thickBot="1" x14ac:dyDescent="0.3">
      <c r="A3042" s="37"/>
      <c r="B3042" s="33" t="s">
        <v>34</v>
      </c>
      <c r="C3042" s="38">
        <f>IF(C3041="","",IF(AND(MONTH(C3041)&gt;=1,MONTH(C3041)&lt;=3),1,IF(AND(MONTH(C3041)&gt;=4,MONTH(C3041)&lt;=6),2,IF(AND(MONTH(C3041)&gt;=7,MONTH(C3041)&lt;=9),3,4))))</f>
        <v>4</v>
      </c>
      <c r="D3042" s="37"/>
      <c r="E3042" s="35" t="s">
        <v>39</v>
      </c>
      <c r="F3042" s="36" t="s">
        <v>36</v>
      </c>
    </row>
    <row r="3043" spans="1:6" ht="17.25" thickBot="1" x14ac:dyDescent="0.3"/>
    <row r="3044" spans="1:6" ht="17.25" thickBot="1" x14ac:dyDescent="0.3">
      <c r="A3044" s="39" t="s">
        <v>40</v>
      </c>
      <c r="B3044" s="39" t="s">
        <v>41</v>
      </c>
      <c r="C3044" s="39" t="s">
        <v>42</v>
      </c>
      <c r="D3044" s="39" t="s">
        <v>43</v>
      </c>
      <c r="E3044" s="39" t="s">
        <v>44</v>
      </c>
      <c r="F3044" s="39" t="s">
        <v>45</v>
      </c>
    </row>
    <row r="3045" spans="1:6" x14ac:dyDescent="0.25">
      <c r="A3045" s="40" t="s">
        <v>659</v>
      </c>
      <c r="B3045" s="41" t="str">
        <f ca="1">IFERROR(INDEX(UNSPSCDes,MATCH(INDIRECT(ADDRESS(ROW(),COLUMN()-1,4)),UNSPSCCode,0)),IF(INDIRECT(ADDRESS(ROW(),COLUMN()-1,4))="42152455","Estantes o soportes para productos abrasivos de uso odontológico",""))</f>
        <v>Estantes o soportes para productos abrasivos de uso odontológico</v>
      </c>
      <c r="C3045" s="42" t="str">
        <f>IFERROR(VLOOKUP("UD",'[1]Informacion '!P:Q,2,FALSE),"")</f>
        <v>Unidad</v>
      </c>
      <c r="D3045" s="40">
        <v>1</v>
      </c>
      <c r="E3045" s="43">
        <v>1</v>
      </c>
      <c r="F3045" s="44">
        <f ca="1">INDIRECT(ADDRESS(ROW(),COLUMN()-2,4))*INDIRECT(ADDRESS(ROW(),COLUMN()-1,4))</f>
        <v>1</v>
      </c>
    </row>
    <row r="3046" spans="1:6" x14ac:dyDescent="0.25">
      <c r="A3046" s="40" t="s">
        <v>660</v>
      </c>
      <c r="B3046" s="41" t="str">
        <f ca="1">IFERROR(INDEX(UNSPSCDes,MATCH(INDIRECT(ADDRESS(ROW(),COLUMN()-1,4)),UNSPSCCode,0)),IF(INDIRECT(ADDRESS(ROW(),COLUMN()-1,4))="23131507","Tela para lijar",""))</f>
        <v>Tela para lijar</v>
      </c>
      <c r="C3046" s="42" t="str">
        <f>IFERROR(VLOOKUP("UD",'[1]Informacion '!P:Q,2,FALSE),"")</f>
        <v>Unidad</v>
      </c>
      <c r="D3046" s="40">
        <v>6</v>
      </c>
      <c r="E3046" s="43">
        <v>1</v>
      </c>
      <c r="F3046" s="44">
        <f ca="1">INDIRECT(ADDRESS(ROW(),COLUMN()-2,4))*INDIRECT(ADDRESS(ROW(),COLUMN()-1,4))</f>
        <v>6</v>
      </c>
    </row>
    <row r="3047" spans="1:6" x14ac:dyDescent="0.25">
      <c r="E3047" s="45" t="s">
        <v>47</v>
      </c>
      <c r="F3047" s="46">
        <f ca="1">SUM(Table264[MONTO TOTAL ESTIMADO])</f>
        <v>7</v>
      </c>
    </row>
    <row r="3048" spans="1:6" ht="17.25" thickBot="1" x14ac:dyDescent="0.3"/>
    <row r="3049" spans="1:6" ht="23.25" thickBot="1" x14ac:dyDescent="0.3">
      <c r="A3049" s="30" t="s">
        <v>18</v>
      </c>
      <c r="B3049" s="30" t="s">
        <v>19</v>
      </c>
      <c r="C3049" s="30" t="s">
        <v>20</v>
      </c>
      <c r="D3049" s="30" t="s">
        <v>21</v>
      </c>
      <c r="E3049" s="30" t="s">
        <v>22</v>
      </c>
      <c r="F3049" s="30" t="s">
        <v>23</v>
      </c>
    </row>
    <row r="3050" spans="1:6" ht="17.25" thickBot="1" x14ac:dyDescent="0.3">
      <c r="A3050" s="31" t="s">
        <v>661</v>
      </c>
      <c r="B3050" s="31" t="s">
        <v>661</v>
      </c>
      <c r="C3050" s="31" t="s">
        <v>92</v>
      </c>
      <c r="D3050" s="31" t="s">
        <v>50</v>
      </c>
      <c r="E3050" s="31" t="s">
        <v>58</v>
      </c>
      <c r="F3050" s="31"/>
    </row>
    <row r="3051" spans="1:6" ht="17.25" thickBot="1" x14ac:dyDescent="0.3">
      <c r="A3051" s="32" t="s">
        <v>29</v>
      </c>
      <c r="B3051" s="33" t="s">
        <v>30</v>
      </c>
      <c r="C3051" s="34">
        <v>45022</v>
      </c>
      <c r="D3051" s="32" t="s">
        <v>31</v>
      </c>
      <c r="E3051" s="35" t="s">
        <v>32</v>
      </c>
      <c r="F3051" s="36" t="s">
        <v>33</v>
      </c>
    </row>
    <row r="3052" spans="1:6" ht="17.25" thickBot="1" x14ac:dyDescent="0.3">
      <c r="A3052" s="37"/>
      <c r="B3052" s="33" t="s">
        <v>34</v>
      </c>
      <c r="C3052" s="38">
        <f>IF(C3051="","",IF(AND(MONTH(C3051)&gt;=1,MONTH(C3051)&lt;=3),1,IF(AND(MONTH(C3051)&gt;=4,MONTH(C3051)&lt;=6),2,IF(AND(MONTH(C3051)&gt;=7,MONTH(C3051)&lt;=9),3,4))))</f>
        <v>2</v>
      </c>
      <c r="D3052" s="37"/>
      <c r="E3052" s="35" t="s">
        <v>35</v>
      </c>
      <c r="F3052" s="36" t="s">
        <v>36</v>
      </c>
    </row>
    <row r="3053" spans="1:6" ht="17.25" thickBot="1" x14ac:dyDescent="0.3">
      <c r="A3053" s="37"/>
      <c r="B3053" s="33" t="s">
        <v>37</v>
      </c>
      <c r="C3053" s="34">
        <v>45076</v>
      </c>
      <c r="D3053" s="37"/>
      <c r="E3053" s="35" t="s">
        <v>38</v>
      </c>
      <c r="F3053" s="36" t="s">
        <v>36</v>
      </c>
    </row>
    <row r="3054" spans="1:6" ht="17.25" thickBot="1" x14ac:dyDescent="0.3">
      <c r="A3054" s="37"/>
      <c r="B3054" s="33" t="s">
        <v>34</v>
      </c>
      <c r="C3054" s="38">
        <f>IF(C3053="","",IF(AND(MONTH(C3053)&gt;=1,MONTH(C3053)&lt;=3),1,IF(AND(MONTH(C3053)&gt;=4,MONTH(C3053)&lt;=6),2,IF(AND(MONTH(C3053)&gt;=7,MONTH(C3053)&lt;=9),3,4))))</f>
        <v>2</v>
      </c>
      <c r="D3054" s="37"/>
      <c r="E3054" s="35" t="s">
        <v>39</v>
      </c>
      <c r="F3054" s="36" t="s">
        <v>36</v>
      </c>
    </row>
    <row r="3055" spans="1:6" ht="17.25" thickBot="1" x14ac:dyDescent="0.3"/>
    <row r="3056" spans="1:6" ht="17.25" thickBot="1" x14ac:dyDescent="0.3">
      <c r="A3056" s="39" t="s">
        <v>40</v>
      </c>
      <c r="B3056" s="39" t="s">
        <v>41</v>
      </c>
      <c r="C3056" s="39" t="s">
        <v>42</v>
      </c>
      <c r="D3056" s="39" t="s">
        <v>43</v>
      </c>
      <c r="E3056" s="39" t="s">
        <v>44</v>
      </c>
      <c r="F3056" s="39" t="s">
        <v>45</v>
      </c>
    </row>
    <row r="3057" spans="1:7" x14ac:dyDescent="0.25">
      <c r="A3057" s="40" t="s">
        <v>662</v>
      </c>
      <c r="B3057" s="41" t="str">
        <f ca="1">IFERROR(INDEX(UNSPSCDes,MATCH(INDIRECT(ADDRESS(ROW(),COLUMN()-1,4)),UNSPSCCode,0)),IF(INDIRECT(ADDRESS(ROW(),COLUMN()-1,4))="25101801","Motocicletas",""))</f>
        <v>Motocicletas</v>
      </c>
      <c r="C3057" s="42" t="str">
        <f>IFERROR(VLOOKUP("UD",'[1]Informacion '!P:Q,2,FALSE),"")</f>
        <v>Unidad</v>
      </c>
      <c r="D3057" s="40">
        <v>2</v>
      </c>
      <c r="E3057" s="43">
        <v>1</v>
      </c>
      <c r="F3057" s="44">
        <f ca="1">INDIRECT(ADDRESS(ROW(),COLUMN()-2,4))*INDIRECT(ADDRESS(ROW(),COLUMN()-1,4))</f>
        <v>2</v>
      </c>
    </row>
    <row r="3058" spans="1:7" x14ac:dyDescent="0.25">
      <c r="E3058" s="45" t="s">
        <v>47</v>
      </c>
      <c r="F3058" s="46">
        <f ca="1">SUM(Table265[MONTO TOTAL ESTIMADO])</f>
        <v>2</v>
      </c>
    </row>
    <row r="3059" spans="1:7" ht="17.25" thickBot="1" x14ac:dyDescent="0.3"/>
    <row r="3060" spans="1:7" ht="23.25" thickBot="1" x14ac:dyDescent="0.3">
      <c r="A3060" s="30" t="s">
        <v>18</v>
      </c>
      <c r="B3060" s="30" t="s">
        <v>19</v>
      </c>
      <c r="C3060" s="30" t="s">
        <v>20</v>
      </c>
      <c r="D3060" s="30" t="s">
        <v>21</v>
      </c>
      <c r="E3060" s="30" t="s">
        <v>22</v>
      </c>
      <c r="F3060" s="30" t="s">
        <v>23</v>
      </c>
    </row>
    <row r="3061" spans="1:7" ht="17.25" thickBot="1" x14ac:dyDescent="0.3">
      <c r="A3061" s="31" t="s">
        <v>608</v>
      </c>
      <c r="B3061" s="31" t="s">
        <v>608</v>
      </c>
      <c r="C3061" s="31" t="s">
        <v>92</v>
      </c>
      <c r="D3061" s="31" t="s">
        <v>27</v>
      </c>
      <c r="E3061" s="31" t="s">
        <v>58</v>
      </c>
      <c r="F3061" s="31"/>
    </row>
    <row r="3062" spans="1:7" ht="17.25" thickBot="1" x14ac:dyDescent="0.3">
      <c r="A3062" s="32" t="s">
        <v>29</v>
      </c>
      <c r="B3062" s="33" t="s">
        <v>30</v>
      </c>
      <c r="C3062" s="34">
        <v>44959</v>
      </c>
      <c r="D3062" s="32" t="s">
        <v>31</v>
      </c>
      <c r="E3062" s="35" t="s">
        <v>32</v>
      </c>
      <c r="F3062" s="36" t="s">
        <v>33</v>
      </c>
    </row>
    <row r="3063" spans="1:7" ht="17.25" thickBot="1" x14ac:dyDescent="0.3">
      <c r="A3063" s="37"/>
      <c r="B3063" s="33" t="s">
        <v>34</v>
      </c>
      <c r="C3063" s="38">
        <f>IF(C3062="","",IF(AND(MONTH(C3062)&gt;=1,MONTH(C3062)&lt;=3),1,IF(AND(MONTH(C3062)&gt;=4,MONTH(C3062)&lt;=6),2,IF(AND(MONTH(C3062)&gt;=7,MONTH(C3062)&lt;=9),3,4))))</f>
        <v>1</v>
      </c>
      <c r="D3063" s="37"/>
      <c r="E3063" s="35" t="s">
        <v>35</v>
      </c>
      <c r="F3063" s="36" t="s">
        <v>36</v>
      </c>
    </row>
    <row r="3064" spans="1:7" ht="17.25" thickBot="1" x14ac:dyDescent="0.3">
      <c r="A3064" s="37"/>
      <c r="B3064" s="33" t="s">
        <v>37</v>
      </c>
      <c r="C3064" s="34">
        <v>45015</v>
      </c>
      <c r="D3064" s="37"/>
      <c r="E3064" s="35" t="s">
        <v>38</v>
      </c>
      <c r="F3064" s="36" t="s">
        <v>36</v>
      </c>
    </row>
    <row r="3065" spans="1:7" ht="17.25" thickBot="1" x14ac:dyDescent="0.3">
      <c r="A3065" s="37"/>
      <c r="B3065" s="33" t="s">
        <v>34</v>
      </c>
      <c r="C3065" s="38">
        <f>IF(C3064="","",IF(AND(MONTH(C3064)&gt;=1,MONTH(C3064)&lt;=3),1,IF(AND(MONTH(C3064)&gt;=4,MONTH(C3064)&lt;=6),2,IF(AND(MONTH(C3064)&gt;=7,MONTH(C3064)&lt;=9),3,4))))</f>
        <v>1</v>
      </c>
      <c r="D3065" s="37"/>
      <c r="E3065" s="35" t="s">
        <v>39</v>
      </c>
      <c r="F3065" s="36" t="s">
        <v>36</v>
      </c>
    </row>
    <row r="3066" spans="1:7" ht="17.25" thickBot="1" x14ac:dyDescent="0.3"/>
    <row r="3067" spans="1:7" ht="17.25" thickBot="1" x14ac:dyDescent="0.3">
      <c r="A3067" s="39" t="s">
        <v>40</v>
      </c>
      <c r="B3067" s="39" t="s">
        <v>41</v>
      </c>
      <c r="C3067" s="39" t="s">
        <v>42</v>
      </c>
      <c r="D3067" s="39" t="s">
        <v>43</v>
      </c>
      <c r="E3067" s="39" t="s">
        <v>44</v>
      </c>
      <c r="F3067" s="39" t="s">
        <v>45</v>
      </c>
    </row>
    <row r="3068" spans="1:7" x14ac:dyDescent="0.25">
      <c r="A3068" s="40" t="s">
        <v>663</v>
      </c>
      <c r="B3068" s="41" t="str">
        <f ca="1">IFERROR(INDEX(UNSPSCDes,MATCH(INDIRECT(ADDRESS(ROW(),COLUMN()-1,4)),UNSPSCCode,0)),IF(INDIRECT(ADDRESS(ROW(),COLUMN()-1,4))="72102602","Instalación de ventanas, puertas o dispositivos",""))</f>
        <v>Instalación de ventanas, puertas o dispositivos</v>
      </c>
      <c r="C3068" s="42" t="str">
        <f>IFERROR(VLOOKUP("UD",'[1]Informacion '!P:Q,2,FALSE),"")</f>
        <v>Unidad</v>
      </c>
      <c r="D3068" s="40">
        <v>1</v>
      </c>
      <c r="E3068" s="43">
        <v>470000</v>
      </c>
      <c r="F3068" s="44">
        <f ca="1">INDIRECT(ADDRESS(ROW(),COLUMN()-2,4))*INDIRECT(ADDRESS(ROW(),COLUMN()-1,4))</f>
        <v>470000</v>
      </c>
    </row>
    <row r="3069" spans="1:7" x14ac:dyDescent="0.25">
      <c r="E3069" s="45" t="s">
        <v>47</v>
      </c>
      <c r="F3069" s="46">
        <f ca="1">SUM(Table266[MONTO TOTAL ESTIMADO])</f>
        <v>470000</v>
      </c>
    </row>
    <row r="3070" spans="1:7" ht="17.25" thickBot="1" x14ac:dyDescent="0.3"/>
    <row r="3071" spans="1:7" ht="23.25" thickBot="1" x14ac:dyDescent="0.3">
      <c r="A3071" s="30" t="s">
        <v>18</v>
      </c>
      <c r="B3071" s="30" t="s">
        <v>19</v>
      </c>
      <c r="C3071" s="30" t="s">
        <v>20</v>
      </c>
      <c r="D3071" s="30" t="s">
        <v>21</v>
      </c>
      <c r="E3071" s="30" t="s">
        <v>22</v>
      </c>
      <c r="F3071" s="30" t="s">
        <v>23</v>
      </c>
      <c r="G3071" s="47"/>
    </row>
    <row r="3072" spans="1:7" ht="15.75" thickBot="1" x14ac:dyDescent="0.3">
      <c r="A3072" s="31" t="s">
        <v>664</v>
      </c>
      <c r="B3072" s="31" t="s">
        <v>664</v>
      </c>
      <c r="C3072" s="31" t="s">
        <v>92</v>
      </c>
      <c r="D3072" s="31" t="s">
        <v>50</v>
      </c>
      <c r="E3072" s="31" t="s">
        <v>58</v>
      </c>
      <c r="F3072" s="31"/>
      <c r="G3072" s="47"/>
    </row>
    <row r="3073" spans="1:7" ht="15.75" thickBot="1" x14ac:dyDescent="0.3">
      <c r="A3073" s="32" t="s">
        <v>29</v>
      </c>
      <c r="B3073" s="33" t="s">
        <v>30</v>
      </c>
      <c r="C3073" s="48">
        <v>44958</v>
      </c>
      <c r="D3073" s="32" t="s">
        <v>31</v>
      </c>
      <c r="E3073" s="33" t="s">
        <v>32</v>
      </c>
      <c r="F3073" s="31" t="s">
        <v>33</v>
      </c>
      <c r="G3073" s="47"/>
    </row>
    <row r="3074" spans="1:7" ht="15.75" thickBot="1" x14ac:dyDescent="0.3">
      <c r="A3074" s="37"/>
      <c r="B3074" s="33" t="s">
        <v>34</v>
      </c>
      <c r="C3074" s="49">
        <f>IF(C3073="","",IF(AND(MONTH(C3073)&gt;=1,MONTH(C3073)&lt;=3),1,IF(AND(MONTH(C3073)&gt;=4,MONTH(C3073)&lt;=6),2,IF(AND(MONTH(C3073)&gt;=7,MONTH(C3073)&lt;=9),3,4))))</f>
        <v>1</v>
      </c>
      <c r="D3074" s="37"/>
      <c r="E3074" s="33" t="s">
        <v>35</v>
      </c>
      <c r="F3074" s="31" t="s">
        <v>36</v>
      </c>
      <c r="G3074" s="47"/>
    </row>
    <row r="3075" spans="1:7" ht="15.75" thickBot="1" x14ac:dyDescent="0.3">
      <c r="A3075" s="37"/>
      <c r="B3075" s="33" t="s">
        <v>37</v>
      </c>
      <c r="C3075" s="48">
        <v>45015</v>
      </c>
      <c r="D3075" s="37"/>
      <c r="E3075" s="33" t="s">
        <v>38</v>
      </c>
      <c r="F3075" s="31" t="s">
        <v>36</v>
      </c>
      <c r="G3075" s="47"/>
    </row>
    <row r="3076" spans="1:7" ht="15.75" thickBot="1" x14ac:dyDescent="0.3">
      <c r="A3076" s="37"/>
      <c r="B3076" s="33" t="s">
        <v>34</v>
      </c>
      <c r="C3076" s="49">
        <f>IF(C3075="","",IF(AND(MONTH(C3075)&gt;=1,MONTH(C3075)&lt;=3),1,IF(AND(MONTH(C3075)&gt;=4,MONTH(C3075)&lt;=6),2,IF(AND(MONTH(C3075)&gt;=7,MONTH(C3075)&lt;=9),3,4))))</f>
        <v>1</v>
      </c>
      <c r="D3076" s="37"/>
      <c r="E3076" s="33" t="s">
        <v>39</v>
      </c>
      <c r="F3076" s="31" t="s">
        <v>36</v>
      </c>
      <c r="G3076" s="47"/>
    </row>
    <row r="3077" spans="1:7" ht="15.75" thickBot="1" x14ac:dyDescent="0.3">
      <c r="A3077" s="47"/>
      <c r="B3077" s="47"/>
      <c r="C3077" s="47"/>
      <c r="D3077" s="47"/>
      <c r="E3077" s="47"/>
      <c r="F3077" s="47"/>
      <c r="G3077" s="47"/>
    </row>
    <row r="3078" spans="1:7" ht="15.75" thickBot="1" x14ac:dyDescent="0.3">
      <c r="A3078" s="39" t="s">
        <v>40</v>
      </c>
      <c r="B3078" s="39" t="s">
        <v>41</v>
      </c>
      <c r="C3078" s="39" t="s">
        <v>42</v>
      </c>
      <c r="D3078" s="39" t="s">
        <v>43</v>
      </c>
      <c r="E3078" s="39" t="s">
        <v>44</v>
      </c>
      <c r="F3078" s="39" t="s">
        <v>45</v>
      </c>
      <c r="G3078" s="47"/>
    </row>
    <row r="3079" spans="1:7" ht="15" x14ac:dyDescent="0.25">
      <c r="A3079" s="40">
        <v>24101509</v>
      </c>
      <c r="B3079" s="41" t="str">
        <f ca="1">IFERROR(INDEX(UNSPSCDes,MATCH(INDIRECT(ADDRESS(ROW(),COLUMN()-1,4)),UNSPSCCode,0)),"")</f>
        <v>Vagones</v>
      </c>
      <c r="C3079" s="40" t="s">
        <v>66</v>
      </c>
      <c r="D3079" s="40">
        <v>1</v>
      </c>
      <c r="E3079" s="43">
        <v>1</v>
      </c>
      <c r="F3079" s="44">
        <f ca="1">INDIRECT(ADDRESS(ROW(),COLUMN()-2,4))*INDIRECT(ADDRESS(ROW(),COLUMN()-1,4))</f>
        <v>1</v>
      </c>
      <c r="G3079" s="47"/>
    </row>
    <row r="3080" spans="1:7" ht="15" x14ac:dyDescent="0.25">
      <c r="A3080" s="47"/>
      <c r="B3080" s="47"/>
      <c r="C3080" s="47"/>
      <c r="D3080" s="47"/>
      <c r="E3080" s="45" t="s">
        <v>47</v>
      </c>
      <c r="F3080" s="46">
        <f ca="1">SUM(Table337[MONTO TOTAL ESTIMADO])</f>
        <v>1</v>
      </c>
      <c r="G3080" s="47"/>
    </row>
    <row r="3081" spans="1:7" ht="17.25" thickBot="1" x14ac:dyDescent="0.3"/>
    <row r="3082" spans="1:7" ht="23.25" thickBot="1" x14ac:dyDescent="0.3">
      <c r="A3082" s="30" t="s">
        <v>18</v>
      </c>
      <c r="B3082" s="30" t="s">
        <v>19</v>
      </c>
      <c r="C3082" s="30" t="s">
        <v>20</v>
      </c>
      <c r="D3082" s="30" t="s">
        <v>21</v>
      </c>
      <c r="E3082" s="30" t="s">
        <v>22</v>
      </c>
      <c r="F3082" s="30" t="s">
        <v>23</v>
      </c>
      <c r="G3082" s="47"/>
    </row>
    <row r="3083" spans="1:7" ht="15.75" thickBot="1" x14ac:dyDescent="0.3">
      <c r="A3083" s="31" t="s">
        <v>462</v>
      </c>
      <c r="B3083" s="31" t="s">
        <v>665</v>
      </c>
      <c r="C3083" s="31" t="s">
        <v>92</v>
      </c>
      <c r="D3083" s="31" t="s">
        <v>52</v>
      </c>
      <c r="E3083" s="31" t="s">
        <v>75</v>
      </c>
      <c r="F3083" s="31"/>
      <c r="G3083" s="47"/>
    </row>
    <row r="3084" spans="1:7" ht="15.75" thickBot="1" x14ac:dyDescent="0.3">
      <c r="A3084" s="32" t="s">
        <v>29</v>
      </c>
      <c r="B3084" s="33" t="s">
        <v>30</v>
      </c>
      <c r="C3084" s="48">
        <v>45200</v>
      </c>
      <c r="D3084" s="32" t="s">
        <v>31</v>
      </c>
      <c r="E3084" s="33" t="s">
        <v>32</v>
      </c>
      <c r="F3084" s="31" t="s">
        <v>33</v>
      </c>
      <c r="G3084" s="47"/>
    </row>
    <row r="3085" spans="1:7" ht="15.75" thickBot="1" x14ac:dyDescent="0.3">
      <c r="A3085" s="37"/>
      <c r="B3085" s="33" t="s">
        <v>34</v>
      </c>
      <c r="C3085" s="49">
        <f>IF(C3084="","",IF(AND(MONTH(C3084)&gt;=1,MONTH(C3084)&lt;=3),1,IF(AND(MONTH(C3084)&gt;=4,MONTH(C3084)&lt;=6),2,IF(AND(MONTH(C3084)&gt;=7,MONTH(C3084)&lt;=9),3,4))))</f>
        <v>4</v>
      </c>
      <c r="D3085" s="37"/>
      <c r="E3085" s="33" t="s">
        <v>35</v>
      </c>
      <c r="F3085" s="31" t="s">
        <v>36</v>
      </c>
      <c r="G3085" s="47"/>
    </row>
    <row r="3086" spans="1:7" ht="15.75" thickBot="1" x14ac:dyDescent="0.3">
      <c r="A3086" s="37"/>
      <c r="B3086" s="33" t="s">
        <v>37</v>
      </c>
      <c r="C3086" s="48">
        <v>45291</v>
      </c>
      <c r="D3086" s="37"/>
      <c r="E3086" s="33" t="s">
        <v>38</v>
      </c>
      <c r="F3086" s="31" t="s">
        <v>36</v>
      </c>
      <c r="G3086" s="47"/>
    </row>
    <row r="3087" spans="1:7" ht="15.75" thickBot="1" x14ac:dyDescent="0.3">
      <c r="A3087" s="37"/>
      <c r="B3087" s="33" t="s">
        <v>34</v>
      </c>
      <c r="C3087" s="49">
        <f>IF(C3086="","",IF(AND(MONTH(C3086)&gt;=1,MONTH(C3086)&lt;=3),1,IF(AND(MONTH(C3086)&gt;=4,MONTH(C3086)&lt;=6),2,IF(AND(MONTH(C3086)&gt;=7,MONTH(C3086)&lt;=9),3,4))))</f>
        <v>4</v>
      </c>
      <c r="D3087" s="37"/>
      <c r="E3087" s="33" t="s">
        <v>39</v>
      </c>
      <c r="F3087" s="31" t="s">
        <v>36</v>
      </c>
      <c r="G3087" s="47"/>
    </row>
    <row r="3088" spans="1:7" ht="15.75" thickBot="1" x14ac:dyDescent="0.3">
      <c r="A3088" s="47"/>
      <c r="B3088" s="47"/>
      <c r="C3088" s="47"/>
      <c r="D3088" s="47"/>
      <c r="E3088" s="47"/>
      <c r="F3088" s="47"/>
      <c r="G3088" s="47"/>
    </row>
    <row r="3089" spans="1:7" ht="15.75" thickBot="1" x14ac:dyDescent="0.3">
      <c r="A3089" s="39" t="s">
        <v>40</v>
      </c>
      <c r="B3089" s="39" t="s">
        <v>41</v>
      </c>
      <c r="C3089" s="39" t="s">
        <v>42</v>
      </c>
      <c r="D3089" s="39" t="s">
        <v>43</v>
      </c>
      <c r="E3089" s="39" t="s">
        <v>44</v>
      </c>
      <c r="F3089" s="39" t="s">
        <v>45</v>
      </c>
      <c r="G3089" s="47"/>
    </row>
    <row r="3090" spans="1:7" ht="15" x14ac:dyDescent="0.25">
      <c r="A3090" s="40">
        <v>25101503</v>
      </c>
      <c r="B3090" s="41" t="str">
        <f ca="1">IFERROR(INDEX(UNSPSCDes,MATCH(INDIRECT(ADDRESS(ROW(),COLUMN()-1,4)),UNSPSCCode,0)),"")</f>
        <v>Carros</v>
      </c>
      <c r="C3090" s="40" t="s">
        <v>66</v>
      </c>
      <c r="D3090" s="40">
        <v>1</v>
      </c>
      <c r="E3090" s="43">
        <v>10300000</v>
      </c>
      <c r="F3090" s="44">
        <f ca="1">INDIRECT(ADDRESS(ROW(),COLUMN()-2,4))*INDIRECT(ADDRESS(ROW(),COLUMN()-1,4))</f>
        <v>10300000</v>
      </c>
      <c r="G3090" s="47"/>
    </row>
    <row r="3091" spans="1:7" ht="15" x14ac:dyDescent="0.25">
      <c r="A3091" s="47"/>
      <c r="B3091" s="47"/>
      <c r="C3091" s="47"/>
      <c r="D3091" s="47"/>
      <c r="E3091" s="45" t="s">
        <v>47</v>
      </c>
      <c r="F3091" s="46">
        <f ca="1">SUM(Table35[MONTO TOTAL ESTIMADO])</f>
        <v>10300000</v>
      </c>
      <c r="G3091" s="47"/>
    </row>
    <row r="3092" spans="1:7" ht="17.25" thickBot="1" x14ac:dyDescent="0.3"/>
    <row r="3093" spans="1:7" ht="23.25" thickBot="1" x14ac:dyDescent="0.3">
      <c r="A3093" s="30" t="s">
        <v>18</v>
      </c>
      <c r="B3093" s="30" t="s">
        <v>19</v>
      </c>
      <c r="C3093" s="30" t="s">
        <v>20</v>
      </c>
      <c r="D3093" s="30" t="s">
        <v>21</v>
      </c>
      <c r="E3093" s="30" t="s">
        <v>22</v>
      </c>
      <c r="F3093" s="30" t="s">
        <v>23</v>
      </c>
      <c r="G3093" s="47"/>
    </row>
    <row r="3094" spans="1:7" ht="15.75" thickBot="1" x14ac:dyDescent="0.3">
      <c r="A3094" s="31" t="s">
        <v>666</v>
      </c>
      <c r="B3094" s="31" t="s">
        <v>667</v>
      </c>
      <c r="C3094" s="31" t="s">
        <v>604</v>
      </c>
      <c r="D3094" s="31" t="s">
        <v>52</v>
      </c>
      <c r="E3094" s="31" t="s">
        <v>75</v>
      </c>
      <c r="F3094" s="31"/>
      <c r="G3094" s="47"/>
    </row>
    <row r="3095" spans="1:7" ht="15.75" thickBot="1" x14ac:dyDescent="0.3">
      <c r="A3095" s="32" t="s">
        <v>29</v>
      </c>
      <c r="B3095" s="33" t="s">
        <v>30</v>
      </c>
      <c r="C3095" s="48">
        <v>45112</v>
      </c>
      <c r="D3095" s="32" t="s">
        <v>31</v>
      </c>
      <c r="E3095" s="33" t="s">
        <v>32</v>
      </c>
      <c r="F3095" s="31" t="s">
        <v>33</v>
      </c>
      <c r="G3095" s="47"/>
    </row>
    <row r="3096" spans="1:7" ht="15.75" thickBot="1" x14ac:dyDescent="0.3">
      <c r="A3096" s="37"/>
      <c r="B3096" s="33" t="s">
        <v>34</v>
      </c>
      <c r="C3096" s="49">
        <f>IF(C3095="","",IF(AND(MONTH(C3095)&gt;=1,MONTH(C3095)&lt;=3),1,IF(AND(MONTH(C3095)&gt;=4,MONTH(C3095)&lt;=6),2,IF(AND(MONTH(C3095)&gt;=7,MONTH(C3095)&lt;=9),3,4))))</f>
        <v>3</v>
      </c>
      <c r="D3096" s="37"/>
      <c r="E3096" s="33" t="s">
        <v>35</v>
      </c>
      <c r="F3096" s="31" t="s">
        <v>36</v>
      </c>
      <c r="G3096" s="47"/>
    </row>
    <row r="3097" spans="1:7" ht="15.75" thickBot="1" x14ac:dyDescent="0.3">
      <c r="A3097" s="37"/>
      <c r="B3097" s="33" t="s">
        <v>37</v>
      </c>
      <c r="C3097" s="48">
        <v>45229</v>
      </c>
      <c r="D3097" s="37"/>
      <c r="E3097" s="33" t="s">
        <v>38</v>
      </c>
      <c r="F3097" s="31" t="s">
        <v>36</v>
      </c>
      <c r="G3097" s="47"/>
    </row>
    <row r="3098" spans="1:7" ht="15.75" thickBot="1" x14ac:dyDescent="0.3">
      <c r="A3098" s="37"/>
      <c r="B3098" s="33" t="s">
        <v>34</v>
      </c>
      <c r="C3098" s="49">
        <f>IF(C3097="","",IF(AND(MONTH(C3097)&gt;=1,MONTH(C3097)&lt;=3),1,IF(AND(MONTH(C3097)&gt;=4,MONTH(C3097)&lt;=6),2,IF(AND(MONTH(C3097)&gt;=7,MONTH(C3097)&lt;=9),3,4))))</f>
        <v>4</v>
      </c>
      <c r="D3098" s="37"/>
      <c r="E3098" s="33" t="s">
        <v>39</v>
      </c>
      <c r="F3098" s="31" t="s">
        <v>36</v>
      </c>
      <c r="G3098" s="47"/>
    </row>
    <row r="3099" spans="1:7" ht="15.75" thickBot="1" x14ac:dyDescent="0.3">
      <c r="A3099" s="47"/>
      <c r="B3099" s="47"/>
      <c r="C3099" s="47"/>
      <c r="D3099" s="47"/>
      <c r="E3099" s="47"/>
      <c r="F3099" s="47"/>
      <c r="G3099" s="47"/>
    </row>
    <row r="3100" spans="1:7" ht="15.75" thickBot="1" x14ac:dyDescent="0.3">
      <c r="A3100" s="39" t="s">
        <v>40</v>
      </c>
      <c r="B3100" s="39" t="s">
        <v>41</v>
      </c>
      <c r="C3100" s="39" t="s">
        <v>42</v>
      </c>
      <c r="D3100" s="39" t="s">
        <v>43</v>
      </c>
      <c r="E3100" s="39" t="s">
        <v>44</v>
      </c>
      <c r="F3100" s="39" t="s">
        <v>45</v>
      </c>
      <c r="G3100" s="47"/>
    </row>
    <row r="3101" spans="1:7" ht="15" x14ac:dyDescent="0.25">
      <c r="A3101" s="40">
        <v>72101601</v>
      </c>
      <c r="B3101" s="41" t="str">
        <f ca="1">IFERROR(INDEX(UNSPSCDes,MATCH(INDIRECT(ADDRESS(ROW(),COLUMN()-1,4)),UNSPSCCode,0)),"")</f>
        <v>Instalación o reparación de techos</v>
      </c>
      <c r="C3101" s="40" t="s">
        <v>66</v>
      </c>
      <c r="D3101" s="40">
        <v>1</v>
      </c>
      <c r="E3101" s="43">
        <v>1</v>
      </c>
      <c r="F3101" s="44">
        <f ca="1">INDIRECT(ADDRESS(ROW(),COLUMN()-2,4))*INDIRECT(ADDRESS(ROW(),COLUMN()-1,4))</f>
        <v>1</v>
      </c>
      <c r="G3101" s="47"/>
    </row>
    <row r="3102" spans="1:7" ht="15" x14ac:dyDescent="0.25">
      <c r="A3102" s="47"/>
      <c r="B3102" s="47"/>
      <c r="C3102" s="47"/>
      <c r="D3102" s="47"/>
      <c r="E3102" s="45" t="s">
        <v>47</v>
      </c>
      <c r="F3102" s="46">
        <f ca="1">SUM(Table36[MONTO TOTAL ESTIMADO])</f>
        <v>1</v>
      </c>
      <c r="G3102" s="47"/>
    </row>
    <row r="3103" spans="1:7" ht="17.25" thickBot="1" x14ac:dyDescent="0.3"/>
    <row r="3104" spans="1:7" ht="23.25" thickBot="1" x14ac:dyDescent="0.3">
      <c r="A3104" s="30" t="s">
        <v>18</v>
      </c>
      <c r="B3104" s="30" t="s">
        <v>19</v>
      </c>
      <c r="C3104" s="30" t="s">
        <v>20</v>
      </c>
      <c r="D3104" s="30" t="s">
        <v>21</v>
      </c>
      <c r="E3104" s="30" t="s">
        <v>22</v>
      </c>
      <c r="F3104" s="30" t="s">
        <v>23</v>
      </c>
      <c r="G3104" s="47"/>
    </row>
    <row r="3105" spans="1:7" ht="15.75" thickBot="1" x14ac:dyDescent="0.3">
      <c r="A3105" s="31" t="s">
        <v>603</v>
      </c>
      <c r="B3105" s="31" t="s">
        <v>667</v>
      </c>
      <c r="C3105" s="31" t="s">
        <v>604</v>
      </c>
      <c r="D3105" s="31" t="s">
        <v>52</v>
      </c>
      <c r="E3105" s="31" t="s">
        <v>75</v>
      </c>
      <c r="F3105" s="31"/>
      <c r="G3105" s="47"/>
    </row>
    <row r="3106" spans="1:7" ht="15.75" thickBot="1" x14ac:dyDescent="0.3">
      <c r="A3106" s="32" t="s">
        <v>29</v>
      </c>
      <c r="B3106" s="33" t="s">
        <v>30</v>
      </c>
      <c r="C3106" s="48">
        <v>45108</v>
      </c>
      <c r="D3106" s="32" t="s">
        <v>31</v>
      </c>
      <c r="E3106" s="33" t="s">
        <v>32</v>
      </c>
      <c r="F3106" s="31" t="s">
        <v>33</v>
      </c>
      <c r="G3106" s="47"/>
    </row>
    <row r="3107" spans="1:7" ht="15.75" thickBot="1" x14ac:dyDescent="0.3">
      <c r="A3107" s="37"/>
      <c r="B3107" s="33" t="s">
        <v>34</v>
      </c>
      <c r="C3107" s="49">
        <f>IF(C3106="","",IF(AND(MONTH(C3106)&gt;=1,MONTH(C3106)&lt;=3),1,IF(AND(MONTH(C3106)&gt;=4,MONTH(C3106)&lt;=6),2,IF(AND(MONTH(C3106)&gt;=7,MONTH(C3106)&lt;=9),3,4))))</f>
        <v>3</v>
      </c>
      <c r="D3107" s="37"/>
      <c r="E3107" s="33" t="s">
        <v>35</v>
      </c>
      <c r="F3107" s="31" t="s">
        <v>36</v>
      </c>
      <c r="G3107" s="47"/>
    </row>
    <row r="3108" spans="1:7" ht="15.75" thickBot="1" x14ac:dyDescent="0.3">
      <c r="A3108" s="37"/>
      <c r="B3108" s="33" t="s">
        <v>37</v>
      </c>
      <c r="C3108" s="48">
        <v>45199</v>
      </c>
      <c r="D3108" s="37"/>
      <c r="E3108" s="33" t="s">
        <v>38</v>
      </c>
      <c r="F3108" s="31" t="s">
        <v>36</v>
      </c>
      <c r="G3108" s="47"/>
    </row>
    <row r="3109" spans="1:7" ht="15.75" thickBot="1" x14ac:dyDescent="0.3">
      <c r="A3109" s="37"/>
      <c r="B3109" s="33" t="s">
        <v>34</v>
      </c>
      <c r="C3109" s="49">
        <f>IF(C3108="","",IF(AND(MONTH(C3108)&gt;=1,MONTH(C3108)&lt;=3),1,IF(AND(MONTH(C3108)&gt;=4,MONTH(C3108)&lt;=6),2,IF(AND(MONTH(C3108)&gt;=7,MONTH(C3108)&lt;=9),3,4))))</f>
        <v>3</v>
      </c>
      <c r="D3109" s="37"/>
      <c r="E3109" s="33" t="s">
        <v>39</v>
      </c>
      <c r="F3109" s="31" t="s">
        <v>36</v>
      </c>
      <c r="G3109" s="47"/>
    </row>
    <row r="3110" spans="1:7" ht="15.75" thickBot="1" x14ac:dyDescent="0.3">
      <c r="A3110" s="47"/>
      <c r="B3110" s="47"/>
      <c r="C3110" s="47"/>
      <c r="D3110" s="47"/>
      <c r="E3110" s="47"/>
      <c r="F3110" s="47"/>
      <c r="G3110" s="47"/>
    </row>
    <row r="3111" spans="1:7" ht="15.75" thickBot="1" x14ac:dyDescent="0.3">
      <c r="A3111" s="39" t="s">
        <v>40</v>
      </c>
      <c r="B3111" s="39" t="s">
        <v>41</v>
      </c>
      <c r="C3111" s="39" t="s">
        <v>42</v>
      </c>
      <c r="D3111" s="39" t="s">
        <v>43</v>
      </c>
      <c r="E3111" s="39" t="s">
        <v>44</v>
      </c>
      <c r="F3111" s="39" t="s">
        <v>45</v>
      </c>
      <c r="G3111" s="47"/>
    </row>
    <row r="3112" spans="1:7" ht="15" x14ac:dyDescent="0.25">
      <c r="A3112" s="40">
        <v>72101605</v>
      </c>
      <c r="B3112" s="41" t="str">
        <f ca="1">IFERROR(INDEX(UNSPSCDes,MATCH(INDIRECT(ADDRESS(ROW(),COLUMN()-1,4)),UNSPSCCode,0)),"")</f>
        <v>Levantamiento o reparación de techos</v>
      </c>
      <c r="C3112" s="40" t="s">
        <v>66</v>
      </c>
      <c r="D3112" s="40">
        <v>1</v>
      </c>
      <c r="E3112" s="43">
        <v>1</v>
      </c>
      <c r="F3112" s="44">
        <f ca="1">INDIRECT(ADDRESS(ROW(),COLUMN()-2,4))*INDIRECT(ADDRESS(ROW(),COLUMN()-1,4))</f>
        <v>1</v>
      </c>
      <c r="G3112" s="47"/>
    </row>
    <row r="3113" spans="1:7" ht="15" x14ac:dyDescent="0.25">
      <c r="A3113" s="47"/>
      <c r="B3113" s="47"/>
      <c r="C3113" s="47"/>
      <c r="D3113" s="47"/>
      <c r="E3113" s="45" t="s">
        <v>47</v>
      </c>
      <c r="F3113" s="46">
        <f ca="1">SUM(Table336[MONTO TOTAL ESTIMADO])</f>
        <v>1</v>
      </c>
      <c r="G3113" s="47"/>
    </row>
    <row r="3114" spans="1:7" ht="17.25" thickBot="1" x14ac:dyDescent="0.3"/>
    <row r="3115" spans="1:7" ht="23.25" thickBot="1" x14ac:dyDescent="0.3">
      <c r="A3115" s="30" t="s">
        <v>18</v>
      </c>
      <c r="B3115" s="30" t="s">
        <v>19</v>
      </c>
      <c r="C3115" s="30" t="s">
        <v>20</v>
      </c>
      <c r="D3115" s="30" t="s">
        <v>21</v>
      </c>
      <c r="E3115" s="30" t="s">
        <v>22</v>
      </c>
      <c r="F3115" s="30" t="s">
        <v>23</v>
      </c>
      <c r="G3115" s="47"/>
    </row>
    <row r="3116" spans="1:7" ht="15.75" thickBot="1" x14ac:dyDescent="0.3">
      <c r="A3116" s="31" t="s">
        <v>70</v>
      </c>
      <c r="B3116" s="31" t="s">
        <v>70</v>
      </c>
      <c r="C3116" s="31" t="s">
        <v>26</v>
      </c>
      <c r="D3116" s="31" t="s">
        <v>50</v>
      </c>
      <c r="E3116" s="31" t="s">
        <v>28</v>
      </c>
      <c r="F3116" s="31"/>
      <c r="G3116" s="47"/>
    </row>
    <row r="3117" spans="1:7" ht="15.75" thickBot="1" x14ac:dyDescent="0.3">
      <c r="A3117" s="32" t="s">
        <v>29</v>
      </c>
      <c r="B3117" s="33" t="s">
        <v>30</v>
      </c>
      <c r="C3117" s="48">
        <v>45200</v>
      </c>
      <c r="D3117" s="32" t="s">
        <v>31</v>
      </c>
      <c r="E3117" s="33" t="s">
        <v>32</v>
      </c>
      <c r="F3117" s="31" t="s">
        <v>33</v>
      </c>
      <c r="G3117" s="47"/>
    </row>
    <row r="3118" spans="1:7" ht="15.75" thickBot="1" x14ac:dyDescent="0.3">
      <c r="A3118" s="37"/>
      <c r="B3118" s="33" t="s">
        <v>34</v>
      </c>
      <c r="C3118" s="49">
        <f>IF(C3117="","",IF(AND(MONTH(C3117)&gt;=1,MONTH(C3117)&lt;=3),1,IF(AND(MONTH(C3117)&gt;=4,MONTH(C3117)&lt;=6),2,IF(AND(MONTH(C3117)&gt;=7,MONTH(C3117)&lt;=9),3,4))))</f>
        <v>4</v>
      </c>
      <c r="D3118" s="37"/>
      <c r="E3118" s="33" t="s">
        <v>35</v>
      </c>
      <c r="F3118" s="31" t="s">
        <v>36</v>
      </c>
      <c r="G3118" s="47"/>
    </row>
    <row r="3119" spans="1:7" ht="15.75" thickBot="1" x14ac:dyDescent="0.3">
      <c r="A3119" s="37"/>
      <c r="B3119" s="33" t="s">
        <v>37</v>
      </c>
      <c r="C3119" s="48">
        <v>45291</v>
      </c>
      <c r="D3119" s="37"/>
      <c r="E3119" s="33" t="s">
        <v>38</v>
      </c>
      <c r="F3119" s="31" t="s">
        <v>36</v>
      </c>
      <c r="G3119" s="47"/>
    </row>
    <row r="3120" spans="1:7" ht="15.75" thickBot="1" x14ac:dyDescent="0.3">
      <c r="A3120" s="37"/>
      <c r="B3120" s="33" t="s">
        <v>34</v>
      </c>
      <c r="C3120" s="49">
        <f>IF(C3119="","",IF(AND(MONTH(C3119)&gt;=1,MONTH(C3119)&lt;=3),1,IF(AND(MONTH(C3119)&gt;=4,MONTH(C3119)&lt;=6),2,IF(AND(MONTH(C3119)&gt;=7,MONTH(C3119)&lt;=9),3,4))))</f>
        <v>4</v>
      </c>
      <c r="D3120" s="37"/>
      <c r="E3120" s="33" t="s">
        <v>39</v>
      </c>
      <c r="F3120" s="31" t="s">
        <v>36</v>
      </c>
      <c r="G3120" s="47"/>
    </row>
    <row r="3121" spans="1:7" ht="15.75" thickBot="1" x14ac:dyDescent="0.3">
      <c r="A3121" s="47"/>
      <c r="B3121" s="47"/>
      <c r="C3121" s="47"/>
      <c r="D3121" s="47"/>
      <c r="E3121" s="47"/>
      <c r="F3121" s="47"/>
      <c r="G3121" s="47"/>
    </row>
    <row r="3122" spans="1:7" ht="15.75" thickBot="1" x14ac:dyDescent="0.3">
      <c r="A3122" s="39" t="s">
        <v>40</v>
      </c>
      <c r="B3122" s="39" t="s">
        <v>41</v>
      </c>
      <c r="C3122" s="39" t="s">
        <v>42</v>
      </c>
      <c r="D3122" s="39" t="s">
        <v>43</v>
      </c>
      <c r="E3122" s="39" t="s">
        <v>44</v>
      </c>
      <c r="F3122" s="39" t="s">
        <v>45</v>
      </c>
      <c r="G3122" s="47"/>
    </row>
    <row r="3123" spans="1:7" ht="15" x14ac:dyDescent="0.25">
      <c r="A3123" s="40">
        <v>86101705</v>
      </c>
      <c r="B3123" s="41" t="str">
        <f ca="1">IFERROR(INDEX(UNSPSCDes,MATCH(INDIRECT(ADDRESS(ROW(),COLUMN()-1,4)),UNSPSCCode,0)),"")</f>
        <v>Capacitación administrativa</v>
      </c>
      <c r="C3123" s="40" t="s">
        <v>66</v>
      </c>
      <c r="D3123" s="40">
        <v>1</v>
      </c>
      <c r="E3123" s="43">
        <v>500000</v>
      </c>
      <c r="F3123" s="44">
        <f ca="1">INDIRECT(ADDRESS(ROW(),COLUMN()-2,4))*INDIRECT(ADDRESS(ROW(),COLUMN()-1,4))</f>
        <v>500000</v>
      </c>
      <c r="G3123" s="47"/>
    </row>
    <row r="3124" spans="1:7" ht="15" x14ac:dyDescent="0.25">
      <c r="A3124" s="47"/>
      <c r="B3124" s="47"/>
      <c r="C3124" s="47"/>
      <c r="D3124" s="47"/>
      <c r="E3124" s="45" t="s">
        <v>47</v>
      </c>
      <c r="F3124" s="46">
        <f ca="1">SUM(Table351[MONTO TOTAL ESTIMADO])</f>
        <v>500000</v>
      </c>
      <c r="G3124" s="47"/>
    </row>
    <row r="3125" spans="1:7" ht="17.25" thickBot="1" x14ac:dyDescent="0.3"/>
    <row r="3126" spans="1:7" ht="23.25" thickBot="1" x14ac:dyDescent="0.3">
      <c r="A3126" s="30" t="s">
        <v>18</v>
      </c>
      <c r="B3126" s="30" t="s">
        <v>19</v>
      </c>
      <c r="C3126" s="30" t="s">
        <v>20</v>
      </c>
      <c r="D3126" s="30" t="s">
        <v>21</v>
      </c>
      <c r="E3126" s="30" t="s">
        <v>22</v>
      </c>
      <c r="F3126" s="30" t="s">
        <v>23</v>
      </c>
      <c r="G3126" s="47"/>
    </row>
    <row r="3127" spans="1:7" ht="15.75" thickBot="1" x14ac:dyDescent="0.3">
      <c r="A3127" s="31" t="s">
        <v>668</v>
      </c>
      <c r="B3127" s="31" t="s">
        <v>668</v>
      </c>
      <c r="C3127" s="31" t="s">
        <v>26</v>
      </c>
      <c r="D3127" s="31" t="s">
        <v>50</v>
      </c>
      <c r="E3127" s="31" t="s">
        <v>58</v>
      </c>
      <c r="F3127" s="31"/>
      <c r="G3127" s="47"/>
    </row>
    <row r="3128" spans="1:7" ht="15.75" thickBot="1" x14ac:dyDescent="0.3">
      <c r="A3128" s="32" t="s">
        <v>29</v>
      </c>
      <c r="B3128" s="33" t="s">
        <v>30</v>
      </c>
      <c r="C3128" s="48">
        <v>45017</v>
      </c>
      <c r="D3128" s="32" t="s">
        <v>31</v>
      </c>
      <c r="E3128" s="33" t="s">
        <v>32</v>
      </c>
      <c r="F3128" s="31" t="s">
        <v>33</v>
      </c>
      <c r="G3128" s="47"/>
    </row>
    <row r="3129" spans="1:7" ht="15.75" thickBot="1" x14ac:dyDescent="0.3">
      <c r="A3129" s="37"/>
      <c r="B3129" s="33" t="s">
        <v>34</v>
      </c>
      <c r="C3129" s="49">
        <f>IF(C3128="","",IF(AND(MONTH(C3128)&gt;=1,MONTH(C3128)&lt;=3),1,IF(AND(MONTH(C3128)&gt;=4,MONTH(C3128)&lt;=6),2,IF(AND(MONTH(C3128)&gt;=7,MONTH(C3128)&lt;=9),3,4))))</f>
        <v>2</v>
      </c>
      <c r="D3129" s="37"/>
      <c r="E3129" s="33" t="s">
        <v>35</v>
      </c>
      <c r="F3129" s="31" t="s">
        <v>36</v>
      </c>
      <c r="G3129" s="47"/>
    </row>
    <row r="3130" spans="1:7" ht="15.75" thickBot="1" x14ac:dyDescent="0.3">
      <c r="A3130" s="37"/>
      <c r="B3130" s="33" t="s">
        <v>37</v>
      </c>
      <c r="C3130" s="48">
        <v>45107</v>
      </c>
      <c r="D3130" s="37"/>
      <c r="E3130" s="33" t="s">
        <v>38</v>
      </c>
      <c r="F3130" s="31" t="s">
        <v>36</v>
      </c>
      <c r="G3130" s="47"/>
    </row>
    <row r="3131" spans="1:7" ht="15.75" thickBot="1" x14ac:dyDescent="0.3">
      <c r="A3131" s="37"/>
      <c r="B3131" s="33" t="s">
        <v>34</v>
      </c>
      <c r="C3131" s="49">
        <f>IF(C3130="","",IF(AND(MONTH(C3130)&gt;=1,MONTH(C3130)&lt;=3),1,IF(AND(MONTH(C3130)&gt;=4,MONTH(C3130)&lt;=6),2,IF(AND(MONTH(C3130)&gt;=7,MONTH(C3130)&lt;=9),3,4))))</f>
        <v>2</v>
      </c>
      <c r="D3131" s="37"/>
      <c r="E3131" s="33" t="s">
        <v>39</v>
      </c>
      <c r="F3131" s="31" t="s">
        <v>36</v>
      </c>
      <c r="G3131" s="47"/>
    </row>
    <row r="3132" spans="1:7" ht="15.75" thickBot="1" x14ac:dyDescent="0.3">
      <c r="A3132" s="47"/>
      <c r="B3132" s="47"/>
      <c r="C3132" s="47"/>
      <c r="D3132" s="47"/>
      <c r="E3132" s="47"/>
      <c r="F3132" s="47"/>
      <c r="G3132" s="47"/>
    </row>
    <row r="3133" spans="1:7" ht="15.75" thickBot="1" x14ac:dyDescent="0.3">
      <c r="A3133" s="39" t="s">
        <v>40</v>
      </c>
      <c r="B3133" s="39" t="s">
        <v>41</v>
      </c>
      <c r="C3133" s="39" t="s">
        <v>42</v>
      </c>
      <c r="D3133" s="39" t="s">
        <v>43</v>
      </c>
      <c r="E3133" s="39" t="s">
        <v>44</v>
      </c>
      <c r="F3133" s="39" t="s">
        <v>45</v>
      </c>
      <c r="G3133" s="47"/>
    </row>
    <row r="3134" spans="1:7" ht="15" x14ac:dyDescent="0.25">
      <c r="A3134" s="40">
        <v>72101501</v>
      </c>
      <c r="B3134" s="41" t="str">
        <f ca="1">IFERROR(INDEX(UNSPSCDes,MATCH(INDIRECT(ADDRESS(ROW(),COLUMN()-1,4)),UNSPSCCode,0)),"")</f>
        <v>Servicios de todero</v>
      </c>
      <c r="C3134" s="40" t="s">
        <v>66</v>
      </c>
      <c r="D3134" s="40">
        <v>1</v>
      </c>
      <c r="E3134" s="43">
        <v>330000</v>
      </c>
      <c r="F3134" s="44">
        <f ca="1">INDIRECT(ADDRESS(ROW(),COLUMN()-2,4))*INDIRECT(ADDRESS(ROW(),COLUMN()-1,4))</f>
        <v>330000</v>
      </c>
      <c r="G3134" s="47"/>
    </row>
    <row r="3135" spans="1:7" ht="15" x14ac:dyDescent="0.25">
      <c r="A3135" s="47"/>
      <c r="B3135" s="47"/>
      <c r="C3135" s="47"/>
      <c r="D3135" s="47"/>
      <c r="E3135" s="45" t="s">
        <v>47</v>
      </c>
      <c r="F3135" s="46">
        <f ca="1">SUM(Table352[MONTO TOTAL ESTIMADO])</f>
        <v>330000</v>
      </c>
      <c r="G3135" s="47"/>
    </row>
    <row r="3136" spans="1:7" ht="17.25" thickBot="1" x14ac:dyDescent="0.3"/>
    <row r="3137" spans="1:7" ht="23.25" thickBot="1" x14ac:dyDescent="0.3">
      <c r="A3137" s="30" t="s">
        <v>18</v>
      </c>
      <c r="B3137" s="30" t="s">
        <v>19</v>
      </c>
      <c r="C3137" s="30" t="s">
        <v>20</v>
      </c>
      <c r="D3137" s="30" t="s">
        <v>21</v>
      </c>
      <c r="E3137" s="30" t="s">
        <v>22</v>
      </c>
      <c r="F3137" s="30" t="s">
        <v>23</v>
      </c>
      <c r="G3137" s="47"/>
    </row>
    <row r="3138" spans="1:7" ht="15.75" thickBot="1" x14ac:dyDescent="0.3">
      <c r="A3138" s="31" t="s">
        <v>668</v>
      </c>
      <c r="B3138" s="31" t="s">
        <v>668</v>
      </c>
      <c r="C3138" s="31" t="s">
        <v>26</v>
      </c>
      <c r="D3138" s="31" t="s">
        <v>50</v>
      </c>
      <c r="E3138" s="31" t="s">
        <v>58</v>
      </c>
      <c r="F3138" s="31"/>
      <c r="G3138" s="47"/>
    </row>
    <row r="3139" spans="1:7" ht="15.75" thickBot="1" x14ac:dyDescent="0.3">
      <c r="A3139" s="32" t="s">
        <v>29</v>
      </c>
      <c r="B3139" s="33" t="s">
        <v>30</v>
      </c>
      <c r="C3139" s="48">
        <v>45108</v>
      </c>
      <c r="D3139" s="32" t="s">
        <v>31</v>
      </c>
      <c r="E3139" s="33" t="s">
        <v>32</v>
      </c>
      <c r="F3139" s="31" t="s">
        <v>33</v>
      </c>
      <c r="G3139" s="47"/>
    </row>
    <row r="3140" spans="1:7" ht="15.75" thickBot="1" x14ac:dyDescent="0.3">
      <c r="A3140" s="37"/>
      <c r="B3140" s="33" t="s">
        <v>34</v>
      </c>
      <c r="C3140" s="49">
        <f>IF(C3139="","",IF(AND(MONTH(C3139)&gt;=1,MONTH(C3139)&lt;=3),1,IF(AND(MONTH(C3139)&gt;=4,MONTH(C3139)&lt;=6),2,IF(AND(MONTH(C3139)&gt;=7,MONTH(C3139)&lt;=9),3,4))))</f>
        <v>3</v>
      </c>
      <c r="D3140" s="37"/>
      <c r="E3140" s="33" t="s">
        <v>35</v>
      </c>
      <c r="F3140" s="31" t="s">
        <v>36</v>
      </c>
      <c r="G3140" s="47"/>
    </row>
    <row r="3141" spans="1:7" ht="15.75" thickBot="1" x14ac:dyDescent="0.3">
      <c r="A3141" s="37"/>
      <c r="B3141" s="33" t="s">
        <v>37</v>
      </c>
      <c r="C3141" s="48">
        <v>45199</v>
      </c>
      <c r="D3141" s="37"/>
      <c r="E3141" s="33" t="s">
        <v>38</v>
      </c>
      <c r="F3141" s="31" t="s">
        <v>36</v>
      </c>
      <c r="G3141" s="47"/>
    </row>
    <row r="3142" spans="1:7" ht="15.75" thickBot="1" x14ac:dyDescent="0.3">
      <c r="A3142" s="37"/>
      <c r="B3142" s="33" t="s">
        <v>34</v>
      </c>
      <c r="C3142" s="49">
        <f>IF(C3141="","",IF(AND(MONTH(C3141)&gt;=1,MONTH(C3141)&lt;=3),1,IF(AND(MONTH(C3141)&gt;=4,MONTH(C3141)&lt;=6),2,IF(AND(MONTH(C3141)&gt;=7,MONTH(C3141)&lt;=9),3,4))))</f>
        <v>3</v>
      </c>
      <c r="D3142" s="37"/>
      <c r="E3142" s="33" t="s">
        <v>39</v>
      </c>
      <c r="F3142" s="31" t="s">
        <v>36</v>
      </c>
      <c r="G3142" s="47"/>
    </row>
    <row r="3143" spans="1:7" ht="15.75" thickBot="1" x14ac:dyDescent="0.3">
      <c r="A3143" s="47"/>
      <c r="B3143" s="47"/>
      <c r="C3143" s="47"/>
      <c r="D3143" s="47"/>
      <c r="E3143" s="47"/>
      <c r="F3143" s="47"/>
      <c r="G3143" s="47"/>
    </row>
    <row r="3144" spans="1:7" ht="15.75" thickBot="1" x14ac:dyDescent="0.3">
      <c r="A3144" s="39" t="s">
        <v>40</v>
      </c>
      <c r="B3144" s="39" t="s">
        <v>41</v>
      </c>
      <c r="C3144" s="39" t="s">
        <v>42</v>
      </c>
      <c r="D3144" s="39" t="s">
        <v>43</v>
      </c>
      <c r="E3144" s="39" t="s">
        <v>44</v>
      </c>
      <c r="F3144" s="39" t="s">
        <v>45</v>
      </c>
      <c r="G3144" s="47"/>
    </row>
    <row r="3145" spans="1:7" ht="15" x14ac:dyDescent="0.25">
      <c r="A3145" s="40">
        <v>72101501</v>
      </c>
      <c r="B3145" s="41" t="str">
        <f ca="1">IFERROR(INDEX(UNSPSCDes,MATCH(INDIRECT(ADDRESS(ROW(),COLUMN()-1,4)),UNSPSCCode,0)),"")</f>
        <v>Servicios de todero</v>
      </c>
      <c r="C3145" s="40" t="s">
        <v>66</v>
      </c>
      <c r="D3145" s="40">
        <v>1</v>
      </c>
      <c r="E3145" s="43">
        <v>335780</v>
      </c>
      <c r="F3145" s="44">
        <f ca="1">INDIRECT(ADDRESS(ROW(),COLUMN()-2,4))*INDIRECT(ADDRESS(ROW(),COLUMN()-1,4))</f>
        <v>335780</v>
      </c>
      <c r="G3145" s="47"/>
    </row>
    <row r="3146" spans="1:7" ht="15" x14ac:dyDescent="0.25">
      <c r="A3146" s="47"/>
      <c r="B3146" s="47"/>
      <c r="C3146" s="47"/>
      <c r="D3146" s="47"/>
      <c r="E3146" s="45" t="s">
        <v>47</v>
      </c>
      <c r="F3146" s="46">
        <f ca="1">SUM(Table358[MONTO TOTAL ESTIMADO])</f>
        <v>335780</v>
      </c>
      <c r="G3146" s="47"/>
    </row>
    <row r="3147" spans="1:7" ht="17.25" thickBot="1" x14ac:dyDescent="0.3"/>
    <row r="3148" spans="1:7" ht="23.25" thickBot="1" x14ac:dyDescent="0.3">
      <c r="A3148" s="30" t="s">
        <v>18</v>
      </c>
      <c r="B3148" s="30" t="s">
        <v>19</v>
      </c>
      <c r="C3148" s="30" t="s">
        <v>20</v>
      </c>
      <c r="D3148" s="30" t="s">
        <v>21</v>
      </c>
      <c r="E3148" s="30" t="s">
        <v>22</v>
      </c>
      <c r="F3148" s="30" t="s">
        <v>23</v>
      </c>
      <c r="G3148" s="47"/>
    </row>
    <row r="3149" spans="1:7" ht="15.75" thickBot="1" x14ac:dyDescent="0.3">
      <c r="A3149" s="31" t="s">
        <v>668</v>
      </c>
      <c r="B3149" s="31" t="s">
        <v>668</v>
      </c>
      <c r="C3149" s="31" t="s">
        <v>26</v>
      </c>
      <c r="D3149" s="31" t="s">
        <v>50</v>
      </c>
      <c r="E3149" s="31" t="s">
        <v>58</v>
      </c>
      <c r="F3149" s="31"/>
      <c r="G3149" s="47"/>
    </row>
    <row r="3150" spans="1:7" ht="15.75" thickBot="1" x14ac:dyDescent="0.3">
      <c r="A3150" s="32" t="s">
        <v>29</v>
      </c>
      <c r="B3150" s="33" t="s">
        <v>30</v>
      </c>
      <c r="C3150" s="48">
        <v>45200</v>
      </c>
      <c r="D3150" s="32" t="s">
        <v>31</v>
      </c>
      <c r="E3150" s="33" t="s">
        <v>32</v>
      </c>
      <c r="F3150" s="31" t="s">
        <v>33</v>
      </c>
      <c r="G3150" s="47"/>
    </row>
    <row r="3151" spans="1:7" ht="15.75" thickBot="1" x14ac:dyDescent="0.3">
      <c r="A3151" s="37"/>
      <c r="B3151" s="33" t="s">
        <v>34</v>
      </c>
      <c r="C3151" s="49">
        <f>IF(C3150="","",IF(AND(MONTH(C3150)&gt;=1,MONTH(C3150)&lt;=3),1,IF(AND(MONTH(C3150)&gt;=4,MONTH(C3150)&lt;=6),2,IF(AND(MONTH(C3150)&gt;=7,MONTH(C3150)&lt;=9),3,4))))</f>
        <v>4</v>
      </c>
      <c r="D3151" s="37"/>
      <c r="E3151" s="33" t="s">
        <v>35</v>
      </c>
      <c r="F3151" s="31" t="s">
        <v>36</v>
      </c>
      <c r="G3151" s="47"/>
    </row>
    <row r="3152" spans="1:7" ht="15.75" thickBot="1" x14ac:dyDescent="0.3">
      <c r="A3152" s="37"/>
      <c r="B3152" s="33" t="s">
        <v>37</v>
      </c>
      <c r="C3152" s="48">
        <v>45291</v>
      </c>
      <c r="D3152" s="37"/>
      <c r="E3152" s="33" t="s">
        <v>38</v>
      </c>
      <c r="F3152" s="31" t="s">
        <v>36</v>
      </c>
      <c r="G3152" s="47"/>
    </row>
    <row r="3153" spans="1:7" ht="15.75" thickBot="1" x14ac:dyDescent="0.3">
      <c r="A3153" s="37"/>
      <c r="B3153" s="33" t="s">
        <v>34</v>
      </c>
      <c r="C3153" s="49">
        <f>IF(C3152="","",IF(AND(MONTH(C3152)&gt;=1,MONTH(C3152)&lt;=3),1,IF(AND(MONTH(C3152)&gt;=4,MONTH(C3152)&lt;=6),2,IF(AND(MONTH(C3152)&gt;=7,MONTH(C3152)&lt;=9),3,4))))</f>
        <v>4</v>
      </c>
      <c r="D3153" s="37"/>
      <c r="E3153" s="33" t="s">
        <v>39</v>
      </c>
      <c r="F3153" s="31" t="s">
        <v>36</v>
      </c>
      <c r="G3153" s="47"/>
    </row>
    <row r="3154" spans="1:7" ht="15.75" thickBot="1" x14ac:dyDescent="0.3">
      <c r="A3154" s="47"/>
      <c r="B3154" s="47"/>
      <c r="C3154" s="47"/>
      <c r="D3154" s="47"/>
      <c r="E3154" s="47"/>
      <c r="F3154" s="47"/>
      <c r="G3154" s="47"/>
    </row>
    <row r="3155" spans="1:7" ht="15.75" thickBot="1" x14ac:dyDescent="0.3">
      <c r="A3155" s="39" t="s">
        <v>40</v>
      </c>
      <c r="B3155" s="39" t="s">
        <v>41</v>
      </c>
      <c r="C3155" s="39" t="s">
        <v>42</v>
      </c>
      <c r="D3155" s="39" t="s">
        <v>43</v>
      </c>
      <c r="E3155" s="39" t="s">
        <v>44</v>
      </c>
      <c r="F3155" s="39" t="s">
        <v>45</v>
      </c>
      <c r="G3155" s="47"/>
    </row>
    <row r="3156" spans="1:7" ht="15" x14ac:dyDescent="0.25">
      <c r="A3156" s="40">
        <v>72101501</v>
      </c>
      <c r="B3156" s="41" t="str">
        <f ca="1">IFERROR(INDEX(UNSPSCDes,MATCH(INDIRECT(ADDRESS(ROW(),COLUMN()-1,4)),UNSPSCCode,0)),"")</f>
        <v>Servicios de todero</v>
      </c>
      <c r="C3156" s="40" t="s">
        <v>66</v>
      </c>
      <c r="D3156" s="40">
        <v>1</v>
      </c>
      <c r="E3156" s="43">
        <v>830000</v>
      </c>
      <c r="F3156" s="44">
        <f ca="1">INDIRECT(ADDRESS(ROW(),COLUMN()-2,4))*INDIRECT(ADDRESS(ROW(),COLUMN()-1,4))</f>
        <v>830000</v>
      </c>
      <c r="G3156" s="47"/>
    </row>
    <row r="3157" spans="1:7" ht="15" x14ac:dyDescent="0.25">
      <c r="A3157" s="47"/>
      <c r="B3157" s="47"/>
      <c r="C3157" s="47"/>
      <c r="D3157" s="47"/>
      <c r="E3157" s="45" t="s">
        <v>47</v>
      </c>
      <c r="F3157" s="46">
        <f ca="1">SUM(Table3113[MONTO TOTAL ESTIMADO])</f>
        <v>830000</v>
      </c>
      <c r="G3157" s="47"/>
    </row>
    <row r="3158" spans="1:7" ht="17.25" thickBot="1" x14ac:dyDescent="0.3"/>
    <row r="3159" spans="1:7" ht="23.25" thickBot="1" x14ac:dyDescent="0.3">
      <c r="A3159" s="30" t="s">
        <v>18</v>
      </c>
      <c r="B3159" s="30" t="s">
        <v>19</v>
      </c>
      <c r="C3159" s="30" t="s">
        <v>20</v>
      </c>
      <c r="D3159" s="30" t="s">
        <v>21</v>
      </c>
      <c r="E3159" s="30" t="s">
        <v>22</v>
      </c>
      <c r="F3159" s="30" t="s">
        <v>23</v>
      </c>
      <c r="G3159" s="47"/>
    </row>
    <row r="3160" spans="1:7" ht="15.75" thickBot="1" x14ac:dyDescent="0.3">
      <c r="A3160" s="31" t="s">
        <v>113</v>
      </c>
      <c r="B3160" s="31" t="s">
        <v>669</v>
      </c>
      <c r="C3160" s="31" t="s">
        <v>92</v>
      </c>
      <c r="D3160" s="31" t="s">
        <v>27</v>
      </c>
      <c r="E3160" s="31" t="s">
        <v>58</v>
      </c>
      <c r="F3160" s="31"/>
      <c r="G3160" s="47"/>
    </row>
    <row r="3161" spans="1:7" ht="15.75" thickBot="1" x14ac:dyDescent="0.3">
      <c r="A3161" s="32" t="s">
        <v>29</v>
      </c>
      <c r="B3161" s="33" t="s">
        <v>30</v>
      </c>
      <c r="C3161" s="48">
        <v>45017</v>
      </c>
      <c r="D3161" s="32" t="s">
        <v>31</v>
      </c>
      <c r="E3161" s="33" t="s">
        <v>32</v>
      </c>
      <c r="F3161" s="31" t="s">
        <v>33</v>
      </c>
      <c r="G3161" s="47"/>
    </row>
    <row r="3162" spans="1:7" ht="15.75" thickBot="1" x14ac:dyDescent="0.3">
      <c r="A3162" s="37"/>
      <c r="B3162" s="33" t="s">
        <v>34</v>
      </c>
      <c r="C3162" s="49">
        <f>IF(C3161="","",IF(AND(MONTH(C3161)&gt;=1,MONTH(C3161)&lt;=3),1,IF(AND(MONTH(C3161)&gt;=4,MONTH(C3161)&lt;=6),2,IF(AND(MONTH(C3161)&gt;=7,MONTH(C3161)&lt;=9),3,4))))</f>
        <v>2</v>
      </c>
      <c r="D3162" s="37"/>
      <c r="E3162" s="33" t="s">
        <v>35</v>
      </c>
      <c r="F3162" s="31" t="s">
        <v>36</v>
      </c>
      <c r="G3162" s="47"/>
    </row>
    <row r="3163" spans="1:7" ht="15.75" thickBot="1" x14ac:dyDescent="0.3">
      <c r="A3163" s="37"/>
      <c r="B3163" s="33" t="s">
        <v>37</v>
      </c>
      <c r="C3163" s="48">
        <v>45107</v>
      </c>
      <c r="D3163" s="37"/>
      <c r="E3163" s="33" t="s">
        <v>38</v>
      </c>
      <c r="F3163" s="31" t="s">
        <v>36</v>
      </c>
      <c r="G3163" s="47"/>
    </row>
    <row r="3164" spans="1:7" ht="15.75" thickBot="1" x14ac:dyDescent="0.3">
      <c r="A3164" s="37"/>
      <c r="B3164" s="33" t="s">
        <v>34</v>
      </c>
      <c r="C3164" s="49">
        <f>IF(C3163="","",IF(AND(MONTH(C3163)&gt;=1,MONTH(C3163)&lt;=3),1,IF(AND(MONTH(C3163)&gt;=4,MONTH(C3163)&lt;=6),2,IF(AND(MONTH(C3163)&gt;=7,MONTH(C3163)&lt;=9),3,4))))</f>
        <v>2</v>
      </c>
      <c r="D3164" s="37"/>
      <c r="E3164" s="33" t="s">
        <v>39</v>
      </c>
      <c r="F3164" s="31" t="s">
        <v>36</v>
      </c>
      <c r="G3164" s="47"/>
    </row>
    <row r="3165" spans="1:7" ht="15.75" thickBot="1" x14ac:dyDescent="0.3">
      <c r="A3165" s="47"/>
      <c r="B3165" s="47"/>
      <c r="C3165" s="47"/>
      <c r="D3165" s="47"/>
      <c r="E3165" s="47"/>
      <c r="F3165" s="47"/>
      <c r="G3165" s="47"/>
    </row>
    <row r="3166" spans="1:7" ht="15.75" thickBot="1" x14ac:dyDescent="0.3">
      <c r="A3166" s="39" t="s">
        <v>40</v>
      </c>
      <c r="B3166" s="39" t="s">
        <v>41</v>
      </c>
      <c r="C3166" s="39" t="s">
        <v>42</v>
      </c>
      <c r="D3166" s="39" t="s">
        <v>43</v>
      </c>
      <c r="E3166" s="39" t="s">
        <v>44</v>
      </c>
      <c r="F3166" s="39" t="s">
        <v>45</v>
      </c>
      <c r="G3166" s="47"/>
    </row>
    <row r="3167" spans="1:7" ht="15" x14ac:dyDescent="0.25">
      <c r="A3167" s="40">
        <v>55121715</v>
      </c>
      <c r="B3167" s="41" t="str">
        <f ca="1">IFERROR(INDEX(UNSPSCDes,MATCH(INDIRECT(ADDRESS(ROW(),COLUMN()-1,4)),UNSPSCCode,0)),"")</f>
        <v>Banderas o accesorios</v>
      </c>
      <c r="C3167" s="40" t="s">
        <v>66</v>
      </c>
      <c r="D3167" s="40">
        <v>1</v>
      </c>
      <c r="E3167" s="43">
        <v>1</v>
      </c>
      <c r="F3167" s="44">
        <f ca="1">INDIRECT(ADDRESS(ROW(),COLUMN()-2,4))*INDIRECT(ADDRESS(ROW(),COLUMN()-1,4))</f>
        <v>1</v>
      </c>
      <c r="G3167" s="47"/>
    </row>
    <row r="3168" spans="1:7" ht="15" x14ac:dyDescent="0.25">
      <c r="A3168" s="40">
        <v>52121704</v>
      </c>
      <c r="B3168" s="41" t="str">
        <f ca="1">IFERROR(INDEX(UNSPSCDes,MATCH(INDIRECT(ADDRESS(ROW(),COLUMN()-1,4)),UNSPSCCode,0)),"")</f>
        <v>Toallas de manos</v>
      </c>
      <c r="C3168" s="40" t="s">
        <v>66</v>
      </c>
      <c r="D3168" s="40">
        <v>1</v>
      </c>
      <c r="E3168" s="43">
        <v>1</v>
      </c>
      <c r="F3168" s="44">
        <f ca="1">INDIRECT(ADDRESS(ROW(),COLUMN()-2,4))*INDIRECT(ADDRESS(ROW(),COLUMN()-1,4))</f>
        <v>1</v>
      </c>
      <c r="G3168" s="47"/>
    </row>
    <row r="3169" spans="1:7" ht="15" x14ac:dyDescent="0.25">
      <c r="A3169" s="40">
        <v>52131501</v>
      </c>
      <c r="B3169" s="41" t="str">
        <f ca="1">IFERROR(INDEX(UNSPSCDes,MATCH(INDIRECT(ADDRESS(ROW(),COLUMN()-1,4)),UNSPSCCode,0)),"")</f>
        <v>Cortinas</v>
      </c>
      <c r="C3169" s="40" t="s">
        <v>66</v>
      </c>
      <c r="D3169" s="40">
        <v>1</v>
      </c>
      <c r="E3169" s="43">
        <v>1</v>
      </c>
      <c r="F3169" s="44">
        <f ca="1">INDIRECT(ADDRESS(ROW(),COLUMN()-2,4))*INDIRECT(ADDRESS(ROW(),COLUMN()-1,4))</f>
        <v>1</v>
      </c>
      <c r="G3169" s="47"/>
    </row>
    <row r="3170" spans="1:7" ht="15" x14ac:dyDescent="0.25">
      <c r="A3170" s="40">
        <v>52101502</v>
      </c>
      <c r="B3170" s="41" t="str">
        <f ca="1">IFERROR(INDEX(UNSPSCDes,MATCH(INDIRECT(ADDRESS(ROW(),COLUMN()-1,4)),UNSPSCCode,0)),"")</f>
        <v>Alfombras</v>
      </c>
      <c r="C3170" s="40" t="s">
        <v>66</v>
      </c>
      <c r="D3170" s="40">
        <v>1</v>
      </c>
      <c r="E3170" s="43">
        <v>1</v>
      </c>
      <c r="F3170" s="44">
        <f ca="1">INDIRECT(ADDRESS(ROW(),COLUMN()-2,4))*INDIRECT(ADDRESS(ROW(),COLUMN()-1,4))</f>
        <v>1</v>
      </c>
      <c r="G3170" s="47"/>
    </row>
    <row r="3171" spans="1:7" ht="15" x14ac:dyDescent="0.25">
      <c r="A3171" s="47"/>
      <c r="B3171" s="47"/>
      <c r="C3171" s="47"/>
      <c r="D3171" s="47"/>
      <c r="E3171" s="45" t="s">
        <v>47</v>
      </c>
      <c r="F3171" s="46">
        <f ca="1">SUM(Table3143[MONTO TOTAL ESTIMADO])</f>
        <v>4</v>
      </c>
      <c r="G3171" s="47"/>
    </row>
    <row r="3172" spans="1:7" ht="17.25" thickBot="1" x14ac:dyDescent="0.3"/>
    <row r="3173" spans="1:7" ht="23.25" thickBot="1" x14ac:dyDescent="0.3">
      <c r="A3173" s="30" t="s">
        <v>18</v>
      </c>
      <c r="B3173" s="30" t="s">
        <v>19</v>
      </c>
      <c r="C3173" s="30" t="s">
        <v>20</v>
      </c>
      <c r="D3173" s="30" t="s">
        <v>21</v>
      </c>
      <c r="E3173" s="30" t="s">
        <v>22</v>
      </c>
      <c r="F3173" s="30" t="s">
        <v>23</v>
      </c>
      <c r="G3173" s="47"/>
    </row>
    <row r="3174" spans="1:7" ht="15.75" thickBot="1" x14ac:dyDescent="0.3">
      <c r="A3174" s="31" t="s">
        <v>113</v>
      </c>
      <c r="B3174" s="31" t="s">
        <v>669</v>
      </c>
      <c r="C3174" s="31" t="s">
        <v>92</v>
      </c>
      <c r="D3174" s="31" t="s">
        <v>27</v>
      </c>
      <c r="E3174" s="31" t="s">
        <v>58</v>
      </c>
      <c r="F3174" s="31"/>
      <c r="G3174" s="47"/>
    </row>
    <row r="3175" spans="1:7" ht="15.75" thickBot="1" x14ac:dyDescent="0.3">
      <c r="A3175" s="32" t="s">
        <v>29</v>
      </c>
      <c r="B3175" s="33" t="s">
        <v>30</v>
      </c>
      <c r="C3175" s="48">
        <v>45200</v>
      </c>
      <c r="D3175" s="32" t="s">
        <v>31</v>
      </c>
      <c r="E3175" s="33" t="s">
        <v>32</v>
      </c>
      <c r="F3175" s="31" t="s">
        <v>33</v>
      </c>
      <c r="G3175" s="47"/>
    </row>
    <row r="3176" spans="1:7" ht="15.75" thickBot="1" x14ac:dyDescent="0.3">
      <c r="A3176" s="37"/>
      <c r="B3176" s="33" t="s">
        <v>34</v>
      </c>
      <c r="C3176" s="49">
        <f>IF(C3175="","",IF(AND(MONTH(C3175)&gt;=1,MONTH(C3175)&lt;=3),1,IF(AND(MONTH(C3175)&gt;=4,MONTH(C3175)&lt;=6),2,IF(AND(MONTH(C3175)&gt;=7,MONTH(C3175)&lt;=9),3,4))))</f>
        <v>4</v>
      </c>
      <c r="D3176" s="37"/>
      <c r="E3176" s="33" t="s">
        <v>35</v>
      </c>
      <c r="F3176" s="31" t="s">
        <v>36</v>
      </c>
      <c r="G3176" s="47"/>
    </row>
    <row r="3177" spans="1:7" ht="15.75" thickBot="1" x14ac:dyDescent="0.3">
      <c r="A3177" s="37"/>
      <c r="B3177" s="33" t="s">
        <v>37</v>
      </c>
      <c r="C3177" s="48">
        <v>45291</v>
      </c>
      <c r="D3177" s="37"/>
      <c r="E3177" s="33" t="s">
        <v>38</v>
      </c>
      <c r="F3177" s="31" t="s">
        <v>36</v>
      </c>
      <c r="G3177" s="47"/>
    </row>
    <row r="3178" spans="1:7" ht="15.75" thickBot="1" x14ac:dyDescent="0.3">
      <c r="A3178" s="37"/>
      <c r="B3178" s="33" t="s">
        <v>34</v>
      </c>
      <c r="C3178" s="49">
        <f>IF(C3177="","",IF(AND(MONTH(C3177)&gt;=1,MONTH(C3177)&lt;=3),1,IF(AND(MONTH(C3177)&gt;=4,MONTH(C3177)&lt;=6),2,IF(AND(MONTH(C3177)&gt;=7,MONTH(C3177)&lt;=9),3,4))))</f>
        <v>4</v>
      </c>
      <c r="D3178" s="37"/>
      <c r="E3178" s="33" t="s">
        <v>39</v>
      </c>
      <c r="F3178" s="31" t="s">
        <v>36</v>
      </c>
      <c r="G3178" s="47"/>
    </row>
    <row r="3179" spans="1:7" ht="15.75" thickBot="1" x14ac:dyDescent="0.3">
      <c r="A3179" s="47"/>
      <c r="B3179" s="47"/>
      <c r="C3179" s="47"/>
      <c r="D3179" s="47"/>
      <c r="E3179" s="47"/>
      <c r="F3179" s="47"/>
      <c r="G3179" s="47"/>
    </row>
    <row r="3180" spans="1:7" ht="15.75" thickBot="1" x14ac:dyDescent="0.3">
      <c r="A3180" s="39" t="s">
        <v>40</v>
      </c>
      <c r="B3180" s="39" t="s">
        <v>41</v>
      </c>
      <c r="C3180" s="39" t="s">
        <v>42</v>
      </c>
      <c r="D3180" s="39" t="s">
        <v>43</v>
      </c>
      <c r="E3180" s="39" t="s">
        <v>44</v>
      </c>
      <c r="F3180" s="39" t="s">
        <v>45</v>
      </c>
      <c r="G3180" s="47"/>
    </row>
    <row r="3181" spans="1:7" ht="15" x14ac:dyDescent="0.25">
      <c r="A3181" s="40">
        <v>55121715</v>
      </c>
      <c r="B3181" s="41" t="str">
        <f ca="1">IFERROR(INDEX(UNSPSCDes,MATCH(INDIRECT(ADDRESS(ROW(),COLUMN()-1,4)),UNSPSCCode,0)),"")</f>
        <v>Banderas o accesorios</v>
      </c>
      <c r="C3181" s="40" t="s">
        <v>66</v>
      </c>
      <c r="D3181" s="40">
        <v>1</v>
      </c>
      <c r="E3181" s="43">
        <v>1</v>
      </c>
      <c r="F3181" s="44">
        <f ca="1">INDIRECT(ADDRESS(ROW(),COLUMN()-2,4))*INDIRECT(ADDRESS(ROW(),COLUMN()-1,4))</f>
        <v>1</v>
      </c>
      <c r="G3181" s="47"/>
    </row>
    <row r="3182" spans="1:7" ht="15" x14ac:dyDescent="0.25">
      <c r="A3182" s="47"/>
      <c r="B3182" s="47"/>
      <c r="C3182" s="47"/>
      <c r="D3182" s="47"/>
      <c r="E3182" s="45" t="s">
        <v>47</v>
      </c>
      <c r="F3182" s="46">
        <f ca="1">SUM(Table3144[MONTO TOTAL ESTIMADO])</f>
        <v>1</v>
      </c>
      <c r="G3182" s="47"/>
    </row>
    <row r="3183" spans="1:7" ht="17.25" thickBot="1" x14ac:dyDescent="0.3"/>
    <row r="3184" spans="1:7" ht="23.25" thickBot="1" x14ac:dyDescent="0.3">
      <c r="A3184" s="30" t="s">
        <v>18</v>
      </c>
      <c r="B3184" s="30" t="s">
        <v>19</v>
      </c>
      <c r="C3184" s="30" t="s">
        <v>20</v>
      </c>
      <c r="D3184" s="30" t="s">
        <v>21</v>
      </c>
      <c r="E3184" s="30" t="s">
        <v>22</v>
      </c>
      <c r="F3184" s="30" t="s">
        <v>23</v>
      </c>
      <c r="G3184" s="47"/>
    </row>
    <row r="3185" spans="1:7" ht="15.75" thickBot="1" x14ac:dyDescent="0.3">
      <c r="A3185" s="31" t="s">
        <v>670</v>
      </c>
      <c r="B3185" s="31" t="s">
        <v>671</v>
      </c>
      <c r="C3185" s="31" t="s">
        <v>26</v>
      </c>
      <c r="D3185" s="31" t="s">
        <v>52</v>
      </c>
      <c r="E3185" s="31" t="s">
        <v>58</v>
      </c>
      <c r="F3185" s="31"/>
      <c r="G3185" s="47"/>
    </row>
    <row r="3186" spans="1:7" ht="15.75" thickBot="1" x14ac:dyDescent="0.3">
      <c r="A3186" s="32" t="s">
        <v>29</v>
      </c>
      <c r="B3186" s="33" t="s">
        <v>30</v>
      </c>
      <c r="C3186" s="48">
        <v>45108</v>
      </c>
      <c r="D3186" s="32" t="s">
        <v>31</v>
      </c>
      <c r="E3186" s="33" t="s">
        <v>32</v>
      </c>
      <c r="F3186" s="31" t="s">
        <v>33</v>
      </c>
      <c r="G3186" s="47"/>
    </row>
    <row r="3187" spans="1:7" ht="15.75" thickBot="1" x14ac:dyDescent="0.3">
      <c r="A3187" s="37"/>
      <c r="B3187" s="33" t="s">
        <v>34</v>
      </c>
      <c r="C3187" s="49">
        <f>IF(C3186="","",IF(AND(MONTH(C3186)&gt;=1,MONTH(C3186)&lt;=3),1,IF(AND(MONTH(C3186)&gt;=4,MONTH(C3186)&lt;=6),2,IF(AND(MONTH(C3186)&gt;=7,MONTH(C3186)&lt;=9),3,4))))</f>
        <v>3</v>
      </c>
      <c r="D3187" s="37"/>
      <c r="E3187" s="33" t="s">
        <v>35</v>
      </c>
      <c r="F3187" s="31" t="s">
        <v>36</v>
      </c>
      <c r="G3187" s="47"/>
    </row>
    <row r="3188" spans="1:7" ht="15.75" thickBot="1" x14ac:dyDescent="0.3">
      <c r="A3188" s="37"/>
      <c r="B3188" s="33" t="s">
        <v>37</v>
      </c>
      <c r="C3188" s="48">
        <v>45199</v>
      </c>
      <c r="D3188" s="37"/>
      <c r="E3188" s="33" t="s">
        <v>38</v>
      </c>
      <c r="F3188" s="31" t="s">
        <v>36</v>
      </c>
      <c r="G3188" s="47"/>
    </row>
    <row r="3189" spans="1:7" ht="15.75" thickBot="1" x14ac:dyDescent="0.3">
      <c r="A3189" s="37"/>
      <c r="B3189" s="33" t="s">
        <v>34</v>
      </c>
      <c r="C3189" s="49">
        <f>IF(C3188="","",IF(AND(MONTH(C3188)&gt;=1,MONTH(C3188)&lt;=3),1,IF(AND(MONTH(C3188)&gt;=4,MONTH(C3188)&lt;=6),2,IF(AND(MONTH(C3188)&gt;=7,MONTH(C3188)&lt;=9),3,4))))</f>
        <v>3</v>
      </c>
      <c r="D3189" s="37"/>
      <c r="E3189" s="33" t="s">
        <v>39</v>
      </c>
      <c r="F3189" s="31" t="s">
        <v>36</v>
      </c>
      <c r="G3189" s="47"/>
    </row>
    <row r="3190" spans="1:7" ht="15.75" thickBot="1" x14ac:dyDescent="0.3">
      <c r="A3190" s="47"/>
      <c r="B3190" s="47"/>
      <c r="C3190" s="47"/>
      <c r="D3190" s="47"/>
      <c r="E3190" s="47"/>
      <c r="F3190" s="47"/>
      <c r="G3190" s="47"/>
    </row>
    <row r="3191" spans="1:7" ht="15.75" thickBot="1" x14ac:dyDescent="0.3">
      <c r="A3191" s="39" t="s">
        <v>40</v>
      </c>
      <c r="B3191" s="39" t="s">
        <v>41</v>
      </c>
      <c r="C3191" s="39" t="s">
        <v>42</v>
      </c>
      <c r="D3191" s="39" t="s">
        <v>43</v>
      </c>
      <c r="E3191" s="39" t="s">
        <v>44</v>
      </c>
      <c r="F3191" s="39" t="s">
        <v>45</v>
      </c>
      <c r="G3191" s="47"/>
    </row>
    <row r="3192" spans="1:7" ht="15" x14ac:dyDescent="0.25">
      <c r="A3192" s="40">
        <v>90101802</v>
      </c>
      <c r="B3192" s="41" t="str">
        <f ca="1">IFERROR(INDEX(UNSPSCDes,MATCH(INDIRECT(ADDRESS(ROW(),COLUMN()-1,4)),UNSPSCCode,0)),"")</f>
        <v>Servicios de comidas a domicilio</v>
      </c>
      <c r="C3192" s="40" t="s">
        <v>66</v>
      </c>
      <c r="D3192" s="40">
        <v>1</v>
      </c>
      <c r="E3192" s="43">
        <v>5000000</v>
      </c>
      <c r="F3192" s="44">
        <f ca="1">INDIRECT(ADDRESS(ROW(),COLUMN()-2,4))*INDIRECT(ADDRESS(ROW(),COLUMN()-1,4))</f>
        <v>5000000</v>
      </c>
      <c r="G3192" s="47"/>
    </row>
    <row r="3193" spans="1:7" ht="15" x14ac:dyDescent="0.25">
      <c r="A3193" s="47"/>
      <c r="B3193" s="47"/>
      <c r="C3193" s="47"/>
      <c r="D3193" s="47"/>
      <c r="E3193" s="45" t="s">
        <v>47</v>
      </c>
      <c r="F3193" s="46">
        <f ca="1">SUM(Table3145[MONTO TOTAL ESTIMADO])</f>
        <v>5000000</v>
      </c>
      <c r="G3193" s="47"/>
    </row>
    <row r="3194" spans="1:7" ht="17.25" thickBot="1" x14ac:dyDescent="0.3"/>
    <row r="3195" spans="1:7" ht="23.25" thickBot="1" x14ac:dyDescent="0.3">
      <c r="A3195" s="30" t="s">
        <v>18</v>
      </c>
      <c r="B3195" s="30" t="s">
        <v>19</v>
      </c>
      <c r="C3195" s="30" t="s">
        <v>20</v>
      </c>
      <c r="D3195" s="30" t="s">
        <v>21</v>
      </c>
      <c r="E3195" s="30" t="s">
        <v>22</v>
      </c>
      <c r="F3195" s="30" t="s">
        <v>23</v>
      </c>
      <c r="G3195" s="47"/>
    </row>
    <row r="3196" spans="1:7" ht="15.75" thickBot="1" x14ac:dyDescent="0.3">
      <c r="A3196" s="31" t="s">
        <v>670</v>
      </c>
      <c r="B3196" s="31" t="s">
        <v>671</v>
      </c>
      <c r="C3196" s="31" t="s">
        <v>26</v>
      </c>
      <c r="D3196" s="31" t="s">
        <v>52</v>
      </c>
      <c r="E3196" s="31" t="s">
        <v>58</v>
      </c>
      <c r="F3196" s="31"/>
      <c r="G3196" s="47"/>
    </row>
    <row r="3197" spans="1:7" ht="15.75" thickBot="1" x14ac:dyDescent="0.3">
      <c r="A3197" s="32" t="s">
        <v>29</v>
      </c>
      <c r="B3197" s="33" t="s">
        <v>30</v>
      </c>
      <c r="C3197" s="48">
        <v>45200</v>
      </c>
      <c r="D3197" s="32" t="s">
        <v>31</v>
      </c>
      <c r="E3197" s="33" t="s">
        <v>32</v>
      </c>
      <c r="F3197" s="31" t="s">
        <v>33</v>
      </c>
      <c r="G3197" s="47"/>
    </row>
    <row r="3198" spans="1:7" ht="15.75" thickBot="1" x14ac:dyDescent="0.3">
      <c r="A3198" s="37"/>
      <c r="B3198" s="33" t="s">
        <v>34</v>
      </c>
      <c r="C3198" s="49">
        <f>IF(C3197="","",IF(AND(MONTH(C3197)&gt;=1,MONTH(C3197)&lt;=3),1,IF(AND(MONTH(C3197)&gt;=4,MONTH(C3197)&lt;=6),2,IF(AND(MONTH(C3197)&gt;=7,MONTH(C3197)&lt;=9),3,4))))</f>
        <v>4</v>
      </c>
      <c r="D3198" s="37"/>
      <c r="E3198" s="33" t="s">
        <v>35</v>
      </c>
      <c r="F3198" s="31" t="s">
        <v>36</v>
      </c>
      <c r="G3198" s="47"/>
    </row>
    <row r="3199" spans="1:7" ht="15.75" thickBot="1" x14ac:dyDescent="0.3">
      <c r="A3199" s="37"/>
      <c r="B3199" s="33" t="s">
        <v>37</v>
      </c>
      <c r="C3199" s="48">
        <v>45291</v>
      </c>
      <c r="D3199" s="37"/>
      <c r="E3199" s="33" t="s">
        <v>38</v>
      </c>
      <c r="F3199" s="31" t="s">
        <v>36</v>
      </c>
      <c r="G3199" s="47"/>
    </row>
    <row r="3200" spans="1:7" ht="15.75" thickBot="1" x14ac:dyDescent="0.3">
      <c r="A3200" s="37"/>
      <c r="B3200" s="33" t="s">
        <v>34</v>
      </c>
      <c r="C3200" s="49">
        <f>IF(C3199="","",IF(AND(MONTH(C3199)&gt;=1,MONTH(C3199)&lt;=3),1,IF(AND(MONTH(C3199)&gt;=4,MONTH(C3199)&lt;=6),2,IF(AND(MONTH(C3199)&gt;=7,MONTH(C3199)&lt;=9),3,4))))</f>
        <v>4</v>
      </c>
      <c r="D3200" s="37"/>
      <c r="E3200" s="33" t="s">
        <v>39</v>
      </c>
      <c r="F3200" s="31" t="s">
        <v>36</v>
      </c>
      <c r="G3200" s="47"/>
    </row>
    <row r="3201" spans="1:7" ht="15.75" thickBot="1" x14ac:dyDescent="0.3">
      <c r="A3201" s="47"/>
      <c r="B3201" s="47"/>
      <c r="C3201" s="47"/>
      <c r="D3201" s="47"/>
      <c r="E3201" s="47"/>
      <c r="F3201" s="47"/>
      <c r="G3201" s="47"/>
    </row>
    <row r="3202" spans="1:7" ht="15.75" thickBot="1" x14ac:dyDescent="0.3">
      <c r="A3202" s="39" t="s">
        <v>40</v>
      </c>
      <c r="B3202" s="39" t="s">
        <v>41</v>
      </c>
      <c r="C3202" s="39" t="s">
        <v>42</v>
      </c>
      <c r="D3202" s="39" t="s">
        <v>43</v>
      </c>
      <c r="E3202" s="39" t="s">
        <v>44</v>
      </c>
      <c r="F3202" s="39" t="s">
        <v>45</v>
      </c>
      <c r="G3202" s="47"/>
    </row>
    <row r="3203" spans="1:7" ht="15" x14ac:dyDescent="0.25">
      <c r="A3203" s="40">
        <v>90101802</v>
      </c>
      <c r="B3203" s="41" t="str">
        <f ca="1">IFERROR(INDEX(UNSPSCDes,MATCH(INDIRECT(ADDRESS(ROW(),COLUMN()-1,4)),UNSPSCCode,0)),"")</f>
        <v>Servicios de comidas a domicilio</v>
      </c>
      <c r="C3203" s="40" t="s">
        <v>66</v>
      </c>
      <c r="D3203" s="40">
        <v>1</v>
      </c>
      <c r="E3203" s="43">
        <v>5000000</v>
      </c>
      <c r="F3203" s="44">
        <f ca="1">INDIRECT(ADDRESS(ROW(),COLUMN()-2,4))*INDIRECT(ADDRESS(ROW(),COLUMN()-1,4))</f>
        <v>5000000</v>
      </c>
      <c r="G3203" s="47"/>
    </row>
    <row r="3204" spans="1:7" ht="15" x14ac:dyDescent="0.25">
      <c r="A3204" s="47"/>
      <c r="B3204" s="47"/>
      <c r="C3204" s="47"/>
      <c r="D3204" s="47"/>
      <c r="E3204" s="45" t="s">
        <v>47</v>
      </c>
      <c r="F3204" s="46">
        <f ca="1">SUM(Table3176[MONTO TOTAL ESTIMADO])</f>
        <v>5000000</v>
      </c>
      <c r="G3204" s="47"/>
    </row>
    <row r="3205" spans="1:7" ht="17.25" thickBot="1" x14ac:dyDescent="0.3"/>
    <row r="3206" spans="1:7" ht="23.25" thickBot="1" x14ac:dyDescent="0.3">
      <c r="A3206" s="30" t="s">
        <v>18</v>
      </c>
      <c r="B3206" s="30" t="s">
        <v>19</v>
      </c>
      <c r="C3206" s="30" t="s">
        <v>20</v>
      </c>
      <c r="D3206" s="30" t="s">
        <v>21</v>
      </c>
      <c r="E3206" s="30" t="s">
        <v>22</v>
      </c>
      <c r="F3206" s="30" t="s">
        <v>23</v>
      </c>
      <c r="G3206" s="47"/>
    </row>
    <row r="3207" spans="1:7" ht="15.75" thickBot="1" x14ac:dyDescent="0.3">
      <c r="A3207" s="31" t="s">
        <v>86</v>
      </c>
      <c r="B3207" s="31" t="s">
        <v>669</v>
      </c>
      <c r="C3207" s="31" t="s">
        <v>26</v>
      </c>
      <c r="D3207" s="31" t="s">
        <v>50</v>
      </c>
      <c r="E3207" s="31" t="s">
        <v>58</v>
      </c>
      <c r="F3207" s="31"/>
      <c r="G3207" s="47"/>
    </row>
    <row r="3208" spans="1:7" ht="15.75" thickBot="1" x14ac:dyDescent="0.3">
      <c r="A3208" s="32" t="s">
        <v>29</v>
      </c>
      <c r="B3208" s="33" t="s">
        <v>30</v>
      </c>
      <c r="C3208" s="48">
        <v>45200</v>
      </c>
      <c r="D3208" s="32" t="s">
        <v>31</v>
      </c>
      <c r="E3208" s="33" t="s">
        <v>32</v>
      </c>
      <c r="F3208" s="31" t="s">
        <v>33</v>
      </c>
      <c r="G3208" s="47"/>
    </row>
    <row r="3209" spans="1:7" ht="15.75" thickBot="1" x14ac:dyDescent="0.3">
      <c r="A3209" s="37"/>
      <c r="B3209" s="33" t="s">
        <v>34</v>
      </c>
      <c r="C3209" s="49">
        <f>IF(C3208="","",IF(AND(MONTH(C3208)&gt;=1,MONTH(C3208)&lt;=3),1,IF(AND(MONTH(C3208)&gt;=4,MONTH(C3208)&lt;=6),2,IF(AND(MONTH(C3208)&gt;=7,MONTH(C3208)&lt;=9),3,4))))</f>
        <v>4</v>
      </c>
      <c r="D3209" s="37"/>
      <c r="E3209" s="33" t="s">
        <v>35</v>
      </c>
      <c r="F3209" s="31" t="s">
        <v>36</v>
      </c>
      <c r="G3209" s="47"/>
    </row>
    <row r="3210" spans="1:7" ht="15.75" thickBot="1" x14ac:dyDescent="0.3">
      <c r="A3210" s="37"/>
      <c r="B3210" s="33" t="s">
        <v>37</v>
      </c>
      <c r="C3210" s="48">
        <v>45291</v>
      </c>
      <c r="D3210" s="37"/>
      <c r="E3210" s="33" t="s">
        <v>38</v>
      </c>
      <c r="F3210" s="31" t="s">
        <v>36</v>
      </c>
      <c r="G3210" s="47"/>
    </row>
    <row r="3211" spans="1:7" ht="15.75" thickBot="1" x14ac:dyDescent="0.3">
      <c r="A3211" s="37"/>
      <c r="B3211" s="33" t="s">
        <v>34</v>
      </c>
      <c r="C3211" s="49">
        <f>IF(C3210="","",IF(AND(MONTH(C3210)&gt;=1,MONTH(C3210)&lt;=3),1,IF(AND(MONTH(C3210)&gt;=4,MONTH(C3210)&lt;=6),2,IF(AND(MONTH(C3210)&gt;=7,MONTH(C3210)&lt;=9),3,4))))</f>
        <v>4</v>
      </c>
      <c r="D3211" s="37"/>
      <c r="E3211" s="33" t="s">
        <v>39</v>
      </c>
      <c r="F3211" s="31" t="s">
        <v>36</v>
      </c>
      <c r="G3211" s="47"/>
    </row>
    <row r="3212" spans="1:7" ht="15.75" thickBot="1" x14ac:dyDescent="0.3">
      <c r="A3212" s="47"/>
      <c r="B3212" s="47"/>
      <c r="C3212" s="47"/>
      <c r="D3212" s="47"/>
      <c r="E3212" s="47"/>
      <c r="F3212" s="47"/>
      <c r="G3212" s="47"/>
    </row>
    <row r="3213" spans="1:7" ht="15.75" thickBot="1" x14ac:dyDescent="0.3">
      <c r="A3213" s="39" t="s">
        <v>40</v>
      </c>
      <c r="B3213" s="39" t="s">
        <v>41</v>
      </c>
      <c r="C3213" s="39" t="s">
        <v>42</v>
      </c>
      <c r="D3213" s="39" t="s">
        <v>43</v>
      </c>
      <c r="E3213" s="39" t="s">
        <v>44</v>
      </c>
      <c r="F3213" s="39" t="s">
        <v>45</v>
      </c>
      <c r="G3213" s="47"/>
    </row>
    <row r="3214" spans="1:7" ht="15" x14ac:dyDescent="0.25">
      <c r="A3214" s="40">
        <v>90101603</v>
      </c>
      <c r="B3214" s="41" t="str">
        <f ca="1">IFERROR(INDEX(UNSPSCDes,MATCH(INDIRECT(ADDRESS(ROW(),COLUMN()-1,4)),UNSPSCCode,0)),"")</f>
        <v>Servicios de cáterin</v>
      </c>
      <c r="C3214" s="40" t="s">
        <v>66</v>
      </c>
      <c r="D3214" s="40">
        <v>1</v>
      </c>
      <c r="E3214" s="43">
        <v>100000</v>
      </c>
      <c r="F3214" s="44">
        <f ca="1">INDIRECT(ADDRESS(ROW(),COLUMN()-2,4))*INDIRECT(ADDRESS(ROW(),COLUMN()-1,4))</f>
        <v>100000</v>
      </c>
      <c r="G3214" s="47"/>
    </row>
    <row r="3215" spans="1:7" ht="15" x14ac:dyDescent="0.25">
      <c r="A3215" s="47"/>
      <c r="B3215" s="47"/>
      <c r="C3215" s="47"/>
      <c r="D3215" s="47"/>
      <c r="E3215" s="45" t="s">
        <v>47</v>
      </c>
      <c r="F3215" s="46">
        <f ca="1">SUM(Table3181[MONTO TOTAL ESTIMADO])</f>
        <v>100000</v>
      </c>
      <c r="G3215" s="47"/>
    </row>
    <row r="3216" spans="1:7" ht="17.25" thickBot="1" x14ac:dyDescent="0.3"/>
    <row r="3217" spans="1:7" ht="23.25" thickBot="1" x14ac:dyDescent="0.3">
      <c r="A3217" s="30" t="s">
        <v>18</v>
      </c>
      <c r="B3217" s="30" t="s">
        <v>19</v>
      </c>
      <c r="C3217" s="30" t="s">
        <v>20</v>
      </c>
      <c r="D3217" s="30" t="s">
        <v>21</v>
      </c>
      <c r="E3217" s="30" t="s">
        <v>22</v>
      </c>
      <c r="F3217" s="30" t="s">
        <v>23</v>
      </c>
      <c r="G3217" s="47"/>
    </row>
    <row r="3218" spans="1:7" ht="15.75" thickBot="1" x14ac:dyDescent="0.3">
      <c r="A3218" s="31" t="s">
        <v>121</v>
      </c>
      <c r="B3218" s="31" t="s">
        <v>669</v>
      </c>
      <c r="C3218" s="31" t="s">
        <v>92</v>
      </c>
      <c r="D3218" s="31" t="s">
        <v>27</v>
      </c>
      <c r="E3218" s="31" t="s">
        <v>58</v>
      </c>
      <c r="F3218" s="31"/>
      <c r="G3218" s="47"/>
    </row>
    <row r="3219" spans="1:7" ht="15.75" thickBot="1" x14ac:dyDescent="0.3">
      <c r="A3219" s="32" t="s">
        <v>29</v>
      </c>
      <c r="B3219" s="33" t="s">
        <v>30</v>
      </c>
      <c r="C3219" s="48">
        <v>44958</v>
      </c>
      <c r="D3219" s="32" t="s">
        <v>31</v>
      </c>
      <c r="E3219" s="33" t="s">
        <v>32</v>
      </c>
      <c r="F3219" s="31" t="s">
        <v>33</v>
      </c>
      <c r="G3219" s="47"/>
    </row>
    <row r="3220" spans="1:7" ht="15.75" thickBot="1" x14ac:dyDescent="0.3">
      <c r="A3220" s="37"/>
      <c r="B3220" s="33" t="s">
        <v>34</v>
      </c>
      <c r="C3220" s="49">
        <f>IF(C3219="","",IF(AND(MONTH(C3219)&gt;=1,MONTH(C3219)&lt;=3),1,IF(AND(MONTH(C3219)&gt;=4,MONTH(C3219)&lt;=6),2,IF(AND(MONTH(C3219)&gt;=7,MONTH(C3219)&lt;=9),3,4))))</f>
        <v>1</v>
      </c>
      <c r="D3220" s="37"/>
      <c r="E3220" s="33" t="s">
        <v>35</v>
      </c>
      <c r="F3220" s="31" t="s">
        <v>36</v>
      </c>
      <c r="G3220" s="47"/>
    </row>
    <row r="3221" spans="1:7" ht="15.75" thickBot="1" x14ac:dyDescent="0.3">
      <c r="A3221" s="37"/>
      <c r="B3221" s="33" t="s">
        <v>37</v>
      </c>
      <c r="C3221" s="48">
        <v>45015</v>
      </c>
      <c r="D3221" s="37"/>
      <c r="E3221" s="33" t="s">
        <v>38</v>
      </c>
      <c r="F3221" s="31" t="s">
        <v>36</v>
      </c>
      <c r="G3221" s="47"/>
    </row>
    <row r="3222" spans="1:7" ht="15.75" thickBot="1" x14ac:dyDescent="0.3">
      <c r="A3222" s="37"/>
      <c r="B3222" s="33" t="s">
        <v>34</v>
      </c>
      <c r="C3222" s="49">
        <f>IF(C3221="","",IF(AND(MONTH(C3221)&gt;=1,MONTH(C3221)&lt;=3),1,IF(AND(MONTH(C3221)&gt;=4,MONTH(C3221)&lt;=6),2,IF(AND(MONTH(C3221)&gt;=7,MONTH(C3221)&lt;=9),3,4))))</f>
        <v>1</v>
      </c>
      <c r="D3222" s="37"/>
      <c r="E3222" s="33" t="s">
        <v>39</v>
      </c>
      <c r="F3222" s="31" t="s">
        <v>36</v>
      </c>
      <c r="G3222" s="47"/>
    </row>
    <row r="3223" spans="1:7" ht="15.75" thickBot="1" x14ac:dyDescent="0.3">
      <c r="A3223" s="47"/>
      <c r="B3223" s="47"/>
      <c r="C3223" s="47"/>
      <c r="D3223" s="47"/>
      <c r="E3223" s="47"/>
      <c r="F3223" s="47"/>
      <c r="G3223" s="47"/>
    </row>
    <row r="3224" spans="1:7" ht="15.75" thickBot="1" x14ac:dyDescent="0.3">
      <c r="A3224" s="39" t="s">
        <v>40</v>
      </c>
      <c r="B3224" s="39" t="s">
        <v>41</v>
      </c>
      <c r="C3224" s="39" t="s">
        <v>42</v>
      </c>
      <c r="D3224" s="39" t="s">
        <v>43</v>
      </c>
      <c r="E3224" s="39" t="s">
        <v>44</v>
      </c>
      <c r="F3224" s="39" t="s">
        <v>45</v>
      </c>
      <c r="G3224" s="47"/>
    </row>
    <row r="3225" spans="1:7" ht="15" x14ac:dyDescent="0.25">
      <c r="A3225" s="40">
        <v>53102505</v>
      </c>
      <c r="B3225" s="41" t="str">
        <f ca="1">IFERROR(INDEX(UNSPSCDes,MATCH(INDIRECT(ADDRESS(ROW(),COLUMN()-1,4)),UNSPSCCode,0)),"")</f>
        <v>Sombrillas</v>
      </c>
      <c r="C3225" s="40" t="s">
        <v>66</v>
      </c>
      <c r="D3225" s="40">
        <v>1</v>
      </c>
      <c r="E3225" s="43">
        <v>40000</v>
      </c>
      <c r="F3225" s="44">
        <f ca="1">INDIRECT(ADDRESS(ROW(),COLUMN()-2,4))*INDIRECT(ADDRESS(ROW(),COLUMN()-1,4))</f>
        <v>40000</v>
      </c>
      <c r="G3225" s="47"/>
    </row>
    <row r="3226" spans="1:7" ht="15" x14ac:dyDescent="0.25">
      <c r="A3226" s="40">
        <v>53103001</v>
      </c>
      <c r="B3226" s="41" t="str">
        <f ca="1">IFERROR(INDEX(UNSPSCDes,MATCH(INDIRECT(ADDRESS(ROW(),COLUMN()-1,4)),UNSPSCCode,0)),"")</f>
        <v>Camisetas (t-shirts) para hombre</v>
      </c>
      <c r="C3226" s="40" t="s">
        <v>66</v>
      </c>
      <c r="D3226" s="40">
        <v>1</v>
      </c>
      <c r="E3226" s="43">
        <v>42500</v>
      </c>
      <c r="F3226" s="44">
        <f ca="1">INDIRECT(ADDRESS(ROW(),COLUMN()-2,4))*INDIRECT(ADDRESS(ROW(),COLUMN()-1,4))</f>
        <v>42500</v>
      </c>
      <c r="G3226" s="47"/>
    </row>
    <row r="3227" spans="1:7" ht="15" x14ac:dyDescent="0.25">
      <c r="A3227" s="47"/>
      <c r="B3227" s="47"/>
      <c r="C3227" s="47"/>
      <c r="D3227" s="47"/>
      <c r="E3227" s="45" t="s">
        <v>47</v>
      </c>
      <c r="F3227" s="46">
        <f ca="1">SUM(Table3213[MONTO TOTAL ESTIMADO])</f>
        <v>82500</v>
      </c>
      <c r="G3227" s="47"/>
    </row>
    <row r="3228" spans="1:7" ht="17.25" thickBot="1" x14ac:dyDescent="0.3"/>
    <row r="3229" spans="1:7" ht="23.25" thickBot="1" x14ac:dyDescent="0.3">
      <c r="A3229" s="30" t="s">
        <v>18</v>
      </c>
      <c r="B3229" s="30" t="s">
        <v>19</v>
      </c>
      <c r="C3229" s="30" t="s">
        <v>20</v>
      </c>
      <c r="D3229" s="30" t="s">
        <v>21</v>
      </c>
      <c r="E3229" s="30" t="s">
        <v>22</v>
      </c>
      <c r="F3229" s="30" t="s">
        <v>23</v>
      </c>
      <c r="G3229" s="47"/>
    </row>
    <row r="3230" spans="1:7" ht="15.75" thickBot="1" x14ac:dyDescent="0.3">
      <c r="A3230" s="31" t="s">
        <v>337</v>
      </c>
      <c r="B3230" s="31" t="s">
        <v>669</v>
      </c>
      <c r="C3230" s="31" t="s">
        <v>92</v>
      </c>
      <c r="D3230" s="31" t="s">
        <v>27</v>
      </c>
      <c r="E3230" s="31" t="s">
        <v>58</v>
      </c>
      <c r="F3230" s="31"/>
      <c r="G3230" s="47"/>
    </row>
    <row r="3231" spans="1:7" ht="15.75" thickBot="1" x14ac:dyDescent="0.3">
      <c r="A3231" s="32" t="s">
        <v>29</v>
      </c>
      <c r="B3231" s="33" t="s">
        <v>30</v>
      </c>
      <c r="C3231" s="48">
        <v>45200</v>
      </c>
      <c r="D3231" s="32" t="s">
        <v>31</v>
      </c>
      <c r="E3231" s="33" t="s">
        <v>32</v>
      </c>
      <c r="F3231" s="31" t="s">
        <v>33</v>
      </c>
      <c r="G3231" s="47"/>
    </row>
    <row r="3232" spans="1:7" ht="15.75" thickBot="1" x14ac:dyDescent="0.3">
      <c r="A3232" s="37"/>
      <c r="B3232" s="33" t="s">
        <v>34</v>
      </c>
      <c r="C3232" s="49">
        <f>IF(C3231="","",IF(AND(MONTH(C3231)&gt;=1,MONTH(C3231)&lt;=3),1,IF(AND(MONTH(C3231)&gt;=4,MONTH(C3231)&lt;=6),2,IF(AND(MONTH(C3231)&gt;=7,MONTH(C3231)&lt;=9),3,4))))</f>
        <v>4</v>
      </c>
      <c r="D3232" s="37"/>
      <c r="E3232" s="33" t="s">
        <v>35</v>
      </c>
      <c r="F3232" s="31" t="s">
        <v>36</v>
      </c>
      <c r="G3232" s="47"/>
    </row>
    <row r="3233" spans="1:7" ht="15.75" thickBot="1" x14ac:dyDescent="0.3">
      <c r="A3233" s="37"/>
      <c r="B3233" s="33" t="s">
        <v>37</v>
      </c>
      <c r="C3233" s="48">
        <v>45291</v>
      </c>
      <c r="D3233" s="37"/>
      <c r="E3233" s="33" t="s">
        <v>38</v>
      </c>
      <c r="F3233" s="31" t="s">
        <v>36</v>
      </c>
      <c r="G3233" s="47"/>
    </row>
    <row r="3234" spans="1:7" ht="15.75" thickBot="1" x14ac:dyDescent="0.3">
      <c r="A3234" s="37"/>
      <c r="B3234" s="33" t="s">
        <v>34</v>
      </c>
      <c r="C3234" s="49">
        <f>IF(C3233="","",IF(AND(MONTH(C3233)&gt;=1,MONTH(C3233)&lt;=3),1,IF(AND(MONTH(C3233)&gt;=4,MONTH(C3233)&lt;=6),2,IF(AND(MONTH(C3233)&gt;=7,MONTH(C3233)&lt;=9),3,4))))</f>
        <v>4</v>
      </c>
      <c r="D3234" s="37"/>
      <c r="E3234" s="33" t="s">
        <v>39</v>
      </c>
      <c r="F3234" s="31" t="s">
        <v>36</v>
      </c>
      <c r="G3234" s="47"/>
    </row>
    <row r="3235" spans="1:7" ht="15.75" thickBot="1" x14ac:dyDescent="0.3">
      <c r="A3235" s="47"/>
      <c r="B3235" s="47"/>
      <c r="C3235" s="47"/>
      <c r="D3235" s="47"/>
      <c r="E3235" s="47"/>
      <c r="F3235" s="47"/>
      <c r="G3235" s="47"/>
    </row>
    <row r="3236" spans="1:7" ht="15.75" thickBot="1" x14ac:dyDescent="0.3">
      <c r="A3236" s="39" t="s">
        <v>40</v>
      </c>
      <c r="B3236" s="39" t="s">
        <v>41</v>
      </c>
      <c r="C3236" s="39" t="s">
        <v>42</v>
      </c>
      <c r="D3236" s="39" t="s">
        <v>43</v>
      </c>
      <c r="E3236" s="39" t="s">
        <v>44</v>
      </c>
      <c r="F3236" s="39" t="s">
        <v>45</v>
      </c>
      <c r="G3236" s="47"/>
    </row>
    <row r="3237" spans="1:7" ht="15" x14ac:dyDescent="0.25">
      <c r="A3237" s="40">
        <v>52151502</v>
      </c>
      <c r="B3237" s="41" t="str">
        <f ca="1">IFERROR(INDEX(UNSPSCDes,MATCH(INDIRECT(ADDRESS(ROW(),COLUMN()-1,4)),UNSPSCCode,0)),"")</f>
        <v>Platos desechables para uso doméstico</v>
      </c>
      <c r="C3237" s="40" t="s">
        <v>66</v>
      </c>
      <c r="D3237" s="40">
        <v>1</v>
      </c>
      <c r="E3237" s="43">
        <v>3000</v>
      </c>
      <c r="F3237" s="44">
        <f ca="1">INDIRECT(ADDRESS(ROW(),COLUMN()-2,4))*INDIRECT(ADDRESS(ROW(),COLUMN()-1,4))</f>
        <v>3000</v>
      </c>
      <c r="G3237" s="47"/>
    </row>
    <row r="3238" spans="1:7" ht="15" x14ac:dyDescent="0.25">
      <c r="A3238" s="40">
        <v>52151644</v>
      </c>
      <c r="B3238" s="41" t="str">
        <f ca="1">IFERROR(INDEX(UNSPSCDes,MATCH(INDIRECT(ADDRESS(ROW(),COLUMN()-1,4)),UNSPSCCode,0)),"")</f>
        <v>Rociadores de rocío o de gatillo para uso doméstico</v>
      </c>
      <c r="C3238" s="40" t="s">
        <v>66</v>
      </c>
      <c r="D3238" s="40">
        <v>1</v>
      </c>
      <c r="E3238" s="43">
        <v>3000</v>
      </c>
      <c r="F3238" s="44">
        <f ca="1">INDIRECT(ADDRESS(ROW(),COLUMN()-2,4))*INDIRECT(ADDRESS(ROW(),COLUMN()-1,4))</f>
        <v>3000</v>
      </c>
      <c r="G3238" s="47"/>
    </row>
    <row r="3239" spans="1:7" ht="15" x14ac:dyDescent="0.25">
      <c r="A3239" s="40">
        <v>48101907</v>
      </c>
      <c r="B3239" s="41" t="str">
        <f ca="1">IFERROR(INDEX(UNSPSCDes,MATCH(INDIRECT(ADDRESS(ROW(),COLUMN()-1,4)),UNSPSCCode,0)),"")</f>
        <v>Jarras para servicio de comidas</v>
      </c>
      <c r="C3239" s="40" t="s">
        <v>66</v>
      </c>
      <c r="D3239" s="40">
        <v>1</v>
      </c>
      <c r="E3239" s="43">
        <v>3000</v>
      </c>
      <c r="F3239" s="44">
        <f ca="1">INDIRECT(ADDRESS(ROW(),COLUMN()-2,4))*INDIRECT(ADDRESS(ROW(),COLUMN()-1,4))</f>
        <v>3000</v>
      </c>
      <c r="G3239" s="47"/>
    </row>
    <row r="3240" spans="1:7" ht="15" x14ac:dyDescent="0.25">
      <c r="A3240" s="40">
        <v>52152010</v>
      </c>
      <c r="B3240" s="41" t="str">
        <f ca="1">IFERROR(INDEX(UNSPSCDes,MATCH(INDIRECT(ADDRESS(ROW(),COLUMN()-1,4)),UNSPSCCode,0)),"")</f>
        <v>Frascos al vacío para uso doméstico</v>
      </c>
      <c r="C3240" s="40" t="s">
        <v>66</v>
      </c>
      <c r="D3240" s="40">
        <v>1</v>
      </c>
      <c r="E3240" s="43">
        <v>3000</v>
      </c>
      <c r="F3240" s="44">
        <f ca="1">INDIRECT(ADDRESS(ROW(),COLUMN()-2,4))*INDIRECT(ADDRESS(ROW(),COLUMN()-1,4))</f>
        <v>3000</v>
      </c>
      <c r="G3240" s="47"/>
    </row>
    <row r="3241" spans="1:7" ht="15" x14ac:dyDescent="0.25">
      <c r="A3241" s="40">
        <v>52152008</v>
      </c>
      <c r="B3241" s="41" t="str">
        <f ca="1">IFERROR(INDEX(UNSPSCDes,MATCH(INDIRECT(ADDRESS(ROW(),COLUMN()-1,4)),UNSPSCCode,0)),"")</f>
        <v>Teteras o cafeteras para uso doméstico</v>
      </c>
      <c r="C3241" s="40" t="s">
        <v>66</v>
      </c>
      <c r="D3241" s="40">
        <v>1</v>
      </c>
      <c r="E3241" s="43">
        <v>3000</v>
      </c>
      <c r="F3241" s="44">
        <f ca="1">INDIRECT(ADDRESS(ROW(),COLUMN()-2,4))*INDIRECT(ADDRESS(ROW(),COLUMN()-1,4))</f>
        <v>3000</v>
      </c>
      <c r="G3241" s="47"/>
    </row>
    <row r="3242" spans="1:7" ht="15" x14ac:dyDescent="0.25">
      <c r="A3242" s="47"/>
      <c r="B3242" s="47"/>
      <c r="C3242" s="47"/>
      <c r="D3242" s="47"/>
      <c r="E3242" s="45" t="s">
        <v>47</v>
      </c>
      <c r="F3242" s="46">
        <f ca="1">SUM(Table3214[MONTO TOTAL ESTIMADO])</f>
        <v>15000</v>
      </c>
      <c r="G3242" s="47"/>
    </row>
    <row r="3243" spans="1:7" ht="17.25" thickBot="1" x14ac:dyDescent="0.3"/>
    <row r="3244" spans="1:7" ht="23.25" thickBot="1" x14ac:dyDescent="0.3">
      <c r="A3244" s="30" t="s">
        <v>18</v>
      </c>
      <c r="B3244" s="30" t="s">
        <v>19</v>
      </c>
      <c r="C3244" s="30" t="s">
        <v>20</v>
      </c>
      <c r="D3244" s="30" t="s">
        <v>21</v>
      </c>
      <c r="E3244" s="30" t="s">
        <v>22</v>
      </c>
      <c r="F3244" s="30" t="s">
        <v>23</v>
      </c>
      <c r="G3244" s="47"/>
    </row>
    <row r="3245" spans="1:7" ht="15.75" thickBot="1" x14ac:dyDescent="0.3">
      <c r="A3245" s="31" t="s">
        <v>594</v>
      </c>
      <c r="B3245" s="31" t="s">
        <v>669</v>
      </c>
      <c r="C3245" s="31" t="s">
        <v>92</v>
      </c>
      <c r="D3245" s="31" t="s">
        <v>50</v>
      </c>
      <c r="E3245" s="31" t="s">
        <v>58</v>
      </c>
      <c r="F3245" s="31"/>
      <c r="G3245" s="47"/>
    </row>
    <row r="3246" spans="1:7" ht="15.75" thickBot="1" x14ac:dyDescent="0.3">
      <c r="A3246" s="32" t="s">
        <v>29</v>
      </c>
      <c r="B3246" s="33" t="s">
        <v>30</v>
      </c>
      <c r="C3246" s="48">
        <v>45017</v>
      </c>
      <c r="D3246" s="32" t="s">
        <v>31</v>
      </c>
      <c r="E3246" s="33" t="s">
        <v>32</v>
      </c>
      <c r="F3246" s="31" t="s">
        <v>33</v>
      </c>
      <c r="G3246" s="47"/>
    </row>
    <row r="3247" spans="1:7" ht="15.75" thickBot="1" x14ac:dyDescent="0.3">
      <c r="A3247" s="37"/>
      <c r="B3247" s="33" t="s">
        <v>34</v>
      </c>
      <c r="C3247" s="49">
        <f>IF(C3246="","",IF(AND(MONTH(C3246)&gt;=1,MONTH(C3246)&lt;=3),1,IF(AND(MONTH(C3246)&gt;=4,MONTH(C3246)&lt;=6),2,IF(AND(MONTH(C3246)&gt;=7,MONTH(C3246)&lt;=9),3,4))))</f>
        <v>2</v>
      </c>
      <c r="D3247" s="37"/>
      <c r="E3247" s="33" t="s">
        <v>35</v>
      </c>
      <c r="F3247" s="31" t="s">
        <v>36</v>
      </c>
      <c r="G3247" s="47"/>
    </row>
    <row r="3248" spans="1:7" ht="15.75" thickBot="1" x14ac:dyDescent="0.3">
      <c r="A3248" s="37"/>
      <c r="B3248" s="33" t="s">
        <v>37</v>
      </c>
      <c r="C3248" s="48">
        <v>45107</v>
      </c>
      <c r="D3248" s="37"/>
      <c r="E3248" s="33" t="s">
        <v>38</v>
      </c>
      <c r="F3248" s="31" t="s">
        <v>36</v>
      </c>
      <c r="G3248" s="47"/>
    </row>
    <row r="3249" spans="1:7" ht="15.75" thickBot="1" x14ac:dyDescent="0.3">
      <c r="A3249" s="37"/>
      <c r="B3249" s="33" t="s">
        <v>34</v>
      </c>
      <c r="C3249" s="49">
        <f>IF(C3248="","",IF(AND(MONTH(C3248)&gt;=1,MONTH(C3248)&lt;=3),1,IF(AND(MONTH(C3248)&gt;=4,MONTH(C3248)&lt;=6),2,IF(AND(MONTH(C3248)&gt;=7,MONTH(C3248)&lt;=9),3,4))))</f>
        <v>2</v>
      </c>
      <c r="D3249" s="37"/>
      <c r="E3249" s="33" t="s">
        <v>39</v>
      </c>
      <c r="F3249" s="31" t="s">
        <v>36</v>
      </c>
      <c r="G3249" s="47"/>
    </row>
    <row r="3250" spans="1:7" ht="15.75" thickBot="1" x14ac:dyDescent="0.3">
      <c r="A3250" s="47"/>
      <c r="B3250" s="47"/>
      <c r="C3250" s="47"/>
      <c r="D3250" s="47"/>
      <c r="E3250" s="47"/>
      <c r="F3250" s="47"/>
      <c r="G3250" s="47"/>
    </row>
    <row r="3251" spans="1:7" ht="15.75" thickBot="1" x14ac:dyDescent="0.3">
      <c r="A3251" s="39" t="s">
        <v>40</v>
      </c>
      <c r="B3251" s="39" t="s">
        <v>41</v>
      </c>
      <c r="C3251" s="39" t="s">
        <v>42</v>
      </c>
      <c r="D3251" s="39" t="s">
        <v>43</v>
      </c>
      <c r="E3251" s="39" t="s">
        <v>44</v>
      </c>
      <c r="F3251" s="39" t="s">
        <v>45</v>
      </c>
      <c r="G3251" s="47"/>
    </row>
    <row r="3252" spans="1:7" ht="15" x14ac:dyDescent="0.25">
      <c r="A3252" s="40">
        <v>55121727</v>
      </c>
      <c r="B3252" s="41" t="str">
        <f t="shared" ref="B3252:B3258" ca="1" si="32">IFERROR(INDEX(UNSPSCDes,MATCH(INDIRECT(ADDRESS(ROW(),COLUMN()-1,4)),UNSPSCCode,0)),"")</f>
        <v>Letreros</v>
      </c>
      <c r="C3252" s="40" t="s">
        <v>66</v>
      </c>
      <c r="D3252" s="40">
        <v>1</v>
      </c>
      <c r="E3252" s="43">
        <v>50000</v>
      </c>
      <c r="F3252" s="44">
        <f t="shared" ref="F3252:F3258" ca="1" si="33">INDIRECT(ADDRESS(ROW(),COLUMN()-2,4))*INDIRECT(ADDRESS(ROW(),COLUMN()-1,4))</f>
        <v>50000</v>
      </c>
      <c r="G3252" s="47"/>
    </row>
    <row r="3253" spans="1:7" ht="15" x14ac:dyDescent="0.25">
      <c r="A3253" s="40">
        <v>56101528</v>
      </c>
      <c r="B3253" s="41" t="str">
        <f t="shared" ca="1" si="32"/>
        <v>Plantas artificiales</v>
      </c>
      <c r="C3253" s="40" t="s">
        <v>66</v>
      </c>
      <c r="D3253" s="40">
        <v>1</v>
      </c>
      <c r="E3253" s="43">
        <v>50000</v>
      </c>
      <c r="F3253" s="44">
        <f t="shared" ca="1" si="33"/>
        <v>50000</v>
      </c>
      <c r="G3253" s="47"/>
    </row>
    <row r="3254" spans="1:7" ht="15" x14ac:dyDescent="0.25">
      <c r="A3254" s="40">
        <v>24112404</v>
      </c>
      <c r="B3254" s="41" t="str">
        <f t="shared" ca="1" si="32"/>
        <v>Caja</v>
      </c>
      <c r="C3254" s="40" t="s">
        <v>66</v>
      </c>
      <c r="D3254" s="40">
        <v>1</v>
      </c>
      <c r="E3254" s="43">
        <v>50000</v>
      </c>
      <c r="F3254" s="44">
        <f t="shared" ca="1" si="33"/>
        <v>50000</v>
      </c>
      <c r="G3254" s="47"/>
    </row>
    <row r="3255" spans="1:7" ht="15" x14ac:dyDescent="0.25">
      <c r="A3255" s="40">
        <v>49101609</v>
      </c>
      <c r="B3255" s="41" t="str">
        <f t="shared" ca="1" si="32"/>
        <v>Ornamentos o decoraciones</v>
      </c>
      <c r="C3255" s="40" t="s">
        <v>66</v>
      </c>
      <c r="D3255" s="40">
        <v>1</v>
      </c>
      <c r="E3255" s="43">
        <v>50000</v>
      </c>
      <c r="F3255" s="44">
        <f t="shared" ca="1" si="33"/>
        <v>50000</v>
      </c>
      <c r="G3255" s="47"/>
    </row>
    <row r="3256" spans="1:7" ht="15" x14ac:dyDescent="0.25">
      <c r="A3256" s="40">
        <v>52151604</v>
      </c>
      <c r="B3256" s="41" t="str">
        <f t="shared" ca="1" si="32"/>
        <v>Coladores o coladeras para uso doméstico</v>
      </c>
      <c r="C3256" s="40" t="s">
        <v>66</v>
      </c>
      <c r="D3256" s="40">
        <v>1</v>
      </c>
      <c r="E3256" s="43">
        <v>50000</v>
      </c>
      <c r="F3256" s="44">
        <f t="shared" ca="1" si="33"/>
        <v>50000</v>
      </c>
      <c r="G3256" s="47"/>
    </row>
    <row r="3257" spans="1:7" ht="15" x14ac:dyDescent="0.25">
      <c r="A3257" s="40">
        <v>24121503</v>
      </c>
      <c r="B3257" s="41" t="str">
        <f t="shared" ca="1" si="32"/>
        <v>Cajas para empacar</v>
      </c>
      <c r="C3257" s="40" t="s">
        <v>66</v>
      </c>
      <c r="D3257" s="40">
        <v>1</v>
      </c>
      <c r="E3257" s="43">
        <v>50000</v>
      </c>
      <c r="F3257" s="44">
        <f t="shared" ca="1" si="33"/>
        <v>50000</v>
      </c>
      <c r="G3257" s="47"/>
    </row>
    <row r="3258" spans="1:7" ht="15" x14ac:dyDescent="0.25">
      <c r="A3258" s="40">
        <v>21102302</v>
      </c>
      <c r="B3258" s="41" t="str">
        <f t="shared" ca="1" si="32"/>
        <v>Materas para invernadero</v>
      </c>
      <c r="C3258" s="40" t="s">
        <v>66</v>
      </c>
      <c r="D3258" s="40">
        <v>1</v>
      </c>
      <c r="E3258" s="43">
        <v>30000</v>
      </c>
      <c r="F3258" s="44">
        <f t="shared" ca="1" si="33"/>
        <v>30000</v>
      </c>
      <c r="G3258" s="47"/>
    </row>
    <row r="3259" spans="1:7" ht="15" x14ac:dyDescent="0.25">
      <c r="A3259" s="47"/>
      <c r="B3259" s="47"/>
      <c r="C3259" s="47"/>
      <c r="D3259" s="47"/>
      <c r="E3259" s="45" t="s">
        <v>47</v>
      </c>
      <c r="F3259" s="46">
        <f ca="1">SUM(Table3215[MONTO TOTAL ESTIMADO])</f>
        <v>330000</v>
      </c>
      <c r="G3259" s="47"/>
    </row>
    <row r="3260" spans="1:7" ht="17.25" thickBot="1" x14ac:dyDescent="0.3"/>
    <row r="3261" spans="1:7" ht="23.25" thickBot="1" x14ac:dyDescent="0.3">
      <c r="A3261" s="30" t="s">
        <v>18</v>
      </c>
      <c r="B3261" s="30" t="s">
        <v>19</v>
      </c>
      <c r="C3261" s="30" t="s">
        <v>20</v>
      </c>
      <c r="D3261" s="30" t="s">
        <v>21</v>
      </c>
      <c r="E3261" s="30" t="s">
        <v>22</v>
      </c>
      <c r="F3261" s="30" t="s">
        <v>23</v>
      </c>
      <c r="G3261" s="47"/>
    </row>
    <row r="3262" spans="1:7" ht="15.75" thickBot="1" x14ac:dyDescent="0.3">
      <c r="A3262" s="31" t="s">
        <v>594</v>
      </c>
      <c r="B3262" s="31" t="s">
        <v>669</v>
      </c>
      <c r="C3262" s="31" t="s">
        <v>92</v>
      </c>
      <c r="D3262" s="31" t="s">
        <v>50</v>
      </c>
      <c r="E3262" s="31" t="s">
        <v>58</v>
      </c>
      <c r="F3262" s="31"/>
      <c r="G3262" s="47"/>
    </row>
    <row r="3263" spans="1:7" ht="15.75" thickBot="1" x14ac:dyDescent="0.3">
      <c r="A3263" s="32" t="s">
        <v>29</v>
      </c>
      <c r="B3263" s="33" t="s">
        <v>30</v>
      </c>
      <c r="C3263" s="48">
        <v>45108</v>
      </c>
      <c r="D3263" s="32" t="s">
        <v>31</v>
      </c>
      <c r="E3263" s="33" t="s">
        <v>32</v>
      </c>
      <c r="F3263" s="31" t="s">
        <v>33</v>
      </c>
      <c r="G3263" s="47"/>
    </row>
    <row r="3264" spans="1:7" ht="15.75" thickBot="1" x14ac:dyDescent="0.3">
      <c r="A3264" s="37"/>
      <c r="B3264" s="33" t="s">
        <v>34</v>
      </c>
      <c r="C3264" s="49">
        <f>IF(C3263="","",IF(AND(MONTH(C3263)&gt;=1,MONTH(C3263)&lt;=3),1,IF(AND(MONTH(C3263)&gt;=4,MONTH(C3263)&lt;=6),2,IF(AND(MONTH(C3263)&gt;=7,MONTH(C3263)&lt;=9),3,4))))</f>
        <v>3</v>
      </c>
      <c r="D3264" s="37"/>
      <c r="E3264" s="33" t="s">
        <v>35</v>
      </c>
      <c r="F3264" s="31" t="s">
        <v>36</v>
      </c>
      <c r="G3264" s="47"/>
    </row>
    <row r="3265" spans="1:7" ht="15.75" thickBot="1" x14ac:dyDescent="0.3">
      <c r="A3265" s="37"/>
      <c r="B3265" s="33" t="s">
        <v>37</v>
      </c>
      <c r="C3265" s="48">
        <v>45199</v>
      </c>
      <c r="D3265" s="37"/>
      <c r="E3265" s="33" t="s">
        <v>38</v>
      </c>
      <c r="F3265" s="31" t="s">
        <v>36</v>
      </c>
      <c r="G3265" s="47"/>
    </row>
    <row r="3266" spans="1:7" ht="15.75" thickBot="1" x14ac:dyDescent="0.3">
      <c r="A3266" s="37"/>
      <c r="B3266" s="33" t="s">
        <v>34</v>
      </c>
      <c r="C3266" s="49">
        <f>IF(C3265="","",IF(AND(MONTH(C3265)&gt;=1,MONTH(C3265)&lt;=3),1,IF(AND(MONTH(C3265)&gt;=4,MONTH(C3265)&lt;=6),2,IF(AND(MONTH(C3265)&gt;=7,MONTH(C3265)&lt;=9),3,4))))</f>
        <v>3</v>
      </c>
      <c r="D3266" s="37"/>
      <c r="E3266" s="33" t="s">
        <v>39</v>
      </c>
      <c r="F3266" s="31" t="s">
        <v>36</v>
      </c>
      <c r="G3266" s="47"/>
    </row>
    <row r="3267" spans="1:7" ht="15.75" thickBot="1" x14ac:dyDescent="0.3">
      <c r="A3267" s="47"/>
      <c r="B3267" s="47"/>
      <c r="C3267" s="47"/>
      <c r="D3267" s="47"/>
      <c r="E3267" s="47"/>
      <c r="F3267" s="47"/>
      <c r="G3267" s="47"/>
    </row>
    <row r="3268" spans="1:7" ht="15.75" thickBot="1" x14ac:dyDescent="0.3">
      <c r="A3268" s="39" t="s">
        <v>40</v>
      </c>
      <c r="B3268" s="39" t="s">
        <v>41</v>
      </c>
      <c r="C3268" s="39" t="s">
        <v>42</v>
      </c>
      <c r="D3268" s="39" t="s">
        <v>43</v>
      </c>
      <c r="E3268" s="39" t="s">
        <v>44</v>
      </c>
      <c r="F3268" s="39" t="s">
        <v>45</v>
      </c>
      <c r="G3268" s="47"/>
    </row>
    <row r="3269" spans="1:7" ht="15" x14ac:dyDescent="0.25">
      <c r="A3269" s="40">
        <v>55121727</v>
      </c>
      <c r="B3269" s="41" t="str">
        <f t="shared" ref="B3269:B3275" ca="1" si="34">IFERROR(INDEX(UNSPSCDes,MATCH(INDIRECT(ADDRESS(ROW(),COLUMN()-1,4)),UNSPSCCode,0)),"")</f>
        <v>Letreros</v>
      </c>
      <c r="C3269" s="40" t="s">
        <v>66</v>
      </c>
      <c r="D3269" s="40">
        <v>1</v>
      </c>
      <c r="E3269" s="43">
        <v>50000</v>
      </c>
      <c r="F3269" s="44">
        <f t="shared" ref="F3269:F3275" ca="1" si="35">INDIRECT(ADDRESS(ROW(),COLUMN()-2,4))*INDIRECT(ADDRESS(ROW(),COLUMN()-1,4))</f>
        <v>50000</v>
      </c>
      <c r="G3269" s="47"/>
    </row>
    <row r="3270" spans="1:7" ht="15" x14ac:dyDescent="0.25">
      <c r="A3270" s="40">
        <v>56101528</v>
      </c>
      <c r="B3270" s="41" t="str">
        <f t="shared" ca="1" si="34"/>
        <v>Plantas artificiales</v>
      </c>
      <c r="C3270" s="40" t="s">
        <v>66</v>
      </c>
      <c r="D3270" s="40">
        <v>1</v>
      </c>
      <c r="E3270" s="43">
        <v>50000</v>
      </c>
      <c r="F3270" s="44">
        <f t="shared" ca="1" si="35"/>
        <v>50000</v>
      </c>
      <c r="G3270" s="47"/>
    </row>
    <row r="3271" spans="1:7" ht="15" x14ac:dyDescent="0.25">
      <c r="A3271" s="40">
        <v>24112404</v>
      </c>
      <c r="B3271" s="41" t="str">
        <f t="shared" ca="1" si="34"/>
        <v>Caja</v>
      </c>
      <c r="C3271" s="40" t="s">
        <v>66</v>
      </c>
      <c r="D3271" s="40">
        <v>1</v>
      </c>
      <c r="E3271" s="43">
        <v>50000</v>
      </c>
      <c r="F3271" s="44">
        <f t="shared" ca="1" si="35"/>
        <v>50000</v>
      </c>
      <c r="G3271" s="47"/>
    </row>
    <row r="3272" spans="1:7" ht="15" x14ac:dyDescent="0.25">
      <c r="A3272" s="40">
        <v>49101609</v>
      </c>
      <c r="B3272" s="41" t="str">
        <f t="shared" ca="1" si="34"/>
        <v>Ornamentos o decoraciones</v>
      </c>
      <c r="C3272" s="40" t="s">
        <v>66</v>
      </c>
      <c r="D3272" s="40">
        <v>1</v>
      </c>
      <c r="E3272" s="43">
        <v>50000</v>
      </c>
      <c r="F3272" s="44">
        <f t="shared" ca="1" si="35"/>
        <v>50000</v>
      </c>
      <c r="G3272" s="47"/>
    </row>
    <row r="3273" spans="1:7" ht="15" x14ac:dyDescent="0.25">
      <c r="A3273" s="40">
        <v>52151604</v>
      </c>
      <c r="B3273" s="41" t="str">
        <f t="shared" ca="1" si="34"/>
        <v>Coladores o coladeras para uso doméstico</v>
      </c>
      <c r="C3273" s="40" t="s">
        <v>66</v>
      </c>
      <c r="D3273" s="40">
        <v>1</v>
      </c>
      <c r="E3273" s="43">
        <v>18000</v>
      </c>
      <c r="F3273" s="44">
        <f t="shared" ca="1" si="35"/>
        <v>18000</v>
      </c>
      <c r="G3273" s="47"/>
    </row>
    <row r="3274" spans="1:7" ht="15" x14ac:dyDescent="0.25">
      <c r="A3274" s="40">
        <v>24121503</v>
      </c>
      <c r="B3274" s="41" t="str">
        <f t="shared" ca="1" si="34"/>
        <v>Cajas para empacar</v>
      </c>
      <c r="C3274" s="40" t="s">
        <v>66</v>
      </c>
      <c r="D3274" s="40">
        <v>1</v>
      </c>
      <c r="E3274" s="43">
        <v>10000</v>
      </c>
      <c r="F3274" s="44">
        <f t="shared" ca="1" si="35"/>
        <v>10000</v>
      </c>
      <c r="G3274" s="47"/>
    </row>
    <row r="3275" spans="1:7" ht="15" x14ac:dyDescent="0.25">
      <c r="A3275" s="40">
        <v>21102302</v>
      </c>
      <c r="B3275" s="41" t="str">
        <f t="shared" ca="1" si="34"/>
        <v>Materas para invernadero</v>
      </c>
      <c r="C3275" s="40" t="s">
        <v>66</v>
      </c>
      <c r="D3275" s="40">
        <v>1</v>
      </c>
      <c r="E3275" s="43">
        <v>10000</v>
      </c>
      <c r="F3275" s="44">
        <f t="shared" ca="1" si="35"/>
        <v>10000</v>
      </c>
      <c r="G3275" s="47"/>
    </row>
    <row r="3276" spans="1:7" ht="15" x14ac:dyDescent="0.25">
      <c r="A3276" s="47"/>
      <c r="B3276" s="47"/>
      <c r="C3276" s="47"/>
      <c r="D3276" s="47"/>
      <c r="E3276" s="45" t="s">
        <v>47</v>
      </c>
      <c r="F3276" s="46">
        <f ca="1">SUM(Table3221[MONTO TOTAL ESTIMADO])</f>
        <v>238000</v>
      </c>
      <c r="G3276" s="47"/>
    </row>
    <row r="3277" spans="1:7" ht="17.25" thickBot="1" x14ac:dyDescent="0.3"/>
    <row r="3278" spans="1:7" ht="23.25" thickBot="1" x14ac:dyDescent="0.3">
      <c r="A3278" s="30" t="s">
        <v>18</v>
      </c>
      <c r="B3278" s="30" t="s">
        <v>19</v>
      </c>
      <c r="C3278" s="30" t="s">
        <v>20</v>
      </c>
      <c r="D3278" s="30" t="s">
        <v>21</v>
      </c>
      <c r="E3278" s="30" t="s">
        <v>22</v>
      </c>
      <c r="F3278" s="30" t="s">
        <v>23</v>
      </c>
      <c r="G3278" s="47"/>
    </row>
    <row r="3279" spans="1:7" ht="15.75" thickBot="1" x14ac:dyDescent="0.3">
      <c r="A3279" s="31" t="s">
        <v>421</v>
      </c>
      <c r="B3279" s="31" t="s">
        <v>669</v>
      </c>
      <c r="C3279" s="31" t="s">
        <v>92</v>
      </c>
      <c r="D3279" s="31" t="s">
        <v>50</v>
      </c>
      <c r="E3279" s="31" t="s">
        <v>58</v>
      </c>
      <c r="F3279" s="31"/>
      <c r="G3279" s="47"/>
    </row>
    <row r="3280" spans="1:7" ht="15.75" thickBot="1" x14ac:dyDescent="0.3">
      <c r="A3280" s="32" t="s">
        <v>29</v>
      </c>
      <c r="B3280" s="33" t="s">
        <v>30</v>
      </c>
      <c r="C3280" s="48">
        <v>45200</v>
      </c>
      <c r="D3280" s="32" t="s">
        <v>31</v>
      </c>
      <c r="E3280" s="33" t="s">
        <v>32</v>
      </c>
      <c r="F3280" s="31" t="s">
        <v>33</v>
      </c>
      <c r="G3280" s="47"/>
    </row>
    <row r="3281" spans="1:7" ht="15.75" thickBot="1" x14ac:dyDescent="0.3">
      <c r="A3281" s="37"/>
      <c r="B3281" s="33" t="s">
        <v>34</v>
      </c>
      <c r="C3281" s="49">
        <f>IF(C3280="","",IF(AND(MONTH(C3280)&gt;=1,MONTH(C3280)&lt;=3),1,IF(AND(MONTH(C3280)&gt;=4,MONTH(C3280)&lt;=6),2,IF(AND(MONTH(C3280)&gt;=7,MONTH(C3280)&lt;=9),3,4))))</f>
        <v>4</v>
      </c>
      <c r="D3281" s="37"/>
      <c r="E3281" s="33" t="s">
        <v>35</v>
      </c>
      <c r="F3281" s="31" t="s">
        <v>36</v>
      </c>
      <c r="G3281" s="47"/>
    </row>
    <row r="3282" spans="1:7" ht="15.75" thickBot="1" x14ac:dyDescent="0.3">
      <c r="A3282" s="37"/>
      <c r="B3282" s="33" t="s">
        <v>37</v>
      </c>
      <c r="C3282" s="48">
        <v>45291</v>
      </c>
      <c r="D3282" s="37"/>
      <c r="E3282" s="33" t="s">
        <v>38</v>
      </c>
      <c r="F3282" s="31" t="s">
        <v>36</v>
      </c>
      <c r="G3282" s="47"/>
    </row>
    <row r="3283" spans="1:7" ht="15.75" thickBot="1" x14ac:dyDescent="0.3">
      <c r="A3283" s="37"/>
      <c r="B3283" s="33" t="s">
        <v>34</v>
      </c>
      <c r="C3283" s="49">
        <f>IF(C3282="","",IF(AND(MONTH(C3282)&gt;=1,MONTH(C3282)&lt;=3),1,IF(AND(MONTH(C3282)&gt;=4,MONTH(C3282)&lt;=6),2,IF(AND(MONTH(C3282)&gt;=7,MONTH(C3282)&lt;=9),3,4))))</f>
        <v>4</v>
      </c>
      <c r="D3283" s="37"/>
      <c r="E3283" s="33" t="s">
        <v>39</v>
      </c>
      <c r="F3283" s="31" t="s">
        <v>36</v>
      </c>
      <c r="G3283" s="47"/>
    </row>
    <row r="3284" spans="1:7" ht="15.75" thickBot="1" x14ac:dyDescent="0.3">
      <c r="A3284" s="47"/>
      <c r="B3284" s="47"/>
      <c r="C3284" s="47"/>
      <c r="D3284" s="47"/>
      <c r="E3284" s="47"/>
      <c r="F3284" s="47"/>
      <c r="G3284" s="47"/>
    </row>
    <row r="3285" spans="1:7" ht="15.75" thickBot="1" x14ac:dyDescent="0.3">
      <c r="A3285" s="39" t="s">
        <v>40</v>
      </c>
      <c r="B3285" s="39" t="s">
        <v>41</v>
      </c>
      <c r="C3285" s="39" t="s">
        <v>42</v>
      </c>
      <c r="D3285" s="39" t="s">
        <v>43</v>
      </c>
      <c r="E3285" s="39" t="s">
        <v>44</v>
      </c>
      <c r="F3285" s="39" t="s">
        <v>45</v>
      </c>
      <c r="G3285" s="47"/>
    </row>
    <row r="3286" spans="1:7" ht="15" x14ac:dyDescent="0.25">
      <c r="A3286" s="40">
        <v>56101703</v>
      </c>
      <c r="B3286" s="41" t="str">
        <f ca="1">IFERROR(INDEX(UNSPSCDes,MATCH(INDIRECT(ADDRESS(ROW(),COLUMN()-1,4)),UNSPSCCode,0)),"")</f>
        <v>Escritorios</v>
      </c>
      <c r="C3286" s="40" t="s">
        <v>66</v>
      </c>
      <c r="D3286" s="40">
        <v>1</v>
      </c>
      <c r="E3286" s="43">
        <v>400000</v>
      </c>
      <c r="F3286" s="44">
        <f ca="1">INDIRECT(ADDRESS(ROW(),COLUMN()-2,4))*INDIRECT(ADDRESS(ROW(),COLUMN()-1,4))</f>
        <v>400000</v>
      </c>
      <c r="G3286" s="47"/>
    </row>
    <row r="3287" spans="1:7" ht="15" x14ac:dyDescent="0.25">
      <c r="A3287" s="47"/>
      <c r="B3287" s="47"/>
      <c r="C3287" s="47"/>
      <c r="D3287" s="47"/>
      <c r="E3287" s="45" t="s">
        <v>47</v>
      </c>
      <c r="F3287" s="46">
        <f ca="1">SUM(Table3229[MONTO TOTAL ESTIMADO])</f>
        <v>400000</v>
      </c>
      <c r="G3287" s="47"/>
    </row>
    <row r="3288" spans="1:7" ht="17.25" thickBot="1" x14ac:dyDescent="0.3"/>
    <row r="3289" spans="1:7" ht="23.25" thickBot="1" x14ac:dyDescent="0.3">
      <c r="A3289" s="30" t="s">
        <v>18</v>
      </c>
      <c r="B3289" s="30" t="s">
        <v>19</v>
      </c>
      <c r="C3289" s="30" t="s">
        <v>20</v>
      </c>
      <c r="D3289" s="30" t="s">
        <v>21</v>
      </c>
      <c r="E3289" s="30" t="s">
        <v>22</v>
      </c>
      <c r="F3289" s="30" t="s">
        <v>23</v>
      </c>
      <c r="G3289" s="47"/>
    </row>
    <row r="3290" spans="1:7" ht="15.75" thickBot="1" x14ac:dyDescent="0.3">
      <c r="A3290" s="31" t="s">
        <v>672</v>
      </c>
      <c r="B3290" s="31" t="s">
        <v>669</v>
      </c>
      <c r="C3290" s="31" t="s">
        <v>92</v>
      </c>
      <c r="D3290" s="31" t="s">
        <v>27</v>
      </c>
      <c r="E3290" s="31" t="s">
        <v>58</v>
      </c>
      <c r="F3290" s="31"/>
      <c r="G3290" s="47"/>
    </row>
    <row r="3291" spans="1:7" ht="15.75" thickBot="1" x14ac:dyDescent="0.3">
      <c r="A3291" s="32" t="s">
        <v>29</v>
      </c>
      <c r="B3291" s="33" t="s">
        <v>30</v>
      </c>
      <c r="C3291" s="48">
        <v>44958</v>
      </c>
      <c r="D3291" s="32" t="s">
        <v>31</v>
      </c>
      <c r="E3291" s="33" t="s">
        <v>32</v>
      </c>
      <c r="F3291" s="31" t="s">
        <v>33</v>
      </c>
      <c r="G3291" s="47"/>
    </row>
    <row r="3292" spans="1:7" ht="15.75" thickBot="1" x14ac:dyDescent="0.3">
      <c r="A3292" s="37"/>
      <c r="B3292" s="33" t="s">
        <v>34</v>
      </c>
      <c r="C3292" s="49">
        <f>IF(C3291="","",IF(AND(MONTH(C3291)&gt;=1,MONTH(C3291)&lt;=3),1,IF(AND(MONTH(C3291)&gt;=4,MONTH(C3291)&lt;=6),2,IF(AND(MONTH(C3291)&gt;=7,MONTH(C3291)&lt;=9),3,4))))</f>
        <v>1</v>
      </c>
      <c r="D3292" s="37"/>
      <c r="E3292" s="33" t="s">
        <v>35</v>
      </c>
      <c r="F3292" s="31" t="s">
        <v>36</v>
      </c>
      <c r="G3292" s="47"/>
    </row>
    <row r="3293" spans="1:7" ht="15.75" thickBot="1" x14ac:dyDescent="0.3">
      <c r="A3293" s="37"/>
      <c r="B3293" s="33" t="s">
        <v>37</v>
      </c>
      <c r="C3293" s="48">
        <v>45015</v>
      </c>
      <c r="D3293" s="37"/>
      <c r="E3293" s="33" t="s">
        <v>38</v>
      </c>
      <c r="F3293" s="31" t="s">
        <v>36</v>
      </c>
      <c r="G3293" s="47"/>
    </row>
    <row r="3294" spans="1:7" ht="15.75" thickBot="1" x14ac:dyDescent="0.3">
      <c r="A3294" s="37"/>
      <c r="B3294" s="33" t="s">
        <v>34</v>
      </c>
      <c r="C3294" s="49">
        <f>IF(C3293="","",IF(AND(MONTH(C3293)&gt;=1,MONTH(C3293)&lt;=3),1,IF(AND(MONTH(C3293)&gt;=4,MONTH(C3293)&lt;=6),2,IF(AND(MONTH(C3293)&gt;=7,MONTH(C3293)&lt;=9),3,4))))</f>
        <v>1</v>
      </c>
      <c r="D3294" s="37"/>
      <c r="E3294" s="33" t="s">
        <v>39</v>
      </c>
      <c r="F3294" s="31" t="s">
        <v>36</v>
      </c>
      <c r="G3294" s="47"/>
    </row>
    <row r="3295" spans="1:7" ht="15.75" thickBot="1" x14ac:dyDescent="0.3">
      <c r="A3295" s="47"/>
      <c r="B3295" s="47"/>
      <c r="C3295" s="47"/>
      <c r="D3295" s="47"/>
      <c r="E3295" s="47"/>
      <c r="F3295" s="47"/>
      <c r="G3295" s="47"/>
    </row>
    <row r="3296" spans="1:7" ht="15.75" thickBot="1" x14ac:dyDescent="0.3">
      <c r="A3296" s="39" t="s">
        <v>40</v>
      </c>
      <c r="B3296" s="39" t="s">
        <v>41</v>
      </c>
      <c r="C3296" s="39" t="s">
        <v>42</v>
      </c>
      <c r="D3296" s="39" t="s">
        <v>43</v>
      </c>
      <c r="E3296" s="39" t="s">
        <v>44</v>
      </c>
      <c r="F3296" s="39" t="s">
        <v>45</v>
      </c>
      <c r="G3296" s="47"/>
    </row>
    <row r="3297" spans="1:7" ht="15" x14ac:dyDescent="0.25">
      <c r="A3297" s="40">
        <v>48102005</v>
      </c>
      <c r="B3297" s="41" t="str">
        <f ca="1">IFERROR(INDEX(UNSPSCDes,MATCH(INDIRECT(ADDRESS(ROW(),COLUMN()-1,4)),UNSPSCCode,0)),"")</f>
        <v>Taburetes de bar</v>
      </c>
      <c r="C3297" s="40" t="s">
        <v>66</v>
      </c>
      <c r="D3297" s="40">
        <v>1</v>
      </c>
      <c r="E3297" s="43">
        <v>30000</v>
      </c>
      <c r="F3297" s="44">
        <f ca="1">INDIRECT(ADDRESS(ROW(),COLUMN()-2,4))*INDIRECT(ADDRESS(ROW(),COLUMN()-1,4))</f>
        <v>30000</v>
      </c>
      <c r="G3297" s="47"/>
    </row>
    <row r="3298" spans="1:7" ht="15" x14ac:dyDescent="0.25">
      <c r="A3298" s="47"/>
      <c r="B3298" s="47"/>
      <c r="C3298" s="47"/>
      <c r="D3298" s="47"/>
      <c r="E3298" s="45" t="s">
        <v>47</v>
      </c>
      <c r="F3298" s="46">
        <f ca="1">SUM(Table3230[MONTO TOTAL ESTIMADO])</f>
        <v>30000</v>
      </c>
      <c r="G3298" s="47"/>
    </row>
    <row r="3299" spans="1:7" ht="17.25" thickBot="1" x14ac:dyDescent="0.3"/>
    <row r="3300" spans="1:7" ht="23.25" thickBot="1" x14ac:dyDescent="0.3">
      <c r="A3300" s="30" t="s">
        <v>18</v>
      </c>
      <c r="B3300" s="30" t="s">
        <v>19</v>
      </c>
      <c r="C3300" s="30" t="s">
        <v>20</v>
      </c>
      <c r="D3300" s="30" t="s">
        <v>21</v>
      </c>
      <c r="E3300" s="30" t="s">
        <v>22</v>
      </c>
      <c r="F3300" s="30" t="s">
        <v>23</v>
      </c>
      <c r="G3300" s="47"/>
    </row>
    <row r="3301" spans="1:7" ht="15.75" thickBot="1" x14ac:dyDescent="0.3">
      <c r="A3301" s="31" t="s">
        <v>673</v>
      </c>
      <c r="B3301" s="31" t="s">
        <v>669</v>
      </c>
      <c r="C3301" s="31" t="s">
        <v>92</v>
      </c>
      <c r="D3301" s="31" t="s">
        <v>50</v>
      </c>
      <c r="E3301" s="31" t="s">
        <v>58</v>
      </c>
      <c r="F3301" s="31"/>
      <c r="G3301" s="47"/>
    </row>
    <row r="3302" spans="1:7" ht="15.75" thickBot="1" x14ac:dyDescent="0.3">
      <c r="A3302" s="32" t="s">
        <v>29</v>
      </c>
      <c r="B3302" s="33" t="s">
        <v>30</v>
      </c>
      <c r="C3302" s="48">
        <v>45017</v>
      </c>
      <c r="D3302" s="32" t="s">
        <v>31</v>
      </c>
      <c r="E3302" s="33" t="s">
        <v>32</v>
      </c>
      <c r="F3302" s="31" t="s">
        <v>33</v>
      </c>
      <c r="G3302" s="47"/>
    </row>
    <row r="3303" spans="1:7" ht="15.75" thickBot="1" x14ac:dyDescent="0.3">
      <c r="A3303" s="37"/>
      <c r="B3303" s="33" t="s">
        <v>34</v>
      </c>
      <c r="C3303" s="49">
        <f>IF(C3302="","",IF(AND(MONTH(C3302)&gt;=1,MONTH(C3302)&lt;=3),1,IF(AND(MONTH(C3302)&gt;=4,MONTH(C3302)&lt;=6),2,IF(AND(MONTH(C3302)&gt;=7,MONTH(C3302)&lt;=9),3,4))))</f>
        <v>2</v>
      </c>
      <c r="D3303" s="37"/>
      <c r="E3303" s="33" t="s">
        <v>35</v>
      </c>
      <c r="F3303" s="31" t="s">
        <v>36</v>
      </c>
      <c r="G3303" s="47"/>
    </row>
    <row r="3304" spans="1:7" ht="15.75" thickBot="1" x14ac:dyDescent="0.3">
      <c r="A3304" s="37"/>
      <c r="B3304" s="33" t="s">
        <v>37</v>
      </c>
      <c r="C3304" s="48">
        <v>45107</v>
      </c>
      <c r="D3304" s="37"/>
      <c r="E3304" s="33" t="s">
        <v>38</v>
      </c>
      <c r="F3304" s="31" t="s">
        <v>36</v>
      </c>
      <c r="G3304" s="47"/>
    </row>
    <row r="3305" spans="1:7" ht="15.75" thickBot="1" x14ac:dyDescent="0.3">
      <c r="A3305" s="37"/>
      <c r="B3305" s="33" t="s">
        <v>34</v>
      </c>
      <c r="C3305" s="49">
        <f>IF(C3304="","",IF(AND(MONTH(C3304)&gt;=1,MONTH(C3304)&lt;=3),1,IF(AND(MONTH(C3304)&gt;=4,MONTH(C3304)&lt;=6),2,IF(AND(MONTH(C3304)&gt;=7,MONTH(C3304)&lt;=9),3,4))))</f>
        <v>2</v>
      </c>
      <c r="D3305" s="37"/>
      <c r="E3305" s="33" t="s">
        <v>39</v>
      </c>
      <c r="F3305" s="31" t="s">
        <v>36</v>
      </c>
      <c r="G3305" s="47"/>
    </row>
    <row r="3306" spans="1:7" ht="15.75" thickBot="1" x14ac:dyDescent="0.3">
      <c r="A3306" s="47"/>
      <c r="B3306" s="47"/>
      <c r="C3306" s="47"/>
      <c r="D3306" s="47"/>
      <c r="E3306" s="47"/>
      <c r="F3306" s="47"/>
      <c r="G3306" s="47"/>
    </row>
    <row r="3307" spans="1:7" ht="15.75" thickBot="1" x14ac:dyDescent="0.3">
      <c r="A3307" s="39" t="s">
        <v>40</v>
      </c>
      <c r="B3307" s="39" t="s">
        <v>41</v>
      </c>
      <c r="C3307" s="39" t="s">
        <v>42</v>
      </c>
      <c r="D3307" s="39" t="s">
        <v>43</v>
      </c>
      <c r="E3307" s="39" t="s">
        <v>44</v>
      </c>
      <c r="F3307" s="39" t="s">
        <v>45</v>
      </c>
      <c r="G3307" s="47"/>
    </row>
    <row r="3308" spans="1:7" ht="15" x14ac:dyDescent="0.25">
      <c r="A3308" s="40">
        <v>25101503</v>
      </c>
      <c r="B3308" s="41" t="str">
        <f ca="1">IFERROR(INDEX(UNSPSCDes,MATCH(INDIRECT(ADDRESS(ROW(),COLUMN()-1,4)),UNSPSCCode,0)),"")</f>
        <v>Carros</v>
      </c>
      <c r="C3308" s="40" t="s">
        <v>66</v>
      </c>
      <c r="D3308" s="40">
        <v>1</v>
      </c>
      <c r="E3308" s="43">
        <v>200000</v>
      </c>
      <c r="F3308" s="44">
        <f ca="1">INDIRECT(ADDRESS(ROW(),COLUMN()-2,4))*INDIRECT(ADDRESS(ROW(),COLUMN()-1,4))</f>
        <v>200000</v>
      </c>
      <c r="G3308" s="47"/>
    </row>
    <row r="3309" spans="1:7" ht="15" x14ac:dyDescent="0.25">
      <c r="A3309" s="47"/>
      <c r="B3309" s="47"/>
      <c r="C3309" s="47"/>
      <c r="D3309" s="47"/>
      <c r="E3309" s="45" t="s">
        <v>47</v>
      </c>
      <c r="F3309" s="46">
        <f ca="1">SUM(Table3233[MONTO TOTAL ESTIMADO])</f>
        <v>200000</v>
      </c>
      <c r="G3309" s="47"/>
    </row>
    <row r="3310" spans="1:7" ht="17.25" thickBot="1" x14ac:dyDescent="0.3"/>
    <row r="3311" spans="1:7" ht="23.25" thickBot="1" x14ac:dyDescent="0.3">
      <c r="A3311" s="30" t="s">
        <v>18</v>
      </c>
      <c r="B3311" s="30" t="s">
        <v>19</v>
      </c>
      <c r="C3311" s="30" t="s">
        <v>20</v>
      </c>
      <c r="D3311" s="30" t="s">
        <v>21</v>
      </c>
      <c r="E3311" s="30" t="s">
        <v>22</v>
      </c>
      <c r="F3311" s="30" t="s">
        <v>23</v>
      </c>
      <c r="G3311" s="47"/>
    </row>
    <row r="3312" spans="1:7" ht="15.75" thickBot="1" x14ac:dyDescent="0.3">
      <c r="A3312" s="31" t="s">
        <v>673</v>
      </c>
      <c r="B3312" s="31" t="s">
        <v>669</v>
      </c>
      <c r="C3312" s="31" t="s">
        <v>92</v>
      </c>
      <c r="D3312" s="31" t="s">
        <v>52</v>
      </c>
      <c r="E3312" s="31" t="s">
        <v>28</v>
      </c>
      <c r="F3312" s="31"/>
      <c r="G3312" s="47"/>
    </row>
    <row r="3313" spans="1:7" ht="15.75" thickBot="1" x14ac:dyDescent="0.3">
      <c r="A3313" s="32" t="s">
        <v>29</v>
      </c>
      <c r="B3313" s="33" t="s">
        <v>30</v>
      </c>
      <c r="C3313" s="48">
        <v>45108</v>
      </c>
      <c r="D3313" s="32" t="s">
        <v>31</v>
      </c>
      <c r="E3313" s="33" t="s">
        <v>32</v>
      </c>
      <c r="F3313" s="31" t="s">
        <v>33</v>
      </c>
      <c r="G3313" s="47"/>
    </row>
    <row r="3314" spans="1:7" ht="15.75" thickBot="1" x14ac:dyDescent="0.3">
      <c r="A3314" s="37"/>
      <c r="B3314" s="33" t="s">
        <v>34</v>
      </c>
      <c r="C3314" s="49">
        <f>IF(C3313="","",IF(AND(MONTH(C3313)&gt;=1,MONTH(C3313)&lt;=3),1,IF(AND(MONTH(C3313)&gt;=4,MONTH(C3313)&lt;=6),2,IF(AND(MONTH(C3313)&gt;=7,MONTH(C3313)&lt;=9),3,4))))</f>
        <v>3</v>
      </c>
      <c r="D3314" s="37"/>
      <c r="E3314" s="33" t="s">
        <v>35</v>
      </c>
      <c r="F3314" s="31" t="s">
        <v>36</v>
      </c>
      <c r="G3314" s="47"/>
    </row>
    <row r="3315" spans="1:7" ht="15.75" thickBot="1" x14ac:dyDescent="0.3">
      <c r="A3315" s="37"/>
      <c r="B3315" s="33" t="s">
        <v>37</v>
      </c>
      <c r="C3315" s="48">
        <v>45199</v>
      </c>
      <c r="D3315" s="37"/>
      <c r="E3315" s="33" t="s">
        <v>38</v>
      </c>
      <c r="F3315" s="31" t="s">
        <v>36</v>
      </c>
      <c r="G3315" s="47"/>
    </row>
    <row r="3316" spans="1:7" ht="15.75" thickBot="1" x14ac:dyDescent="0.3">
      <c r="A3316" s="37"/>
      <c r="B3316" s="33" t="s">
        <v>34</v>
      </c>
      <c r="C3316" s="49">
        <f>IF(C3315="","",IF(AND(MONTH(C3315)&gt;=1,MONTH(C3315)&lt;=3),1,IF(AND(MONTH(C3315)&gt;=4,MONTH(C3315)&lt;=6),2,IF(AND(MONTH(C3315)&gt;=7,MONTH(C3315)&lt;=9),3,4))))</f>
        <v>3</v>
      </c>
      <c r="D3316" s="37"/>
      <c r="E3316" s="33" t="s">
        <v>39</v>
      </c>
      <c r="F3316" s="31" t="s">
        <v>36</v>
      </c>
      <c r="G3316" s="47"/>
    </row>
    <row r="3317" spans="1:7" ht="15.75" thickBot="1" x14ac:dyDescent="0.3">
      <c r="A3317" s="47"/>
      <c r="B3317" s="47"/>
      <c r="C3317" s="47"/>
      <c r="D3317" s="47"/>
      <c r="E3317" s="47"/>
      <c r="F3317" s="47"/>
      <c r="G3317" s="47"/>
    </row>
    <row r="3318" spans="1:7" ht="15.75" thickBot="1" x14ac:dyDescent="0.3">
      <c r="A3318" s="39" t="s">
        <v>40</v>
      </c>
      <c r="B3318" s="39" t="s">
        <v>41</v>
      </c>
      <c r="C3318" s="39" t="s">
        <v>42</v>
      </c>
      <c r="D3318" s="39" t="s">
        <v>43</v>
      </c>
      <c r="E3318" s="39" t="s">
        <v>44</v>
      </c>
      <c r="F3318" s="39" t="s">
        <v>45</v>
      </c>
      <c r="G3318" s="47"/>
    </row>
    <row r="3319" spans="1:7" ht="15" x14ac:dyDescent="0.25">
      <c r="A3319" s="40">
        <v>25101503</v>
      </c>
      <c r="B3319" s="41" t="str">
        <f ca="1">IFERROR(INDEX(UNSPSCDes,MATCH(INDIRECT(ADDRESS(ROW(),COLUMN()-1,4)),UNSPSCCode,0)),"")</f>
        <v>Carros</v>
      </c>
      <c r="C3319" s="40" t="s">
        <v>66</v>
      </c>
      <c r="D3319" s="40">
        <v>1</v>
      </c>
      <c r="E3319" s="43">
        <v>4800000</v>
      </c>
      <c r="F3319" s="44">
        <f ca="1">INDIRECT(ADDRESS(ROW(),COLUMN()-2,4))*INDIRECT(ADDRESS(ROW(),COLUMN()-1,4))</f>
        <v>4800000</v>
      </c>
      <c r="G3319" s="47"/>
    </row>
    <row r="3320" spans="1:7" ht="15" x14ac:dyDescent="0.25">
      <c r="A3320" s="47"/>
      <c r="B3320" s="47"/>
      <c r="C3320" s="47"/>
      <c r="D3320" s="47"/>
      <c r="E3320" s="45" t="s">
        <v>47</v>
      </c>
      <c r="F3320" s="46">
        <f ca="1">SUM(Table3235[MONTO TOTAL ESTIMADO])</f>
        <v>4800000</v>
      </c>
      <c r="G3320" s="47"/>
    </row>
  </sheetData>
  <protectedRanges>
    <protectedRange sqref="F5:G5" name="Rango3"/>
    <protectedRange sqref="E11:E12" name="Rango2"/>
  </protectedRanges>
  <mergeCells count="522">
    <mergeCell ref="A3291:A3294"/>
    <mergeCell ref="D3291:D3294"/>
    <mergeCell ref="A3302:A3305"/>
    <mergeCell ref="D3302:D3305"/>
    <mergeCell ref="A3313:A3316"/>
    <mergeCell ref="D3313:D3316"/>
    <mergeCell ref="A3246:A3249"/>
    <mergeCell ref="D3246:D3249"/>
    <mergeCell ref="A3263:A3266"/>
    <mergeCell ref="D3263:D3266"/>
    <mergeCell ref="A3280:A3283"/>
    <mergeCell ref="D3280:D3283"/>
    <mergeCell ref="A3208:A3211"/>
    <mergeCell ref="D3208:D3211"/>
    <mergeCell ref="A3219:A3222"/>
    <mergeCell ref="D3219:D3222"/>
    <mergeCell ref="A3231:A3234"/>
    <mergeCell ref="D3231:D3234"/>
    <mergeCell ref="A3175:A3178"/>
    <mergeCell ref="D3175:D3178"/>
    <mergeCell ref="A3186:A3189"/>
    <mergeCell ref="D3186:D3189"/>
    <mergeCell ref="A3197:A3200"/>
    <mergeCell ref="D3197:D3200"/>
    <mergeCell ref="A3139:A3142"/>
    <mergeCell ref="D3139:D3142"/>
    <mergeCell ref="A3150:A3153"/>
    <mergeCell ref="D3150:D3153"/>
    <mergeCell ref="A3161:A3164"/>
    <mergeCell ref="D3161:D3164"/>
    <mergeCell ref="A3106:A3109"/>
    <mergeCell ref="D3106:D3109"/>
    <mergeCell ref="A3117:A3120"/>
    <mergeCell ref="D3117:D3120"/>
    <mergeCell ref="A3128:A3131"/>
    <mergeCell ref="D3128:D3131"/>
    <mergeCell ref="A3073:A3076"/>
    <mergeCell ref="D3073:D3076"/>
    <mergeCell ref="A3084:A3087"/>
    <mergeCell ref="D3084:D3087"/>
    <mergeCell ref="A3095:A3098"/>
    <mergeCell ref="D3095:D3098"/>
    <mergeCell ref="A3039:A3042"/>
    <mergeCell ref="D3039:D3042"/>
    <mergeCell ref="A3051:A3054"/>
    <mergeCell ref="D3051:D3054"/>
    <mergeCell ref="A3062:A3065"/>
    <mergeCell ref="D3062:D3065"/>
    <mergeCell ref="A3006:A3009"/>
    <mergeCell ref="D3006:D3009"/>
    <mergeCell ref="A3017:A3020"/>
    <mergeCell ref="D3017:D3020"/>
    <mergeCell ref="A3028:A3031"/>
    <mergeCell ref="D3028:D3031"/>
    <mergeCell ref="A2973:A2976"/>
    <mergeCell ref="D2973:D2976"/>
    <mergeCell ref="A2984:A2987"/>
    <mergeCell ref="D2984:D2987"/>
    <mergeCell ref="A2995:A2998"/>
    <mergeCell ref="D2995:D2998"/>
    <mergeCell ref="A2940:A2943"/>
    <mergeCell ref="D2940:D2943"/>
    <mergeCell ref="A2951:A2954"/>
    <mergeCell ref="D2951:D2954"/>
    <mergeCell ref="A2962:A2965"/>
    <mergeCell ref="D2962:D2965"/>
    <mergeCell ref="A2901:A2904"/>
    <mergeCell ref="D2901:D2904"/>
    <mergeCell ref="A2914:A2917"/>
    <mergeCell ref="D2914:D2917"/>
    <mergeCell ref="A2929:A2932"/>
    <mergeCell ref="D2929:D2932"/>
    <mergeCell ref="A2867:A2870"/>
    <mergeCell ref="D2867:D2870"/>
    <mergeCell ref="A2879:A2882"/>
    <mergeCell ref="D2879:D2882"/>
    <mergeCell ref="A2890:A2893"/>
    <mergeCell ref="D2890:D2893"/>
    <mergeCell ref="A2833:A2836"/>
    <mergeCell ref="D2833:D2836"/>
    <mergeCell ref="A2844:A2847"/>
    <mergeCell ref="D2844:D2847"/>
    <mergeCell ref="A2855:A2858"/>
    <mergeCell ref="D2855:D2858"/>
    <mergeCell ref="A2800:A2803"/>
    <mergeCell ref="D2800:D2803"/>
    <mergeCell ref="A2811:A2814"/>
    <mergeCell ref="D2811:D2814"/>
    <mergeCell ref="A2822:A2825"/>
    <mergeCell ref="D2822:D2825"/>
    <mergeCell ref="A2763:A2766"/>
    <mergeCell ref="D2763:D2766"/>
    <mergeCell ref="A2774:A2777"/>
    <mergeCell ref="D2774:D2777"/>
    <mergeCell ref="A2785:A2788"/>
    <mergeCell ref="D2785:D2788"/>
    <mergeCell ref="A2730:A2733"/>
    <mergeCell ref="D2730:D2733"/>
    <mergeCell ref="A2741:A2744"/>
    <mergeCell ref="D2741:D2744"/>
    <mergeCell ref="A2752:A2755"/>
    <mergeCell ref="D2752:D2755"/>
    <mergeCell ref="A2687:A2690"/>
    <mergeCell ref="D2687:D2690"/>
    <mergeCell ref="A2698:A2701"/>
    <mergeCell ref="D2698:D2701"/>
    <mergeCell ref="A2709:A2712"/>
    <mergeCell ref="D2709:D2712"/>
    <mergeCell ref="A2653:A2656"/>
    <mergeCell ref="D2653:D2656"/>
    <mergeCell ref="A2664:A2667"/>
    <mergeCell ref="D2664:D2667"/>
    <mergeCell ref="A2676:A2679"/>
    <mergeCell ref="D2676:D2679"/>
    <mergeCell ref="A2616:A2619"/>
    <mergeCell ref="D2616:D2619"/>
    <mergeCell ref="A2627:A2630"/>
    <mergeCell ref="D2627:D2630"/>
    <mergeCell ref="A2642:A2645"/>
    <mergeCell ref="D2642:D2645"/>
    <mergeCell ref="A2574:A2577"/>
    <mergeCell ref="D2574:D2577"/>
    <mergeCell ref="A2585:A2588"/>
    <mergeCell ref="D2585:D2588"/>
    <mergeCell ref="A2602:A2605"/>
    <mergeCell ref="D2602:D2605"/>
    <mergeCell ref="A2540:A2543"/>
    <mergeCell ref="D2540:D2543"/>
    <mergeCell ref="A2552:A2555"/>
    <mergeCell ref="D2552:D2555"/>
    <mergeCell ref="A2563:A2566"/>
    <mergeCell ref="D2563:D2566"/>
    <mergeCell ref="A2505:A2508"/>
    <mergeCell ref="D2505:D2508"/>
    <mergeCell ref="A2517:A2520"/>
    <mergeCell ref="D2517:D2520"/>
    <mergeCell ref="A2529:A2532"/>
    <mergeCell ref="D2529:D2532"/>
    <mergeCell ref="A2471:A2474"/>
    <mergeCell ref="D2471:D2474"/>
    <mergeCell ref="A2482:A2485"/>
    <mergeCell ref="D2482:D2485"/>
    <mergeCell ref="A2494:A2497"/>
    <mergeCell ref="D2494:D2497"/>
    <mergeCell ref="A2438:A2441"/>
    <mergeCell ref="D2438:D2441"/>
    <mergeCell ref="A2449:A2452"/>
    <mergeCell ref="D2449:D2452"/>
    <mergeCell ref="A2460:A2463"/>
    <mergeCell ref="D2460:D2463"/>
    <mergeCell ref="A2404:A2407"/>
    <mergeCell ref="D2404:D2407"/>
    <mergeCell ref="A2415:A2418"/>
    <mergeCell ref="D2415:D2418"/>
    <mergeCell ref="A2426:A2429"/>
    <mergeCell ref="D2426:D2429"/>
    <mergeCell ref="A2371:A2374"/>
    <mergeCell ref="D2371:D2374"/>
    <mergeCell ref="A2382:A2385"/>
    <mergeCell ref="D2382:D2385"/>
    <mergeCell ref="A2393:A2396"/>
    <mergeCell ref="D2393:D2396"/>
    <mergeCell ref="A2338:A2341"/>
    <mergeCell ref="D2338:D2341"/>
    <mergeCell ref="A2349:A2352"/>
    <mergeCell ref="D2349:D2352"/>
    <mergeCell ref="A2360:A2363"/>
    <mergeCell ref="D2360:D2363"/>
    <mergeCell ref="A2302:A2305"/>
    <mergeCell ref="D2302:D2305"/>
    <mergeCell ref="A2316:A2319"/>
    <mergeCell ref="D2316:D2319"/>
    <mergeCell ref="A2327:A2330"/>
    <mergeCell ref="D2327:D2330"/>
    <mergeCell ref="A2266:A2269"/>
    <mergeCell ref="D2266:D2269"/>
    <mergeCell ref="A2278:A2281"/>
    <mergeCell ref="D2278:D2281"/>
    <mergeCell ref="A2290:A2293"/>
    <mergeCell ref="D2290:D2293"/>
    <mergeCell ref="A2229:A2232"/>
    <mergeCell ref="D2229:D2232"/>
    <mergeCell ref="A2241:A2244"/>
    <mergeCell ref="D2241:D2244"/>
    <mergeCell ref="A2254:A2257"/>
    <mergeCell ref="D2254:D2257"/>
    <mergeCell ref="A2170:A2173"/>
    <mergeCell ref="D2170:D2173"/>
    <mergeCell ref="A2182:A2185"/>
    <mergeCell ref="D2182:D2185"/>
    <mergeCell ref="A2214:A2217"/>
    <mergeCell ref="D2214:D2217"/>
    <mergeCell ref="A2130:A2133"/>
    <mergeCell ref="D2130:D2133"/>
    <mergeCell ref="A2148:A2151"/>
    <mergeCell ref="D2148:D2151"/>
    <mergeCell ref="A2159:A2162"/>
    <mergeCell ref="D2159:D2162"/>
    <mergeCell ref="A2097:A2100"/>
    <mergeCell ref="D2097:D2100"/>
    <mergeCell ref="A2108:A2111"/>
    <mergeCell ref="D2108:D2111"/>
    <mergeCell ref="A2119:A2122"/>
    <mergeCell ref="D2119:D2122"/>
    <mergeCell ref="A2060:A2063"/>
    <mergeCell ref="D2060:D2063"/>
    <mergeCell ref="A2073:A2076"/>
    <mergeCell ref="D2073:D2076"/>
    <mergeCell ref="A2085:A2088"/>
    <mergeCell ref="D2085:D2088"/>
    <mergeCell ref="A2021:A2024"/>
    <mergeCell ref="D2021:D2024"/>
    <mergeCell ref="A2035:A2038"/>
    <mergeCell ref="D2035:D2038"/>
    <mergeCell ref="A2047:A2050"/>
    <mergeCell ref="D2047:D2050"/>
    <mergeCell ref="A1983:A1986"/>
    <mergeCell ref="D1983:D1986"/>
    <mergeCell ref="A1995:A1998"/>
    <mergeCell ref="D1995:D1998"/>
    <mergeCell ref="A2010:A2013"/>
    <mergeCell ref="D2010:D2013"/>
    <mergeCell ref="A1941:A1944"/>
    <mergeCell ref="D1941:D1944"/>
    <mergeCell ref="A1953:A1956"/>
    <mergeCell ref="D1953:D1956"/>
    <mergeCell ref="A1969:A1972"/>
    <mergeCell ref="D1969:D1972"/>
    <mergeCell ref="A1904:A1907"/>
    <mergeCell ref="D1904:D1907"/>
    <mergeCell ref="A1916:A1919"/>
    <mergeCell ref="D1916:D1919"/>
    <mergeCell ref="A1929:A1932"/>
    <mergeCell ref="D1929:D1932"/>
    <mergeCell ref="A1866:A1869"/>
    <mergeCell ref="D1866:D1869"/>
    <mergeCell ref="A1879:A1882"/>
    <mergeCell ref="D1879:D1882"/>
    <mergeCell ref="A1893:A1896"/>
    <mergeCell ref="D1893:D1896"/>
    <mergeCell ref="A1797:A1800"/>
    <mergeCell ref="D1797:D1800"/>
    <mergeCell ref="A1817:A1820"/>
    <mergeCell ref="D1817:D1820"/>
    <mergeCell ref="A1851:A1854"/>
    <mergeCell ref="D1851:D1854"/>
    <mergeCell ref="A1764:A1767"/>
    <mergeCell ref="D1764:D1767"/>
    <mergeCell ref="A1775:A1778"/>
    <mergeCell ref="D1775:D1778"/>
    <mergeCell ref="A1786:A1789"/>
    <mergeCell ref="D1786:D1789"/>
    <mergeCell ref="A1726:A1729"/>
    <mergeCell ref="D1726:D1729"/>
    <mergeCell ref="A1738:A1741"/>
    <mergeCell ref="D1738:D1741"/>
    <mergeCell ref="A1751:A1754"/>
    <mergeCell ref="D1751:D1754"/>
    <mergeCell ref="A1677:A1680"/>
    <mergeCell ref="D1677:D1680"/>
    <mergeCell ref="A1690:A1693"/>
    <mergeCell ref="D1690:D1693"/>
    <mergeCell ref="A1707:A1710"/>
    <mergeCell ref="D1707:D1710"/>
    <mergeCell ref="A1628:A1631"/>
    <mergeCell ref="D1628:D1631"/>
    <mergeCell ref="A1652:A1655"/>
    <mergeCell ref="D1652:D1655"/>
    <mergeCell ref="A1663:A1666"/>
    <mergeCell ref="D1663:D1666"/>
    <mergeCell ref="A1581:A1584"/>
    <mergeCell ref="D1581:D1584"/>
    <mergeCell ref="A1594:A1597"/>
    <mergeCell ref="D1594:D1597"/>
    <mergeCell ref="A1613:A1616"/>
    <mergeCell ref="D1613:D1616"/>
    <mergeCell ref="A1519:A1522"/>
    <mergeCell ref="D1519:D1522"/>
    <mergeCell ref="A1535:A1538"/>
    <mergeCell ref="D1535:D1538"/>
    <mergeCell ref="A1570:A1573"/>
    <mergeCell ref="D1570:D1573"/>
    <mergeCell ref="A1458:A1461"/>
    <mergeCell ref="D1458:D1461"/>
    <mergeCell ref="A1490:A1493"/>
    <mergeCell ref="D1490:D1493"/>
    <mergeCell ref="A1507:A1510"/>
    <mergeCell ref="D1507:D1510"/>
    <mergeCell ref="A1406:A1409"/>
    <mergeCell ref="D1406:D1409"/>
    <mergeCell ref="A1426:A1429"/>
    <mergeCell ref="D1426:D1429"/>
    <mergeCell ref="A1447:A1450"/>
    <mergeCell ref="D1447:D1450"/>
    <mergeCell ref="A1349:A1352"/>
    <mergeCell ref="D1349:D1352"/>
    <mergeCell ref="A1368:A1371"/>
    <mergeCell ref="D1368:D1371"/>
    <mergeCell ref="A1387:A1390"/>
    <mergeCell ref="D1387:D1390"/>
    <mergeCell ref="A1303:A1306"/>
    <mergeCell ref="D1303:D1306"/>
    <mergeCell ref="A1321:A1324"/>
    <mergeCell ref="D1321:D1324"/>
    <mergeCell ref="A1334:A1337"/>
    <mergeCell ref="D1334:D1337"/>
    <mergeCell ref="A1268:A1271"/>
    <mergeCell ref="D1268:D1271"/>
    <mergeCell ref="A1279:A1282"/>
    <mergeCell ref="D1279:D1282"/>
    <mergeCell ref="A1291:A1294"/>
    <mergeCell ref="D1291:D1294"/>
    <mergeCell ref="A1235:A1238"/>
    <mergeCell ref="D1235:D1238"/>
    <mergeCell ref="A1246:A1249"/>
    <mergeCell ref="D1246:D1249"/>
    <mergeCell ref="A1257:A1260"/>
    <mergeCell ref="D1257:D1260"/>
    <mergeCell ref="A1202:A1205"/>
    <mergeCell ref="D1202:D1205"/>
    <mergeCell ref="A1213:A1216"/>
    <mergeCell ref="D1213:D1216"/>
    <mergeCell ref="A1224:A1227"/>
    <mergeCell ref="D1224:D1227"/>
    <mergeCell ref="A1169:A1172"/>
    <mergeCell ref="D1169:D1172"/>
    <mergeCell ref="A1180:A1183"/>
    <mergeCell ref="D1180:D1183"/>
    <mergeCell ref="A1191:A1194"/>
    <mergeCell ref="D1191:D1194"/>
    <mergeCell ref="A1129:A1132"/>
    <mergeCell ref="D1129:D1132"/>
    <mergeCell ref="A1140:A1143"/>
    <mergeCell ref="D1140:D1143"/>
    <mergeCell ref="A1158:A1161"/>
    <mergeCell ref="D1158:D1161"/>
    <mergeCell ref="A1075:A1078"/>
    <mergeCell ref="D1075:D1078"/>
    <mergeCell ref="A1086:A1089"/>
    <mergeCell ref="D1086:D1089"/>
    <mergeCell ref="A1108:A1111"/>
    <mergeCell ref="D1108:D1111"/>
    <mergeCell ref="A1041:A1044"/>
    <mergeCell ref="D1041:D1044"/>
    <mergeCell ref="A1052:A1055"/>
    <mergeCell ref="D1052:D1055"/>
    <mergeCell ref="A1064:A1067"/>
    <mergeCell ref="D1064:D1067"/>
    <mergeCell ref="A1008:A1011"/>
    <mergeCell ref="D1008:D1011"/>
    <mergeCell ref="A1019:A1022"/>
    <mergeCell ref="D1019:D1022"/>
    <mergeCell ref="A1030:A1033"/>
    <mergeCell ref="D1030:D1033"/>
    <mergeCell ref="A969:A972"/>
    <mergeCell ref="D969:D972"/>
    <mergeCell ref="A983:A986"/>
    <mergeCell ref="D983:D986"/>
    <mergeCell ref="A997:A1000"/>
    <mergeCell ref="D997:D1000"/>
    <mergeCell ref="A935:A938"/>
    <mergeCell ref="D935:D938"/>
    <mergeCell ref="A946:A949"/>
    <mergeCell ref="D946:D949"/>
    <mergeCell ref="A957:A960"/>
    <mergeCell ref="D957:D960"/>
    <mergeCell ref="A898:A901"/>
    <mergeCell ref="D898:D901"/>
    <mergeCell ref="A913:A916"/>
    <mergeCell ref="D913:D916"/>
    <mergeCell ref="A924:A927"/>
    <mergeCell ref="D924:D927"/>
    <mergeCell ref="A816:A819"/>
    <mergeCell ref="D816:D819"/>
    <mergeCell ref="A876:A879"/>
    <mergeCell ref="D876:D879"/>
    <mergeCell ref="A887:A890"/>
    <mergeCell ref="D887:D890"/>
    <mergeCell ref="A783:A786"/>
    <mergeCell ref="D783:D786"/>
    <mergeCell ref="A794:A797"/>
    <mergeCell ref="D794:D797"/>
    <mergeCell ref="A805:A808"/>
    <mergeCell ref="D805:D808"/>
    <mergeCell ref="A749:A752"/>
    <mergeCell ref="D749:D752"/>
    <mergeCell ref="A761:A764"/>
    <mergeCell ref="D761:D764"/>
    <mergeCell ref="A772:A775"/>
    <mergeCell ref="D772:D775"/>
    <mergeCell ref="A716:A719"/>
    <mergeCell ref="D716:D719"/>
    <mergeCell ref="A727:A730"/>
    <mergeCell ref="D727:D730"/>
    <mergeCell ref="A738:A741"/>
    <mergeCell ref="D738:D741"/>
    <mergeCell ref="A674:A677"/>
    <mergeCell ref="D674:D677"/>
    <mergeCell ref="A688:A691"/>
    <mergeCell ref="D688:D691"/>
    <mergeCell ref="A702:A705"/>
    <mergeCell ref="D702:D705"/>
    <mergeCell ref="A636:A639"/>
    <mergeCell ref="D636:D639"/>
    <mergeCell ref="A648:A651"/>
    <mergeCell ref="D648:D651"/>
    <mergeCell ref="A660:A663"/>
    <mergeCell ref="D660:D663"/>
    <mergeCell ref="A603:A606"/>
    <mergeCell ref="D603:D606"/>
    <mergeCell ref="A614:A617"/>
    <mergeCell ref="D614:D617"/>
    <mergeCell ref="A625:A628"/>
    <mergeCell ref="D625:D628"/>
    <mergeCell ref="A566:A569"/>
    <mergeCell ref="D566:D569"/>
    <mergeCell ref="A578:A581"/>
    <mergeCell ref="D578:D581"/>
    <mergeCell ref="A591:A594"/>
    <mergeCell ref="D591:D594"/>
    <mergeCell ref="A520:A523"/>
    <mergeCell ref="D520:D523"/>
    <mergeCell ref="A534:A537"/>
    <mergeCell ref="D534:D537"/>
    <mergeCell ref="A547:A550"/>
    <mergeCell ref="D547:D550"/>
    <mergeCell ref="A484:A487"/>
    <mergeCell ref="D484:D487"/>
    <mergeCell ref="A497:A500"/>
    <mergeCell ref="D497:D500"/>
    <mergeCell ref="A509:A512"/>
    <mergeCell ref="D509:D512"/>
    <mergeCell ref="A447:A450"/>
    <mergeCell ref="D447:D450"/>
    <mergeCell ref="A459:A462"/>
    <mergeCell ref="D459:D462"/>
    <mergeCell ref="A473:A476"/>
    <mergeCell ref="D473:D476"/>
    <mergeCell ref="A412:A415"/>
    <mergeCell ref="D412:D415"/>
    <mergeCell ref="A423:A426"/>
    <mergeCell ref="D423:D426"/>
    <mergeCell ref="A434:A437"/>
    <mergeCell ref="D434:D437"/>
    <mergeCell ref="A373:A376"/>
    <mergeCell ref="D373:D376"/>
    <mergeCell ref="A384:A387"/>
    <mergeCell ref="D384:D387"/>
    <mergeCell ref="A395:A398"/>
    <mergeCell ref="D395:D398"/>
    <mergeCell ref="A338:A341"/>
    <mergeCell ref="D338:D341"/>
    <mergeCell ref="A349:A352"/>
    <mergeCell ref="D349:D352"/>
    <mergeCell ref="A361:A364"/>
    <mergeCell ref="D361:D364"/>
    <mergeCell ref="A302:A305"/>
    <mergeCell ref="D302:D305"/>
    <mergeCell ref="A314:A317"/>
    <mergeCell ref="D314:D317"/>
    <mergeCell ref="A327:A330"/>
    <mergeCell ref="D327:D330"/>
    <mergeCell ref="A267:A270"/>
    <mergeCell ref="D267:D270"/>
    <mergeCell ref="A278:A281"/>
    <mergeCell ref="D278:D281"/>
    <mergeCell ref="A290:A293"/>
    <mergeCell ref="D290:D293"/>
    <mergeCell ref="A233:A236"/>
    <mergeCell ref="D233:D236"/>
    <mergeCell ref="A244:A247"/>
    <mergeCell ref="D244:D247"/>
    <mergeCell ref="A255:A258"/>
    <mergeCell ref="D255:D258"/>
    <mergeCell ref="A199:A202"/>
    <mergeCell ref="D199:D202"/>
    <mergeCell ref="A210:A213"/>
    <mergeCell ref="D210:D213"/>
    <mergeCell ref="A222:A225"/>
    <mergeCell ref="D222:D225"/>
    <mergeCell ref="A166:A169"/>
    <mergeCell ref="D166:D169"/>
    <mergeCell ref="A177:A180"/>
    <mergeCell ref="D177:D180"/>
    <mergeCell ref="A188:A191"/>
    <mergeCell ref="D188:D191"/>
    <mergeCell ref="A132:A135"/>
    <mergeCell ref="D132:D135"/>
    <mergeCell ref="A143:A146"/>
    <mergeCell ref="D143:D146"/>
    <mergeCell ref="A155:A158"/>
    <mergeCell ref="D155:D158"/>
    <mergeCell ref="A94:A97"/>
    <mergeCell ref="D94:D97"/>
    <mergeCell ref="A110:A113"/>
    <mergeCell ref="D110:D113"/>
    <mergeCell ref="A121:A124"/>
    <mergeCell ref="D121:D124"/>
    <mergeCell ref="A61:A64"/>
    <mergeCell ref="D61:D64"/>
    <mergeCell ref="A72:A75"/>
    <mergeCell ref="D72:D75"/>
    <mergeCell ref="A83:A86"/>
    <mergeCell ref="D83:D86"/>
    <mergeCell ref="A28:A31"/>
    <mergeCell ref="D28:D31"/>
    <mergeCell ref="A39:A42"/>
    <mergeCell ref="D39:D42"/>
    <mergeCell ref="A50:A53"/>
    <mergeCell ref="D50:D53"/>
    <mergeCell ref="E9:F9"/>
    <mergeCell ref="E10:F10"/>
    <mergeCell ref="E11:F11"/>
    <mergeCell ref="E12:F12"/>
    <mergeCell ref="A17:A20"/>
    <mergeCell ref="D17:D20"/>
    <mergeCell ref="A1:A4"/>
    <mergeCell ref="B2:E2"/>
    <mergeCell ref="B3:E3"/>
    <mergeCell ref="E6:F6"/>
    <mergeCell ref="E7:F7"/>
    <mergeCell ref="E8:F8"/>
  </mergeCells>
  <dataValidations count="12">
    <dataValidation type="decimal" operator="greaterThan" allowBlank="1" showInputMessage="1" showErrorMessage="1" sqref="D1823:E1846 D3057:E3057 D3045:E3046 D3034:E3034 D3023:E3023 D3012:E3012 D3001:E3001 D2990:E2990 D2979:E2979 D2968:E2968 D2957:E2957 D2946:E2946 D2935:E2935 D2907:E2909 D2896:E2896 D2885:E2885 D2861:E2862 D2850:E2850 D2839:E2839 D2828:E2828 D2817:E2817 D2806:E2806 D2791:E2795 D2780:E2780 D2769:E2769 D2758:E2758 D2747:E2747 D2736:E2736 D284:E285 D2704:E2704 D2693:E2693 D2682:E2682 D2670:E2671 D2659:E2659 D2648:E2648 D2272:E2273 D2622:E2622 D2608:E2611 D2591:E2597 D2580:E2580 D2569:E2569 D2558:E2558 D2546:E2547 D2535:E2535 D1432:E1442 D2511:E2512 D2500:E2500 D2488:E2489 D2477:E2477 D2466:E2466 D2455:E2455 D2444:E2444 D2432:E2433 D2421:E2421 D2410:E2410 D2399:E2399 D2388:E2388 D2377:E2377 D2366:E2366 D2355:E2355 D2344:E2344 D2333:E2333 D2322:E2322 D2308:E2311 D2296:E2297 D2284:E2285 D2260:E2261 D2247:E2249 D2235:E2236 D1770:E1770 D2715:E2725 D2176:E2177 D2165:E2165 D2154:E2154 D2136:E2143 D2125:E2125 D2114:E2114 D2103:E2103 D2091:E2092 D2079:E2080 D1146:E1153 D2053:E2055 D2041:E2042 D2027:E2030 D2016:E2016 D2001:E2005 D1989:E1990 D1975:E1978 D1959:E1964 D1935:E1936 D975:E978 D1910:E1911 D1899:E1899 D1885:E1888 D1872:E1874 D2220:E2224 D1947:E1948 D1803:E1812 D1792:E1792 D1781:E1781 D1757:E1759 D1744:E1746 D1732:E1733 D2188:E2209 D1696:E1702 D1683:E1685 D1669:E1672 D1658:E1658 D1634:E1647 D1619:E1623 D1600:E1608 D2066:E2068 D1576:E1576 D1541:E1565 D1525:E1530 D3252:E3258 D1496:E1502 D1464:E1485 D1453:E1453 D2873:E2874 D3090:E3090 D1393:E1401 D1374:E1382 D1340:E1344 D216:E217 D1309:E1316 D1297:E1298 D1285:E1286 D1274:E1274 D1263:E1263 D1252:E1252 D1241:E1241 D1230:E1230 D1219:E1219 D1208:E1208 D1197:E1197 D1186:E1186 D1175:E1175 D1164:E1164 D1587:E1589 D1135:E1135 D1114:E1124 D1092:E1103 D1081:E1081 D1070:E1070 D1058:E1059 D1047:E1047 D1036:E1036 D1025:E1025 D1014:E1014 D1003:E1003 D989:E992 D1922:E1924 D963:E964 D952:E952 D941:E941 D930:E930 D919:E919 D904:E908 D893:E893 D882:E882 D822:E871 D811:E811 D800:E800 D789:E789 D778:E778 D767:E767 D755:E756 D744:E744 D733:E733 D722:E722 D708:E711 D694:E697 D680:E683 D642:E643 D1412:E1421 D597:E598 D584:E586 D572:E573 D553:E561 D540:E542 D526:E529 D515:E515 D503:E504 D490:E492 D479:E479 D465:E468 D453:E454 D440:E442 D429:E429 D418:E418 D401:E407 D390:E390 D379:E379 D367:E368 D3203:E3203 D344:E344 D333:E333 D320:E322 D308:E309 D149:E150 D3112:E3112 D273:E273 D1713:E1721 D250:E250 D239:E239 D228:E228 D2633:E2637 D205:E205 D194:E194 D183:E183 D172:E172 D161:E161 D296:E297 D138:E138 D127:E127 D116:E116 D100:E105 D89:E89 D78:E78 D67:E67 D56:E56 D45:E45 D34:E34 D23:E23 D3079:E3079 D620:E620 D631:E631 D609:E609 D666:E669 D2523:E2524 D1327:E1329 D654:E655 D1513:E1514 D261:E262 D1355:E1363 D3101:E3101 D3181:E3181 D3123:E3123 D3134:E3134 D3145:E3145 D3156:E3156 D3167:E3170 D3068:E3068 D3192:E3192 D355:E356 D3214:E3214 D3225:E3226 D3237:E3241 D3269:E3275 D1857:E1861 D3286:E3286 D3297:E3297 D3308:E3308 D3319:E3319 D2920:E2924" xr:uid="{72C506A6-4438-45D8-90A9-8D9CE9587F2D}">
      <formula1>0</formula1>
    </dataValidation>
    <dataValidation type="list" allowBlank="1" showInputMessage="1" showErrorMessage="1" sqref="C23 C1823:C1846 C3057 C3045:C3046 C3034 C3023 C3012 C3001 C2990 C2979 C2968 C2957 C2946 C2935 C2907:C2909 C2896 C2885 C2861:C2862 C2850 C2839 C2828 C2817 C2806 C2791:C2795 C2780 C2769 C2758 C2747 C2736 C284:C285 C2704 C2693 C2682 C2670:C2671 C2659 C2648 C2272:C2273 C2622 C2608:C2611 C2591:C2597 C2580 C2569 C2558 C2546:C2547 C2535 C1432:C1442 C2511:C2512 C2500 C2488:C2489 C2477 C2466 C2455 C2444 C2432:C2433 C2421 C2410 C2399 C2388 C2377 C2366 C2355 C2344 C2333 C2322 C2308:C2311 C2296:C2297 C2284:C2285 C2260:C2261 C2247:C2249 C2235:C2236 C1770 C2715:C2725 C2176:C2177 C2165 C2154 C2136:C2143 C2125 C2114 C2103 C2091:C2092 C2079:C2080 C1146:C1153 C2053:C2055 C2041:C2042 C2027:C2030 C2016 C2001:C2005 C1989:C1990 C1975:C1978 C1959:C1964 C1935:C1936 C975:C978 C1910:C1911 C1899 C1885:C1888 C1872:C1874 C2220:C2224 C1947:C1948 C1803:C1812 C1792 C1781 C1757:C1759 C1744:C1746 C1732:C1733 C2188:C2209 C1696:C1702 C1683:C1685 C1669:C1672 C1658 C1634:C1647 C1619:C1623 C1600:C1608 C2066:C2068 C1576 C1541:C1565 C1525:C1530 C3252:C3258 C1496:C1502 C1464:C1485 C1453 C2873:C2874 C3090 C1393:C1401 C1374:C1382 C1340:C1344 C216:C217 C1309:C1316 C1297:C1298 C1285:C1286 C1274 C1263 C1252 C1241 C1230 C1219 C1208 C1197 C1186 C1175 C1164 C1587:C1589 C1135 C1114:C1124 C1092:C1103 C1081 C1070 C1058:C1059 C1047 C1036 C1025 C1014 C1003 C989:C992 C1922:C1924 C963:C964 C952 C941 C930 C919 C904:C908 C893 C882 C822:C871 C811 C800 C789 C778 C767 C755:C756 C744 C733 C722 C708:C711 C694:C697 C680:C683 C642:C643 C1412:C1421 C597:C598 C584:C586 C572:C573 C553:C561 C540:C542 C526:C529 C515 C503:C504 C490:C492 C479 C465:C468 C453:C454 C440:C442 C429 C418 C401:C407 C390 C379 C367:C368 C3203 C344 C333 C320:C322 C308:C309 C149:C150 C3112 C273 C1713:C1721 C250 C239 C228 C2633:C2637 C205 C194 C183 C172 C161 C296:C297 C138 C127 C116 C100:C105 C89 C78 C67 C56 C45 C34 C3079 C620 C631 C609 C666:C669 C2523:C2524 C1327:C1329 C654:C655 C1513:C1514 C261:C262 C1355:C1363 C3101 C3181 C3123 C3134 C3145 C3156 C3167:C3170 C3068 C3192 C355:C356 C3214 C3225:C3226 C3237:C3241 C3269:C3275 C1857:C1861 C3286 C3297 C3308 C3319 C2920:C2924" xr:uid="{D16C8D14-08E4-48D6-8C4F-179DEE8A6D21}">
      <formula1>UnidadesList</formula1>
    </dataValidation>
    <dataValidation type="whole" operator="greaterThan" allowBlank="1" showInputMessage="1" showErrorMessage="1" sqref="A23 A1823:A1846 A3057 A3045:A3046 A3034 A3023 A3012 A3001 A2990 A2979 A2968 A2957 A2946 A2935 A2907:A2909 A2896 A2885 A2861:A2862 A2850 A2839 A2828 A2817 A2806 A2791:A2795 A2780 A2769 A2758 A2747 A2736 A284:A285 A2704 A2693 A2682 A2670:A2671 A2659 A2648 A2272:A2273 A2622 A2608:A2611 A2591:A2597 A2580 A2569 A2558 A2546:A2547 A2535 A1432:A1442 A2511:A2512 A2500 A2488:A2489 A2477 A2466 A2455 A2444 A2432:A2433 A2421 A2410 A2399 A2388 A2377 A2366 A2355 A2344 A2333 A2322 A2308:A2311 A2296:A2297 A2284:A2285 A2260:A2261 A2247:A2249 A2235:A2236 A1770 A2715:A2725 A2176:A2177 A2165 A2154 A2136:A2143 A2125 A2114 A2103 A2091:A2092 A2079:A2080 A1146:A1153 A2053:A2055 A2041:A2042 A2027:A2030 A2016 A2001:A2005 A1989:A1990 A1975:A1978 A1959:A1964 A1935:A1936 A975:A978 A1910:A1911 A1899 A1885:A1888 A1872:A1874 A2220:A2224 A1947:A1948 A1803:A1812 A1792 A1781 A1757:A1759 A1744:A1746 A1732:A1733 A2188:A2209 A1696:A1702 A1683:A1685 A1669:A1672 A1658 A1634:A1647 A1619:A1623 A1600:A1608 A2066:A2068 A1576 A1541:A1565 A1525:A1530 A3252:A3258 A1496:A1502 A1464:A1485 A1453 A2873:A2874 A3090 A1393:A1401 A1374:A1382 A1340:A1344 A216:A217 A1309:A1316 A1297:A1298 A1285:A1286 A1274 A1263 A1252 A1241 A1230 A1219 A1208 A1197 A1186 A1175 A1164 A1587:A1589 A1135 A1114:A1124 A1092:A1103 A1081 A1070 A1058:A1059 A1047 A1036 A1025 A1014 A1003 A989:A992 A1922:A1924 A963:A964 A952 A941 A930 A919 A904:A908 A893 A882 A822:A871 A811 A800 A789 A778 A767 A755:A756 A744 A733 A722 A708:A711 A694:A697 A680:A683 A642:A643 A1327:A1329 A597:A598 A584:A586 A572:A573 A553:A561 A540:A542 A526:A529 A515 A503:A504 A490:A492 A479 A465:A468 A453:A454 A440:A442 A429 A418 A401:A407 A390 A379 A367:A368 A3203 A344 A333 A320:A322 A308:A309 A149:A150 A3112 A273 A1713:A1721 A250 A239 A228 A2633:A2637 A205 A194 A183 A172 A161 A296:A297 A138 A127 A116 A100:A105 A89 A78 A67 A56 A45 A34 A1412:A1421 A3079 A620:A621 A631 A609 A666:A669 A2523:A2524 A654:A655 A1513:A1514 A261:A262 A1355:A1363 A3101 A3181 A3123 A3134 A3145 A3156 A3167:A3170 A3068 A3192 A355:A356 A3214 A3225:A3226 A3237:A3241 A3269:A3275 A1857:A1861 A3286 A3297 A3308 A3319 A2920:A2924" xr:uid="{AA49A962-6F8E-41EC-ABCE-769C444659E6}">
      <formula1>0</formula1>
    </dataValidation>
    <dataValidation type="list" allowBlank="1" showInputMessage="1" showErrorMessage="1" sqref="F20 F3065 F3054 F3042 F3031 F3020 F3009 F2998 F2987 F2976 F2965 F2954 F2943 F2932 F2917 F2904 F2893 F2882 F2870 F2858 F2847 F2836 F2825 F2814 F2803 F2788 F2777 F2766 F2755 F2744 F2733 F2712 F2701 F2690 F2679 F2667 F2656 F2645 F2630 F2619 F2605 F2588 F2577 F2566 F2555 F2543 F2532 F2520 F2508 F2497 F2485 F2474 F2463 F2452 F2441 F2429 F2418 F2407 F2396 F2385 F2374 F2363 F2352 F2341 F2330 F2319 F2305 F2293 F2281 F2269 F2257 F2244 F2232 F2217 F2185 F2173 F2162 F2151 F2133 F2122 F2111 F2100 F2088 F2076 F2063 F2050 F2038 F2024 F2013 F1998 F1986 F1972 F1956 F1944 F1932 F1919 F1907 F1896 F1882 F1869 F1854 F1820 F1800 F1789 F1778 F1767 F1754 F1741 F1729 F1710 F1693 F1680 F1666 F1655 F1631 F1616 F1597 F1584 F1573 F1538 F1522 F1510 F1493 F1461 F1450 F1429 F1409 F1390 F1371 F1352 F1337 F1324 F1306 F1294 F1282 F1271 F1260 F1249 F1238 F1227 F1216 F1205 F1194 F1183 F1172 F1161 F1143 F1132 F1111 F1089 F1078 F1067 F1055 F1044 F1033 F1022 F1011 F1000 F986 F972 F960 F949 F938 F927 F916 F901 F890 F879 F819 F808 F797 F786 F775 F764 F752 F741 F730 F719 F705 F691 F677 F663 F651 F639 F628 F617 F606 F594 F581 F569 F550 F537 F523 F512 F500 F487 F476 F462 F450 F437 F426 F415 F398 F387 F376 F364 F352 F341 F330 F317 F305 F293 F281 F270 F258 F247 F236 F225 F213 F202 F191 F180 F169 F158 F146 F135 F124 F113 F97 F86 F75 F64 F53 F42 F31 F3076 F3087 F3098 F3109 F3120 F3131 F3142 F3153 F3164 F3178 F3189 F3200 F3211 F3222 F3234 F3249 F3266 F3283 F3294 F3305 F3316" xr:uid="{7EDF3930-9315-4DFA-8173-979626F3AA80}">
      <formula1>OFFSET(MunicipioStart,MATCH(INDIRECT(ADDRESS(ROW()-1,COLUMN(),4)),MunicipioColumn,0)-1,1,COUNTIF(MunicipioColumn,INDIRECT(ADDRESS(ROW()-1,COLUMN(),4))),1)</formula1>
    </dataValidation>
    <dataValidation type="list" allowBlank="1" showInputMessage="1" showErrorMessage="1" sqref="F19 F3064 F3053 F3041 F3030 F3019 F3008 F2997 F2986 F2975 F2964 F2953 F2942 F2931 F2916 F2903 F2892 F2881 F2869 F2857 F2846 F2835 F2824 F2813 F2802 F2787 F2776 F2765 F2754 F2743 F2732 F2711 F2700 F2689 F2678 F2666 F2655 F2644 F2629 F2618 F2604 F2587 F2576 F2565 F2554 F2542 F2531 F2519 F2507 F2496 F2484 F2473 F2462 F2451 F2440 F2428 F2417 F2406 F2395 F2384 F2373 F2362 F2351 F2340 F2329 F2318 F2304 F2292 F2280 F2268 F2256 F2243 F2231 F2216 F2184 F2172 F2161 F2150 F2132 F2121 F2110 F2099 F2087 F2075 F2062 F2049 F2037 F2023 F2012 F1997 F1985 F1971 F1955 F1943 F1931 F1918 F1906 F1895 F1881 F1868 F1853 F1819 F1799 F1788 F1777 F1766 F1753 F1740 F1728 F1709 F1692 F1679 F1665 F1654 F1630 F1615 F1596 F1583 F1572 F1537 F1521 F1509 F1492 F1460 F1449 F1428 F1408 F1389 F1370 F1351 F1336 F1323 F1305 F1293 F1281 F1270 F1259 F1248 F1237 F1226 F1215 F1204 F1193 F1182 F1171 F1160 F1142 F1131 F1110 F1088 F1077 F1066 F1054 F1043 F1032 F1021 F1010 F999 F985 F971 F959 F948 F937 F926 F915 F900 F889 F878 F818 F807 F796 F785 F774 F763 F751 F740 F729 F718 F704 F690 F676 F662 F650 F638 F627 F616 F605 F593 F580 F568 F549 F536 F522 F511 F499 F486 F475 F461 F449 F436 F425 F414 F397 F386 F375 F363 F351 F340 F329 F316 F304 F292 F280 F269 F257 F246 F235 F224 F212 F201 F190 F179 F168 F157 F145 F134 F123 F112 F96 F85 F74 F63 F52 F41 F30 F3075 F3086 F3097 F3108 F3119 F3130 F3141 F3152 F3163 F3177 F3188 F3199 F3210 F3221 F3233 F3248 F3265 F3282 F3293 F3304 F3315" xr:uid="{8B509B58-2253-40C3-A8DD-FD671A12B2E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3063 F3052 F3040 F3029 F3018 F3007 F2996 F2985 F2974 F2963 F2952 F2941 F2930 F2915 F2902 F2891 F2880 F2868 F2856 F2845 F2834 F2823 F2812 F2801 F2786 F2775 F2764 F2753 F2742 F2731 F2710 F2699 F2688 F2677 F2665 F2654 F2643 F2628 F2617 F2603 F2586 F2575 F2564 F2553 F2541 F2530 F2518 F2506 F2495 F2483 F2472 F2461 F2450 F2439 F2427 F2416 F2405 F2394 F2383 F2372 F2361 F2350 F2339 F2328 F2317 F2303 F2291 F2279 F2267 F2255 F2242 F2230 F2215 F2183 F2171 F2160 F2149 F2131 F2120 F2109 F2098 F2086 F2074 F2061 F2048 F2036 F2022 F2011 F1996 F1984 F1970 F1954 F1942 F1930 F1917 F1905 F1894 F1880 F1867 F1852 F1818 F1798 F1787 F1776 F1765 F1752 F1739 F1727 F1708 F1691 F1678 F1664 F1653 F1629 F1614 F1595 F1582 F1571 F1536 F1520 F1508 F1491 F1459 F1448 F1427 F1407 F1388 F1369 F1350 F1335 F1322 F1304 F1292 F1280 F1269 F1258 F1247 F1236 F1225 F1214 F1203 F1192 F1181 F1170 F1159 F1141 F1130 F1109 F1087 F1076 F1065 F1053 F1042 F1031 F1020 F1009 F998 F984 F970 F958 F947 F936 F925 F914 F899 F888 F877 F817 F806 F795 F784 F773 F762 F750 F739 F728 F717 F703 F689 F675 F661 F649 F637 F626 F615 F604 F592 F579 F567 F548 F535 F521 F510 F498 F485 F474 F460 F448 F435 F424 F413 F396 F385 F374 F362 F350 F339 F328 F315 F303 F291 F279 F268 F256 F245 F234 F223 F211 F200 F189 F178 F167 F156 F144 F133 F122 F111 F95 F84 F73 F62 F51 F40 F29 F3074 F3085 F3096 F3107 F3118 F3129 F3140 F3151 F3162 F3176 F3187 F3198 F3209 F3220 F3232 F3247 F3264 F3281 F3292 F3303 F3314" xr:uid="{EC0BE142-7E75-45E9-BFF7-9E0F57E6A28B}">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3062 F3051 F3039 F3028 F3017 F3006 F2995 F2984 F2973 F2962 F2951 F2940 F2929 F2914 F2901 F2890 F2879 F2867 F2855 F2844 F2833 F2822 F2811 F2800 F2785 F2774 F2763 F2752 F2741 F2730 F2709 F2698 F2687 F2676 F2664 F2653 F2642 F2627 F2616 F2602 F2585 F2574 F2563 F2552 F2540 F2529 F2517 F2505 F2494 F2482 F2471 F2460 F2449 F2438 F2426 F2415 F2404 F2393 F2382 F2371 F2360 F2349 F2338 F2327 F2316 F2302 F2290 F2278 F2266 F2254 F2241 F2229 F2214 F2182 F2170 F2159 F2148 F2130 F2119 F2108 F2097 F2085 F2073 F2060 F2047 F2035 F2021 F2010 F1995 F1983 F1969 F1953 F1941 F1929 F1916 F1904 F1893 F1879 F1866 F1851 F1817 F1797 F1786 F1775 F1764 F1751 F1738 F1726 F1707 F1690 F1677 F1663 F1652 F1628 F1613 F1594 F1581 F1570 F1535 F1519 F1507 F1490 F1458 F1447 F1426 F1406 F1387 F1368 F1349 F1334 F1321 F1303 F1291 F1279 F1268 F1257 F1246 F1235 F1224 F1213 F1202 F1191 F1180 F1169 F1158 F1140 F1129 F1108 F1086 F1075 F1064 F1052 F1041 F1030 F1019 F1008 F997 F983 F969 F957 F946 F935 F924 F913 F898 F887 F876 F816 F805 F794 F783 F772 F761 F749 F738 F727 F716 F702 F688 F674 F660 F648 F636 F625 F614 F603 F591 F578 F566 F547 F534 F520 F509 F497 F484 F473 F459 F447 F434 F423 F412 F395 F384 F373 F361 F349 F338 F327 F314 F302 F290 F278 F267 F255 F244 F233 F222 F210 F199 F188 F177 F166 F155 F143 F132 F121 F110 F94 F83 F72 F61 F50 F39 F28 F3073 F3084 F3095 F3106 F3117 F3128 F3139 F3150 F3161 F3175 F3186 F3197 F3208 F3219 F3231 F3246 F3263 F3280 F3291 F3302 F3313" xr:uid="{F13AB8AB-15CD-43E1-BFFD-0DC8542E244B}">
      <formula1>IF(INDIRECT(ADDRESS(ROW()+1,COLUMN(),4))="",RegionList,INDEX(RegionColumn,MATCH(INDIRECT(ADDRESS(ROW()+1,COLUMN(),4)),ProvinciaList,0)))</formula1>
    </dataValidation>
    <dataValidation type="date" operator="greaterThanOrEqual" allowBlank="1" showInputMessage="1" showErrorMessage="1" sqref="C19 C3064 C3053 C3041 C3030 C3019 C3008 C2997 C2986 C2975 C2964 C2953 C2942 C2931 C2916 C2903 C2892 C2881 C2869 C2857 C2846 C2835 C2824 C2813 C2802 C2787 C2776 C2765 C2754 C2743 C2732 C2711 C2700 C2689 C2678 C2666 C2655 C2644 C2629 C2618 C2604 C2587 C2576 C2565 C2554 C2542 C2531 C2519 C2507 C2496 C2484 C2473 C2462 C2451 C2440 C2428 C2417 C2406 C2395 C2384 C2373 C2362 C2351 C2340 C2329 C2318 C2304 C2292 C2280 C2268 C2256 C2243 C2231 C2216 C2184 C2172 C2161 C2150 C2132 C2121 C2110 C2099 C2087 C2075 C2062 C2049 C2037 C2023 C2012 C1997 C1985 C1971 C1955 C1943 C1931 C1918 C1906 C1895 C1881 C1868 C1853 C1819 C1799 C1788 C1777 C1766 C1753 C1740 C1728 C1709 C1692 C1679 C1665 C1654 C1630 C1615 C1596 C1583 C1572 C1537 C1521 C1509 C1492 C1460 C1449 C1428 C1408 C1389 C1370 C1351 C1336 C1323 C1305 C1293 C1281 C1270 C1259 C1248 C1237 C1226 C1215 C1204 C1193 C1182 C1171 C1160 C1142 C1131 C1110 C1088 C1077 C1066 C1054 C1043 C1032 C1021 C1010 C999 C985 C971 C959 C948 C937 C926 C915 C900 C889 C878 C818 C807 C796 C785 C774 C763 C751 C740 C729 C718 C704 C690 C676 C662 C650 C638 C627 C616 C605 C593 C580 C568 C549 C536 C522 C511 C499 C486 C475 C461 C449 C436 C425 C414 C397 C386 C375 C363 C351 C340 C329 C316 C304 C292 C280 C269 C257 C246 C235 C224 C212 C201 C190 C179 C168 C157 C145 C134 C123 C112 C96 C85 C74 C63 C52 C41 C30 C3075 C3086 C3097 C3108 C3119 C3130 C3141 C3152 C3163 C3177 C3188 C3199 C3210 C3221 C3233 C3248 C3265 C3282 C3293 C3304 C3315" xr:uid="{8A2803AA-992D-4042-B8BD-8675BA9D5C3C}">
      <formula1>C17</formula1>
    </dataValidation>
    <dataValidation type="date" operator="lessThanOrEqual" allowBlank="1" showInputMessage="1" showErrorMessage="1" sqref="C17 C3062 C3051 C3039 C3028 C3017 C3006 C2995 C2984 C2973 C2962 C2951 C2940 C2929 C2914 C2901 C2890 C2879 C2867 C2855 C2844 C2833 C2822 C2811 C2800 C2785 C2774 C2763 C2752 C2741 C2730 C2709 C2698 C2687 C2676 C2664 C2653 C2642 C2627 C2616 C2602 C2585 C2574 C2563 C2552 C2540 C2529 C2517 C2505 C2494 C2482 C2471 C2460 C2449 C2438 C2426 C2415 C2404 C2393 C2382 C2371 C2360 C2349 C2338 C2327 C2316 C2302 C2290 C2278 C2266 C2254 C2241 C2229 C2214 C2182 C2170 C2159 C2148 C2130 C2119 C2108 C2097 C2085 C2073 C2060 C2047 C2035 C2021 C2010 C1995 C1983 C1969 C1953 C1941 C1929 C1916 C1904 C1893 C1879 C1866 C1851 C1817 C1797 C1786 C1775 C1764 C1751 C1738 C1726 C1707 C1690 C1677 C1663 C1652 C1628 C1613 C1594 C1581 C1570 C1535 C1519 C1507 C1490 C1458 C1447 C1426 C1406 C1387 C1368 C1349 C1334 C1321 C1303 C1291 C1279 C1268 C1257 C1246 C1235 C1224 C1213 C1202 C1191 C1180 C1169 C1158 C1140 C1129 C1108 C1086 C1075 C1064 C1052 C1041 C1030 C1019 C1008 C997 C983 C969 C957 C946 C935 C924 C913 C898 C887 C876 C816 C805 C794 C783 C772 C761 C749 C738 C727 C716 C702 C688 C674 C660 C648 C636 C625 C614 C603 C591 C578 C566 C547 C534 C520 C509 C497 C484 C473 C459 C447 C434 C423 C412 C395 C384 C373 C361 C349 C338 C327 C314 C302 C290 C278 C267 C255 C244 C233 C222 C210 C199 C188 C177 C166 C155 C143 C132 C121 C110 C94 C83 C72 C61 C50 C39 C28 C3073 C3084 C3095 C3106 C3117 C3128 C3139 C3150 C3161 C3175 C3186 C3197 C3208 C3219 C3231 C3246 C3263 C3280 C3291 C3302 C3313" xr:uid="{C4B7A671-3E72-470D-A7F1-31142871EB54}">
      <formula1>C19</formula1>
    </dataValidation>
    <dataValidation operator="greaterThan" allowBlank="1" showInputMessage="1" showErrorMessage="1" sqref="E10:F10" xr:uid="{3B1ADA58-6E9F-471B-9CC9-81AA5D8A6B53}"/>
    <dataValidation type="date" operator="greaterThan" allowBlank="1" showInputMessage="1" showErrorMessage="1" sqref="E12:F12" xr:uid="{F719FAFA-471F-4061-B9AE-E941BF0C197A}">
      <formula1>36526</formula1>
    </dataValidation>
    <dataValidation type="whole" allowBlank="1" showInputMessage="1" showErrorMessage="1" sqref="E11:F11" xr:uid="{0FC1F343-BEB7-46CD-87B7-8DEB57BECF08}">
      <formula1>1900</formula1>
      <formula2>3000</formula2>
    </dataValidation>
  </dataValidations>
  <pageMargins left="0.7" right="0.7" top="0.75" bottom="0.75" header="0.3" footer="0.3"/>
  <pageSetup scale="6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autoFill="0" autoLine="0" autoPict="0" macro="[1]!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026" r:id="rId5" name="Button 2">
              <controlPr defaultSize="0" autoFill="0" autoLine="0" autoPict="0" macro="[1]!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027" r:id="rId6" name="Button 3">
              <controlPr defaultSize="0" autoFill="0" autoLine="0" autoPict="0" macro="[1]!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028" r:id="rId7" name="Button 4">
              <controlPr defaultSize="0" autoFill="0" autoLine="0" autoPict="0" macro="[1]!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029" r:id="rId8" name="Button 5">
              <controlPr defaultSize="0" autoFill="0" autoLine="0" autoPict="0" macro="[1]!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030" r:id="rId9" name="Button 6">
              <controlPr defaultSize="0" autoFill="0" autoLine="0" autoPict="0" macro="[1]!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031" r:id="rId10" name="Button 7">
              <controlPr defaultSize="0" autoFill="0" autoLine="0" autoPict="0" macro="[1]!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032" r:id="rId11" name="Button 8">
              <controlPr defaultSize="0" autoFill="0" autoLine="0" autoPict="0" macro="[1]!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033" r:id="rId12" name="Button 9">
              <controlPr defaultSize="0" autoFill="0" autoLine="0" autoPict="0" macro="[1]!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034" r:id="rId13" name="Button 10">
              <controlPr defaultSize="0" autoFill="0" autoLine="0" autoPict="0" macro="[1]!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035" r:id="rId14" name="Button 11">
              <controlPr defaultSize="0" autoFill="0" autoLine="0" autoPict="0" macro="[1]!Sheet1.InsertNewTabl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036" r:id="rId15" name="Button 12">
              <controlPr defaultSize="0" autoFill="0" autoLine="0" autoPict="0" macro="[1]!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037" r:id="rId16" name="Button 13">
              <controlPr defaultSize="0" autoFill="0" autoLine="0" autoPict="0" macro="[1]!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038" r:id="rId17" name="Button 14">
              <controlPr defaultSize="0" autoFill="0" autoLine="0" autoPict="0" macro="[1]!Sheet1.InsertNewTabl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039" r:id="rId18" name="Button 15">
              <controlPr defaultSize="0" autoFill="0" autoLine="0" autoPict="0" macro="[1]!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040" r:id="rId19" name="Button 16">
              <controlPr defaultSize="0" autoFill="0" autoLine="0" autoPict="0" macro="[1]!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041" r:id="rId20" name="Button 17">
              <controlPr defaultSize="0" autoFill="0" autoLine="0" autoPict="0" macro="[1]!Sheet1.InsertNewTabl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042" r:id="rId21" name="Button 18">
              <controlPr defaultSize="0" autoFill="0" autoLine="0" autoPict="0" macro="[1]!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043" r:id="rId22" name="Button 19">
              <controlPr defaultSize="0" autoFill="0" autoLine="0" autoPict="0" macro="[1]!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044" r:id="rId23" name="Button 20">
              <controlPr defaultSize="0" autoFill="0" autoLine="0" autoPict="0" macro="[1]!Sheet1.InsertNewTabl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045" r:id="rId24" name="Button 21">
              <controlPr defaultSize="0" autoFill="0" autoLine="0" autoPict="0" macro="[1]!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046" r:id="rId25" name="Button 22">
              <controlPr defaultSize="0" autoFill="0" autoLine="0" autoPict="0" macro="[1]!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047" r:id="rId26" name="Button 23">
              <controlPr defaultSize="0" autoFill="0" autoLine="0" autoPict="0" macro="[1]!Sheet1.InsertNewTabl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048" r:id="rId27" name="Button 24">
              <controlPr defaultSize="0" autoFill="0" autoLine="0" autoPict="0" macro="[1]!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049" r:id="rId28" name="Button 25">
              <controlPr defaultSize="0" autoFill="0" autoLine="0" autoPict="0" macro="[1]!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050" r:id="rId29" name="Button 26">
              <controlPr defaultSize="0" autoFill="0" autoLine="0" autoPict="0" macro="[1]!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051" r:id="rId30" name="Button 27">
              <controlPr defaultSize="0" autoFill="0" autoLine="0" autoPict="0" macro="[1]!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052" r:id="rId31" name="Button 28">
              <controlPr defaultSize="0" autoFill="0" autoLine="0" autoPict="0" macro="[1]!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053" r:id="rId32" name="Button 29">
              <controlPr defaultSize="0" autoFill="0" autoLine="0" autoPict="0" macro="[1]!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054" r:id="rId33" name="Button 30">
              <controlPr defaultSize="0" autoFill="0" autoLine="0" autoPict="0" macro="[1]!Sheet1.deleteProcedure">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055" r:id="rId34" name="Button 31">
              <controlPr defaultSize="0" autoFill="0" autoLine="0" autoPict="0" macro="[1]!Sheet1.InsertNewTabl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056" r:id="rId35" name="Button 32">
              <controlPr defaultSize="0" autoFill="0" autoLine="0" autoPict="0" macro="[1]!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057" r:id="rId36" name="Button 33">
              <controlPr defaultSize="0" autoFill="0" autoLine="0" autoPict="0" macro="[1]!Sheet1.deleteProcedure">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058" r:id="rId37" name="Button 34">
              <controlPr defaultSize="0" autoFill="0" autoLine="0" autoPict="0" macro="[1]!Sheet1.InsertNewTabl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059" r:id="rId38" name="Button 35">
              <controlPr defaultSize="0" autoFill="0" autoLine="0" autoPict="0" macro="[1]!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060" r:id="rId39" name="Button 36">
              <controlPr defaultSize="0" autoFill="0" autoLine="0" autoPict="0" macro="[1]!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061" r:id="rId40" name="Button 37">
              <controlPr defaultSize="0" autoFill="0" autoLine="0" autoPict="0" macro="[1]!Sheet1.InsertNewTabl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062" r:id="rId41" name="Button 38">
              <controlPr defaultSize="0" autoFill="0" autoLine="0" autoPict="0" macro="[1]!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063" r:id="rId42" name="Button 39">
              <controlPr defaultSize="0" autoFill="0" autoLine="0" autoPict="0" macro="[1]!Sheet1.deleteProcedure">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064" r:id="rId43" name="Button 40">
              <controlPr defaultSize="0" autoFill="0" autoLine="0" autoPict="0" macro="[1]!Sheet1.InsertNewTabl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065" r:id="rId44" name="Button 41">
              <controlPr defaultSize="0" autoFill="0" autoLine="0" autoPict="0" macro="[1]!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066" r:id="rId45" name="Button 42">
              <controlPr defaultSize="0" autoFill="0" autoLine="0" autoPict="0" macro="[1]!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067" r:id="rId46" name="Button 43">
              <controlPr defaultSize="0" autoFill="0" autoLine="0" autoPict="0" macro="[1]!Sheet1.InsertNewTabl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068" r:id="rId47" name="Button 44">
              <controlPr defaultSize="0" autoFill="0" autoLine="0" autoPict="0" macro="[1]!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069" r:id="rId48" name="Button 45">
              <controlPr defaultSize="0" autoFill="0" autoLine="0" autoPict="0" macro="[1]!Sheet1.deleteProcedure">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070" r:id="rId49" name="Button 46">
              <controlPr defaultSize="0" autoFill="0" autoLine="0" autoPict="0" macro="[1]!Sheet1.InsertNewTabl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071" r:id="rId50" name="Button 47">
              <controlPr defaultSize="0" autoFill="0" autoLine="0" autoPict="0" macro="[1]!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072" r:id="rId51" name="Button 48">
              <controlPr defaultSize="0" autoFill="0" autoLine="0" autoPict="0" macro="[1]!Sheet1.deleteProcedure">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073" r:id="rId52" name="Button 49">
              <controlPr defaultSize="0" autoFill="0" autoLine="0" autoPict="0" macro="[1]!Sheet1.InsertNewTabl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074" r:id="rId53" name="Button 50">
              <controlPr defaultSize="0" autoFill="0" autoLine="0" autoPict="0" macro="[1]!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075" r:id="rId54" name="Button 51">
              <controlPr defaultSize="0" autoFill="0" autoLine="0" autoPict="0" macro="[1]!Sheet1.deleteProcedure">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076" r:id="rId55" name="Button 52">
              <controlPr defaultSize="0" autoFill="0" autoLine="0" autoPict="0" macro="[1]!Sheet1.InsertNewTabl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077" r:id="rId56" name="Button 53">
              <controlPr defaultSize="0" autoFill="0" autoLine="0" autoPict="0" macro="[1]!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078" r:id="rId57" name="Button 54">
              <controlPr defaultSize="0" autoFill="0" autoLine="0" autoPict="0" macro="[1]!Sheet1.deleteProcedure">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079" r:id="rId58" name="Button 55">
              <controlPr defaultSize="0" autoFill="0" autoLine="0" autoPict="0" macro="[1]!Sheet1.InsertNewTabl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080" r:id="rId59" name="Button 56">
              <controlPr defaultSize="0" autoFill="0" autoLine="0" autoPict="0" macro="[1]!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081" r:id="rId60" name="Button 57">
              <controlPr defaultSize="0" autoFill="0" autoLine="0" autoPict="0" macro="[1]!Sheet1.deleteProcedure">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082" r:id="rId61" name="Button 58">
              <controlPr defaultSize="0" autoFill="0" autoLine="0" autoPict="0" macro="[1]!Sheet1.InsertNewTabl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083" r:id="rId62" name="Button 59">
              <controlPr defaultSize="0" autoFill="0" autoLine="0" autoPict="0" macro="[1]!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084" r:id="rId63" name="Button 60">
              <controlPr defaultSize="0" autoFill="0" autoLine="0" autoPict="0" macro="[1]!Sheet1.deleteProcedure">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085" r:id="rId64" name="Button 61">
              <controlPr defaultSize="0" autoFill="0" autoLine="0" autoPict="0" macro="[1]!Sheet1.InsertNewTabl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086" r:id="rId65" name="Button 62">
              <controlPr defaultSize="0" autoFill="0" autoLine="0" autoPict="0" macro="[1]!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087" r:id="rId66" name="Button 63">
              <controlPr defaultSize="0" autoFill="0" autoLine="0" autoPict="0" macro="[1]!Sheet1.deleteProcedure">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088" r:id="rId67" name="Button 64">
              <controlPr defaultSize="0" autoFill="0" autoLine="0" autoPict="0" macro="[1]!Sheet1.InsertNewTabl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089" r:id="rId68" name="Button 65">
              <controlPr defaultSize="0" autoFill="0" autoLine="0" autoPict="0" macro="[1]!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090" r:id="rId69" name="Button 66">
              <controlPr defaultSize="0" autoFill="0" autoLine="0" autoPict="0" macro="[1]!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091" r:id="rId70" name="Button 67">
              <controlPr defaultSize="0" autoFill="0" autoLine="0" autoPict="0" macro="[1]!Sheet1.InsertNewTabl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092" r:id="rId71" name="Button 68">
              <controlPr defaultSize="0" autoFill="0" autoLine="0" autoPict="0" macro="[1]!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093" r:id="rId72" name="Button 69">
              <controlPr defaultSize="0" autoFill="0" autoLine="0" autoPict="0" macro="[1]!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094" r:id="rId73" name="Button 70">
              <controlPr defaultSize="0" autoFill="0" autoLine="0" autoPict="0" macro="[1]!Sheet1.InsertNewTabl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095" r:id="rId74" name="Button 71">
              <controlPr defaultSize="0" autoFill="0" autoLine="0" autoPict="0" macro="[1]!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096" r:id="rId75" name="Button 72">
              <controlPr defaultSize="0" autoFill="0" autoLine="0" autoPict="0" macro="[1]!Sheet1.deleteProcedure">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097" r:id="rId76" name="Button 73">
              <controlPr defaultSize="0" autoFill="0" autoLine="0" autoPict="0" macro="[1]!Sheet1.InsertNewTabl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098" r:id="rId77" name="Button 74">
              <controlPr defaultSize="0" autoFill="0" autoLine="0" autoPict="0" macro="[1]!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099" r:id="rId78" name="Button 75">
              <controlPr defaultSize="0" autoFill="0" autoLine="0" autoPict="0" macro="[1]!Sheet1.deleteProcedure">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100" r:id="rId79" name="Button 76">
              <controlPr defaultSize="0" autoFill="0" autoLine="0" autoPict="0" macro="[1]!Sheet1.InsertNewTabl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101" r:id="rId80" name="Button 77">
              <controlPr defaultSize="0" autoFill="0" autoLine="0" autoPict="0" macro="[1]!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102" r:id="rId81" name="Button 78">
              <controlPr defaultSize="0" autoFill="0" autoLine="0" autoPict="0" macro="[1]!Sheet1.deleteProcedure">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103" r:id="rId82" name="Button 79">
              <controlPr defaultSize="0" autoFill="0" autoLine="0" autoPict="0" macro="[1]!Sheet1.InsertNewTabl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104" r:id="rId83" name="Button 80">
              <controlPr defaultSize="0" autoFill="0" autoLine="0" autoPict="0" macro="[1]!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105" r:id="rId84" name="Button 81">
              <controlPr defaultSize="0" autoFill="0" autoLine="0" autoPict="0" macro="[1]!Sheet1.deleteProcedure">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106" r:id="rId85" name="Button 82">
              <controlPr defaultSize="0" autoFill="0" autoLine="0" autoPict="0" macro="[1]!Sheet1.InsertNewTabl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107" r:id="rId86" name="Button 83">
              <controlPr defaultSize="0" autoFill="0" autoLine="0" autoPict="0" macro="[1]!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108" r:id="rId87" name="Button 84">
              <controlPr defaultSize="0" autoFill="0" autoLine="0" autoPict="0" macro="[1]!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109" r:id="rId88" name="Button 85">
              <controlPr defaultSize="0" autoFill="0" autoLine="0" autoPict="0" macro="[1]!Sheet1.deleteProcedure">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110" r:id="rId89" name="Button 86">
              <controlPr defaultSize="0" autoFill="0" autoLine="0" autoPict="0" macro="[1]!Sheet1.InsertNewTabl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111" r:id="rId90" name="Button 87">
              <controlPr defaultSize="0" autoFill="0" autoLine="0" autoPict="0" macro="[1]!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112" r:id="rId91" name="Button 88">
              <controlPr defaultSize="0" autoFill="0" autoLine="0" autoPict="0" macro="[1]!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113" r:id="rId92" name="Button 89">
              <controlPr defaultSize="0" autoFill="0" autoLine="0" autoPict="0" macro="[1]!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114" r:id="rId93" name="Button 90">
              <controlPr defaultSize="0" autoFill="0" autoLine="0" autoPict="0" macro="[1]!Sheet1.deleteProcedure">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115" r:id="rId94" name="Button 91">
              <controlPr defaultSize="0" autoFill="0" autoLine="0" autoPict="0" macro="[1]!Sheet1.InsertNewTabl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116" r:id="rId95" name="Button 92">
              <controlPr defaultSize="0" autoFill="0" autoLine="0" autoPict="0" macro="[1]!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117" r:id="rId96" name="Button 93">
              <controlPr defaultSize="0" autoFill="0" autoLine="0" autoPict="0" macro="[1]!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118" r:id="rId97" name="Button 94">
              <controlPr defaultSize="0" autoFill="0" autoLine="0" autoPict="0" macro="[1]!Sheet1.InsertNewTabl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119" r:id="rId98" name="Button 95">
              <controlPr defaultSize="0" autoFill="0" autoLine="0" autoPict="0" macro="[1]!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120" r:id="rId99" name="Button 96">
              <controlPr defaultSize="0" autoFill="0" autoLine="0" autoPict="0" macro="[1]!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121" r:id="rId100" name="Button 97">
              <controlPr defaultSize="0" autoFill="0" autoLine="0" autoPict="0" macro="[1]!Sheet1.InsertNewTabl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122" r:id="rId101" name="Button 98">
              <controlPr defaultSize="0" autoFill="0" autoLine="0" autoPict="0" macro="[1]!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123" r:id="rId102" name="Button 99">
              <controlPr defaultSize="0" autoFill="0" autoLine="0" autoPict="0" macro="[1]!Sheet1.deleteProcedure">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124" r:id="rId103" name="Button 100">
              <controlPr defaultSize="0" autoFill="0" autoLine="0" autoPict="0" macro="[1]!Sheet1.InsertNewTabl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125" r:id="rId104" name="Button 101">
              <controlPr defaultSize="0" autoFill="0" autoLine="0" autoPict="0" macro="[1]!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126" r:id="rId105" name="Button 102">
              <controlPr defaultSize="0" autoFill="0" autoLine="0" autoPict="0" macro="[1]!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127" r:id="rId106" name="Button 103">
              <controlPr defaultSize="0" autoFill="0" autoLine="0" autoPict="0" macro="[1]!Sheet1.deleteProcedure">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128" r:id="rId107" name="Button 104">
              <controlPr defaultSize="0" autoFill="0" autoLine="0" autoPict="0" macro="[1]!Sheet1.InsertNewTabl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129" r:id="rId108" name="Button 105">
              <controlPr defaultSize="0" autoFill="0" autoLine="0" autoPict="0" macro="[1]!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130" r:id="rId109" name="Button 106">
              <controlPr defaultSize="0" autoFill="0" autoLine="0" autoPict="0" macro="[1]!Sheet1.deleteProcedure">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131" r:id="rId110" name="Button 107">
              <controlPr defaultSize="0" autoFill="0" autoLine="0" autoPict="0" macro="[1]!Sheet1.InsertNewTabl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132" r:id="rId111" name="Button 108">
              <controlPr defaultSize="0" autoFill="0" autoLine="0" autoPict="0" macro="[1]!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133" r:id="rId112" name="Button 109">
              <controlPr defaultSize="0" autoFill="0" autoLine="0" autoPict="0" macro="[1]!Sheet1.deleteProcedure">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134" r:id="rId113" name="Button 110">
              <controlPr defaultSize="0" autoFill="0" autoLine="0" autoPict="0" macro="[1]!Sheet1.InsertNewTabl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135" r:id="rId114" name="Button 111">
              <controlPr defaultSize="0" autoFill="0" autoLine="0" autoPict="0" macro="[1]!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136" r:id="rId115" name="Button 112">
              <controlPr defaultSize="0" autoFill="0" autoLine="0" autoPict="0" macro="[1]!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137" r:id="rId116" name="Button 113">
              <controlPr defaultSize="0" autoFill="0" autoLine="0" autoPict="0" macro="[1]!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138" r:id="rId117" name="Button 114">
              <controlPr defaultSize="0" autoFill="0" autoLine="0" autoPict="0" macro="[1]!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139" r:id="rId118" name="Button 115">
              <controlPr defaultSize="0" autoFill="0" autoLine="0" autoPict="0" macro="[1]!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140" r:id="rId119" name="Button 116">
              <controlPr defaultSize="0" autoFill="0" autoLine="0" autoPict="0" macro="[1]!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141" r:id="rId120" name="Button 117">
              <controlPr defaultSize="0" autoFill="0" autoLine="0" autoPict="0" macro="[1]!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142" r:id="rId121" name="Button 118">
              <controlPr defaultSize="0" autoFill="0" autoLine="0" autoPict="0" macro="[1]!Sheet1.deleteProcedure">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143" r:id="rId122" name="Button 119">
              <controlPr defaultSize="0" autoFill="0" autoLine="0" autoPict="0" macro="[1]!Sheet1.InsertNewTabl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144" r:id="rId123" name="Button 120">
              <controlPr defaultSize="0" autoFill="0" autoLine="0" autoPict="0" macro="[1]!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145" r:id="rId124" name="Button 121">
              <controlPr defaultSize="0" autoFill="0" autoLine="0" autoPict="0" macro="[1]!Sheet1.deleteProcedure">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146" r:id="rId125" name="Button 122">
              <controlPr defaultSize="0" autoFill="0" autoLine="0" autoPict="0" macro="[1]!Sheet1.InsertNewTabl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147" r:id="rId126" name="Button 123">
              <controlPr defaultSize="0" autoFill="0" autoLine="0" autoPict="0" macro="[1]!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148" r:id="rId127" name="Button 124">
              <controlPr defaultSize="0" autoFill="0" autoLine="0" autoPict="0" macro="[1]!Sheet1.deleteProcedure">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149" r:id="rId128" name="Button 125">
              <controlPr defaultSize="0" autoFill="0" autoLine="0" autoPict="0" macro="[1]!Sheet1.InsertNewTabl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150" r:id="rId129" name="Button 126">
              <controlPr defaultSize="0" autoFill="0" autoLine="0" autoPict="0" macro="[1]!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151" r:id="rId130" name="Button 127">
              <controlPr defaultSize="0" autoFill="0" autoLine="0" autoPict="0" macro="[1]!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152" r:id="rId131" name="Button 128">
              <controlPr defaultSize="0" autoFill="0" autoLine="0" autoPict="0" macro="[1]!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153" r:id="rId132" name="Button 129">
              <controlPr defaultSize="0" autoFill="0" autoLine="0" autoPict="0" macro="[1]!Sheet1.deleteProcedure">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154" r:id="rId133" name="Button 130">
              <controlPr defaultSize="0" autoFill="0" autoLine="0" autoPict="0" macro="[1]!Sheet1.InsertNewTabl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155" r:id="rId134" name="Button 131">
              <controlPr defaultSize="0" autoFill="0" autoLine="0" autoPict="0" macro="[1]!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156" r:id="rId135" name="Button 132">
              <controlPr defaultSize="0" autoFill="0" autoLine="0" autoPict="0" macro="[1]!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157" r:id="rId136" name="Button 133">
              <controlPr defaultSize="0" autoFill="0" autoLine="0" autoPict="0" macro="[1]!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158" r:id="rId137" name="Button 134">
              <controlPr defaultSize="0" autoFill="0" autoLine="0" autoPict="0" macro="[1]!Sheet1.InsertNewTabl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159" r:id="rId138" name="Button 135">
              <controlPr defaultSize="0" autoFill="0" autoLine="0" autoPict="0" macro="[1]!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160" r:id="rId139" name="Button 136">
              <controlPr defaultSize="0" autoFill="0" autoLine="0" autoPict="0" macro="[1]!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161" r:id="rId140" name="Button 137">
              <controlPr defaultSize="0" autoFill="0" autoLine="0" autoPict="0" macro="[1]!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162" r:id="rId141" name="Button 138">
              <controlPr defaultSize="0" autoFill="0" autoLine="0" autoPict="0" macro="[1]!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163" r:id="rId142" name="Button 139">
              <controlPr defaultSize="0" autoFill="0" autoLine="0" autoPict="0" macro="[1]!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164" r:id="rId143" name="Button 140">
              <controlPr defaultSize="0" autoFill="0" autoLine="0" autoPict="0" macro="[1]!Sheet1.InsertNewTabl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165" r:id="rId144" name="Button 141">
              <controlPr defaultSize="0" autoFill="0" autoLine="0" autoPict="0" macro="[1]!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166" r:id="rId145" name="Button 142">
              <controlPr defaultSize="0" autoFill="0" autoLine="0" autoPict="0" macro="[1]!Sheet1.deleteProcedure">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167" r:id="rId146" name="Button 143">
              <controlPr defaultSize="0" autoFill="0" autoLine="0" autoPict="0" macro="[1]!Sheet1.InsertNewTabl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168" r:id="rId147" name="Button 144">
              <controlPr defaultSize="0" autoFill="0" autoLine="0" autoPict="0" macro="[1]!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169" r:id="rId148" name="Button 145">
              <controlPr defaultSize="0" autoFill="0" autoLine="0" autoPict="0" macro="[1]!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170" r:id="rId149" name="Button 146">
              <controlPr defaultSize="0" autoFill="0" autoLine="0" autoPict="0" macro="[1]!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171" r:id="rId150" name="Button 147">
              <controlPr defaultSize="0" autoFill="0" autoLine="0" autoPict="0" macro="[1]!Sheet1.deleteProcedure">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172" r:id="rId151" name="Button 148">
              <controlPr defaultSize="0" autoFill="0" autoLine="0" autoPict="0" macro="[1]!Sheet1.InsertNewTabl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173" r:id="rId152" name="Button 149">
              <controlPr defaultSize="0" autoFill="0" autoLine="0" autoPict="0" macro="[1]!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174" r:id="rId153" name="Button 150">
              <controlPr defaultSize="0" autoFill="0" autoLine="0" autoPict="0" macro="[1]!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175" r:id="rId154" name="Button 151">
              <controlPr defaultSize="0" autoFill="0" autoLine="0" autoPict="0" macro="[1]!Sheet1.deleteProcedure">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176" r:id="rId155" name="Button 152">
              <controlPr defaultSize="0" autoFill="0" autoLine="0" autoPict="0" macro="[1]!Sheet1.InsertNewTabl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177" r:id="rId156" name="Button 153">
              <controlPr defaultSize="0" autoFill="0" autoLine="0" autoPict="0" macro="[1]!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178" r:id="rId157" name="Button 154">
              <controlPr defaultSize="0" autoFill="0" autoLine="0" autoPict="0" macro="[1]!Sheet1.deleteProcedure">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179" r:id="rId158" name="Button 155">
              <controlPr defaultSize="0" autoFill="0" autoLine="0" autoPict="0" macro="[1]!Sheet1.InsertNewTabl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180" r:id="rId159" name="Button 156">
              <controlPr defaultSize="0" autoFill="0" autoLine="0" autoPict="0" macro="[1]!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181" r:id="rId160" name="Button 157">
              <controlPr defaultSize="0" autoFill="0" autoLine="0" autoPict="0" macro="[1]!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182" r:id="rId161" name="Button 158">
              <controlPr defaultSize="0" autoFill="0" autoLine="0" autoPict="0" macro="[1]!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183" r:id="rId162" name="Button 159">
              <controlPr defaultSize="0" autoFill="0" autoLine="0" autoPict="0" macro="[1]!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184" r:id="rId163" name="Button 160">
              <controlPr defaultSize="0" autoFill="0" autoLine="0" autoPict="0" macro="[1]!Sheet1.deleteProcedure">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185" r:id="rId164" name="Button 161">
              <controlPr defaultSize="0" autoFill="0" autoLine="0" autoPict="0" macro="[1]!Sheet1.InsertNewTabl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186" r:id="rId165" name="Button 162">
              <controlPr defaultSize="0" autoFill="0" autoLine="0" autoPict="0" macro="[1]!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187" r:id="rId166" name="Button 163">
              <controlPr defaultSize="0" autoFill="0" autoLine="0" autoPict="0" macro="[1]!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188" r:id="rId167" name="Button 164">
              <controlPr defaultSize="0" autoFill="0" autoLine="0" autoPict="0" macro="[1]!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189" r:id="rId168" name="Button 165">
              <controlPr defaultSize="0" autoFill="0" autoLine="0" autoPict="0" macro="[1]!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190" r:id="rId169" name="Button 166">
              <controlPr defaultSize="0" autoFill="0" autoLine="0" autoPict="0" macro="[1]!Sheet1.InsertNewTabl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191" r:id="rId170" name="Button 167">
              <controlPr defaultSize="0" autoFill="0" autoLine="0" autoPict="0" macro="[1]!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192" r:id="rId171" name="Button 168">
              <controlPr defaultSize="0" autoFill="0" autoLine="0" autoPict="0" macro="[1]!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193" r:id="rId172" name="Button 169">
              <controlPr defaultSize="0" autoFill="0" autoLine="0" autoPict="0" macro="[1]!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194" r:id="rId173" name="Button 170">
              <controlPr defaultSize="0" autoFill="0" autoLine="0" autoPict="0" macro="[1]!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195" r:id="rId174" name="Button 171">
              <controlPr defaultSize="0" autoFill="0" autoLine="0" autoPict="0" macro="[1]!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196" r:id="rId175" name="Button 172">
              <controlPr defaultSize="0" autoFill="0" autoLine="0" autoPict="0" macro="[1]!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197" r:id="rId176" name="Button 173">
              <controlPr defaultSize="0" autoFill="0" autoLine="0" autoPict="0" macro="[1]!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198" r:id="rId177" name="Button 174">
              <controlPr defaultSize="0" autoFill="0" autoLine="0" autoPict="0" macro="[1]!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199" r:id="rId178" name="Button 175">
              <controlPr defaultSize="0" autoFill="0" autoLine="0" autoPict="0" macro="[1]!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00" r:id="rId179" name="Button 176">
              <controlPr defaultSize="0" autoFill="0" autoLine="0" autoPict="0" macro="[1]!Sheet1.deleteProcedure">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201" r:id="rId180" name="Button 177">
              <controlPr defaultSize="0" autoFill="0" autoLine="0" autoPict="0" macro="[1]!Sheet1.InsertNewTabl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202" r:id="rId181" name="Button 178">
              <controlPr defaultSize="0" autoFill="0" autoLine="0" autoPict="0" macro="[1]!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03" r:id="rId182" name="Button 179">
              <controlPr defaultSize="0" autoFill="0" autoLine="0" autoPict="0" macro="[1]!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04" r:id="rId183" name="Button 180">
              <controlPr defaultSize="0" autoFill="0" autoLine="0" autoPict="0" macro="[1]!Sheet1.deleteProcedure">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205" r:id="rId184" name="Button 181">
              <controlPr defaultSize="0" autoFill="0" autoLine="0" autoPict="0" macro="[1]!Sheet1.InsertNewTabl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206" r:id="rId185" name="Button 182">
              <controlPr defaultSize="0" autoFill="0" autoLine="0" autoPict="0" macro="[1]!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07" r:id="rId186" name="Button 183">
              <controlPr defaultSize="0" autoFill="0" autoLine="0" autoPict="0" macro="[1]!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08" r:id="rId187" name="Button 184">
              <controlPr defaultSize="0" autoFill="0" autoLine="0" autoPict="0" macro="[1]!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09" r:id="rId188" name="Button 185">
              <controlPr defaultSize="0" autoFill="0" autoLine="0" autoPict="0" macro="[1]!Sheet1.deleteProcedure">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210" r:id="rId189" name="Button 186">
              <controlPr defaultSize="0" autoFill="0" autoLine="0" autoPict="0" macro="[1]!Sheet1.InsertNewTabl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211" r:id="rId190" name="Button 187">
              <controlPr defaultSize="0" autoFill="0" autoLine="0" autoPict="0" macro="[1]!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12" r:id="rId191" name="Button 188">
              <controlPr defaultSize="0" autoFill="0" autoLine="0" autoPict="0" macro="[1]!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13" r:id="rId192" name="Button 189">
              <controlPr defaultSize="0" autoFill="0" autoLine="0" autoPict="0" macro="[1]!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214" r:id="rId193" name="Button 190">
              <controlPr defaultSize="0" autoFill="0" autoLine="0" autoPict="0" macro="[1]!Sheet1.InsertNewTabl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215" r:id="rId194" name="Button 191">
              <controlPr defaultSize="0" autoFill="0" autoLine="0" autoPict="0" macro="[1]!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16" r:id="rId195" name="Button 192">
              <controlPr defaultSize="0" autoFill="0" autoLine="0" autoPict="0" macro="[1]!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217" r:id="rId196" name="Button 193">
              <controlPr defaultSize="0" autoFill="0" autoLine="0" autoPict="0" macro="[1]!Sheet1.InsertNewTableRow">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218" r:id="rId197" name="Button 194">
              <controlPr defaultSize="0" autoFill="0" autoLine="0" autoPict="0" macro="[1]!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219" r:id="rId198" name="Button 195">
              <controlPr defaultSize="0" autoFill="0" autoLine="0" autoPict="0" macro="[1]!Sheet1.InsertNewTabl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220" r:id="rId199" name="Button 196">
              <controlPr defaultSize="0" autoFill="0" autoLine="0" autoPict="0" macro="[1]!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221" r:id="rId200" name="Button 197">
              <controlPr defaultSize="0" autoFill="0" autoLine="0" autoPict="0" macro="[1]!Sheet1.InsertNewTabl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222" r:id="rId201" name="Button 198">
              <controlPr defaultSize="0" autoFill="0" autoLine="0" autoPict="0" macro="[1]!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23" r:id="rId202" name="Button 199">
              <controlPr defaultSize="0" autoFill="0" autoLine="0" autoPict="0" macro="[1]!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224" r:id="rId203" name="Button 200">
              <controlPr defaultSize="0" autoFill="0" autoLine="0" autoPict="0" macro="[1]!Sheet1.InsertNewTabl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25" r:id="rId204" name="Button 201">
              <controlPr defaultSize="0" autoFill="0" autoLine="0" autoPict="0" macro="[1]!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26" r:id="rId205" name="Button 202">
              <controlPr defaultSize="0" autoFill="0" autoLine="0" autoPict="0" macro="[1]!Sheet1.deleteProcedure">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227" r:id="rId206" name="Button 203">
              <controlPr defaultSize="0" autoFill="0" autoLine="0" autoPict="0" macro="[1]!Sheet1.InsertNewTabl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228" r:id="rId207" name="Button 204">
              <controlPr defaultSize="0" autoFill="0" autoLine="0" autoPict="0" macro="[1]!Sheet1.deleteProcedure">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229" r:id="rId208" name="Button 205">
              <controlPr defaultSize="0" autoFill="0" autoLine="0" autoPict="0" macro="[1]!Sheet1.InsertNewTabl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230" r:id="rId209" name="Button 206">
              <controlPr defaultSize="0" autoFill="0" autoLine="0" autoPict="0" macro="[1]!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31" r:id="rId210" name="Button 207">
              <controlPr defaultSize="0" autoFill="0" autoLine="0" autoPict="0" macro="[1]!Sheet1.deleteProcedure">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232" r:id="rId211" name="Button 208">
              <controlPr defaultSize="0" autoFill="0" autoLine="0" autoPict="0" macro="[1]!Sheet1.InsertNewTabl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233" r:id="rId212" name="Button 209">
              <controlPr defaultSize="0" autoFill="0" autoLine="0" autoPict="0" macro="[1]!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34" r:id="rId213" name="Button 210">
              <controlPr defaultSize="0" autoFill="0" autoLine="0" autoPict="0" macro="[1]!Sheet1.deleteProcedure">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235" r:id="rId214" name="Button 211">
              <controlPr defaultSize="0" autoFill="0" autoLine="0" autoPict="0" macro="[1]!Sheet1.InsertNewTabl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236" r:id="rId215" name="Button 212">
              <controlPr defaultSize="0" autoFill="0" autoLine="0" autoPict="0" macro="[1]!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37" r:id="rId216" name="Button 213">
              <controlPr defaultSize="0" autoFill="0" autoLine="0" autoPict="0" macro="[1]!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38" r:id="rId217" name="Button 214">
              <controlPr defaultSize="0" autoFill="0" autoLine="0" autoPict="0" macro="[1]!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39" r:id="rId218" name="Button 215">
              <controlPr defaultSize="0" autoFill="0" autoLine="0" autoPict="0" macro="[1]!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240" r:id="rId219" name="Button 216">
              <controlPr defaultSize="0" autoFill="0" autoLine="0" autoPict="0" macro="[1]!Sheet1.InsertNewTabl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241" r:id="rId220" name="Button 217">
              <controlPr defaultSize="0" autoFill="0" autoLine="0" autoPict="0" macro="[1]!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42" r:id="rId221" name="Button 218">
              <controlPr defaultSize="0" autoFill="0" autoLine="0" autoPict="0" macro="[1]!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243" r:id="rId222" name="Button 219">
              <controlPr defaultSize="0" autoFill="0" autoLine="0" autoPict="0" macro="[1]!Sheet1.InsertNewTabl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244" r:id="rId223" name="Button 220">
              <controlPr defaultSize="0" autoFill="0" autoLine="0" autoPict="0" macro="[1]!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45" r:id="rId224" name="Button 221">
              <controlPr defaultSize="0" autoFill="0" autoLine="0" autoPict="0" macro="[1]!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246" r:id="rId225" name="Button 222">
              <controlPr defaultSize="0" autoFill="0" autoLine="0" autoPict="0" macro="[1]!Sheet1.InsertNewTabl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247" r:id="rId226" name="Button 223">
              <controlPr defaultSize="0" autoFill="0" autoLine="0" autoPict="0" macro="[1]!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48" r:id="rId227" name="Button 224">
              <controlPr defaultSize="0" autoFill="0" autoLine="0" autoPict="0" macro="[1]!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249" r:id="rId228" name="Button 225">
              <controlPr defaultSize="0" autoFill="0" autoLine="0" autoPict="0" macro="[1]!Sheet1.InsertNewTabl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250" r:id="rId229" name="Button 226">
              <controlPr defaultSize="0" autoFill="0" autoLine="0" autoPict="0" macro="[1]!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51" r:id="rId230" name="Button 227">
              <controlPr defaultSize="0" autoFill="0" autoLine="0" autoPict="0" macro="[1]!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52" r:id="rId231" name="Button 228">
              <controlPr defaultSize="0" autoFill="0" autoLine="0" autoPict="0" macro="[1]!Sheet1.deleteProcedure">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253" r:id="rId232" name="Button 229">
              <controlPr defaultSize="0" autoFill="0" autoLine="0" autoPict="0" macro="[1]!Sheet1.InsertNewTabl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254" r:id="rId233" name="Button 230">
              <controlPr defaultSize="0" autoFill="0" autoLine="0" autoPict="0" macro="[1]!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55" r:id="rId234" name="Button 231">
              <controlPr defaultSize="0" autoFill="0" autoLine="0" autoPict="0" macro="[1]!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256" r:id="rId235" name="Button 232">
              <controlPr defaultSize="0" autoFill="0" autoLine="0" autoPict="0" macro="[1]!Sheet1.InsertNewTabl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257" r:id="rId236" name="Button 233">
              <controlPr defaultSize="0" autoFill="0" autoLine="0" autoPict="0" macro="[1]!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58" r:id="rId237" name="Button 234">
              <controlPr defaultSize="0" autoFill="0" autoLine="0" autoPict="0" macro="[1]!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59" r:id="rId238" name="Button 235">
              <controlPr defaultSize="0" autoFill="0" autoLine="0" autoPict="0" macro="[1]!Sheet1.InsertNewTabl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260" r:id="rId239" name="Button 236">
              <controlPr defaultSize="0" autoFill="0" autoLine="0" autoPict="0" macro="[1]!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61" r:id="rId240" name="Button 237">
              <controlPr defaultSize="0" autoFill="0" autoLine="0" autoPict="0" macro="[1]!Sheet1.deleteProcedure">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262" r:id="rId241" name="Button 238">
              <controlPr defaultSize="0" autoFill="0" autoLine="0" autoPict="0" macro="[1]!Sheet1.InsertNewTabl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263" r:id="rId242" name="Button 239">
              <controlPr defaultSize="0" autoFill="0" autoLine="0" autoPict="0" macro="[1]!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64" r:id="rId243" name="Button 240">
              <controlPr defaultSize="0" autoFill="0" autoLine="0" autoPict="0" macro="[1]!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65" r:id="rId244" name="Button 241">
              <controlPr defaultSize="0" autoFill="0" autoLine="0" autoPict="0" macro="[1]!Sheet1.InsertNewTabl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66" r:id="rId245" name="Button 242">
              <controlPr defaultSize="0" autoFill="0" autoLine="0" autoPict="0" macro="[1]!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67" r:id="rId246" name="Button 243">
              <controlPr defaultSize="0" autoFill="0" autoLine="0" autoPict="0" macro="[1]!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68" r:id="rId247" name="Button 244">
              <controlPr defaultSize="0" autoFill="0" autoLine="0" autoPict="0" macro="[1]!Sheet1.InsertNewTabl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69" r:id="rId248" name="Button 245">
              <controlPr defaultSize="0" autoFill="0" autoLine="0" autoPict="0" macro="[1]!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70" r:id="rId249" name="Button 246">
              <controlPr defaultSize="0" autoFill="0" autoLine="0" autoPict="0" macro="[1]!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71" r:id="rId250" name="Button 247">
              <controlPr defaultSize="0" autoFill="0" autoLine="0" autoPict="0" macro="[1]!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72" r:id="rId251" name="Button 248">
              <controlPr defaultSize="0" autoFill="0" autoLine="0" autoPict="0" macro="[1]!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73" r:id="rId252" name="Button 249">
              <controlPr defaultSize="0" autoFill="0" autoLine="0" autoPict="0" macro="[1]!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74" r:id="rId253" name="Button 250">
              <controlPr defaultSize="0" autoFill="0" autoLine="0" autoPict="0" macro="[1]!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75" r:id="rId254" name="Button 251">
              <controlPr defaultSize="0" autoFill="0" autoLine="0" autoPict="0" macro="[1]!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76" r:id="rId255" name="Button 252">
              <controlPr defaultSize="0" autoFill="0" autoLine="0" autoPict="0" macro="[1]!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77" r:id="rId256" name="Button 253">
              <controlPr defaultSize="0" autoFill="0" autoLine="0" autoPict="0" macro="[1]!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78" r:id="rId257" name="Button 254">
              <controlPr defaultSize="0" autoFill="0" autoLine="0" autoPict="0" macro="[1]!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79" r:id="rId258" name="Button 255">
              <controlPr defaultSize="0" autoFill="0" autoLine="0" autoPict="0" macro="[1]!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80" r:id="rId259" name="Button 256">
              <controlPr defaultSize="0" autoFill="0" autoLine="0" autoPict="0" macro="[1]!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81" r:id="rId260" name="Button 257">
              <controlPr defaultSize="0" autoFill="0" autoLine="0" autoPict="0" macro="[1]!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82" r:id="rId261" name="Button 258">
              <controlPr defaultSize="0" autoFill="0" autoLine="0" autoPict="0" macro="[1]!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83" r:id="rId262" name="Button 259">
              <controlPr defaultSize="0" autoFill="0" autoLine="0" autoPict="0" macro="[1]!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84" r:id="rId263" name="Button 260">
              <controlPr defaultSize="0" autoFill="0" autoLine="0" autoPict="0" macro="[1]!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85" r:id="rId264" name="Button 261">
              <controlPr defaultSize="0" autoFill="0" autoLine="0" autoPict="0" macro="[1]!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86" r:id="rId265" name="Button 262">
              <controlPr defaultSize="0" autoFill="0" autoLine="0" autoPict="0" macro="[1]!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87" r:id="rId266" name="Button 263">
              <controlPr defaultSize="0" autoFill="0" autoLine="0" autoPict="0" macro="[1]!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88" r:id="rId267" name="Button 264">
              <controlPr defaultSize="0" autoFill="0" autoLine="0" autoPict="0" macro="[1]!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89" r:id="rId268" name="Button 265">
              <controlPr defaultSize="0" autoFill="0" autoLine="0" autoPict="0" macro="[1]!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90" r:id="rId269" name="Button 266">
              <controlPr defaultSize="0" autoFill="0" autoLine="0" autoPict="0" macro="[1]!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91" r:id="rId270" name="Button 267">
              <controlPr defaultSize="0" autoFill="0" autoLine="0" autoPict="0" macro="[1]!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92" r:id="rId271" name="Button 268">
              <controlPr defaultSize="0" autoFill="0" autoLine="0" autoPict="0" macro="[1]!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93" r:id="rId272" name="Button 269">
              <controlPr defaultSize="0" autoFill="0" autoLine="0" autoPict="0" macro="[1]!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94" r:id="rId273" name="Button 270">
              <controlPr defaultSize="0" autoFill="0" autoLine="0" autoPict="0" macro="[1]!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5" r:id="rId274" name="Button 271">
              <controlPr defaultSize="0" autoFill="0" autoLine="0" autoPict="0" macro="[1]!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6" r:id="rId275" name="Button 272">
              <controlPr defaultSize="0" autoFill="0" autoLine="0" autoPict="0" macro="[1]!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7" r:id="rId276" name="Button 273">
              <controlPr defaultSize="0" autoFill="0" autoLine="0" autoPict="0" macro="[1]!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98" r:id="rId277" name="Button 274">
              <controlPr defaultSize="0" autoFill="0" autoLine="0" autoPict="0" macro="[1]!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99" r:id="rId278" name="Button 275">
              <controlPr defaultSize="0" autoFill="0" autoLine="0" autoPict="0" macro="[1]!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300" r:id="rId279" name="Button 276">
              <controlPr defaultSize="0" autoFill="0" autoLine="0" autoPict="0" macro="[1]!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301" r:id="rId280" name="Button 277">
              <controlPr defaultSize="0" autoFill="0" autoLine="0" autoPict="0" macro="[1]!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302" r:id="rId281" name="Button 278">
              <controlPr defaultSize="0" autoFill="0" autoLine="0" autoPict="0" macro="[1]!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303" r:id="rId282" name="Button 279">
              <controlPr defaultSize="0" autoFill="0" autoLine="0" autoPict="0" macro="[1]!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04" r:id="rId283" name="Button 280">
              <controlPr defaultSize="0" autoFill="0" autoLine="0" autoPict="0" macro="[1]!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05" r:id="rId284" name="Button 281">
              <controlPr defaultSize="0" autoFill="0" autoLine="0" autoPict="0" macro="[1]!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06" r:id="rId285" name="Button 282">
              <controlPr defaultSize="0" autoFill="0" autoLine="0" autoPict="0" macro="[1]!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07" r:id="rId286" name="Button 283">
              <controlPr defaultSize="0" autoFill="0" autoLine="0" autoPict="0" macro="[1]!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08" r:id="rId287" name="Button 284">
              <controlPr defaultSize="0" autoFill="0" autoLine="0" autoPict="0" macro="[1]!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09" r:id="rId288" name="Button 285">
              <controlPr defaultSize="0" autoFill="0" autoLine="0" autoPict="0" macro="[1]!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10" r:id="rId289" name="Button 286">
              <controlPr defaultSize="0" autoFill="0" autoLine="0" autoPict="0" macro="[1]!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11" r:id="rId290" name="Button 287">
              <controlPr defaultSize="0" autoFill="0" autoLine="0" autoPict="0" macro="[1]!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312" r:id="rId291" name="Button 288">
              <controlPr defaultSize="0" autoFill="0" autoLine="0" autoPict="0" macro="[1]!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313" r:id="rId292" name="Button 289">
              <controlPr defaultSize="0" autoFill="0" autoLine="0" autoPict="0" macro="[1]!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314" r:id="rId293" name="Button 290">
              <controlPr defaultSize="0" autoFill="0" autoLine="0" autoPict="0" macro="[1]!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15" r:id="rId294" name="Button 291">
              <controlPr defaultSize="0" autoFill="0" autoLine="0" autoPict="0" macro="[1]!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16" r:id="rId295" name="Button 292">
              <controlPr defaultSize="0" autoFill="0" autoLine="0" autoPict="0" macro="[1]!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17" r:id="rId296" name="Button 293">
              <controlPr defaultSize="0" autoFill="0" autoLine="0" autoPict="0" macro="[1]!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18" r:id="rId297" name="Button 294">
              <controlPr defaultSize="0" autoFill="0" autoLine="0" autoPict="0" macro="[1]!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19" r:id="rId298" name="Button 295">
              <controlPr defaultSize="0" autoFill="0" autoLine="0" autoPict="0" macro="[1]!Sheet1.deleteProcedure">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320" r:id="rId299" name="Button 296">
              <controlPr defaultSize="0" autoFill="0" autoLine="0" autoPict="0" macro="[1]!Sheet1.InsertNewTabl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321" r:id="rId300" name="Button 297">
              <controlPr defaultSize="0" autoFill="0" autoLine="0" autoPict="0" macro="[1]!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22" r:id="rId301" name="Button 298">
              <controlPr defaultSize="0" autoFill="0" autoLine="0" autoPict="0" macro="[1]!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323" r:id="rId302" name="Button 299">
              <controlPr defaultSize="0" autoFill="0" autoLine="0" autoPict="0" macro="[1]!Sheet1.InsertNewTabl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324" r:id="rId303" name="Button 300">
              <controlPr defaultSize="0" autoFill="0" autoLine="0" autoPict="0" macro="[1]!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325" r:id="rId304" name="Button 301">
              <controlPr defaultSize="0" autoFill="0" autoLine="0" autoPict="0" macro="[1]!Sheet1.deleteProcedure">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326" r:id="rId305" name="Button 302">
              <controlPr defaultSize="0" autoFill="0" autoLine="0" autoPict="0" macro="[1]!Sheet1.InsertNewTabl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327" r:id="rId306" name="Button 303">
              <controlPr defaultSize="0" autoFill="0" autoLine="0" autoPict="0" macro="[1]!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328" r:id="rId307" name="Button 304">
              <controlPr defaultSize="0" autoFill="0" autoLine="0" autoPict="0" macro="[1]!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329" r:id="rId308" name="Button 305">
              <controlPr defaultSize="0" autoFill="0" autoLine="0" autoPict="0" macro="[1]!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330" r:id="rId309" name="Button 306">
              <controlPr defaultSize="0" autoFill="0" autoLine="0" autoPict="0" macro="[1]!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331" r:id="rId310" name="Button 307">
              <controlPr defaultSize="0" autoFill="0" autoLine="0" autoPict="0" macro="[1]!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332" r:id="rId311" name="Button 308">
              <controlPr defaultSize="0" autoFill="0" autoLine="0" autoPict="0" macro="[1]!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333" r:id="rId312" name="Button 309">
              <controlPr defaultSize="0" autoFill="0" autoLine="0" autoPict="0" macro="[1]!Sheet1.InsertNewTabl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334" r:id="rId313" name="Button 310">
              <controlPr defaultSize="0" autoFill="0" autoLine="0" autoPict="0" macro="[1]!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335" r:id="rId314" name="Button 311">
              <controlPr defaultSize="0" autoFill="0" autoLine="0" autoPict="0" macro="[1]!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336" r:id="rId315" name="Button 312">
              <controlPr defaultSize="0" autoFill="0" autoLine="0" autoPict="0" macro="[1]!Sheet1.InsertNewTabl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337" r:id="rId316" name="Button 313">
              <controlPr defaultSize="0" autoFill="0" autoLine="0" autoPict="0" macro="[1]!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338" r:id="rId317" name="Button 314">
              <controlPr defaultSize="0" autoFill="0" autoLine="0" autoPict="0" macro="[1]!Sheet1.deleteProcedure">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339" r:id="rId318" name="Button 315">
              <controlPr defaultSize="0" autoFill="0" autoLine="0" autoPict="0" macro="[1]!Sheet1.InsertNewTableRow">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340" r:id="rId319" name="Button 316">
              <controlPr defaultSize="0" autoFill="0" autoLine="0" autoPict="0" macro="[1]!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341" r:id="rId320" name="Button 317">
              <controlPr defaultSize="0" autoFill="0" autoLine="0" autoPict="0" macro="[1]!Sheet1.deleteProcedure">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342" r:id="rId321" name="Button 318">
              <controlPr defaultSize="0" autoFill="0" autoLine="0" autoPict="0" macro="[1]!Sheet1.InsertNewTableRow">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343" r:id="rId322" name="Button 319">
              <controlPr defaultSize="0" autoFill="0" autoLine="0" autoPict="0" macro="[1]!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44" r:id="rId323" name="Button 320">
              <controlPr defaultSize="0" autoFill="0" autoLine="0" autoPict="0" macro="[1]!Sheet1.deleteProcedure">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345" r:id="rId324" name="Button 321">
              <controlPr defaultSize="0" autoFill="0" autoLine="0" autoPict="0" macro="[1]!Sheet1.InsertNewTabl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346" r:id="rId325" name="Button 322">
              <controlPr defaultSize="0" autoFill="0" autoLine="0" autoPict="0" macro="[1]!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347" r:id="rId326" name="Button 323">
              <controlPr defaultSize="0" autoFill="0" autoLine="0" autoPict="0" macro="[1]!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348" r:id="rId327" name="Button 324">
              <controlPr defaultSize="0" autoFill="0" autoLine="0" autoPict="0" macro="[1]!Sheet1.deleteProcedure">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349" r:id="rId328" name="Button 325">
              <controlPr defaultSize="0" autoFill="0" autoLine="0" autoPict="0" macro="[1]!Sheet1.InsertNewTabl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350" r:id="rId329" name="Button 326">
              <controlPr defaultSize="0" autoFill="0" autoLine="0" autoPict="0" macro="[1]!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51" r:id="rId330" name="Button 327">
              <controlPr defaultSize="0" autoFill="0" autoLine="0" autoPict="0" macro="[1]!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52" r:id="rId331" name="Button 328">
              <controlPr defaultSize="0" autoFill="0" autoLine="0" autoPict="0" macro="[1]!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53" r:id="rId332" name="Button 329">
              <controlPr defaultSize="0" autoFill="0" autoLine="0" autoPict="0" macro="[1]!Sheet1.deleteProcedure">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354" r:id="rId333" name="Button 330">
              <controlPr defaultSize="0" autoFill="0" autoLine="0" autoPict="0" macro="[1]!Sheet1.InsertNewTableRow">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355" r:id="rId334" name="Button 331">
              <controlPr defaultSize="0" autoFill="0" autoLine="0" autoPict="0" macro="[1]!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356" r:id="rId335" name="Button 332">
              <controlPr defaultSize="0" autoFill="0" autoLine="0" autoPict="0" macro="[1]!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357" r:id="rId336" name="Button 333">
              <controlPr defaultSize="0" autoFill="0" autoLine="0" autoPict="0" macro="[1]!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358" r:id="rId337" name="Button 334">
              <controlPr defaultSize="0" autoFill="0" autoLine="0" autoPict="0" macro="[1]!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59" r:id="rId338" name="Button 335">
              <controlPr defaultSize="0" autoFill="0" autoLine="0" autoPict="0" macro="[1]!Sheet1.deleteProcedure">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360" r:id="rId339" name="Button 336">
              <controlPr defaultSize="0" autoFill="0" autoLine="0" autoPict="0" macro="[1]!Sheet1.InsertNewTableRow">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361" r:id="rId340" name="Button 337">
              <controlPr defaultSize="0" autoFill="0" autoLine="0" autoPict="0" macro="[1]!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362" r:id="rId341" name="Button 338">
              <controlPr defaultSize="0" autoFill="0" autoLine="0" autoPict="0" macro="[1]!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363" r:id="rId342" name="Button 339">
              <controlPr defaultSize="0" autoFill="0" autoLine="0" autoPict="0" macro="[1]!Sheet1.InsertNewTabl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364" r:id="rId343" name="Button 340">
              <controlPr defaultSize="0" autoFill="0" autoLine="0" autoPict="0" macro="[1]!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365" r:id="rId344" name="Button 341">
              <controlPr defaultSize="0" autoFill="0" autoLine="0" autoPict="0" macro="[1]!Sheet1.deleteProcedure">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366" r:id="rId345" name="Button 342">
              <controlPr defaultSize="0" autoFill="0" autoLine="0" autoPict="0" macro="[1]!Sheet1.InsertNewTabl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367" r:id="rId346" name="Button 343">
              <controlPr defaultSize="0" autoFill="0" autoLine="0" autoPict="0" macro="[1]!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368" r:id="rId347" name="Button 344">
              <controlPr defaultSize="0" autoFill="0" autoLine="0" autoPict="0" macro="[1]!Sheet1.deleteProcedure">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369" r:id="rId348" name="Button 345">
              <controlPr defaultSize="0" autoFill="0" autoLine="0" autoPict="0" macro="[1]!Sheet1.InsertNewTabl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370" r:id="rId349" name="Button 346">
              <controlPr defaultSize="0" autoFill="0" autoLine="0" autoPict="0" macro="[1]!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371" r:id="rId350" name="Button 347">
              <controlPr defaultSize="0" autoFill="0" autoLine="0" autoPict="0" macro="[1]!Sheet1.deleteProcedure">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372" r:id="rId351" name="Button 348">
              <controlPr defaultSize="0" autoFill="0" autoLine="0" autoPict="0" macro="[1]!Sheet1.InsertNewTabl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373" r:id="rId352" name="Button 349">
              <controlPr defaultSize="0" autoFill="0" autoLine="0" autoPict="0" macro="[1]!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374" r:id="rId353" name="Button 350">
              <controlPr defaultSize="0" autoFill="0" autoLine="0" autoPict="0" macro="[1]!Sheet1.deleteProcedure">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375" r:id="rId354" name="Button 351">
              <controlPr defaultSize="0" autoFill="0" autoLine="0" autoPict="0" macro="[1]!Sheet1.InsertNewTabl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376" r:id="rId355" name="Button 352">
              <controlPr defaultSize="0" autoFill="0" autoLine="0" autoPict="0" macro="[1]!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377" r:id="rId356" name="Button 353">
              <controlPr defaultSize="0" autoFill="0" autoLine="0" autoPict="0" macro="[1]!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378" r:id="rId357" name="Button 354">
              <controlPr defaultSize="0" autoFill="0" autoLine="0" autoPict="0" macro="[1]!Sheet1.deleteProcedure">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379" r:id="rId358" name="Button 355">
              <controlPr defaultSize="0" autoFill="0" autoLine="0" autoPict="0" macro="[1]!Sheet1.InsertNewTableRow">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380" r:id="rId359" name="Button 356">
              <controlPr defaultSize="0" autoFill="0" autoLine="0" autoPict="0" macro="[1]!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381" r:id="rId360" name="Button 357">
              <controlPr defaultSize="0" autoFill="0" autoLine="0" autoPict="0" macro="[1]!Sheet1.deleteProcedure">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382" r:id="rId361" name="Button 358">
              <controlPr defaultSize="0" autoFill="0" autoLine="0" autoPict="0" macro="[1]!Sheet1.InsertNewTableRow">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383" r:id="rId362" name="Button 359">
              <controlPr defaultSize="0" autoFill="0" autoLine="0" autoPict="0" macro="[1]!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384" r:id="rId363" name="Button 360">
              <controlPr defaultSize="0" autoFill="0" autoLine="0" autoPict="0" macro="[1]!Sheet1.deleteProcedure">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385" r:id="rId364" name="Button 361">
              <controlPr defaultSize="0" autoFill="0" autoLine="0" autoPict="0" macro="[1]!Sheet1.InsertNewTabl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386" r:id="rId365" name="Button 362">
              <controlPr defaultSize="0" autoFill="0" autoLine="0" autoPict="0" macro="[1]!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387" r:id="rId366" name="Button 363">
              <controlPr defaultSize="0" autoFill="0" autoLine="0" autoPict="0" macro="[1]!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388" r:id="rId367" name="Button 364">
              <controlPr defaultSize="0" autoFill="0" autoLine="0" autoPict="0" macro="[1]!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389" r:id="rId368" name="Button 365">
              <controlPr defaultSize="0" autoFill="0" autoLine="0" autoPict="0" macro="[1]!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390" r:id="rId369" name="Button 366">
              <controlPr defaultSize="0" autoFill="0" autoLine="0" autoPict="0" macro="[1]!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391" r:id="rId370" name="Button 367">
              <controlPr defaultSize="0" autoFill="0" autoLine="0" autoPict="0" macro="[1]!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392" r:id="rId371" name="Button 368">
              <controlPr defaultSize="0" autoFill="0" autoLine="0" autoPict="0" macro="[1]!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393" r:id="rId372" name="Button 369">
              <controlPr defaultSize="0" autoFill="0" autoLine="0" autoPict="0" macro="[1]!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394" r:id="rId373" name="Button 370">
              <controlPr defaultSize="0" autoFill="0" autoLine="0" autoPict="0" macro="[1]!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395" r:id="rId374" name="Button 371">
              <controlPr defaultSize="0" autoFill="0" autoLine="0" autoPict="0" macro="[1]!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396" r:id="rId375" name="Button 372">
              <controlPr defaultSize="0" autoFill="0" autoLine="0" autoPict="0" macro="[1]!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397" r:id="rId376" name="Button 373">
              <controlPr defaultSize="0" autoFill="0" autoLine="0" autoPict="0" macro="[1]!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398" r:id="rId377" name="Button 374">
              <controlPr defaultSize="0" autoFill="0" autoLine="0" autoPict="0" macro="[1]!Sheet1.deleteProcedure">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399" r:id="rId378" name="Button 375">
              <controlPr defaultSize="0" autoFill="0" autoLine="0" autoPict="0" macro="[1]!Sheet1.InsertNewTabl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400" r:id="rId379" name="Button 376">
              <controlPr defaultSize="0" autoFill="0" autoLine="0" autoPict="0" macro="[1]!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401" r:id="rId380" name="Button 377">
              <controlPr defaultSize="0" autoFill="0" autoLine="0" autoPict="0" macro="[1]!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402" r:id="rId381" name="Button 378">
              <controlPr defaultSize="0" autoFill="0" autoLine="0" autoPict="0" macro="[1]!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403" r:id="rId382" name="Button 379">
              <controlPr defaultSize="0" autoFill="0" autoLine="0" autoPict="0" macro="[1]!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404" r:id="rId383" name="Button 380">
              <controlPr defaultSize="0" autoFill="0" autoLine="0" autoPict="0" macro="[1]!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405" r:id="rId384" name="Button 381">
              <controlPr defaultSize="0" autoFill="0" autoLine="0" autoPict="0" macro="[1]!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406" r:id="rId385" name="Button 382">
              <controlPr defaultSize="0" autoFill="0" autoLine="0" autoPict="0" macro="[1]!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407" r:id="rId386" name="Button 383">
              <controlPr defaultSize="0" autoFill="0" autoLine="0" autoPict="0" macro="[1]!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408" r:id="rId387" name="Button 384">
              <controlPr defaultSize="0" autoFill="0" autoLine="0" autoPict="0" macro="[1]!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409" r:id="rId388" name="Button 385">
              <controlPr defaultSize="0" autoFill="0" autoLine="0" autoPict="0" macro="[1]!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410" r:id="rId389" name="Button 386">
              <controlPr defaultSize="0" autoFill="0" autoLine="0" autoPict="0" macro="[1]!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411" r:id="rId390" name="Button 387">
              <controlPr defaultSize="0" autoFill="0" autoLine="0" autoPict="0" macro="[1]!Sheet1.deleteProcedure">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412" r:id="rId391" name="Button 388">
              <controlPr defaultSize="0" autoFill="0" autoLine="0" autoPict="0" macro="[1]!Sheet1.InsertNewTabl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413" r:id="rId392" name="Button 389">
              <controlPr defaultSize="0" autoFill="0" autoLine="0" autoPict="0" macro="[1]!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414" r:id="rId393" name="Button 390">
              <controlPr defaultSize="0" autoFill="0" autoLine="0" autoPict="0" macro="[1]!Sheet1.deleteProcedure">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415" r:id="rId394" name="Button 391">
              <controlPr defaultSize="0" autoFill="0" autoLine="0" autoPict="0" macro="[1]!Sheet1.InsertNewTabl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416" r:id="rId395" name="Button 392">
              <controlPr defaultSize="0" autoFill="0" autoLine="0" autoPict="0" macro="[1]!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417" r:id="rId396" name="Button 393">
              <controlPr defaultSize="0" autoFill="0" autoLine="0" autoPict="0" macro="[1]!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418" r:id="rId397" name="Button 394">
              <controlPr defaultSize="0" autoFill="0" autoLine="0" autoPict="0" macro="[1]!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419" r:id="rId398" name="Button 395">
              <controlPr defaultSize="0" autoFill="0" autoLine="0" autoPict="0" macro="[1]!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420" r:id="rId399" name="Button 396">
              <controlPr defaultSize="0" autoFill="0" autoLine="0" autoPict="0" macro="[1]!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421" r:id="rId400" name="Button 397">
              <controlPr defaultSize="0" autoFill="0" autoLine="0" autoPict="0" macro="[1]!Sheet1.deleteProcedure">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422" r:id="rId401" name="Button 398">
              <controlPr defaultSize="0" autoFill="0" autoLine="0" autoPict="0" macro="[1]!Sheet1.InsertNewTabl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423" r:id="rId402" name="Button 399">
              <controlPr defaultSize="0" autoFill="0" autoLine="0" autoPict="0" macro="[1]!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424" r:id="rId403" name="Button 400">
              <controlPr defaultSize="0" autoFill="0" autoLine="0" autoPict="0" macro="[1]!Sheet1.deleteProcedure">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425" r:id="rId404" name="Button 401">
              <controlPr defaultSize="0" autoFill="0" autoLine="0" autoPict="0" macro="[1]!Sheet1.InsertNewTabl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426" r:id="rId405" name="Button 402">
              <controlPr defaultSize="0" autoFill="0" autoLine="0" autoPict="0" macro="[1]!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427" r:id="rId406" name="Button 403">
              <controlPr defaultSize="0" autoFill="0" autoLine="0" autoPict="0" macro="[1]!Sheet1.deleteProcedure">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428" r:id="rId407" name="Button 404">
              <controlPr defaultSize="0" autoFill="0" autoLine="0" autoPict="0" macro="[1]!Sheet1.InsertNewTabl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429" r:id="rId408" name="Button 405">
              <controlPr defaultSize="0" autoFill="0" autoLine="0" autoPict="0" macro="[1]!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430" r:id="rId409" name="Button 406">
              <controlPr defaultSize="0" autoFill="0" autoLine="0" autoPict="0" macro="[1]!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431" r:id="rId410" name="Button 407">
              <controlPr defaultSize="0" autoFill="0" autoLine="0" autoPict="0" macro="[1]!Sheet1.InsertNewTabl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432" r:id="rId411" name="Button 408">
              <controlPr defaultSize="0" autoFill="0" autoLine="0" autoPict="0" macro="[1]!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433" r:id="rId412" name="Button 409">
              <controlPr defaultSize="0" autoFill="0" autoLine="0" autoPict="0" macro="[1]!Sheet1.deleteProcedure">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434" r:id="rId413" name="Button 410">
              <controlPr defaultSize="0" autoFill="0" autoLine="0" autoPict="0" macro="[1]!Sheet1.InsertNewTabl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435" r:id="rId414" name="Button 411">
              <controlPr defaultSize="0" autoFill="0" autoLine="0" autoPict="0" macro="[1]!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436" r:id="rId415" name="Button 412">
              <controlPr defaultSize="0" autoFill="0" autoLine="0" autoPict="0" macro="[1]!Sheet1.deleteProcedure">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437" r:id="rId416" name="Button 413">
              <controlPr defaultSize="0" autoFill="0" autoLine="0" autoPict="0" macro="[1]!Sheet1.InsertNewTabl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438" r:id="rId417" name="Button 414">
              <controlPr defaultSize="0" autoFill="0" autoLine="0" autoPict="0" macro="[1]!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439" r:id="rId418" name="Button 415">
              <controlPr defaultSize="0" autoFill="0" autoLine="0" autoPict="0" macro="[1]!Sheet1.deleteProcedure">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440" r:id="rId419" name="Button 416">
              <controlPr defaultSize="0" autoFill="0" autoLine="0" autoPict="0" macro="[1]!Sheet1.InsertNewTabl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441" r:id="rId420" name="Button 417">
              <controlPr defaultSize="0" autoFill="0" autoLine="0" autoPict="0" macro="[1]!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442" r:id="rId421" name="Button 418">
              <controlPr defaultSize="0" autoFill="0" autoLine="0" autoPict="0" macro="[1]!Sheet1.deleteProcedure">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443" r:id="rId422" name="Button 419">
              <controlPr defaultSize="0" autoFill="0" autoLine="0" autoPict="0" macro="[1]!Sheet1.InsertNewTabl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444" r:id="rId423" name="Button 420">
              <controlPr defaultSize="0" autoFill="0" autoLine="0" autoPict="0" macro="[1]!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445" r:id="rId424" name="Button 421">
              <controlPr defaultSize="0" autoFill="0" autoLine="0" autoPict="0" macro="[1]!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446" r:id="rId425" name="Button 422">
              <controlPr defaultSize="0" autoFill="0" autoLine="0" autoPict="0" macro="[1]!Sheet1.InsertNewTabl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447" r:id="rId426" name="Button 423">
              <controlPr defaultSize="0" autoFill="0" autoLine="0" autoPict="0" macro="[1]!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448" r:id="rId427" name="Button 424">
              <controlPr defaultSize="0" autoFill="0" autoLine="0" autoPict="0" macro="[1]!Sheet1.deleteProcedure">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449" r:id="rId428" name="Button 425">
              <controlPr defaultSize="0" autoFill="0" autoLine="0" autoPict="0" macro="[1]!Sheet1.InsertNewTabl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450" r:id="rId429" name="Button 426">
              <controlPr defaultSize="0" autoFill="0" autoLine="0" autoPict="0" macro="[1]!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451" r:id="rId430" name="Button 427">
              <controlPr defaultSize="0" autoFill="0" autoLine="0" autoPict="0" macro="[1]!Sheet1.deleteProcedure">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452" r:id="rId431" name="Button 428">
              <controlPr defaultSize="0" autoFill="0" autoLine="0" autoPict="0" macro="[1]!Sheet1.InsertNewTabl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453" r:id="rId432" name="Button 429">
              <controlPr defaultSize="0" autoFill="0" autoLine="0" autoPict="0" macro="[1]!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454" r:id="rId433" name="Button 430">
              <controlPr defaultSize="0" autoFill="0" autoLine="0" autoPict="0" macro="[1]!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455" r:id="rId434" name="Button 431">
              <controlPr defaultSize="0" autoFill="0" autoLine="0" autoPict="0" macro="[1]!Sheet1.InsertNewTabl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456" r:id="rId435" name="Button 432">
              <controlPr defaultSize="0" autoFill="0" autoLine="0" autoPict="0" macro="[1]!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457" r:id="rId436" name="Button 433">
              <controlPr defaultSize="0" autoFill="0" autoLine="0" autoPict="0" macro="[1]!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458" r:id="rId437" name="Button 434">
              <controlPr defaultSize="0" autoFill="0" autoLine="0" autoPict="0" macro="[1]!Sheet1.deleteProcedure">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459" r:id="rId438" name="Button 435">
              <controlPr defaultSize="0" autoFill="0" autoLine="0" autoPict="0" macro="[1]!Sheet1.InsertNewTableRow">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460" r:id="rId439" name="Button 436">
              <controlPr defaultSize="0" autoFill="0" autoLine="0" autoPict="0" macro="[1]!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461" r:id="rId440" name="Button 437">
              <controlPr defaultSize="0" autoFill="0" autoLine="0" autoPict="0" macro="[1]!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462" r:id="rId441" name="Button 438">
              <controlPr defaultSize="0" autoFill="0" autoLine="0" autoPict="0" macro="[1]!Sheet1.deleteProcedure">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463" r:id="rId442" name="Button 439">
              <controlPr defaultSize="0" autoFill="0" autoLine="0" autoPict="0" macro="[1]!Sheet1.InsertNewTableRow">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464" r:id="rId443" name="Button 440">
              <controlPr defaultSize="0" autoFill="0" autoLine="0" autoPict="0" macro="[1]!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465" r:id="rId444" name="Button 441">
              <controlPr defaultSize="0" autoFill="0" autoLine="0" autoPict="0" macro="[1]!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466" r:id="rId445" name="Button 442">
              <controlPr defaultSize="0" autoFill="0" autoLine="0" autoPict="0" macro="[1]!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467" r:id="rId446" name="Button 443">
              <controlPr defaultSize="0" autoFill="0" autoLine="0" autoPict="0" macro="[1]!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468" r:id="rId447" name="Button 444">
              <controlPr defaultSize="0" autoFill="0" autoLine="0" autoPict="0" macro="[1]!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469" r:id="rId448" name="Button 445">
              <controlPr defaultSize="0" autoFill="0" autoLine="0" autoPict="0" macro="[1]!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470" r:id="rId449" name="Button 446">
              <controlPr defaultSize="0" autoFill="0" autoLine="0" autoPict="0" macro="[1]!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471" r:id="rId450" name="Button 447">
              <controlPr defaultSize="0" autoFill="0" autoLine="0" autoPict="0" macro="[1]!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472" r:id="rId451" name="Button 448">
              <controlPr defaultSize="0" autoFill="0" autoLine="0" autoPict="0" macro="[1]!Sheet1.deleteProcedure">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473" r:id="rId452" name="Button 449">
              <controlPr defaultSize="0" autoFill="0" autoLine="0" autoPict="0" macro="[1]!Sheet1.InsertNewTableRow">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474" r:id="rId453" name="Button 450">
              <controlPr defaultSize="0" autoFill="0" autoLine="0" autoPict="0" macro="[1]!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475" r:id="rId454" name="Button 451">
              <controlPr defaultSize="0" autoFill="0" autoLine="0" autoPict="0" macro="[1]!Sheet1.deleteProcedure">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476" r:id="rId455" name="Button 452">
              <controlPr defaultSize="0" autoFill="0" autoLine="0" autoPict="0" macro="[1]!Sheet1.InsertNewTabl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477" r:id="rId456" name="Button 453">
              <controlPr defaultSize="0" autoFill="0" autoLine="0" autoPict="0" macro="[1]!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478" r:id="rId457" name="Button 454">
              <controlPr defaultSize="0" autoFill="0" autoLine="0" autoPict="0" macro="[1]!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479" r:id="rId458" name="Button 455">
              <controlPr defaultSize="0" autoFill="0" autoLine="0" autoPict="0" macro="[1]!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480" r:id="rId459" name="Button 456">
              <controlPr defaultSize="0" autoFill="0" autoLine="0" autoPict="0" macro="[1]!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481" r:id="rId460" name="Button 457">
              <controlPr defaultSize="0" autoFill="0" autoLine="0" autoPict="0" macro="[1]!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482" r:id="rId461" name="Button 458">
              <controlPr defaultSize="0" autoFill="0" autoLine="0" autoPict="0" macro="[1]!Sheet1.deleteProcedure">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483" r:id="rId462" name="Button 459">
              <controlPr defaultSize="0" autoFill="0" autoLine="0" autoPict="0" macro="[1]!Sheet1.InsertNewTabl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484" r:id="rId463" name="Button 460">
              <controlPr defaultSize="0" autoFill="0" autoLine="0" autoPict="0" macro="[1]!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485" r:id="rId464" name="Button 461">
              <controlPr defaultSize="0" autoFill="0" autoLine="0" autoPict="0" macro="[1]!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486" r:id="rId465" name="Button 462">
              <controlPr defaultSize="0" autoFill="0" autoLine="0" autoPict="0" macro="[1]!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487" r:id="rId466" name="Button 463">
              <controlPr defaultSize="0" autoFill="0" autoLine="0" autoPict="0" macro="[1]!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488" r:id="rId467" name="Button 464">
              <controlPr defaultSize="0" autoFill="0" autoLine="0" autoPict="0" macro="[1]!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489" r:id="rId468" name="Button 465">
              <controlPr defaultSize="0" autoFill="0" autoLine="0" autoPict="0" macro="[1]!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490" r:id="rId469" name="Button 466">
              <controlPr defaultSize="0" autoFill="0" autoLine="0" autoPict="0" macro="[1]!Sheet1.InsertNewTabl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491" r:id="rId470" name="Button 467">
              <controlPr defaultSize="0" autoFill="0" autoLine="0" autoPict="0" macro="[1]!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492" r:id="rId471" name="Button 468">
              <controlPr defaultSize="0" autoFill="0" autoLine="0" autoPict="0" macro="[1]!Sheet1.deleteProcedure">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493" r:id="rId472" name="Button 469">
              <controlPr defaultSize="0" autoFill="0" autoLine="0" autoPict="0" macro="[1]!Sheet1.InsertNewTabl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494" r:id="rId473" name="Button 470">
              <controlPr defaultSize="0" autoFill="0" autoLine="0" autoPict="0" macro="[1]!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495" r:id="rId474" name="Button 471">
              <controlPr defaultSize="0" autoFill="0" autoLine="0" autoPict="0" macro="[1]!Sheet1.deleteProcedure">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496" r:id="rId475" name="Button 472">
              <controlPr defaultSize="0" autoFill="0" autoLine="0" autoPict="0" macro="[1]!Sheet1.InsertNewTableRow">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497" r:id="rId476" name="Button 473">
              <controlPr defaultSize="0" autoFill="0" autoLine="0" autoPict="0" macro="[1]!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498" r:id="rId477" name="Button 474">
              <controlPr defaultSize="0" autoFill="0" autoLine="0" autoPict="0" macro="[1]!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499" r:id="rId478" name="Button 475">
              <controlPr defaultSize="0" autoFill="0" autoLine="0" autoPict="0" macro="[1]!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500" r:id="rId479" name="Button 476">
              <controlPr defaultSize="0" autoFill="0" autoLine="0" autoPict="0" macro="[1]!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501" r:id="rId480" name="Button 477">
              <controlPr defaultSize="0" autoFill="0" autoLine="0" autoPict="0" macro="[1]!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502" r:id="rId481" name="Button 478">
              <controlPr defaultSize="0" autoFill="0" autoLine="0" autoPict="0" macro="[1]!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503" r:id="rId482" name="Button 479">
              <controlPr defaultSize="0" autoFill="0" autoLine="0" autoPict="0" macro="[1]!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504" r:id="rId483" name="Button 480">
              <controlPr defaultSize="0" autoFill="0" autoLine="0" autoPict="0" macro="[1]!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505" r:id="rId484" name="Button 481">
              <controlPr defaultSize="0" autoFill="0" autoLine="0" autoPict="0" macro="[1]!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506" r:id="rId485" name="Button 482">
              <controlPr defaultSize="0" autoFill="0" autoLine="0" autoPict="0" macro="[1]!Sheet1.deleteProcedure">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507" r:id="rId486" name="Button 483">
              <controlPr defaultSize="0" autoFill="0" autoLine="0" autoPict="0" macro="[1]!Sheet1.InsertNewTabl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1508" r:id="rId487" name="Button 484">
              <controlPr defaultSize="0" autoFill="0" autoLine="0" autoPict="0" macro="[1]!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509" r:id="rId488" name="Button 485">
              <controlPr defaultSize="0" autoFill="0" autoLine="0" autoPict="0" macro="[1]!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510" r:id="rId489" name="Button 486">
              <controlPr defaultSize="0" autoFill="0" autoLine="0" autoPict="0" macro="[1]!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511" r:id="rId490" name="Button 487">
              <controlPr defaultSize="0" autoFill="0" autoLine="0" autoPict="0" macro="[1]!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512" r:id="rId491" name="Button 488">
              <controlPr defaultSize="0" autoFill="0" autoLine="0" autoPict="0" macro="[1]!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513" r:id="rId492" name="Button 489">
              <controlPr defaultSize="0" autoFill="0" autoLine="0" autoPict="0" macro="[1]!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514" r:id="rId493" name="Button 490">
              <controlPr defaultSize="0" autoFill="0" autoLine="0" autoPict="0" macro="[1]!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515" r:id="rId494" name="Button 491">
              <controlPr defaultSize="0" autoFill="0" autoLine="0" autoPict="0" macro="[1]!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516" r:id="rId495" name="Button 492">
              <controlPr defaultSize="0" autoFill="0" autoLine="0" autoPict="0" macro="[1]!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517" r:id="rId496" name="Button 493">
              <controlPr defaultSize="0" autoFill="0" autoLine="0" autoPict="0" macro="[1]!Sheet1.deleteProcedure">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1518" r:id="rId497" name="Button 494">
              <controlPr defaultSize="0" autoFill="0" autoLine="0" autoPict="0" macro="[1]!Sheet1.InsertNewTabl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1519" r:id="rId498" name="Button 495">
              <controlPr defaultSize="0" autoFill="0" autoLine="0" autoPict="0" macro="[1]!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520" r:id="rId499" name="Button 496">
              <controlPr defaultSize="0" autoFill="0" autoLine="0" autoPict="0" macro="[1]!Sheet1.deleteProcedure">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1521" r:id="rId500" name="Button 497">
              <controlPr defaultSize="0" autoFill="0" autoLine="0" autoPict="0" macro="[1]!Sheet1.InsertNewTabl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1522" r:id="rId501" name="Button 498">
              <controlPr defaultSize="0" autoFill="0" autoLine="0" autoPict="0" macro="[1]!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523" r:id="rId502" name="Button 499">
              <controlPr defaultSize="0" autoFill="0" autoLine="0" autoPict="0" macro="[1]!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524" r:id="rId503" name="Button 500">
              <controlPr defaultSize="0" autoFill="0" autoLine="0" autoPict="0" macro="[1]!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525" r:id="rId504" name="Button 501">
              <controlPr defaultSize="0" autoFill="0" autoLine="0" autoPict="0" macro="[1]!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526" r:id="rId505" name="Button 502">
              <controlPr defaultSize="0" autoFill="0" autoLine="0" autoPict="0" macro="[1]!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527" r:id="rId506" name="Button 503">
              <controlPr defaultSize="0" autoFill="0" autoLine="0" autoPict="0" macro="[1]!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528" r:id="rId507" name="Button 504">
              <controlPr defaultSize="0" autoFill="0" autoLine="0" autoPict="0" macro="[1]!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529" r:id="rId508" name="Button 505">
              <controlPr defaultSize="0" autoFill="0" autoLine="0" autoPict="0" macro="[1]!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530" r:id="rId509" name="Button 506">
              <controlPr defaultSize="0" autoFill="0" autoLine="0" autoPict="0" macro="[1]!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531" r:id="rId510" name="Button 507">
              <controlPr defaultSize="0" autoFill="0" autoLine="0" autoPict="0" macro="[1]!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532" r:id="rId511" name="Button 508">
              <controlPr defaultSize="0" autoFill="0" autoLine="0" autoPict="0" macro="[1]!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533" r:id="rId512" name="Button 509">
              <controlPr defaultSize="0" autoFill="0" autoLine="0" autoPict="0" macro="[1]!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534" r:id="rId513" name="Button 510">
              <controlPr defaultSize="0" autoFill="0" autoLine="0" autoPict="0" macro="[1]!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535" r:id="rId514" name="Button 511">
              <controlPr defaultSize="0" autoFill="0" autoLine="0" autoPict="0" macro="[1]!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536" r:id="rId515" name="Button 512">
              <controlPr defaultSize="0" autoFill="0" autoLine="0" autoPict="0" macro="[1]!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537" r:id="rId516" name="Button 513">
              <controlPr defaultSize="0" autoFill="0" autoLine="0" autoPict="0" macro="[1]!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538" r:id="rId517" name="Button 514">
              <controlPr defaultSize="0" autoFill="0" autoLine="0" autoPict="0" macro="[1]!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539" r:id="rId518" name="Button 515">
              <controlPr defaultSize="0" autoFill="0" autoLine="0" autoPict="0" macro="[1]!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540" r:id="rId519" name="Button 516">
              <controlPr defaultSize="0" autoFill="0" autoLine="0" autoPict="0" macro="[1]!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541" r:id="rId520" name="Button 517">
              <controlPr defaultSize="0" autoFill="0" autoLine="0" autoPict="0" macro="[1]!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542" r:id="rId521" name="Button 518">
              <controlPr defaultSize="0" autoFill="0" autoLine="0" autoPict="0" macro="[1]!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543" r:id="rId522" name="Button 519">
              <controlPr defaultSize="0" autoFill="0" autoLine="0" autoPict="0" macro="[1]!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544" r:id="rId523" name="Button 520">
              <controlPr defaultSize="0" autoFill="0" autoLine="0" autoPict="0" macro="[1]!Sheet1.deleteProcedure">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1545" r:id="rId524" name="Button 521">
              <controlPr defaultSize="0" autoFill="0" autoLine="0" autoPict="0" macro="[1]!Sheet1.InsertNewTableRow">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1546" r:id="rId525" name="Button 522">
              <controlPr defaultSize="0" autoFill="0" autoLine="0" autoPict="0" macro="[1]!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547" r:id="rId526" name="Button 523">
              <controlPr defaultSize="0" autoFill="0" autoLine="0" autoPict="0" macro="[1]!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548" r:id="rId527" name="Button 524">
              <controlPr defaultSize="0" autoFill="0" autoLine="0" autoPict="0" macro="[1]!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549" r:id="rId528" name="Button 525">
              <controlPr defaultSize="0" autoFill="0" autoLine="0" autoPict="0" macro="[1]!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550" r:id="rId529" name="Button 526">
              <controlPr defaultSize="0" autoFill="0" autoLine="0" autoPict="0" macro="[1]!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551" r:id="rId530" name="Button 527">
              <controlPr defaultSize="0" autoFill="0" autoLine="0" autoPict="0" macro="[1]!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552" r:id="rId531" name="Button 528">
              <controlPr defaultSize="0" autoFill="0" autoLine="0" autoPict="0" macro="[1]!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553" r:id="rId532" name="Button 529">
              <controlPr defaultSize="0" autoFill="0" autoLine="0" autoPict="0" macro="[1]!Sheet1.deleteProcedure">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1554" r:id="rId533" name="Button 530">
              <controlPr defaultSize="0" autoFill="0" autoLine="0" autoPict="0" macro="[1]!Sheet1.InsertNewTableRow">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555" r:id="rId534" name="Button 531">
              <controlPr defaultSize="0" autoFill="0" autoLine="0" autoPict="0" macro="[1]!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556" r:id="rId535" name="Button 532">
              <controlPr defaultSize="0" autoFill="0" autoLine="0" autoPict="0" macro="[1]!Sheet1.deleteProcedure">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557" r:id="rId536" name="Button 533">
              <controlPr defaultSize="0" autoFill="0" autoLine="0" autoPict="0" macro="[1]!Sheet1.InsertNewTableRow">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558" r:id="rId537" name="Button 534">
              <controlPr defaultSize="0" autoFill="0" autoLine="0" autoPict="0" macro="[1]!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559" r:id="rId538" name="Button 535">
              <controlPr defaultSize="0" autoFill="0" autoLine="0" autoPict="0" macro="[1]!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560" r:id="rId539" name="Button 536">
              <controlPr defaultSize="0" autoFill="0" autoLine="0" autoPict="0" macro="[1]!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561" r:id="rId540" name="Button 537">
              <controlPr defaultSize="0" autoFill="0" autoLine="0" autoPict="0" macro="[1]!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562" r:id="rId541" name="Button 538">
              <controlPr defaultSize="0" autoFill="0" autoLine="0" autoPict="0" macro="[1]!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563" r:id="rId542" name="Button 539">
              <controlPr defaultSize="0" autoFill="0" autoLine="0" autoPict="0" macro="[1]!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564" r:id="rId543" name="Button 540">
              <controlPr defaultSize="0" autoFill="0" autoLine="0" autoPict="0" macro="[1]!Sheet1.deleteProcedure">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565" r:id="rId544" name="Button 541">
              <controlPr defaultSize="0" autoFill="0" autoLine="0" autoPict="0" macro="[1]!Sheet1.InsertNewTableRow">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1566" r:id="rId545" name="Button 542">
              <controlPr defaultSize="0" autoFill="0" autoLine="0" autoPict="0" macro="[1]!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567" r:id="rId546" name="Button 543">
              <controlPr defaultSize="0" autoFill="0" autoLine="0" autoPict="0" macro="[1]!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568" r:id="rId547" name="Button 544">
              <controlPr defaultSize="0" autoFill="0" autoLine="0" autoPict="0" macro="[1]!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569" r:id="rId548" name="Button 545">
              <controlPr defaultSize="0" autoFill="0" autoLine="0" autoPict="0" macro="[1]!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570" r:id="rId549" name="Button 546">
              <controlPr defaultSize="0" autoFill="0" autoLine="0" autoPict="0" macro="[1]!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571" r:id="rId550" name="Button 547">
              <controlPr defaultSize="0" autoFill="0" autoLine="0" autoPict="0" macro="[1]!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572" r:id="rId551" name="Button 548">
              <controlPr defaultSize="0" autoFill="0" autoLine="0" autoPict="0" macro="[1]!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573" r:id="rId552" name="Button 549">
              <controlPr defaultSize="0" autoFill="0" autoLine="0" autoPict="0" macro="[1]!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574" r:id="rId553" name="Button 550">
              <controlPr defaultSize="0" autoFill="0" autoLine="0" autoPict="0" macro="[1]!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575" r:id="rId554" name="Button 551">
              <controlPr defaultSize="0" autoFill="0" autoLine="0" autoPict="0" macro="[1]!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576" r:id="rId555" name="Button 552">
              <controlPr defaultSize="0" autoFill="0" autoLine="0" autoPict="0" macro="[1]!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577" r:id="rId556" name="Button 553">
              <controlPr defaultSize="0" autoFill="0" autoLine="0" autoPict="0" macro="[1]!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578" r:id="rId557" name="Button 554">
              <controlPr defaultSize="0" autoFill="0" autoLine="0" autoPict="0" macro="[1]!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579" r:id="rId558" name="Button 555">
              <controlPr defaultSize="0" autoFill="0" autoLine="0" autoPict="0" macro="[1]!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580" r:id="rId559" name="Button 556">
              <controlPr defaultSize="0" autoFill="0" autoLine="0" autoPict="0" macro="[1]!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581" r:id="rId560" name="Button 557">
              <controlPr defaultSize="0" autoFill="0" autoLine="0" autoPict="0" macro="[1]!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582" r:id="rId561" name="Button 558">
              <controlPr defaultSize="0" autoFill="0" autoLine="0" autoPict="0" macro="[1]!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583" r:id="rId562" name="Button 559">
              <controlPr defaultSize="0" autoFill="0" autoLine="0" autoPict="0" macro="[1]!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584" r:id="rId563" name="Button 560">
              <controlPr defaultSize="0" autoFill="0" autoLine="0" autoPict="0" macro="[1]!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585" r:id="rId564" name="Button 561">
              <controlPr defaultSize="0" autoFill="0" autoLine="0" autoPict="0" macro="[1]!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586" r:id="rId565" name="Button 562">
              <controlPr defaultSize="0" autoFill="0" autoLine="0" autoPict="0" macro="[1]!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587" r:id="rId566" name="Button 563">
              <controlPr defaultSize="0" autoFill="0" autoLine="0" autoPict="0" macro="[1]!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588" r:id="rId567" name="Button 564">
              <controlPr defaultSize="0" autoFill="0" autoLine="0" autoPict="0" macro="[1]!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589" r:id="rId568" name="Button 565">
              <controlPr defaultSize="0" autoFill="0" autoLine="0" autoPict="0" macro="[1]!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590" r:id="rId569" name="Button 566">
              <controlPr defaultSize="0" autoFill="0" autoLine="0" autoPict="0" macro="[1]!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591" r:id="rId570" name="Button 567">
              <controlPr defaultSize="0" autoFill="0" autoLine="0" autoPict="0" macro="[1]!Sheet1.deleteProcedure">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592" r:id="rId571" name="Button 568">
              <controlPr defaultSize="0" autoFill="0" autoLine="0" autoPict="0" macro="[1]!Sheet1.InsertNewTabl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593" r:id="rId572" name="Button 569">
              <controlPr defaultSize="0" autoFill="0" autoLine="0" autoPict="0" macro="[1]!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594" r:id="rId573" name="Button 570">
              <controlPr defaultSize="0" autoFill="0" autoLine="0" autoPict="0" macro="[1]!Sheet1.deleteProcedure">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1595" r:id="rId574" name="Button 571">
              <controlPr defaultSize="0" autoFill="0" autoLine="0" autoPict="0" macro="[1]!Sheet1.InsertNewTabl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1596" r:id="rId575" name="Button 572">
              <controlPr defaultSize="0" autoFill="0" autoLine="0" autoPict="0" macro="[1]!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597" r:id="rId576" name="Button 573">
              <controlPr defaultSize="0" autoFill="0" autoLine="0" autoPict="0" macro="[1]!Sheet1.deleteProcedure">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1598" r:id="rId577" name="Button 574">
              <controlPr defaultSize="0" autoFill="0" autoLine="0" autoPict="0" macro="[1]!Sheet1.InsertNewTableRow">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1599" r:id="rId578" name="Button 575">
              <controlPr defaultSize="0" autoFill="0" autoLine="0" autoPict="0" macro="[1]!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600" r:id="rId579" name="Button 576">
              <controlPr defaultSize="0" autoFill="0" autoLine="0" autoPict="0" macro="[1]!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601" r:id="rId580" name="Button 577">
              <controlPr defaultSize="0" autoFill="0" autoLine="0" autoPict="0" macro="[1]!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602" r:id="rId581" name="Button 578">
              <controlPr defaultSize="0" autoFill="0" autoLine="0" autoPict="0" macro="[1]!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603" r:id="rId582" name="Button 579">
              <controlPr defaultSize="0" autoFill="0" autoLine="0" autoPict="0" macro="[1]!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604" r:id="rId583" name="Button 580">
              <controlPr defaultSize="0" autoFill="0" autoLine="0" autoPict="0" macro="[1]!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605" r:id="rId584" name="Button 581">
              <controlPr defaultSize="0" autoFill="0" autoLine="0" autoPict="0" macro="[1]!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606" r:id="rId585" name="Button 582">
              <controlPr defaultSize="0" autoFill="0" autoLine="0" autoPict="0" macro="[1]!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607" r:id="rId586" name="Button 583">
              <controlPr defaultSize="0" autoFill="0" autoLine="0" autoPict="0" macro="[1]!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608" r:id="rId587" name="Button 584">
              <controlPr defaultSize="0" autoFill="0" autoLine="0" autoPict="0" macro="[1]!Sheet1.deleteProcedure">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1609" r:id="rId588" name="Button 585">
              <controlPr defaultSize="0" autoFill="0" autoLine="0" autoPict="0" macro="[1]!Sheet1.InsertNewTableRow">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1610" r:id="rId589" name="Button 586">
              <controlPr defaultSize="0" autoFill="0" autoLine="0" autoPict="0" macro="[1]!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611" r:id="rId590" name="Button 587">
              <controlPr defaultSize="0" autoFill="0" autoLine="0" autoPict="0" macro="[1]!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612" r:id="rId591" name="Button 588">
              <controlPr defaultSize="0" autoFill="0" autoLine="0" autoPict="0" macro="[1]!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613" r:id="rId592" name="Button 589">
              <controlPr defaultSize="0" autoFill="0" autoLine="0" autoPict="0" macro="[1]!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614" r:id="rId593" name="Button 590">
              <controlPr defaultSize="0" autoFill="0" autoLine="0" autoPict="0" macro="[1]!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615" r:id="rId594" name="Button 591">
              <controlPr defaultSize="0" autoFill="0" autoLine="0" autoPict="0" macro="[1]!Sheet1.deleteProcedure">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1616" r:id="rId595" name="Button 592">
              <controlPr defaultSize="0" autoFill="0" autoLine="0" autoPict="0" macro="[1]!Sheet1.InsertNewTableRow">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1617" r:id="rId596" name="Button 593">
              <controlPr defaultSize="0" autoFill="0" autoLine="0" autoPict="0" macro="[1]!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618" r:id="rId597" name="Button 594">
              <controlPr defaultSize="0" autoFill="0" autoLine="0" autoPict="0" macro="[1]!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619" r:id="rId598" name="Button 595">
              <controlPr defaultSize="0" autoFill="0" autoLine="0" autoPict="0" macro="[1]!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620" r:id="rId599" name="Button 596">
              <controlPr defaultSize="0" autoFill="0" autoLine="0" autoPict="0" macro="[1]!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621" r:id="rId600" name="Button 597">
              <controlPr defaultSize="0" autoFill="0" autoLine="0" autoPict="0" macro="[1]!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622" r:id="rId601" name="Button 598">
              <controlPr defaultSize="0" autoFill="0" autoLine="0" autoPict="0" macro="[1]!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623" r:id="rId602" name="Button 599">
              <controlPr defaultSize="0" autoFill="0" autoLine="0" autoPict="0" macro="[1]!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624" r:id="rId603" name="Button 600">
              <controlPr defaultSize="0" autoFill="0" autoLine="0" autoPict="0" macro="[1]!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625" r:id="rId604" name="Button 601">
              <controlPr defaultSize="0" autoFill="0" autoLine="0" autoPict="0" macro="[1]!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626" r:id="rId605" name="Button 602">
              <controlPr defaultSize="0" autoFill="0" autoLine="0" autoPict="0" macro="[1]!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627" r:id="rId606" name="Button 603">
              <controlPr defaultSize="0" autoFill="0" autoLine="0" autoPict="0" macro="[1]!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628" r:id="rId607" name="Button 604">
              <controlPr defaultSize="0" autoFill="0" autoLine="0" autoPict="0" macro="[1]!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629" r:id="rId608" name="Button 605">
              <controlPr defaultSize="0" autoFill="0" autoLine="0" autoPict="0" macro="[1]!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630" r:id="rId609" name="Button 606">
              <controlPr defaultSize="0" autoFill="0" autoLine="0" autoPict="0" macro="[1]!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631" r:id="rId610" name="Button 607">
              <controlPr defaultSize="0" autoFill="0" autoLine="0" autoPict="0" macro="[1]!Sheet1.deleteProcedure">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1632" r:id="rId611" name="Button 608">
              <controlPr defaultSize="0" autoFill="0" autoLine="0" autoPict="0" macro="[1]!Sheet1.InsertNewTableRow">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1633" r:id="rId612" name="Button 609">
              <controlPr defaultSize="0" autoFill="0" autoLine="0" autoPict="0" macro="[1]!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634" r:id="rId613" name="Button 610">
              <controlPr defaultSize="0" autoFill="0" autoLine="0" autoPict="0" macro="[1]!Sheet1.deleteProcedure">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1635" r:id="rId614" name="Button 611">
              <controlPr defaultSize="0" autoFill="0" autoLine="0" autoPict="0" macro="[1]!Sheet1.InsertNewTableRow">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1636" r:id="rId615" name="Button 612">
              <controlPr defaultSize="0" autoFill="0" autoLine="0" autoPict="0" macro="[1]!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637" r:id="rId616" name="Button 613">
              <controlPr defaultSize="0" autoFill="0" autoLine="0" autoPict="0" macro="[1]!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638" r:id="rId617" name="Button 614">
              <controlPr defaultSize="0" autoFill="0" autoLine="0" autoPict="0" macro="[1]!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639" r:id="rId618" name="Button 615">
              <controlPr defaultSize="0" autoFill="0" autoLine="0" autoPict="0" macro="[1]!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640" r:id="rId619" name="Button 616">
              <controlPr defaultSize="0" autoFill="0" autoLine="0" autoPict="0" macro="[1]!Sheet1.deleteProcedure">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1641" r:id="rId620" name="Button 617">
              <controlPr defaultSize="0" autoFill="0" autoLine="0" autoPict="0" macro="[1]!Sheet1.InsertNewTableRow">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1642" r:id="rId621" name="Button 618">
              <controlPr defaultSize="0" autoFill="0" autoLine="0" autoPict="0" macro="[1]!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643" r:id="rId622" name="Button 619">
              <controlPr defaultSize="0" autoFill="0" autoLine="0" autoPict="0" macro="[1]!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644" r:id="rId623" name="Button 620">
              <controlPr defaultSize="0" autoFill="0" autoLine="0" autoPict="0" macro="[1]!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645" r:id="rId624" name="Button 621">
              <controlPr defaultSize="0" autoFill="0" autoLine="0" autoPict="0" macro="[1]!Sheet1.deleteProcedure">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1646" r:id="rId625" name="Button 622">
              <controlPr defaultSize="0" autoFill="0" autoLine="0" autoPict="0" macro="[1]!Sheet1.InsertNewTableRow">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1647" r:id="rId626" name="Button 623">
              <controlPr defaultSize="0" autoFill="0" autoLine="0" autoPict="0" macro="[1]!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648" r:id="rId627" name="Button 624">
              <controlPr defaultSize="0" autoFill="0" autoLine="0" autoPict="0" macro="[1]!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649" r:id="rId628" name="Button 625">
              <controlPr defaultSize="0" autoFill="0" autoLine="0" autoPict="0" macro="[1]!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650" r:id="rId629" name="Button 626">
              <controlPr defaultSize="0" autoFill="0" autoLine="0" autoPict="0" macro="[1]!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651" r:id="rId630" name="Button 627">
              <controlPr defaultSize="0" autoFill="0" autoLine="0" autoPict="0" macro="[1]!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652" r:id="rId631" name="Button 628">
              <controlPr defaultSize="0" autoFill="0" autoLine="0" autoPict="0" macro="[1]!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653" r:id="rId632" name="Button 629">
              <controlPr defaultSize="0" autoFill="0" autoLine="0" autoPict="0" macro="[1]!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654" r:id="rId633" name="Button 630">
              <controlPr defaultSize="0" autoFill="0" autoLine="0" autoPict="0" macro="[1]!Sheet1.deleteProcedure">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1655" r:id="rId634" name="Button 631">
              <controlPr defaultSize="0" autoFill="0" autoLine="0" autoPict="0" macro="[1]!Sheet1.InsertNewTableRow">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1656" r:id="rId635" name="Button 632">
              <controlPr defaultSize="0" autoFill="0" autoLine="0" autoPict="0" macro="[1]!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657" r:id="rId636" name="Button 633">
              <controlPr defaultSize="0" autoFill="0" autoLine="0" autoPict="0" macro="[1]!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658" r:id="rId637" name="Button 634">
              <controlPr defaultSize="0" autoFill="0" autoLine="0" autoPict="0" macro="[1]!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659" r:id="rId638" name="Button 635">
              <controlPr defaultSize="0" autoFill="0" autoLine="0" autoPict="0" macro="[1]!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660" r:id="rId639" name="Button 636">
              <controlPr defaultSize="0" autoFill="0" autoLine="0" autoPict="0" macro="[1]!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661" r:id="rId640" name="Button 637">
              <controlPr defaultSize="0" autoFill="0" autoLine="0" autoPict="0" macro="[1]!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662" r:id="rId641" name="Button 638">
              <controlPr defaultSize="0" autoFill="0" autoLine="0" autoPict="0" macro="[1]!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663" r:id="rId642" name="Button 639">
              <controlPr defaultSize="0" autoFill="0" autoLine="0" autoPict="0" macro="[1]!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664" r:id="rId643" name="Button 640">
              <controlPr defaultSize="0" autoFill="0" autoLine="0" autoPict="0" macro="[1]!Sheet1.deleteProcedure">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665" r:id="rId644" name="Button 641">
              <controlPr defaultSize="0" autoFill="0" autoLine="0" autoPict="0" macro="[1]!Sheet1.InsertNewTableRow">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1666" r:id="rId645" name="Button 642">
              <controlPr defaultSize="0" autoFill="0" autoLine="0" autoPict="0" macro="[1]!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667" r:id="rId646" name="Button 643">
              <controlPr defaultSize="0" autoFill="0" autoLine="0" autoPict="0" macro="[1]!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668" r:id="rId647" name="Button 644">
              <controlPr defaultSize="0" autoFill="0" autoLine="0" autoPict="0" macro="[1]!Sheet1.deleteProcedure">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1669" r:id="rId648" name="Button 645">
              <controlPr defaultSize="0" autoFill="0" autoLine="0" autoPict="0" macro="[1]!Sheet1.InsertNewTableRow">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1670" r:id="rId649" name="Button 646">
              <controlPr defaultSize="0" autoFill="0" autoLine="0" autoPict="0" macro="[1]!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671" r:id="rId650" name="Button 647">
              <controlPr defaultSize="0" autoFill="0" autoLine="0" autoPict="0" macro="[1]!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672" r:id="rId651" name="Button 648">
              <controlPr defaultSize="0" autoFill="0" autoLine="0" autoPict="0" macro="[1]!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673" r:id="rId652" name="Button 649">
              <controlPr defaultSize="0" autoFill="0" autoLine="0" autoPict="0" macro="[1]!Sheet1.deleteProcedure">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1674" r:id="rId653" name="Button 650">
              <controlPr defaultSize="0" autoFill="0" autoLine="0" autoPict="0" macro="[1]!Sheet1.InsertNewTableRow">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1675" r:id="rId654" name="Button 651">
              <controlPr defaultSize="0" autoFill="0" autoLine="0" autoPict="0" macro="[1]!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676" r:id="rId655" name="Button 652">
              <controlPr defaultSize="0" autoFill="0" autoLine="0" autoPict="0" macro="[1]!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677" r:id="rId656" name="Button 653">
              <controlPr defaultSize="0" autoFill="0" autoLine="0" autoPict="0" macro="[1]!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678" r:id="rId657" name="Button 654">
              <controlPr defaultSize="0" autoFill="0" autoLine="0" autoPict="0" macro="[1]!Sheet1.deleteProcedure">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1679" r:id="rId658" name="Button 655">
              <controlPr defaultSize="0" autoFill="0" autoLine="0" autoPict="0" macro="[1]!Sheet1.InsertNewTableRow">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1680" r:id="rId659" name="Button 656">
              <controlPr defaultSize="0" autoFill="0" autoLine="0" autoPict="0" macro="[1]!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681" r:id="rId660" name="Button 657">
              <controlPr defaultSize="0" autoFill="0" autoLine="0" autoPict="0" macro="[1]!Sheet1.deleteProcedure">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1682" r:id="rId661" name="Button 658">
              <controlPr defaultSize="0" autoFill="0" autoLine="0" autoPict="0" macro="[1]!Sheet1.InsertNewTableRow">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1683" r:id="rId662" name="Button 659">
              <controlPr defaultSize="0" autoFill="0" autoLine="0" autoPict="0" macro="[1]!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684" r:id="rId663" name="Button 660">
              <controlPr defaultSize="0" autoFill="0" autoLine="0" autoPict="0" macro="[1]!Sheet1.deleteProcedure">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1685" r:id="rId664" name="Button 661">
              <controlPr defaultSize="0" autoFill="0" autoLine="0" autoPict="0" macro="[1]!Sheet1.InsertNewTableRow">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1686" r:id="rId665" name="Button 662">
              <controlPr defaultSize="0" autoFill="0" autoLine="0" autoPict="0" macro="[1]!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687" r:id="rId666" name="Button 663">
              <controlPr defaultSize="0" autoFill="0" autoLine="0" autoPict="0" macro="[1]!Sheet1.deleteProcedure">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1688" r:id="rId667" name="Button 664">
              <controlPr defaultSize="0" autoFill="0" autoLine="0" autoPict="0" macro="[1]!Sheet1.InsertNewTableRow">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1689" r:id="rId668" name="Button 665">
              <controlPr defaultSize="0" autoFill="0" autoLine="0" autoPict="0" macro="[1]!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690" r:id="rId669" name="Button 666">
              <controlPr defaultSize="0" autoFill="0" autoLine="0" autoPict="0" macro="[1]!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691" r:id="rId670" name="Button 667">
              <controlPr defaultSize="0" autoFill="0" autoLine="0" autoPict="0" macro="[1]!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692" r:id="rId671" name="Button 668">
              <controlPr defaultSize="0" autoFill="0" autoLine="0" autoPict="0" macro="[1]!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693" r:id="rId672" name="Button 669">
              <controlPr defaultSize="0" autoFill="0" autoLine="0" autoPict="0" macro="[1]!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694" r:id="rId673" name="Button 670">
              <controlPr defaultSize="0" autoFill="0" autoLine="0" autoPict="0" macro="[1]!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695" r:id="rId674" name="Button 671">
              <controlPr defaultSize="0" autoFill="0" autoLine="0" autoPict="0" macro="[1]!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696" r:id="rId675" name="Button 672">
              <controlPr defaultSize="0" autoFill="0" autoLine="0" autoPict="0" macro="[1]!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697" r:id="rId676" name="Button 673">
              <controlPr defaultSize="0" autoFill="0" autoLine="0" autoPict="0" macro="[1]!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698" r:id="rId677" name="Button 674">
              <controlPr defaultSize="0" autoFill="0" autoLine="0" autoPict="0" macro="[1]!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699" r:id="rId678" name="Button 675">
              <controlPr defaultSize="0" autoFill="0" autoLine="0" autoPict="0" macro="[1]!Sheet1.deleteProcedure">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1700" r:id="rId679" name="Button 676">
              <controlPr defaultSize="0" autoFill="0" autoLine="0" autoPict="0" macro="[1]!Sheet1.InsertNewTableRow">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1701" r:id="rId680" name="Button 677">
              <controlPr defaultSize="0" autoFill="0" autoLine="0" autoPict="0" macro="[1]!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702" r:id="rId681" name="Button 678">
              <controlPr defaultSize="0" autoFill="0" autoLine="0" autoPict="0" macro="[1]!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703" r:id="rId682" name="Button 679">
              <controlPr defaultSize="0" autoFill="0" autoLine="0" autoPict="0" macro="[1]!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704" r:id="rId683" name="Button 680">
              <controlPr defaultSize="0" autoFill="0" autoLine="0" autoPict="0" macro="[1]!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705" r:id="rId684" name="Button 681">
              <controlPr defaultSize="0" autoFill="0" autoLine="0" autoPict="0" macro="[1]!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706" r:id="rId685" name="Button 682">
              <controlPr defaultSize="0" autoFill="0" autoLine="0" autoPict="0" macro="[1]!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707" r:id="rId686" name="Button 683">
              <controlPr defaultSize="0" autoFill="0" autoLine="0" autoPict="0" macro="[1]!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708" r:id="rId687" name="Button 684">
              <controlPr defaultSize="0" autoFill="0" autoLine="0" autoPict="0" macro="[1]!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709" r:id="rId688" name="Button 685">
              <controlPr defaultSize="0" autoFill="0" autoLine="0" autoPict="0" macro="[1]!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710" r:id="rId689" name="Button 686">
              <controlPr defaultSize="0" autoFill="0" autoLine="0" autoPict="0" macro="[1]!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711" r:id="rId690" name="Button 687">
              <controlPr defaultSize="0" autoFill="0" autoLine="0" autoPict="0" macro="[1]!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712" r:id="rId691" name="Button 688">
              <controlPr defaultSize="0" autoFill="0" autoLine="0" autoPict="0" macro="[1]!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713" r:id="rId692" name="Button 689">
              <controlPr defaultSize="0" autoFill="0" autoLine="0" autoPict="0" macro="[1]!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714" r:id="rId693" name="Button 690">
              <controlPr defaultSize="0" autoFill="0" autoLine="0" autoPict="0" macro="[1]!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715" r:id="rId694" name="Button 691">
              <controlPr defaultSize="0" autoFill="0" autoLine="0" autoPict="0" macro="[1]!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716" r:id="rId695" name="Button 692">
              <controlPr defaultSize="0" autoFill="0" autoLine="0" autoPict="0" macro="[1]!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717" r:id="rId696" name="Button 693">
              <controlPr defaultSize="0" autoFill="0" autoLine="0" autoPict="0" macro="[1]!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718" r:id="rId697" name="Button 694">
              <controlPr defaultSize="0" autoFill="0" autoLine="0" autoPict="0" macro="[1]!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719" r:id="rId698" name="Button 695">
              <controlPr defaultSize="0" autoFill="0" autoLine="0" autoPict="0" macro="[1]!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720" r:id="rId699" name="Button 696">
              <controlPr defaultSize="0" autoFill="0" autoLine="0" autoPict="0" macro="[1]!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721" r:id="rId700" name="Button 697">
              <controlPr defaultSize="0" autoFill="0" autoLine="0" autoPict="0" macro="[1]!Sheet1.deleteProcedure">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1722" r:id="rId701" name="Button 698">
              <controlPr defaultSize="0" autoFill="0" autoLine="0" autoPict="0" macro="[1]!Sheet1.InsertNewTableRow">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1723" r:id="rId702" name="Button 699">
              <controlPr defaultSize="0" autoFill="0" autoLine="0" autoPict="0" macro="[1]!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724" r:id="rId703" name="Button 700">
              <controlPr defaultSize="0" autoFill="0" autoLine="0" autoPict="0" macro="[1]!Sheet1.deleteProcedure">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1725" r:id="rId704" name="Button 701">
              <controlPr defaultSize="0" autoFill="0" autoLine="0" autoPict="0" macro="[1]!Sheet1.InsertNewTabl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1726" r:id="rId705" name="Button 702">
              <controlPr defaultSize="0" autoFill="0" autoLine="0" autoPict="0" macro="[1]!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727" r:id="rId706" name="Button 703">
              <controlPr defaultSize="0" autoFill="0" autoLine="0" autoPict="0" macro="[1]!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728" r:id="rId707" name="Button 704">
              <controlPr defaultSize="0" autoFill="0" autoLine="0" autoPict="0" macro="[1]!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729" r:id="rId708" name="Button 705">
              <controlPr defaultSize="0" autoFill="0" autoLine="0" autoPict="0" macro="[1]!Sheet1.deleteProcedure">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1730" r:id="rId709" name="Button 706">
              <controlPr defaultSize="0" autoFill="0" autoLine="0" autoPict="0" macro="[1]!Sheet1.InsertNewTableRow">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1731" r:id="rId710" name="Button 707">
              <controlPr defaultSize="0" autoFill="0" autoLine="0" autoPict="0" macro="[1]!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732" r:id="rId711" name="Button 708">
              <controlPr defaultSize="0" autoFill="0" autoLine="0" autoPict="0" macro="[1]!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733" r:id="rId712" name="Button 709">
              <controlPr defaultSize="0" autoFill="0" autoLine="0" autoPict="0" macro="[1]!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734" r:id="rId713" name="Button 710">
              <controlPr defaultSize="0" autoFill="0" autoLine="0" autoPict="0" macro="[1]!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735" r:id="rId714" name="Button 711">
              <controlPr defaultSize="0" autoFill="0" autoLine="0" autoPict="0" macro="[1]!Sheet1.deleteProcedure">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1736" r:id="rId715" name="Button 712">
              <controlPr defaultSize="0" autoFill="0" autoLine="0" autoPict="0" macro="[1]!Sheet1.InsertNewTableRow">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1737" r:id="rId716" name="Button 713">
              <controlPr defaultSize="0" autoFill="0" autoLine="0" autoPict="0" macro="[1]!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738" r:id="rId717" name="Button 714">
              <controlPr defaultSize="0" autoFill="0" autoLine="0" autoPict="0" macro="[1]!Sheet1.deleteProcedure">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1739" r:id="rId718" name="Button 715">
              <controlPr defaultSize="0" autoFill="0" autoLine="0" autoPict="0" macro="[1]!Sheet1.InsertNewTabl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1740" r:id="rId719" name="Button 716">
              <controlPr defaultSize="0" autoFill="0" autoLine="0" autoPict="0" macro="[1]!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741" r:id="rId720" name="Button 717">
              <controlPr defaultSize="0" autoFill="0" autoLine="0" autoPict="0" macro="[1]!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742" r:id="rId721" name="Button 718">
              <controlPr defaultSize="0" autoFill="0" autoLine="0" autoPict="0" macro="[1]!Sheet1.deleteProcedure">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1743" r:id="rId722" name="Button 719">
              <controlPr defaultSize="0" autoFill="0" autoLine="0" autoPict="0" macro="[1]!Sheet1.InsertNewTableRow">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1744" r:id="rId723" name="Button 720">
              <controlPr defaultSize="0" autoFill="0" autoLine="0" autoPict="0" macro="[1]!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745" r:id="rId724" name="Button 721">
              <controlPr defaultSize="0" autoFill="0" autoLine="0" autoPict="0" macro="[1]!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746" r:id="rId725" name="Button 722">
              <controlPr defaultSize="0" autoFill="0" autoLine="0" autoPict="0" macro="[1]!Sheet1.deleteProcedure">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1747" r:id="rId726" name="Button 723">
              <controlPr defaultSize="0" autoFill="0" autoLine="0" autoPict="0" macro="[1]!Sheet1.InsertNewTableRow">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1748" r:id="rId727" name="Button 724">
              <controlPr defaultSize="0" autoFill="0" autoLine="0" autoPict="0" macro="[1]!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749" r:id="rId728" name="Button 725">
              <controlPr defaultSize="0" autoFill="0" autoLine="0" autoPict="0" macro="[1]!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750" r:id="rId729" name="Button 726">
              <controlPr defaultSize="0" autoFill="0" autoLine="0" autoPict="0" macro="[1]!Sheet1.deleteProcedure">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1751" r:id="rId730" name="Button 727">
              <controlPr defaultSize="0" autoFill="0" autoLine="0" autoPict="0" macro="[1]!Sheet1.InsertNewTableRow">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1752" r:id="rId731" name="Button 728">
              <controlPr defaultSize="0" autoFill="0" autoLine="0" autoPict="0" macro="[1]!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753" r:id="rId732" name="Button 729">
              <controlPr defaultSize="0" autoFill="0" autoLine="0" autoPict="0" macro="[1]!Sheet1.deleteProcedure">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1754" r:id="rId733" name="Button 730">
              <controlPr defaultSize="0" autoFill="0" autoLine="0" autoPict="0" macro="[1]!Sheet1.InsertNewTableRow">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1755" r:id="rId734" name="Button 731">
              <controlPr defaultSize="0" autoFill="0" autoLine="0" autoPict="0" macro="[1]!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756" r:id="rId735" name="Button 732">
              <controlPr defaultSize="0" autoFill="0" autoLine="0" autoPict="0" macro="[1]!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757" r:id="rId736" name="Button 733">
              <controlPr defaultSize="0" autoFill="0" autoLine="0" autoPict="0" macro="[1]!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758" r:id="rId737" name="Button 734">
              <controlPr defaultSize="0" autoFill="0" autoLine="0" autoPict="0" macro="[1]!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759" r:id="rId738" name="Button 735">
              <controlPr defaultSize="0" autoFill="0" autoLine="0" autoPict="0" macro="[1]!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760" r:id="rId739" name="Button 736">
              <controlPr defaultSize="0" autoFill="0" autoLine="0" autoPict="0" macro="[1]!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761" r:id="rId740" name="Button 737">
              <controlPr defaultSize="0" autoFill="0" autoLine="0" autoPict="0" macro="[1]!Sheet1.deleteProcedure">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1762" r:id="rId741" name="Button 738">
              <controlPr defaultSize="0" autoFill="0" autoLine="0" autoPict="0" macro="[1]!Sheet1.InsertNewTableRow">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1763" r:id="rId742" name="Button 739">
              <controlPr defaultSize="0" autoFill="0" autoLine="0" autoPict="0" macro="[1]!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764" r:id="rId743" name="Button 740">
              <controlPr defaultSize="0" autoFill="0" autoLine="0" autoPict="0" macro="[1]!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765" r:id="rId744" name="Button 741">
              <controlPr defaultSize="0" autoFill="0" autoLine="0" autoPict="0" macro="[1]!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766" r:id="rId745" name="Button 742">
              <controlPr defaultSize="0" autoFill="0" autoLine="0" autoPict="0" macro="[1]!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767" r:id="rId746" name="Button 743">
              <controlPr defaultSize="0" autoFill="0" autoLine="0" autoPict="0" macro="[1]!Sheet1.deleteProcedure">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1768" r:id="rId747" name="Button 744">
              <controlPr defaultSize="0" autoFill="0" autoLine="0" autoPict="0" macro="[1]!Sheet1.InsertNewTableRow">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1769" r:id="rId748" name="Button 745">
              <controlPr defaultSize="0" autoFill="0" autoLine="0" autoPict="0" macro="[1]!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770" r:id="rId749" name="Button 746">
              <controlPr defaultSize="0" autoFill="0" autoLine="0" autoPict="0" macro="[1]!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771" r:id="rId750" name="Button 747">
              <controlPr defaultSize="0" autoFill="0" autoLine="0" autoPict="0" macro="[1]!Sheet1.deleteProcedure">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1772" r:id="rId751" name="Button 748">
              <controlPr defaultSize="0" autoFill="0" autoLine="0" autoPict="0" macro="[1]!Sheet1.InsertNewTableRow">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1773" r:id="rId752" name="Button 749">
              <controlPr defaultSize="0" autoFill="0" autoLine="0" autoPict="0" macro="[1]!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774" r:id="rId753" name="Button 750">
              <controlPr defaultSize="0" autoFill="0" autoLine="0" autoPict="0" macro="[1]!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775" r:id="rId754" name="Button 751">
              <controlPr defaultSize="0" autoFill="0" autoLine="0" autoPict="0" macro="[1]!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776" r:id="rId755" name="Button 752">
              <controlPr defaultSize="0" autoFill="0" autoLine="0" autoPict="0" macro="[1]!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777" r:id="rId756" name="Button 753">
              <controlPr defaultSize="0" autoFill="0" autoLine="0" autoPict="0" macro="[1]!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778" r:id="rId757" name="Button 754">
              <controlPr defaultSize="0" autoFill="0" autoLine="0" autoPict="0" macro="[1]!Sheet1.deleteProcedure">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1779" r:id="rId758" name="Button 755">
              <controlPr defaultSize="0" autoFill="0" autoLine="0" autoPict="0" macro="[1]!Sheet1.InsertNewTableRow">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1780" r:id="rId759" name="Button 756">
              <controlPr defaultSize="0" autoFill="0" autoLine="0" autoPict="0" macro="[1]!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781" r:id="rId760" name="Button 757">
              <controlPr defaultSize="0" autoFill="0" autoLine="0" autoPict="0" macro="[1]!Sheet1.deleteProcedure">
                <anchor moveWithCells="1" sizeWithCells="1">
                  <from>
                    <xdr:col>6</xdr:col>
                    <xdr:colOff>0</xdr:colOff>
                    <xdr:row>2018</xdr:row>
                    <xdr:rowOff>0</xdr:rowOff>
                  </from>
                  <to>
                    <xdr:col>7</xdr:col>
                    <xdr:colOff>0</xdr:colOff>
                    <xdr:row>2019</xdr:row>
                    <xdr:rowOff>0</xdr:rowOff>
                  </to>
                </anchor>
              </controlPr>
            </control>
          </mc:Choice>
        </mc:AlternateContent>
        <mc:AlternateContent xmlns:mc="http://schemas.openxmlformats.org/markup-compatibility/2006">
          <mc:Choice Requires="x14">
            <control shapeId="1782" r:id="rId761" name="Button 758">
              <controlPr defaultSize="0" autoFill="0" autoLine="0" autoPict="0" macro="[1]!Sheet1.InsertNewTableRow">
                <anchor moveWithCells="1" sizeWithCells="1">
                  <from>
                    <xdr:col>6</xdr:col>
                    <xdr:colOff>0</xdr:colOff>
                    <xdr:row>2025</xdr:row>
                    <xdr:rowOff>0</xdr:rowOff>
                  </from>
                  <to>
                    <xdr:col>7</xdr:col>
                    <xdr:colOff>0</xdr:colOff>
                    <xdr:row>2026</xdr:row>
                    <xdr:rowOff>0</xdr:rowOff>
                  </to>
                </anchor>
              </controlPr>
            </control>
          </mc:Choice>
        </mc:AlternateContent>
        <mc:AlternateContent xmlns:mc="http://schemas.openxmlformats.org/markup-compatibility/2006">
          <mc:Choice Requires="x14">
            <control shapeId="1783" r:id="rId762" name="Button 759">
              <controlPr defaultSize="0" autoFill="0" autoLine="0" autoPict="0" macro="[1]!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784" r:id="rId763" name="Button 760">
              <controlPr defaultSize="0" autoFill="0" autoLine="0" autoPict="0" macro="[1]!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785" r:id="rId764" name="Button 761">
              <controlPr defaultSize="0" autoFill="0" autoLine="0" autoPict="0" macro="[1]!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786" r:id="rId765" name="Button 762">
              <controlPr defaultSize="0" autoFill="0" autoLine="0" autoPict="0" macro="[1]!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787" r:id="rId766" name="Button 763">
              <controlPr defaultSize="0" autoFill="0" autoLine="0" autoPict="0" macro="[1]!Sheet1.deleteProcedure">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1788" r:id="rId767" name="Button 764">
              <controlPr defaultSize="0" autoFill="0" autoLine="0" autoPict="0" macro="[1]!Sheet1.InsertNewTableRow">
                <anchor moveWithCells="1" sizeWithCells="1">
                  <from>
                    <xdr:col>6</xdr:col>
                    <xdr:colOff>0</xdr:colOff>
                    <xdr:row>2039</xdr:row>
                    <xdr:rowOff>0</xdr:rowOff>
                  </from>
                  <to>
                    <xdr:col>7</xdr:col>
                    <xdr:colOff>0</xdr:colOff>
                    <xdr:row>2040</xdr:row>
                    <xdr:rowOff>0</xdr:rowOff>
                  </to>
                </anchor>
              </controlPr>
            </control>
          </mc:Choice>
        </mc:AlternateContent>
        <mc:AlternateContent xmlns:mc="http://schemas.openxmlformats.org/markup-compatibility/2006">
          <mc:Choice Requires="x14">
            <control shapeId="1789" r:id="rId768" name="Button 765">
              <controlPr defaultSize="0" autoFill="0" autoLine="0" autoPict="0" macro="[1]!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790" r:id="rId769" name="Button 766">
              <controlPr defaultSize="0" autoFill="0" autoLine="0" autoPict="0" macro="[1]!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791" r:id="rId770" name="Button 767">
              <controlPr defaultSize="0" autoFill="0" autoLine="0" autoPict="0" macro="[1]!Sheet1.deleteProcedure">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1792" r:id="rId771" name="Button 768">
              <controlPr defaultSize="0" autoFill="0" autoLine="0" autoPict="0" macro="[1]!Sheet1.InsertNewTableRow">
                <anchor moveWithCells="1" sizeWithCells="1">
                  <from>
                    <xdr:col>6</xdr:col>
                    <xdr:colOff>0</xdr:colOff>
                    <xdr:row>2051</xdr:row>
                    <xdr:rowOff>0</xdr:rowOff>
                  </from>
                  <to>
                    <xdr:col>7</xdr:col>
                    <xdr:colOff>0</xdr:colOff>
                    <xdr:row>2052</xdr:row>
                    <xdr:rowOff>0</xdr:rowOff>
                  </to>
                </anchor>
              </controlPr>
            </control>
          </mc:Choice>
        </mc:AlternateContent>
        <mc:AlternateContent xmlns:mc="http://schemas.openxmlformats.org/markup-compatibility/2006">
          <mc:Choice Requires="x14">
            <control shapeId="1793" r:id="rId772" name="Button 769">
              <controlPr defaultSize="0" autoFill="0" autoLine="0" autoPict="0" macro="[1]!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794" r:id="rId773" name="Button 770">
              <controlPr defaultSize="0" autoFill="0" autoLine="0" autoPict="0" macro="[1]!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795" r:id="rId774" name="Button 771">
              <controlPr defaultSize="0" autoFill="0" autoLine="0" autoPict="0" macro="[1]!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796" r:id="rId775" name="Button 772">
              <controlPr defaultSize="0" autoFill="0" autoLine="0" autoPict="0" macro="[1]!Sheet1.deleteProcedure">
                <anchor moveWithCells="1" sizeWithCells="1">
                  <from>
                    <xdr:col>6</xdr:col>
                    <xdr:colOff>0</xdr:colOff>
                    <xdr:row>2057</xdr:row>
                    <xdr:rowOff>0</xdr:rowOff>
                  </from>
                  <to>
                    <xdr:col>7</xdr:col>
                    <xdr:colOff>0</xdr:colOff>
                    <xdr:row>2058</xdr:row>
                    <xdr:rowOff>0</xdr:rowOff>
                  </to>
                </anchor>
              </controlPr>
            </control>
          </mc:Choice>
        </mc:AlternateContent>
        <mc:AlternateContent xmlns:mc="http://schemas.openxmlformats.org/markup-compatibility/2006">
          <mc:Choice Requires="x14">
            <control shapeId="1797" r:id="rId776" name="Button 773">
              <controlPr defaultSize="0" autoFill="0" autoLine="0" autoPict="0" macro="[1]!Sheet1.InsertNewTableRow">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1798" r:id="rId777" name="Button 774">
              <controlPr defaultSize="0" autoFill="0" autoLine="0" autoPict="0" macro="[1]!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799" r:id="rId778" name="Button 775">
              <controlPr defaultSize="0" autoFill="0" autoLine="0" autoPict="0" macro="[1]!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800" r:id="rId779" name="Button 776">
              <controlPr defaultSize="0" autoFill="0" autoLine="0" autoPict="0" macro="[1]!Sheet1.deleteProcedure">
                <anchor moveWithCells="1" sizeWithCells="1">
                  <from>
                    <xdr:col>6</xdr:col>
                    <xdr:colOff>0</xdr:colOff>
                    <xdr:row>2070</xdr:row>
                    <xdr:rowOff>0</xdr:rowOff>
                  </from>
                  <to>
                    <xdr:col>7</xdr:col>
                    <xdr:colOff>0</xdr:colOff>
                    <xdr:row>2071</xdr:row>
                    <xdr:rowOff>0</xdr:rowOff>
                  </to>
                </anchor>
              </controlPr>
            </control>
          </mc:Choice>
        </mc:AlternateContent>
        <mc:AlternateContent xmlns:mc="http://schemas.openxmlformats.org/markup-compatibility/2006">
          <mc:Choice Requires="x14">
            <control shapeId="1801" r:id="rId780" name="Button 777">
              <controlPr defaultSize="0" autoFill="0" autoLine="0" autoPict="0" macro="[1]!Sheet1.InsertNewTableRow">
                <anchor moveWithCells="1" sizeWithCells="1">
                  <from>
                    <xdr:col>6</xdr:col>
                    <xdr:colOff>0</xdr:colOff>
                    <xdr:row>2077</xdr:row>
                    <xdr:rowOff>0</xdr:rowOff>
                  </from>
                  <to>
                    <xdr:col>7</xdr:col>
                    <xdr:colOff>0</xdr:colOff>
                    <xdr:row>2078</xdr:row>
                    <xdr:rowOff>0</xdr:rowOff>
                  </to>
                </anchor>
              </controlPr>
            </control>
          </mc:Choice>
        </mc:AlternateContent>
        <mc:AlternateContent xmlns:mc="http://schemas.openxmlformats.org/markup-compatibility/2006">
          <mc:Choice Requires="x14">
            <control shapeId="1802" r:id="rId781" name="Button 778">
              <controlPr defaultSize="0" autoFill="0" autoLine="0" autoPict="0" macro="[1]!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803" r:id="rId782" name="Button 779">
              <controlPr defaultSize="0" autoFill="0" autoLine="0" autoPict="0" macro="[1]!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804" r:id="rId783" name="Button 780">
              <controlPr defaultSize="0" autoFill="0" autoLine="0" autoPict="0" macro="[1]!Sheet1.deleteProcedure">
                <anchor moveWithCells="1" sizeWithCells="1">
                  <from>
                    <xdr:col>6</xdr:col>
                    <xdr:colOff>0</xdr:colOff>
                    <xdr:row>2082</xdr:row>
                    <xdr:rowOff>0</xdr:rowOff>
                  </from>
                  <to>
                    <xdr:col>7</xdr:col>
                    <xdr:colOff>0</xdr:colOff>
                    <xdr:row>2083</xdr:row>
                    <xdr:rowOff>0</xdr:rowOff>
                  </to>
                </anchor>
              </controlPr>
            </control>
          </mc:Choice>
        </mc:AlternateContent>
        <mc:AlternateContent xmlns:mc="http://schemas.openxmlformats.org/markup-compatibility/2006">
          <mc:Choice Requires="x14">
            <control shapeId="1805" r:id="rId784" name="Button 781">
              <controlPr defaultSize="0" autoFill="0" autoLine="0" autoPict="0" macro="[1]!Sheet1.InsertNewTableRow">
                <anchor moveWithCells="1" sizeWithCells="1">
                  <from>
                    <xdr:col>6</xdr:col>
                    <xdr:colOff>0</xdr:colOff>
                    <xdr:row>2089</xdr:row>
                    <xdr:rowOff>0</xdr:rowOff>
                  </from>
                  <to>
                    <xdr:col>7</xdr:col>
                    <xdr:colOff>0</xdr:colOff>
                    <xdr:row>2090</xdr:row>
                    <xdr:rowOff>0</xdr:rowOff>
                  </to>
                </anchor>
              </controlPr>
            </control>
          </mc:Choice>
        </mc:AlternateContent>
        <mc:AlternateContent xmlns:mc="http://schemas.openxmlformats.org/markup-compatibility/2006">
          <mc:Choice Requires="x14">
            <control shapeId="1806" r:id="rId785" name="Button 782">
              <controlPr defaultSize="0" autoFill="0" autoLine="0" autoPict="0" macro="[1]!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807" r:id="rId786" name="Button 783">
              <controlPr defaultSize="0" autoFill="0" autoLine="0" autoPict="0" macro="[1]!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808" r:id="rId787" name="Button 784">
              <controlPr defaultSize="0" autoFill="0" autoLine="0" autoPict="0" macro="[1]!Sheet1.deleteProcedure">
                <anchor moveWithCells="1" sizeWithCells="1">
                  <from>
                    <xdr:col>6</xdr:col>
                    <xdr:colOff>0</xdr:colOff>
                    <xdr:row>2094</xdr:row>
                    <xdr:rowOff>0</xdr:rowOff>
                  </from>
                  <to>
                    <xdr:col>7</xdr:col>
                    <xdr:colOff>0</xdr:colOff>
                    <xdr:row>2095</xdr:row>
                    <xdr:rowOff>0</xdr:rowOff>
                  </to>
                </anchor>
              </controlPr>
            </control>
          </mc:Choice>
        </mc:AlternateContent>
        <mc:AlternateContent xmlns:mc="http://schemas.openxmlformats.org/markup-compatibility/2006">
          <mc:Choice Requires="x14">
            <control shapeId="1809" r:id="rId788" name="Button 785">
              <controlPr defaultSize="0" autoFill="0" autoLine="0" autoPict="0" macro="[1]!Sheet1.InsertNewTableRow">
                <anchor moveWithCells="1" sizeWithCells="1">
                  <from>
                    <xdr:col>6</xdr:col>
                    <xdr:colOff>0</xdr:colOff>
                    <xdr:row>2101</xdr:row>
                    <xdr:rowOff>0</xdr:rowOff>
                  </from>
                  <to>
                    <xdr:col>7</xdr:col>
                    <xdr:colOff>0</xdr:colOff>
                    <xdr:row>2102</xdr:row>
                    <xdr:rowOff>0</xdr:rowOff>
                  </to>
                </anchor>
              </controlPr>
            </control>
          </mc:Choice>
        </mc:AlternateContent>
        <mc:AlternateContent xmlns:mc="http://schemas.openxmlformats.org/markup-compatibility/2006">
          <mc:Choice Requires="x14">
            <control shapeId="1810" r:id="rId789" name="Button 786">
              <controlPr defaultSize="0" autoFill="0" autoLine="0" autoPict="0" macro="[1]!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811" r:id="rId790" name="Button 787">
              <controlPr defaultSize="0" autoFill="0" autoLine="0" autoPict="0" macro="[1]!Sheet1.deleteProcedure">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1812" r:id="rId791" name="Button 788">
              <controlPr defaultSize="0" autoFill="0" autoLine="0" autoPict="0" macro="[1]!Sheet1.InsertNewTableRow">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1813" r:id="rId792" name="Button 789">
              <controlPr defaultSize="0" autoFill="0" autoLine="0" autoPict="0" macro="[1]!Sheet1.deleteRow">
                <anchor moveWithCells="1" sizeWithCells="1">
                  <from>
                    <xdr:col>6</xdr:col>
                    <xdr:colOff>0</xdr:colOff>
                    <xdr:row>2113</xdr:row>
                    <xdr:rowOff>0</xdr:rowOff>
                  </from>
                  <to>
                    <xdr:col>7</xdr:col>
                    <xdr:colOff>0</xdr:colOff>
                    <xdr:row>2113</xdr:row>
                    <xdr:rowOff>161925</xdr:rowOff>
                  </to>
                </anchor>
              </controlPr>
            </control>
          </mc:Choice>
        </mc:AlternateContent>
        <mc:AlternateContent xmlns:mc="http://schemas.openxmlformats.org/markup-compatibility/2006">
          <mc:Choice Requires="x14">
            <control shapeId="1814" r:id="rId793" name="Button 790">
              <controlPr defaultSize="0" autoFill="0" autoLine="0" autoPict="0" macro="[1]!Sheet1.deleteProcedure">
                <anchor moveWithCells="1" sizeWithCells="1">
                  <from>
                    <xdr:col>6</xdr:col>
                    <xdr:colOff>0</xdr:colOff>
                    <xdr:row>2116</xdr:row>
                    <xdr:rowOff>0</xdr:rowOff>
                  </from>
                  <to>
                    <xdr:col>7</xdr:col>
                    <xdr:colOff>0</xdr:colOff>
                    <xdr:row>2117</xdr:row>
                    <xdr:rowOff>0</xdr:rowOff>
                  </to>
                </anchor>
              </controlPr>
            </control>
          </mc:Choice>
        </mc:AlternateContent>
        <mc:AlternateContent xmlns:mc="http://schemas.openxmlformats.org/markup-compatibility/2006">
          <mc:Choice Requires="x14">
            <control shapeId="1815" r:id="rId794" name="Button 791">
              <controlPr defaultSize="0" autoFill="0" autoLine="0" autoPict="0" macro="[1]!Sheet1.InsertNewTableRow">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1816" r:id="rId795" name="Button 792">
              <controlPr defaultSize="0" autoFill="0" autoLine="0" autoPict="0" macro="[1]!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817" r:id="rId796" name="Button 793">
              <controlPr defaultSize="0" autoFill="0" autoLine="0" autoPict="0" macro="[1]!Sheet1.deleteProcedure">
                <anchor moveWithCells="1" sizeWithCells="1">
                  <from>
                    <xdr:col>6</xdr:col>
                    <xdr:colOff>0</xdr:colOff>
                    <xdr:row>2127</xdr:row>
                    <xdr:rowOff>0</xdr:rowOff>
                  </from>
                  <to>
                    <xdr:col>7</xdr:col>
                    <xdr:colOff>0</xdr:colOff>
                    <xdr:row>2128</xdr:row>
                    <xdr:rowOff>0</xdr:rowOff>
                  </to>
                </anchor>
              </controlPr>
            </control>
          </mc:Choice>
        </mc:AlternateContent>
        <mc:AlternateContent xmlns:mc="http://schemas.openxmlformats.org/markup-compatibility/2006">
          <mc:Choice Requires="x14">
            <control shapeId="1818" r:id="rId797" name="Button 794">
              <controlPr defaultSize="0" autoFill="0" autoLine="0" autoPict="0" macro="[1]!Sheet1.InsertNewTableRow">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1819" r:id="rId798" name="Button 795">
              <controlPr defaultSize="0" autoFill="0" autoLine="0" autoPict="0" macro="[1]!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820" r:id="rId799" name="Button 796">
              <controlPr defaultSize="0" autoFill="0" autoLine="0" autoPict="0" macro="[1]!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821" r:id="rId800" name="Button 797">
              <controlPr defaultSize="0" autoFill="0" autoLine="0" autoPict="0" macro="[1]!Sheet1.deleteRow">
                <anchor moveWithCells="1" sizeWithCells="1">
                  <from>
                    <xdr:col>6</xdr:col>
                    <xdr:colOff>0</xdr:colOff>
                    <xdr:row>2137</xdr:row>
                    <xdr:rowOff>0</xdr:rowOff>
                  </from>
                  <to>
                    <xdr:col>7</xdr:col>
                    <xdr:colOff>0</xdr:colOff>
                    <xdr:row>2137</xdr:row>
                    <xdr:rowOff>161925</xdr:rowOff>
                  </to>
                </anchor>
              </controlPr>
            </control>
          </mc:Choice>
        </mc:AlternateContent>
        <mc:AlternateContent xmlns:mc="http://schemas.openxmlformats.org/markup-compatibility/2006">
          <mc:Choice Requires="x14">
            <control shapeId="1822" r:id="rId801" name="Button 798">
              <controlPr defaultSize="0" autoFill="0" autoLine="0" autoPict="0" macro="[1]!Sheet1.deleteRow">
                <anchor moveWithCells="1" sizeWithCells="1">
                  <from>
                    <xdr:col>6</xdr:col>
                    <xdr:colOff>0</xdr:colOff>
                    <xdr:row>2138</xdr:row>
                    <xdr:rowOff>0</xdr:rowOff>
                  </from>
                  <to>
                    <xdr:col>7</xdr:col>
                    <xdr:colOff>0</xdr:colOff>
                    <xdr:row>2138</xdr:row>
                    <xdr:rowOff>161925</xdr:rowOff>
                  </to>
                </anchor>
              </controlPr>
            </control>
          </mc:Choice>
        </mc:AlternateContent>
        <mc:AlternateContent xmlns:mc="http://schemas.openxmlformats.org/markup-compatibility/2006">
          <mc:Choice Requires="x14">
            <control shapeId="1823" r:id="rId802" name="Button 799">
              <controlPr defaultSize="0" autoFill="0" autoLine="0" autoPict="0" macro="[1]!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824" r:id="rId803" name="Button 800">
              <controlPr defaultSize="0" autoFill="0" autoLine="0" autoPict="0" macro="[1]!Sheet1.deleteRow">
                <anchor moveWithCells="1" sizeWithCells="1">
                  <from>
                    <xdr:col>6</xdr:col>
                    <xdr:colOff>0</xdr:colOff>
                    <xdr:row>2140</xdr:row>
                    <xdr:rowOff>0</xdr:rowOff>
                  </from>
                  <to>
                    <xdr:col>7</xdr:col>
                    <xdr:colOff>0</xdr:colOff>
                    <xdr:row>2140</xdr:row>
                    <xdr:rowOff>161925</xdr:rowOff>
                  </to>
                </anchor>
              </controlPr>
            </control>
          </mc:Choice>
        </mc:AlternateContent>
        <mc:AlternateContent xmlns:mc="http://schemas.openxmlformats.org/markup-compatibility/2006">
          <mc:Choice Requires="x14">
            <control shapeId="1825" r:id="rId804" name="Button 801">
              <controlPr defaultSize="0" autoFill="0" autoLine="0" autoPict="0" macro="[1]!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826" r:id="rId805" name="Button 802">
              <controlPr defaultSize="0" autoFill="0" autoLine="0" autoPict="0" macro="[1]!Sheet1.deleteRow">
                <anchor moveWithCells="1" sizeWithCells="1">
                  <from>
                    <xdr:col>6</xdr:col>
                    <xdr:colOff>0</xdr:colOff>
                    <xdr:row>2142</xdr:row>
                    <xdr:rowOff>0</xdr:rowOff>
                  </from>
                  <to>
                    <xdr:col>7</xdr:col>
                    <xdr:colOff>0</xdr:colOff>
                    <xdr:row>2142</xdr:row>
                    <xdr:rowOff>161925</xdr:rowOff>
                  </to>
                </anchor>
              </controlPr>
            </control>
          </mc:Choice>
        </mc:AlternateContent>
        <mc:AlternateContent xmlns:mc="http://schemas.openxmlformats.org/markup-compatibility/2006">
          <mc:Choice Requires="x14">
            <control shapeId="1827" r:id="rId806" name="Button 803">
              <controlPr defaultSize="0" autoFill="0" autoLine="0" autoPict="0" macro="[1]!Sheet1.deleteProcedure">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1828" r:id="rId807" name="Button 804">
              <controlPr defaultSize="0" autoFill="0" autoLine="0" autoPict="0" macro="[1]!Sheet1.InsertNewTableRow">
                <anchor moveWithCells="1" sizeWithCells="1">
                  <from>
                    <xdr:col>6</xdr:col>
                    <xdr:colOff>0</xdr:colOff>
                    <xdr:row>2152</xdr:row>
                    <xdr:rowOff>0</xdr:rowOff>
                  </from>
                  <to>
                    <xdr:col>7</xdr:col>
                    <xdr:colOff>0</xdr:colOff>
                    <xdr:row>2153</xdr:row>
                    <xdr:rowOff>0</xdr:rowOff>
                  </to>
                </anchor>
              </controlPr>
            </control>
          </mc:Choice>
        </mc:AlternateContent>
        <mc:AlternateContent xmlns:mc="http://schemas.openxmlformats.org/markup-compatibility/2006">
          <mc:Choice Requires="x14">
            <control shapeId="1829" r:id="rId808" name="Button 805">
              <controlPr defaultSize="0" autoFill="0" autoLine="0" autoPict="0" macro="[1]!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830" r:id="rId809" name="Button 806">
              <controlPr defaultSize="0" autoFill="0" autoLine="0" autoPict="0" macro="[1]!Sheet1.deleteProcedure">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1831" r:id="rId810" name="Button 807">
              <controlPr defaultSize="0" autoFill="0" autoLine="0" autoPict="0" macro="[1]!Sheet1.InsertNewTableRow">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1832" r:id="rId811" name="Button 808">
              <controlPr defaultSize="0" autoFill="0" autoLine="0" autoPict="0" macro="[1]!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833" r:id="rId812" name="Button 809">
              <controlPr defaultSize="0" autoFill="0" autoLine="0" autoPict="0" macro="[1]!Sheet1.deleteProcedure">
                <anchor moveWithCells="1" sizeWithCells="1">
                  <from>
                    <xdr:col>6</xdr:col>
                    <xdr:colOff>0</xdr:colOff>
                    <xdr:row>2167</xdr:row>
                    <xdr:rowOff>0</xdr:rowOff>
                  </from>
                  <to>
                    <xdr:col>7</xdr:col>
                    <xdr:colOff>0</xdr:colOff>
                    <xdr:row>2168</xdr:row>
                    <xdr:rowOff>0</xdr:rowOff>
                  </to>
                </anchor>
              </controlPr>
            </control>
          </mc:Choice>
        </mc:AlternateContent>
        <mc:AlternateContent xmlns:mc="http://schemas.openxmlformats.org/markup-compatibility/2006">
          <mc:Choice Requires="x14">
            <control shapeId="1834" r:id="rId813" name="Button 810">
              <controlPr defaultSize="0" autoFill="0" autoLine="0" autoPict="0" macro="[1]!Sheet1.InsertNewTableRow">
                <anchor moveWithCells="1" sizeWithCells="1">
                  <from>
                    <xdr:col>6</xdr:col>
                    <xdr:colOff>0</xdr:colOff>
                    <xdr:row>2174</xdr:row>
                    <xdr:rowOff>0</xdr:rowOff>
                  </from>
                  <to>
                    <xdr:col>7</xdr:col>
                    <xdr:colOff>0</xdr:colOff>
                    <xdr:row>2175</xdr:row>
                    <xdr:rowOff>0</xdr:rowOff>
                  </to>
                </anchor>
              </controlPr>
            </control>
          </mc:Choice>
        </mc:AlternateContent>
        <mc:AlternateContent xmlns:mc="http://schemas.openxmlformats.org/markup-compatibility/2006">
          <mc:Choice Requires="x14">
            <control shapeId="1835" r:id="rId814" name="Button 811">
              <controlPr defaultSize="0" autoFill="0" autoLine="0" autoPict="0" macro="[1]!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836" r:id="rId815" name="Button 812">
              <controlPr defaultSize="0" autoFill="0" autoLine="0" autoPict="0" macro="[1]!Sheet1.deleteRow">
                <anchor moveWithCells="1" sizeWithCells="1">
                  <from>
                    <xdr:col>6</xdr:col>
                    <xdr:colOff>0</xdr:colOff>
                    <xdr:row>2176</xdr:row>
                    <xdr:rowOff>0</xdr:rowOff>
                  </from>
                  <to>
                    <xdr:col>7</xdr:col>
                    <xdr:colOff>0</xdr:colOff>
                    <xdr:row>2176</xdr:row>
                    <xdr:rowOff>161925</xdr:rowOff>
                  </to>
                </anchor>
              </controlPr>
            </control>
          </mc:Choice>
        </mc:AlternateContent>
        <mc:AlternateContent xmlns:mc="http://schemas.openxmlformats.org/markup-compatibility/2006">
          <mc:Choice Requires="x14">
            <control shapeId="1837" r:id="rId816" name="Button 813">
              <controlPr defaultSize="0" autoFill="0" autoLine="0" autoPict="0" macro="[1]!Sheet1.deleteProcedure">
                <anchor moveWithCells="1" sizeWithCells="1">
                  <from>
                    <xdr:col>6</xdr:col>
                    <xdr:colOff>0</xdr:colOff>
                    <xdr:row>2179</xdr:row>
                    <xdr:rowOff>0</xdr:rowOff>
                  </from>
                  <to>
                    <xdr:col>7</xdr:col>
                    <xdr:colOff>0</xdr:colOff>
                    <xdr:row>2180</xdr:row>
                    <xdr:rowOff>0</xdr:rowOff>
                  </to>
                </anchor>
              </controlPr>
            </control>
          </mc:Choice>
        </mc:AlternateContent>
        <mc:AlternateContent xmlns:mc="http://schemas.openxmlformats.org/markup-compatibility/2006">
          <mc:Choice Requires="x14">
            <control shapeId="1838" r:id="rId817" name="Button 814">
              <controlPr defaultSize="0" autoFill="0" autoLine="0" autoPict="0" macro="[1]!Sheet1.InsertNewTableRow">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1839" r:id="rId818" name="Button 815">
              <controlPr defaultSize="0" autoFill="0" autoLine="0" autoPict="0" macro="[1]!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840" r:id="rId819" name="Button 816">
              <controlPr defaultSize="0" autoFill="0" autoLine="0" autoPict="0" macro="[1]!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841" r:id="rId820" name="Button 817">
              <controlPr defaultSize="0" autoFill="0" autoLine="0" autoPict="0" macro="[1]!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842" r:id="rId821" name="Button 818">
              <controlPr defaultSize="0" autoFill="0" autoLine="0" autoPict="0" macro="[1]!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843" r:id="rId822" name="Button 819">
              <controlPr defaultSize="0" autoFill="0" autoLine="0" autoPict="0" macro="[1]!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844" r:id="rId823" name="Button 820">
              <controlPr defaultSize="0" autoFill="0" autoLine="0" autoPict="0" macro="[1]!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845" r:id="rId824" name="Button 821">
              <controlPr defaultSize="0" autoFill="0" autoLine="0" autoPict="0" macro="[1]!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846" r:id="rId825" name="Button 822">
              <controlPr defaultSize="0" autoFill="0" autoLine="0" autoPict="0" macro="[1]!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847" r:id="rId826" name="Button 823">
              <controlPr defaultSize="0" autoFill="0" autoLine="0" autoPict="0" macro="[1]!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848" r:id="rId827" name="Button 824">
              <controlPr defaultSize="0" autoFill="0" autoLine="0" autoPict="0" macro="[1]!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849" r:id="rId828" name="Button 825">
              <controlPr defaultSize="0" autoFill="0" autoLine="0" autoPict="0" macro="[1]!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850" r:id="rId829" name="Button 826">
              <controlPr defaultSize="0" autoFill="0" autoLine="0" autoPict="0" macro="[1]!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851" r:id="rId830" name="Button 827">
              <controlPr defaultSize="0" autoFill="0" autoLine="0" autoPict="0" macro="[1]!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852" r:id="rId831" name="Button 828">
              <controlPr defaultSize="0" autoFill="0" autoLine="0" autoPict="0" macro="[1]!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853" r:id="rId832" name="Button 829">
              <controlPr defaultSize="0" autoFill="0" autoLine="0" autoPict="0" macro="[1]!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854" r:id="rId833" name="Button 830">
              <controlPr defaultSize="0" autoFill="0" autoLine="0" autoPict="0" macro="[1]!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855" r:id="rId834" name="Button 831">
              <controlPr defaultSize="0" autoFill="0" autoLine="0" autoPict="0" macro="[1]!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856" r:id="rId835" name="Button 832">
              <controlPr defaultSize="0" autoFill="0" autoLine="0" autoPict="0" macro="[1]!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857" r:id="rId836" name="Button 833">
              <controlPr defaultSize="0" autoFill="0" autoLine="0" autoPict="0" macro="[1]!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858" r:id="rId837" name="Button 834">
              <controlPr defaultSize="0" autoFill="0" autoLine="0" autoPict="0" macro="[1]!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859" r:id="rId838" name="Button 835">
              <controlPr defaultSize="0" autoFill="0" autoLine="0" autoPict="0" macro="[1]!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860" r:id="rId839" name="Button 836">
              <controlPr defaultSize="0" autoFill="0" autoLine="0" autoPict="0" macro="[1]!Sheet1.deleteProcedure">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1861" r:id="rId840" name="Button 837">
              <controlPr defaultSize="0" autoFill="0" autoLine="0" autoPict="0" macro="[1]!Sheet1.InsertNewTableRow">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1862" r:id="rId841" name="Button 838">
              <controlPr defaultSize="0" autoFill="0" autoLine="0" autoPict="0" macro="[1]!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863" r:id="rId842" name="Button 839">
              <controlPr defaultSize="0" autoFill="0" autoLine="0" autoPict="0" macro="[1]!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864" r:id="rId843" name="Button 840">
              <controlPr defaultSize="0" autoFill="0" autoLine="0" autoPict="0" macro="[1]!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865" r:id="rId844" name="Button 841">
              <controlPr defaultSize="0" autoFill="0" autoLine="0" autoPict="0" macro="[1]!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866" r:id="rId845" name="Button 842">
              <controlPr defaultSize="0" autoFill="0" autoLine="0" autoPict="0" macro="[1]!Sheet1.deleteProcedure">
                <anchor moveWithCells="1" sizeWithCells="1">
                  <from>
                    <xdr:col>6</xdr:col>
                    <xdr:colOff>0</xdr:colOff>
                    <xdr:row>2226</xdr:row>
                    <xdr:rowOff>0</xdr:rowOff>
                  </from>
                  <to>
                    <xdr:col>7</xdr:col>
                    <xdr:colOff>0</xdr:colOff>
                    <xdr:row>2227</xdr:row>
                    <xdr:rowOff>0</xdr:rowOff>
                  </to>
                </anchor>
              </controlPr>
            </control>
          </mc:Choice>
        </mc:AlternateContent>
        <mc:AlternateContent xmlns:mc="http://schemas.openxmlformats.org/markup-compatibility/2006">
          <mc:Choice Requires="x14">
            <control shapeId="1867" r:id="rId846" name="Button 843">
              <controlPr defaultSize="0" autoFill="0" autoLine="0" autoPict="0" macro="[1]!Sheet1.InsertNewTableRow">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1868" r:id="rId847" name="Button 844">
              <controlPr defaultSize="0" autoFill="0" autoLine="0" autoPict="0" macro="[1]!Sheet1.deleteRow">
                <anchor moveWithCells="1" sizeWithCells="1">
                  <from>
                    <xdr:col>6</xdr:col>
                    <xdr:colOff>0</xdr:colOff>
                    <xdr:row>2234</xdr:row>
                    <xdr:rowOff>0</xdr:rowOff>
                  </from>
                  <to>
                    <xdr:col>7</xdr:col>
                    <xdr:colOff>0</xdr:colOff>
                    <xdr:row>2234</xdr:row>
                    <xdr:rowOff>161925</xdr:rowOff>
                  </to>
                </anchor>
              </controlPr>
            </control>
          </mc:Choice>
        </mc:AlternateContent>
        <mc:AlternateContent xmlns:mc="http://schemas.openxmlformats.org/markup-compatibility/2006">
          <mc:Choice Requires="x14">
            <control shapeId="1869" r:id="rId848" name="Button 845">
              <controlPr defaultSize="0" autoFill="0" autoLine="0" autoPict="0" macro="[1]!Sheet1.deleteRow">
                <anchor moveWithCells="1" sizeWithCells="1">
                  <from>
                    <xdr:col>6</xdr:col>
                    <xdr:colOff>0</xdr:colOff>
                    <xdr:row>2235</xdr:row>
                    <xdr:rowOff>0</xdr:rowOff>
                  </from>
                  <to>
                    <xdr:col>7</xdr:col>
                    <xdr:colOff>0</xdr:colOff>
                    <xdr:row>2235</xdr:row>
                    <xdr:rowOff>161925</xdr:rowOff>
                  </to>
                </anchor>
              </controlPr>
            </control>
          </mc:Choice>
        </mc:AlternateContent>
        <mc:AlternateContent xmlns:mc="http://schemas.openxmlformats.org/markup-compatibility/2006">
          <mc:Choice Requires="x14">
            <control shapeId="1870" r:id="rId849" name="Button 846">
              <controlPr defaultSize="0" autoFill="0" autoLine="0" autoPict="0" macro="[1]!Sheet1.deleteProcedure">
                <anchor moveWithCells="1" sizeWithCells="1">
                  <from>
                    <xdr:col>6</xdr:col>
                    <xdr:colOff>0</xdr:colOff>
                    <xdr:row>2238</xdr:row>
                    <xdr:rowOff>0</xdr:rowOff>
                  </from>
                  <to>
                    <xdr:col>7</xdr:col>
                    <xdr:colOff>0</xdr:colOff>
                    <xdr:row>2239</xdr:row>
                    <xdr:rowOff>0</xdr:rowOff>
                  </to>
                </anchor>
              </controlPr>
            </control>
          </mc:Choice>
        </mc:AlternateContent>
        <mc:AlternateContent xmlns:mc="http://schemas.openxmlformats.org/markup-compatibility/2006">
          <mc:Choice Requires="x14">
            <control shapeId="1871" r:id="rId850" name="Button 847">
              <controlPr defaultSize="0" autoFill="0" autoLine="0" autoPict="0" macro="[1]!Sheet1.InsertNewTableRow">
                <anchor moveWithCells="1" sizeWithCells="1">
                  <from>
                    <xdr:col>6</xdr:col>
                    <xdr:colOff>0</xdr:colOff>
                    <xdr:row>2245</xdr:row>
                    <xdr:rowOff>0</xdr:rowOff>
                  </from>
                  <to>
                    <xdr:col>7</xdr:col>
                    <xdr:colOff>0</xdr:colOff>
                    <xdr:row>2246</xdr:row>
                    <xdr:rowOff>0</xdr:rowOff>
                  </to>
                </anchor>
              </controlPr>
            </control>
          </mc:Choice>
        </mc:AlternateContent>
        <mc:AlternateContent xmlns:mc="http://schemas.openxmlformats.org/markup-compatibility/2006">
          <mc:Choice Requires="x14">
            <control shapeId="1872" r:id="rId851" name="Button 848">
              <controlPr defaultSize="0" autoFill="0" autoLine="0" autoPict="0" macro="[1]!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873" r:id="rId852" name="Button 849">
              <controlPr defaultSize="0" autoFill="0" autoLine="0" autoPict="0" macro="[1]!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874" r:id="rId853" name="Button 850">
              <controlPr defaultSize="0" autoFill="0" autoLine="0" autoPict="0" macro="[1]!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875" r:id="rId854" name="Button 851">
              <controlPr defaultSize="0" autoFill="0" autoLine="0" autoPict="0" macro="[1]!Sheet1.deleteProcedure">
                <anchor moveWithCells="1" sizeWithCells="1">
                  <from>
                    <xdr:col>6</xdr:col>
                    <xdr:colOff>0</xdr:colOff>
                    <xdr:row>2251</xdr:row>
                    <xdr:rowOff>0</xdr:rowOff>
                  </from>
                  <to>
                    <xdr:col>7</xdr:col>
                    <xdr:colOff>0</xdr:colOff>
                    <xdr:row>2252</xdr:row>
                    <xdr:rowOff>0</xdr:rowOff>
                  </to>
                </anchor>
              </controlPr>
            </control>
          </mc:Choice>
        </mc:AlternateContent>
        <mc:AlternateContent xmlns:mc="http://schemas.openxmlformats.org/markup-compatibility/2006">
          <mc:Choice Requires="x14">
            <control shapeId="1876" r:id="rId855" name="Button 852">
              <controlPr defaultSize="0" autoFill="0" autoLine="0" autoPict="0" macro="[1]!Sheet1.InsertNewTableRow">
                <anchor moveWithCells="1" sizeWithCells="1">
                  <from>
                    <xdr:col>6</xdr:col>
                    <xdr:colOff>0</xdr:colOff>
                    <xdr:row>2258</xdr:row>
                    <xdr:rowOff>0</xdr:rowOff>
                  </from>
                  <to>
                    <xdr:col>7</xdr:col>
                    <xdr:colOff>0</xdr:colOff>
                    <xdr:row>2259</xdr:row>
                    <xdr:rowOff>0</xdr:rowOff>
                  </to>
                </anchor>
              </controlPr>
            </control>
          </mc:Choice>
        </mc:AlternateContent>
        <mc:AlternateContent xmlns:mc="http://schemas.openxmlformats.org/markup-compatibility/2006">
          <mc:Choice Requires="x14">
            <control shapeId="1877" r:id="rId856" name="Button 853">
              <controlPr defaultSize="0" autoFill="0" autoLine="0" autoPict="0" macro="[1]!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878" r:id="rId857" name="Button 854">
              <controlPr defaultSize="0" autoFill="0" autoLine="0" autoPict="0" macro="[1]!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879" r:id="rId858" name="Button 855">
              <controlPr defaultSize="0" autoFill="0" autoLine="0" autoPict="0" macro="[1]!Sheet1.deleteProcedure">
                <anchor moveWithCells="1" sizeWithCells="1">
                  <from>
                    <xdr:col>6</xdr:col>
                    <xdr:colOff>0</xdr:colOff>
                    <xdr:row>2263</xdr:row>
                    <xdr:rowOff>0</xdr:rowOff>
                  </from>
                  <to>
                    <xdr:col>7</xdr:col>
                    <xdr:colOff>0</xdr:colOff>
                    <xdr:row>2264</xdr:row>
                    <xdr:rowOff>0</xdr:rowOff>
                  </to>
                </anchor>
              </controlPr>
            </control>
          </mc:Choice>
        </mc:AlternateContent>
        <mc:AlternateContent xmlns:mc="http://schemas.openxmlformats.org/markup-compatibility/2006">
          <mc:Choice Requires="x14">
            <control shapeId="1880" r:id="rId859" name="Button 856">
              <controlPr defaultSize="0" autoFill="0" autoLine="0" autoPict="0" macro="[1]!Sheet1.InsertNewTableRow">
                <anchor moveWithCells="1" sizeWithCells="1">
                  <from>
                    <xdr:col>6</xdr:col>
                    <xdr:colOff>0</xdr:colOff>
                    <xdr:row>2270</xdr:row>
                    <xdr:rowOff>0</xdr:rowOff>
                  </from>
                  <to>
                    <xdr:col>7</xdr:col>
                    <xdr:colOff>0</xdr:colOff>
                    <xdr:row>2271</xdr:row>
                    <xdr:rowOff>0</xdr:rowOff>
                  </to>
                </anchor>
              </controlPr>
            </control>
          </mc:Choice>
        </mc:AlternateContent>
        <mc:AlternateContent xmlns:mc="http://schemas.openxmlformats.org/markup-compatibility/2006">
          <mc:Choice Requires="x14">
            <control shapeId="1881" r:id="rId860" name="Button 857">
              <controlPr defaultSize="0" autoFill="0" autoLine="0" autoPict="0" macro="[1]!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882" r:id="rId861" name="Button 858">
              <controlPr defaultSize="0" autoFill="0" autoLine="0" autoPict="0" macro="[1]!Sheet1.deleteProcedure">
                <anchor moveWithCells="1" sizeWithCells="1">
                  <from>
                    <xdr:col>6</xdr:col>
                    <xdr:colOff>0</xdr:colOff>
                    <xdr:row>2275</xdr:row>
                    <xdr:rowOff>0</xdr:rowOff>
                  </from>
                  <to>
                    <xdr:col>7</xdr:col>
                    <xdr:colOff>0</xdr:colOff>
                    <xdr:row>2276</xdr:row>
                    <xdr:rowOff>0</xdr:rowOff>
                  </to>
                </anchor>
              </controlPr>
            </control>
          </mc:Choice>
        </mc:AlternateContent>
        <mc:AlternateContent xmlns:mc="http://schemas.openxmlformats.org/markup-compatibility/2006">
          <mc:Choice Requires="x14">
            <control shapeId="1883" r:id="rId862" name="Button 859">
              <controlPr defaultSize="0" autoFill="0" autoLine="0" autoPict="0" macro="[1]!Sheet1.InsertNewTableRow">
                <anchor moveWithCells="1" sizeWithCells="1">
                  <from>
                    <xdr:col>6</xdr:col>
                    <xdr:colOff>0</xdr:colOff>
                    <xdr:row>2282</xdr:row>
                    <xdr:rowOff>0</xdr:rowOff>
                  </from>
                  <to>
                    <xdr:col>7</xdr:col>
                    <xdr:colOff>0</xdr:colOff>
                    <xdr:row>2283</xdr:row>
                    <xdr:rowOff>0</xdr:rowOff>
                  </to>
                </anchor>
              </controlPr>
            </control>
          </mc:Choice>
        </mc:AlternateContent>
        <mc:AlternateContent xmlns:mc="http://schemas.openxmlformats.org/markup-compatibility/2006">
          <mc:Choice Requires="x14">
            <control shapeId="1884" r:id="rId863" name="Button 860">
              <controlPr defaultSize="0" autoFill="0" autoLine="0" autoPict="0" macro="[1]!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885" r:id="rId864" name="Button 861">
              <controlPr defaultSize="0" autoFill="0" autoLine="0" autoPict="0" macro="[1]!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886" r:id="rId865" name="Button 862">
              <controlPr defaultSize="0" autoFill="0" autoLine="0" autoPict="0" macro="[1]!Sheet1.deleteProcedure">
                <anchor moveWithCells="1" sizeWithCells="1">
                  <from>
                    <xdr:col>6</xdr:col>
                    <xdr:colOff>0</xdr:colOff>
                    <xdr:row>2287</xdr:row>
                    <xdr:rowOff>0</xdr:rowOff>
                  </from>
                  <to>
                    <xdr:col>7</xdr:col>
                    <xdr:colOff>0</xdr:colOff>
                    <xdr:row>2288</xdr:row>
                    <xdr:rowOff>0</xdr:rowOff>
                  </to>
                </anchor>
              </controlPr>
            </control>
          </mc:Choice>
        </mc:AlternateContent>
        <mc:AlternateContent xmlns:mc="http://schemas.openxmlformats.org/markup-compatibility/2006">
          <mc:Choice Requires="x14">
            <control shapeId="1887" r:id="rId866" name="Button 863">
              <controlPr defaultSize="0" autoFill="0" autoLine="0" autoPict="0" macro="[1]!Sheet1.InsertNewTableRow">
                <anchor moveWithCells="1" sizeWithCells="1">
                  <from>
                    <xdr:col>6</xdr:col>
                    <xdr:colOff>0</xdr:colOff>
                    <xdr:row>2294</xdr:row>
                    <xdr:rowOff>0</xdr:rowOff>
                  </from>
                  <to>
                    <xdr:col>7</xdr:col>
                    <xdr:colOff>0</xdr:colOff>
                    <xdr:row>2295</xdr:row>
                    <xdr:rowOff>0</xdr:rowOff>
                  </to>
                </anchor>
              </controlPr>
            </control>
          </mc:Choice>
        </mc:AlternateContent>
        <mc:AlternateContent xmlns:mc="http://schemas.openxmlformats.org/markup-compatibility/2006">
          <mc:Choice Requires="x14">
            <control shapeId="1888" r:id="rId867" name="Button 864">
              <controlPr defaultSize="0" autoFill="0" autoLine="0" autoPict="0" macro="[1]!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889" r:id="rId868" name="Button 865">
              <controlPr defaultSize="0" autoFill="0" autoLine="0" autoPict="0" macro="[1]!Sheet1.deleteRow">
                <anchor moveWithCells="1" sizeWithCells="1">
                  <from>
                    <xdr:col>6</xdr:col>
                    <xdr:colOff>0</xdr:colOff>
                    <xdr:row>2296</xdr:row>
                    <xdr:rowOff>0</xdr:rowOff>
                  </from>
                  <to>
                    <xdr:col>7</xdr:col>
                    <xdr:colOff>0</xdr:colOff>
                    <xdr:row>2296</xdr:row>
                    <xdr:rowOff>161925</xdr:rowOff>
                  </to>
                </anchor>
              </controlPr>
            </control>
          </mc:Choice>
        </mc:AlternateContent>
        <mc:AlternateContent xmlns:mc="http://schemas.openxmlformats.org/markup-compatibility/2006">
          <mc:Choice Requires="x14">
            <control shapeId="1890" r:id="rId869" name="Button 866">
              <controlPr defaultSize="0" autoFill="0" autoLine="0" autoPict="0" macro="[1]!Sheet1.deleteProcedure">
                <anchor moveWithCells="1" sizeWithCells="1">
                  <from>
                    <xdr:col>6</xdr:col>
                    <xdr:colOff>0</xdr:colOff>
                    <xdr:row>2299</xdr:row>
                    <xdr:rowOff>0</xdr:rowOff>
                  </from>
                  <to>
                    <xdr:col>7</xdr:col>
                    <xdr:colOff>0</xdr:colOff>
                    <xdr:row>2300</xdr:row>
                    <xdr:rowOff>0</xdr:rowOff>
                  </to>
                </anchor>
              </controlPr>
            </control>
          </mc:Choice>
        </mc:AlternateContent>
        <mc:AlternateContent xmlns:mc="http://schemas.openxmlformats.org/markup-compatibility/2006">
          <mc:Choice Requires="x14">
            <control shapeId="1891" r:id="rId870" name="Button 867">
              <controlPr defaultSize="0" autoFill="0" autoLine="0" autoPict="0" macro="[1]!Sheet1.InsertNewTableRow">
                <anchor moveWithCells="1" sizeWithCells="1">
                  <from>
                    <xdr:col>6</xdr:col>
                    <xdr:colOff>0</xdr:colOff>
                    <xdr:row>2306</xdr:row>
                    <xdr:rowOff>0</xdr:rowOff>
                  </from>
                  <to>
                    <xdr:col>7</xdr:col>
                    <xdr:colOff>0</xdr:colOff>
                    <xdr:row>2307</xdr:row>
                    <xdr:rowOff>0</xdr:rowOff>
                  </to>
                </anchor>
              </controlPr>
            </control>
          </mc:Choice>
        </mc:AlternateContent>
        <mc:AlternateContent xmlns:mc="http://schemas.openxmlformats.org/markup-compatibility/2006">
          <mc:Choice Requires="x14">
            <control shapeId="1892" r:id="rId871" name="Button 868">
              <controlPr defaultSize="0" autoFill="0" autoLine="0" autoPict="0" macro="[1]!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893" r:id="rId872" name="Button 869">
              <controlPr defaultSize="0" autoFill="0" autoLine="0" autoPict="0" macro="[1]!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1894" r:id="rId873" name="Button 870">
              <controlPr defaultSize="0" autoFill="0" autoLine="0" autoPict="0" macro="[1]!Sheet1.deleteRow">
                <anchor moveWithCells="1" sizeWithCells="1">
                  <from>
                    <xdr:col>6</xdr:col>
                    <xdr:colOff>0</xdr:colOff>
                    <xdr:row>2309</xdr:row>
                    <xdr:rowOff>0</xdr:rowOff>
                  </from>
                  <to>
                    <xdr:col>7</xdr:col>
                    <xdr:colOff>0</xdr:colOff>
                    <xdr:row>2309</xdr:row>
                    <xdr:rowOff>161925</xdr:rowOff>
                  </to>
                </anchor>
              </controlPr>
            </control>
          </mc:Choice>
        </mc:AlternateContent>
        <mc:AlternateContent xmlns:mc="http://schemas.openxmlformats.org/markup-compatibility/2006">
          <mc:Choice Requires="x14">
            <control shapeId="1895" r:id="rId874" name="Button 871">
              <controlPr defaultSize="0" autoFill="0" autoLine="0" autoPict="0" macro="[1]!Sheet1.deleteRow">
                <anchor moveWithCells="1" sizeWithCells="1">
                  <from>
                    <xdr:col>6</xdr:col>
                    <xdr:colOff>0</xdr:colOff>
                    <xdr:row>2310</xdr:row>
                    <xdr:rowOff>0</xdr:rowOff>
                  </from>
                  <to>
                    <xdr:col>7</xdr:col>
                    <xdr:colOff>0</xdr:colOff>
                    <xdr:row>2310</xdr:row>
                    <xdr:rowOff>161925</xdr:rowOff>
                  </to>
                </anchor>
              </controlPr>
            </control>
          </mc:Choice>
        </mc:AlternateContent>
        <mc:AlternateContent xmlns:mc="http://schemas.openxmlformats.org/markup-compatibility/2006">
          <mc:Choice Requires="x14">
            <control shapeId="1896" r:id="rId875" name="Button 872">
              <controlPr defaultSize="0" autoFill="0" autoLine="0" autoPict="0" macro="[1]!Sheet1.deleteProcedure">
                <anchor moveWithCells="1" sizeWithCells="1">
                  <from>
                    <xdr:col>6</xdr:col>
                    <xdr:colOff>0</xdr:colOff>
                    <xdr:row>2313</xdr:row>
                    <xdr:rowOff>0</xdr:rowOff>
                  </from>
                  <to>
                    <xdr:col>7</xdr:col>
                    <xdr:colOff>0</xdr:colOff>
                    <xdr:row>2314</xdr:row>
                    <xdr:rowOff>0</xdr:rowOff>
                  </to>
                </anchor>
              </controlPr>
            </control>
          </mc:Choice>
        </mc:AlternateContent>
        <mc:AlternateContent xmlns:mc="http://schemas.openxmlformats.org/markup-compatibility/2006">
          <mc:Choice Requires="x14">
            <control shapeId="1897" r:id="rId876" name="Button 873">
              <controlPr defaultSize="0" autoFill="0" autoLine="0" autoPict="0" macro="[1]!Sheet1.InsertNewTableRow">
                <anchor moveWithCells="1" sizeWithCells="1">
                  <from>
                    <xdr:col>6</xdr:col>
                    <xdr:colOff>0</xdr:colOff>
                    <xdr:row>2320</xdr:row>
                    <xdr:rowOff>0</xdr:rowOff>
                  </from>
                  <to>
                    <xdr:col>7</xdr:col>
                    <xdr:colOff>0</xdr:colOff>
                    <xdr:row>2321</xdr:row>
                    <xdr:rowOff>0</xdr:rowOff>
                  </to>
                </anchor>
              </controlPr>
            </control>
          </mc:Choice>
        </mc:AlternateContent>
        <mc:AlternateContent xmlns:mc="http://schemas.openxmlformats.org/markup-compatibility/2006">
          <mc:Choice Requires="x14">
            <control shapeId="1898" r:id="rId877" name="Button 874">
              <controlPr defaultSize="0" autoFill="0" autoLine="0" autoPict="0" macro="[1]!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1899" r:id="rId878" name="Button 875">
              <controlPr defaultSize="0" autoFill="0" autoLine="0" autoPict="0" macro="[1]!Sheet1.deleteProcedure">
                <anchor moveWithCells="1" sizeWithCells="1">
                  <from>
                    <xdr:col>6</xdr:col>
                    <xdr:colOff>0</xdr:colOff>
                    <xdr:row>2324</xdr:row>
                    <xdr:rowOff>0</xdr:rowOff>
                  </from>
                  <to>
                    <xdr:col>7</xdr:col>
                    <xdr:colOff>0</xdr:colOff>
                    <xdr:row>2325</xdr:row>
                    <xdr:rowOff>0</xdr:rowOff>
                  </to>
                </anchor>
              </controlPr>
            </control>
          </mc:Choice>
        </mc:AlternateContent>
        <mc:AlternateContent xmlns:mc="http://schemas.openxmlformats.org/markup-compatibility/2006">
          <mc:Choice Requires="x14">
            <control shapeId="1900" r:id="rId879" name="Button 876">
              <controlPr defaultSize="0" autoFill="0" autoLine="0" autoPict="0" macro="[1]!Sheet1.InsertNewTableRow">
                <anchor moveWithCells="1" sizeWithCells="1">
                  <from>
                    <xdr:col>6</xdr:col>
                    <xdr:colOff>0</xdr:colOff>
                    <xdr:row>2331</xdr:row>
                    <xdr:rowOff>0</xdr:rowOff>
                  </from>
                  <to>
                    <xdr:col>7</xdr:col>
                    <xdr:colOff>0</xdr:colOff>
                    <xdr:row>2332</xdr:row>
                    <xdr:rowOff>0</xdr:rowOff>
                  </to>
                </anchor>
              </controlPr>
            </control>
          </mc:Choice>
        </mc:AlternateContent>
        <mc:AlternateContent xmlns:mc="http://schemas.openxmlformats.org/markup-compatibility/2006">
          <mc:Choice Requires="x14">
            <control shapeId="1901" r:id="rId880" name="Button 877">
              <controlPr defaultSize="0" autoFill="0" autoLine="0" autoPict="0" macro="[1]!Sheet1.deleteRow">
                <anchor moveWithCells="1" sizeWithCells="1">
                  <from>
                    <xdr:col>6</xdr:col>
                    <xdr:colOff>0</xdr:colOff>
                    <xdr:row>2332</xdr:row>
                    <xdr:rowOff>0</xdr:rowOff>
                  </from>
                  <to>
                    <xdr:col>7</xdr:col>
                    <xdr:colOff>0</xdr:colOff>
                    <xdr:row>2332</xdr:row>
                    <xdr:rowOff>161925</xdr:rowOff>
                  </to>
                </anchor>
              </controlPr>
            </control>
          </mc:Choice>
        </mc:AlternateContent>
        <mc:AlternateContent xmlns:mc="http://schemas.openxmlformats.org/markup-compatibility/2006">
          <mc:Choice Requires="x14">
            <control shapeId="1902" r:id="rId881" name="Button 878">
              <controlPr defaultSize="0" autoFill="0" autoLine="0" autoPict="0" macro="[1]!Sheet1.deleteProcedure">
                <anchor moveWithCells="1" sizeWithCells="1">
                  <from>
                    <xdr:col>6</xdr:col>
                    <xdr:colOff>0</xdr:colOff>
                    <xdr:row>2335</xdr:row>
                    <xdr:rowOff>0</xdr:rowOff>
                  </from>
                  <to>
                    <xdr:col>7</xdr:col>
                    <xdr:colOff>0</xdr:colOff>
                    <xdr:row>2336</xdr:row>
                    <xdr:rowOff>0</xdr:rowOff>
                  </to>
                </anchor>
              </controlPr>
            </control>
          </mc:Choice>
        </mc:AlternateContent>
        <mc:AlternateContent xmlns:mc="http://schemas.openxmlformats.org/markup-compatibility/2006">
          <mc:Choice Requires="x14">
            <control shapeId="1903" r:id="rId882" name="Button 879">
              <controlPr defaultSize="0" autoFill="0" autoLine="0" autoPict="0" macro="[1]!Sheet1.InsertNewTableRow">
                <anchor moveWithCells="1" sizeWithCells="1">
                  <from>
                    <xdr:col>6</xdr:col>
                    <xdr:colOff>0</xdr:colOff>
                    <xdr:row>2342</xdr:row>
                    <xdr:rowOff>0</xdr:rowOff>
                  </from>
                  <to>
                    <xdr:col>7</xdr:col>
                    <xdr:colOff>0</xdr:colOff>
                    <xdr:row>2343</xdr:row>
                    <xdr:rowOff>0</xdr:rowOff>
                  </to>
                </anchor>
              </controlPr>
            </control>
          </mc:Choice>
        </mc:AlternateContent>
        <mc:AlternateContent xmlns:mc="http://schemas.openxmlformats.org/markup-compatibility/2006">
          <mc:Choice Requires="x14">
            <control shapeId="1904" r:id="rId883" name="Button 880">
              <controlPr defaultSize="0" autoFill="0" autoLine="0" autoPict="0" macro="[1]!Sheet1.deleteRow">
                <anchor moveWithCells="1" sizeWithCells="1">
                  <from>
                    <xdr:col>6</xdr:col>
                    <xdr:colOff>0</xdr:colOff>
                    <xdr:row>2343</xdr:row>
                    <xdr:rowOff>0</xdr:rowOff>
                  </from>
                  <to>
                    <xdr:col>7</xdr:col>
                    <xdr:colOff>0</xdr:colOff>
                    <xdr:row>2343</xdr:row>
                    <xdr:rowOff>161925</xdr:rowOff>
                  </to>
                </anchor>
              </controlPr>
            </control>
          </mc:Choice>
        </mc:AlternateContent>
        <mc:AlternateContent xmlns:mc="http://schemas.openxmlformats.org/markup-compatibility/2006">
          <mc:Choice Requires="x14">
            <control shapeId="1905" r:id="rId884" name="Button 881">
              <controlPr defaultSize="0" autoFill="0" autoLine="0" autoPict="0" macro="[1]!Sheet1.deleteProcedure">
                <anchor moveWithCells="1" sizeWithCells="1">
                  <from>
                    <xdr:col>6</xdr:col>
                    <xdr:colOff>0</xdr:colOff>
                    <xdr:row>2346</xdr:row>
                    <xdr:rowOff>0</xdr:rowOff>
                  </from>
                  <to>
                    <xdr:col>7</xdr:col>
                    <xdr:colOff>0</xdr:colOff>
                    <xdr:row>2347</xdr:row>
                    <xdr:rowOff>0</xdr:rowOff>
                  </to>
                </anchor>
              </controlPr>
            </control>
          </mc:Choice>
        </mc:AlternateContent>
        <mc:AlternateContent xmlns:mc="http://schemas.openxmlformats.org/markup-compatibility/2006">
          <mc:Choice Requires="x14">
            <control shapeId="1906" r:id="rId885" name="Button 882">
              <controlPr defaultSize="0" autoFill="0" autoLine="0" autoPict="0" macro="[1]!Sheet1.InsertNewTableRow">
                <anchor moveWithCells="1" sizeWithCells="1">
                  <from>
                    <xdr:col>6</xdr:col>
                    <xdr:colOff>0</xdr:colOff>
                    <xdr:row>2353</xdr:row>
                    <xdr:rowOff>0</xdr:rowOff>
                  </from>
                  <to>
                    <xdr:col>7</xdr:col>
                    <xdr:colOff>0</xdr:colOff>
                    <xdr:row>2354</xdr:row>
                    <xdr:rowOff>0</xdr:rowOff>
                  </to>
                </anchor>
              </controlPr>
            </control>
          </mc:Choice>
        </mc:AlternateContent>
        <mc:AlternateContent xmlns:mc="http://schemas.openxmlformats.org/markup-compatibility/2006">
          <mc:Choice Requires="x14">
            <control shapeId="1907" r:id="rId886" name="Button 883">
              <controlPr defaultSize="0" autoFill="0" autoLine="0" autoPict="0" macro="[1]!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908" r:id="rId887" name="Button 884">
              <controlPr defaultSize="0" autoFill="0" autoLine="0" autoPict="0" macro="[1]!Sheet1.deleteProcedure">
                <anchor moveWithCells="1" sizeWithCells="1">
                  <from>
                    <xdr:col>6</xdr:col>
                    <xdr:colOff>0</xdr:colOff>
                    <xdr:row>2357</xdr:row>
                    <xdr:rowOff>0</xdr:rowOff>
                  </from>
                  <to>
                    <xdr:col>7</xdr:col>
                    <xdr:colOff>0</xdr:colOff>
                    <xdr:row>2358</xdr:row>
                    <xdr:rowOff>0</xdr:rowOff>
                  </to>
                </anchor>
              </controlPr>
            </control>
          </mc:Choice>
        </mc:AlternateContent>
        <mc:AlternateContent xmlns:mc="http://schemas.openxmlformats.org/markup-compatibility/2006">
          <mc:Choice Requires="x14">
            <control shapeId="1909" r:id="rId888" name="Button 885">
              <controlPr defaultSize="0" autoFill="0" autoLine="0" autoPict="0" macro="[1]!Sheet1.InsertNewTableRow">
                <anchor moveWithCells="1" sizeWithCells="1">
                  <from>
                    <xdr:col>6</xdr:col>
                    <xdr:colOff>0</xdr:colOff>
                    <xdr:row>2364</xdr:row>
                    <xdr:rowOff>0</xdr:rowOff>
                  </from>
                  <to>
                    <xdr:col>7</xdr:col>
                    <xdr:colOff>0</xdr:colOff>
                    <xdr:row>2365</xdr:row>
                    <xdr:rowOff>0</xdr:rowOff>
                  </to>
                </anchor>
              </controlPr>
            </control>
          </mc:Choice>
        </mc:AlternateContent>
        <mc:AlternateContent xmlns:mc="http://schemas.openxmlformats.org/markup-compatibility/2006">
          <mc:Choice Requires="x14">
            <control shapeId="1910" r:id="rId889" name="Button 886">
              <controlPr defaultSize="0" autoFill="0" autoLine="0" autoPict="0" macro="[1]!Sheet1.deleteRow">
                <anchor moveWithCells="1" sizeWithCells="1">
                  <from>
                    <xdr:col>6</xdr:col>
                    <xdr:colOff>0</xdr:colOff>
                    <xdr:row>2365</xdr:row>
                    <xdr:rowOff>0</xdr:rowOff>
                  </from>
                  <to>
                    <xdr:col>7</xdr:col>
                    <xdr:colOff>0</xdr:colOff>
                    <xdr:row>2365</xdr:row>
                    <xdr:rowOff>161925</xdr:rowOff>
                  </to>
                </anchor>
              </controlPr>
            </control>
          </mc:Choice>
        </mc:AlternateContent>
        <mc:AlternateContent xmlns:mc="http://schemas.openxmlformats.org/markup-compatibility/2006">
          <mc:Choice Requires="x14">
            <control shapeId="1911" r:id="rId890" name="Button 887">
              <controlPr defaultSize="0" autoFill="0" autoLine="0" autoPict="0" macro="[1]!Sheet1.deleteProcedure">
                <anchor moveWithCells="1" sizeWithCells="1">
                  <from>
                    <xdr:col>6</xdr:col>
                    <xdr:colOff>0</xdr:colOff>
                    <xdr:row>2368</xdr:row>
                    <xdr:rowOff>0</xdr:rowOff>
                  </from>
                  <to>
                    <xdr:col>7</xdr:col>
                    <xdr:colOff>0</xdr:colOff>
                    <xdr:row>2369</xdr:row>
                    <xdr:rowOff>0</xdr:rowOff>
                  </to>
                </anchor>
              </controlPr>
            </control>
          </mc:Choice>
        </mc:AlternateContent>
        <mc:AlternateContent xmlns:mc="http://schemas.openxmlformats.org/markup-compatibility/2006">
          <mc:Choice Requires="x14">
            <control shapeId="1912" r:id="rId891" name="Button 888">
              <controlPr defaultSize="0" autoFill="0" autoLine="0" autoPict="0" macro="[1]!Sheet1.InsertNewTableRow">
                <anchor moveWithCells="1" sizeWithCells="1">
                  <from>
                    <xdr:col>6</xdr:col>
                    <xdr:colOff>0</xdr:colOff>
                    <xdr:row>2375</xdr:row>
                    <xdr:rowOff>0</xdr:rowOff>
                  </from>
                  <to>
                    <xdr:col>7</xdr:col>
                    <xdr:colOff>0</xdr:colOff>
                    <xdr:row>2376</xdr:row>
                    <xdr:rowOff>0</xdr:rowOff>
                  </to>
                </anchor>
              </controlPr>
            </control>
          </mc:Choice>
        </mc:AlternateContent>
        <mc:AlternateContent xmlns:mc="http://schemas.openxmlformats.org/markup-compatibility/2006">
          <mc:Choice Requires="x14">
            <control shapeId="1913" r:id="rId892" name="Button 889">
              <controlPr defaultSize="0" autoFill="0" autoLine="0" autoPict="0" macro="[1]!Sheet1.deleteRow">
                <anchor moveWithCells="1" sizeWithCells="1">
                  <from>
                    <xdr:col>6</xdr:col>
                    <xdr:colOff>0</xdr:colOff>
                    <xdr:row>2376</xdr:row>
                    <xdr:rowOff>0</xdr:rowOff>
                  </from>
                  <to>
                    <xdr:col>7</xdr:col>
                    <xdr:colOff>0</xdr:colOff>
                    <xdr:row>2376</xdr:row>
                    <xdr:rowOff>161925</xdr:rowOff>
                  </to>
                </anchor>
              </controlPr>
            </control>
          </mc:Choice>
        </mc:AlternateContent>
        <mc:AlternateContent xmlns:mc="http://schemas.openxmlformats.org/markup-compatibility/2006">
          <mc:Choice Requires="x14">
            <control shapeId="1914" r:id="rId893" name="Button 890">
              <controlPr defaultSize="0" autoFill="0" autoLine="0" autoPict="0" macro="[1]!Sheet1.deleteProcedure">
                <anchor moveWithCells="1" sizeWithCells="1">
                  <from>
                    <xdr:col>6</xdr:col>
                    <xdr:colOff>0</xdr:colOff>
                    <xdr:row>2379</xdr:row>
                    <xdr:rowOff>0</xdr:rowOff>
                  </from>
                  <to>
                    <xdr:col>7</xdr:col>
                    <xdr:colOff>0</xdr:colOff>
                    <xdr:row>2380</xdr:row>
                    <xdr:rowOff>0</xdr:rowOff>
                  </to>
                </anchor>
              </controlPr>
            </control>
          </mc:Choice>
        </mc:AlternateContent>
        <mc:AlternateContent xmlns:mc="http://schemas.openxmlformats.org/markup-compatibility/2006">
          <mc:Choice Requires="x14">
            <control shapeId="1915" r:id="rId894" name="Button 891">
              <controlPr defaultSize="0" autoFill="0" autoLine="0" autoPict="0" macro="[1]!Sheet1.InsertNewTableRow">
                <anchor moveWithCells="1" sizeWithCells="1">
                  <from>
                    <xdr:col>6</xdr:col>
                    <xdr:colOff>0</xdr:colOff>
                    <xdr:row>2386</xdr:row>
                    <xdr:rowOff>0</xdr:rowOff>
                  </from>
                  <to>
                    <xdr:col>7</xdr:col>
                    <xdr:colOff>0</xdr:colOff>
                    <xdr:row>2387</xdr:row>
                    <xdr:rowOff>0</xdr:rowOff>
                  </to>
                </anchor>
              </controlPr>
            </control>
          </mc:Choice>
        </mc:AlternateContent>
        <mc:AlternateContent xmlns:mc="http://schemas.openxmlformats.org/markup-compatibility/2006">
          <mc:Choice Requires="x14">
            <control shapeId="1916" r:id="rId895" name="Button 892">
              <controlPr defaultSize="0" autoFill="0" autoLine="0" autoPict="0" macro="[1]!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917" r:id="rId896" name="Button 893">
              <controlPr defaultSize="0" autoFill="0" autoLine="0" autoPict="0" macro="[1]!Sheet1.deleteProcedure">
                <anchor moveWithCells="1" sizeWithCells="1">
                  <from>
                    <xdr:col>6</xdr:col>
                    <xdr:colOff>0</xdr:colOff>
                    <xdr:row>2390</xdr:row>
                    <xdr:rowOff>0</xdr:rowOff>
                  </from>
                  <to>
                    <xdr:col>7</xdr:col>
                    <xdr:colOff>0</xdr:colOff>
                    <xdr:row>2391</xdr:row>
                    <xdr:rowOff>0</xdr:rowOff>
                  </to>
                </anchor>
              </controlPr>
            </control>
          </mc:Choice>
        </mc:AlternateContent>
        <mc:AlternateContent xmlns:mc="http://schemas.openxmlformats.org/markup-compatibility/2006">
          <mc:Choice Requires="x14">
            <control shapeId="1918" r:id="rId897" name="Button 894">
              <controlPr defaultSize="0" autoFill="0" autoLine="0" autoPict="0" macro="[1]!Sheet1.InsertNewTableRow">
                <anchor moveWithCells="1" sizeWithCells="1">
                  <from>
                    <xdr:col>6</xdr:col>
                    <xdr:colOff>0</xdr:colOff>
                    <xdr:row>2397</xdr:row>
                    <xdr:rowOff>0</xdr:rowOff>
                  </from>
                  <to>
                    <xdr:col>7</xdr:col>
                    <xdr:colOff>0</xdr:colOff>
                    <xdr:row>2398</xdr:row>
                    <xdr:rowOff>0</xdr:rowOff>
                  </to>
                </anchor>
              </controlPr>
            </control>
          </mc:Choice>
        </mc:AlternateContent>
        <mc:AlternateContent xmlns:mc="http://schemas.openxmlformats.org/markup-compatibility/2006">
          <mc:Choice Requires="x14">
            <control shapeId="1919" r:id="rId898" name="Button 895">
              <controlPr defaultSize="0" autoFill="0" autoLine="0" autoPict="0" macro="[1]!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920" r:id="rId899" name="Button 896">
              <controlPr defaultSize="0" autoFill="0" autoLine="0" autoPict="0" macro="[1]!Sheet1.deleteProcedure">
                <anchor moveWithCells="1" sizeWithCells="1">
                  <from>
                    <xdr:col>6</xdr:col>
                    <xdr:colOff>0</xdr:colOff>
                    <xdr:row>2401</xdr:row>
                    <xdr:rowOff>0</xdr:rowOff>
                  </from>
                  <to>
                    <xdr:col>7</xdr:col>
                    <xdr:colOff>0</xdr:colOff>
                    <xdr:row>2402</xdr:row>
                    <xdr:rowOff>0</xdr:rowOff>
                  </to>
                </anchor>
              </controlPr>
            </control>
          </mc:Choice>
        </mc:AlternateContent>
        <mc:AlternateContent xmlns:mc="http://schemas.openxmlformats.org/markup-compatibility/2006">
          <mc:Choice Requires="x14">
            <control shapeId="1921" r:id="rId900" name="Button 897">
              <controlPr defaultSize="0" autoFill="0" autoLine="0" autoPict="0" macro="[1]!Sheet1.InsertNewTableRow">
                <anchor moveWithCells="1" sizeWithCells="1">
                  <from>
                    <xdr:col>6</xdr:col>
                    <xdr:colOff>0</xdr:colOff>
                    <xdr:row>2408</xdr:row>
                    <xdr:rowOff>0</xdr:rowOff>
                  </from>
                  <to>
                    <xdr:col>7</xdr:col>
                    <xdr:colOff>0</xdr:colOff>
                    <xdr:row>2409</xdr:row>
                    <xdr:rowOff>0</xdr:rowOff>
                  </to>
                </anchor>
              </controlPr>
            </control>
          </mc:Choice>
        </mc:AlternateContent>
        <mc:AlternateContent xmlns:mc="http://schemas.openxmlformats.org/markup-compatibility/2006">
          <mc:Choice Requires="x14">
            <control shapeId="1922" r:id="rId901" name="Button 898">
              <controlPr defaultSize="0" autoFill="0" autoLine="0" autoPict="0" macro="[1]!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923" r:id="rId902" name="Button 899">
              <controlPr defaultSize="0" autoFill="0" autoLine="0" autoPict="0" macro="[1]!Sheet1.deleteProcedure">
                <anchor moveWithCells="1" sizeWithCells="1">
                  <from>
                    <xdr:col>6</xdr:col>
                    <xdr:colOff>0</xdr:colOff>
                    <xdr:row>2412</xdr:row>
                    <xdr:rowOff>0</xdr:rowOff>
                  </from>
                  <to>
                    <xdr:col>7</xdr:col>
                    <xdr:colOff>0</xdr:colOff>
                    <xdr:row>2413</xdr:row>
                    <xdr:rowOff>0</xdr:rowOff>
                  </to>
                </anchor>
              </controlPr>
            </control>
          </mc:Choice>
        </mc:AlternateContent>
        <mc:AlternateContent xmlns:mc="http://schemas.openxmlformats.org/markup-compatibility/2006">
          <mc:Choice Requires="x14">
            <control shapeId="1924" r:id="rId903" name="Button 900">
              <controlPr defaultSize="0" autoFill="0" autoLine="0" autoPict="0" macro="[1]!Sheet1.InsertNewTableRow">
                <anchor moveWithCells="1" sizeWithCells="1">
                  <from>
                    <xdr:col>6</xdr:col>
                    <xdr:colOff>0</xdr:colOff>
                    <xdr:row>2419</xdr:row>
                    <xdr:rowOff>0</xdr:rowOff>
                  </from>
                  <to>
                    <xdr:col>7</xdr:col>
                    <xdr:colOff>0</xdr:colOff>
                    <xdr:row>2420</xdr:row>
                    <xdr:rowOff>0</xdr:rowOff>
                  </to>
                </anchor>
              </controlPr>
            </control>
          </mc:Choice>
        </mc:AlternateContent>
        <mc:AlternateContent xmlns:mc="http://schemas.openxmlformats.org/markup-compatibility/2006">
          <mc:Choice Requires="x14">
            <control shapeId="1925" r:id="rId904" name="Button 901">
              <controlPr defaultSize="0" autoFill="0" autoLine="0" autoPict="0" macro="[1]!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926" r:id="rId905" name="Button 902">
              <controlPr defaultSize="0" autoFill="0" autoLine="0" autoPict="0" macro="[1]!Sheet1.deleteProcedure">
                <anchor moveWithCells="1" sizeWithCells="1">
                  <from>
                    <xdr:col>6</xdr:col>
                    <xdr:colOff>0</xdr:colOff>
                    <xdr:row>2423</xdr:row>
                    <xdr:rowOff>0</xdr:rowOff>
                  </from>
                  <to>
                    <xdr:col>7</xdr:col>
                    <xdr:colOff>0</xdr:colOff>
                    <xdr:row>2424</xdr:row>
                    <xdr:rowOff>0</xdr:rowOff>
                  </to>
                </anchor>
              </controlPr>
            </control>
          </mc:Choice>
        </mc:AlternateContent>
        <mc:AlternateContent xmlns:mc="http://schemas.openxmlformats.org/markup-compatibility/2006">
          <mc:Choice Requires="x14">
            <control shapeId="1927" r:id="rId906" name="Button 903">
              <controlPr defaultSize="0" autoFill="0" autoLine="0" autoPict="0" macro="[1]!Sheet1.InsertNewTableRow">
                <anchor moveWithCells="1" sizeWithCells="1">
                  <from>
                    <xdr:col>6</xdr:col>
                    <xdr:colOff>0</xdr:colOff>
                    <xdr:row>2430</xdr:row>
                    <xdr:rowOff>0</xdr:rowOff>
                  </from>
                  <to>
                    <xdr:col>7</xdr:col>
                    <xdr:colOff>0</xdr:colOff>
                    <xdr:row>2431</xdr:row>
                    <xdr:rowOff>0</xdr:rowOff>
                  </to>
                </anchor>
              </controlPr>
            </control>
          </mc:Choice>
        </mc:AlternateContent>
        <mc:AlternateContent xmlns:mc="http://schemas.openxmlformats.org/markup-compatibility/2006">
          <mc:Choice Requires="x14">
            <control shapeId="1928" r:id="rId907" name="Button 904">
              <controlPr defaultSize="0" autoFill="0" autoLine="0" autoPict="0" macro="[1]!Sheet1.deleteRow">
                <anchor moveWithCells="1" sizeWithCells="1">
                  <from>
                    <xdr:col>6</xdr:col>
                    <xdr:colOff>0</xdr:colOff>
                    <xdr:row>2431</xdr:row>
                    <xdr:rowOff>0</xdr:rowOff>
                  </from>
                  <to>
                    <xdr:col>7</xdr:col>
                    <xdr:colOff>0</xdr:colOff>
                    <xdr:row>2431</xdr:row>
                    <xdr:rowOff>161925</xdr:rowOff>
                  </to>
                </anchor>
              </controlPr>
            </control>
          </mc:Choice>
        </mc:AlternateContent>
        <mc:AlternateContent xmlns:mc="http://schemas.openxmlformats.org/markup-compatibility/2006">
          <mc:Choice Requires="x14">
            <control shapeId="1929" r:id="rId908" name="Button 905">
              <controlPr defaultSize="0" autoFill="0" autoLine="0" autoPict="0" macro="[1]!Sheet1.deleteRow">
                <anchor moveWithCells="1" sizeWithCells="1">
                  <from>
                    <xdr:col>6</xdr:col>
                    <xdr:colOff>0</xdr:colOff>
                    <xdr:row>2432</xdr:row>
                    <xdr:rowOff>0</xdr:rowOff>
                  </from>
                  <to>
                    <xdr:col>7</xdr:col>
                    <xdr:colOff>0</xdr:colOff>
                    <xdr:row>2432</xdr:row>
                    <xdr:rowOff>161925</xdr:rowOff>
                  </to>
                </anchor>
              </controlPr>
            </control>
          </mc:Choice>
        </mc:AlternateContent>
        <mc:AlternateContent xmlns:mc="http://schemas.openxmlformats.org/markup-compatibility/2006">
          <mc:Choice Requires="x14">
            <control shapeId="1930" r:id="rId909" name="Button 906">
              <controlPr defaultSize="0" autoFill="0" autoLine="0" autoPict="0" macro="[1]!Sheet1.deleteProcedure">
                <anchor moveWithCells="1" sizeWithCells="1">
                  <from>
                    <xdr:col>6</xdr:col>
                    <xdr:colOff>0</xdr:colOff>
                    <xdr:row>2435</xdr:row>
                    <xdr:rowOff>0</xdr:rowOff>
                  </from>
                  <to>
                    <xdr:col>7</xdr:col>
                    <xdr:colOff>0</xdr:colOff>
                    <xdr:row>2436</xdr:row>
                    <xdr:rowOff>0</xdr:rowOff>
                  </to>
                </anchor>
              </controlPr>
            </control>
          </mc:Choice>
        </mc:AlternateContent>
        <mc:AlternateContent xmlns:mc="http://schemas.openxmlformats.org/markup-compatibility/2006">
          <mc:Choice Requires="x14">
            <control shapeId="1931" r:id="rId910" name="Button 907">
              <controlPr defaultSize="0" autoFill="0" autoLine="0" autoPict="0" macro="[1]!Sheet1.InsertNewTableRow">
                <anchor moveWithCells="1" sizeWithCells="1">
                  <from>
                    <xdr:col>6</xdr:col>
                    <xdr:colOff>0</xdr:colOff>
                    <xdr:row>2442</xdr:row>
                    <xdr:rowOff>0</xdr:rowOff>
                  </from>
                  <to>
                    <xdr:col>7</xdr:col>
                    <xdr:colOff>0</xdr:colOff>
                    <xdr:row>2443</xdr:row>
                    <xdr:rowOff>0</xdr:rowOff>
                  </to>
                </anchor>
              </controlPr>
            </control>
          </mc:Choice>
        </mc:AlternateContent>
        <mc:AlternateContent xmlns:mc="http://schemas.openxmlformats.org/markup-compatibility/2006">
          <mc:Choice Requires="x14">
            <control shapeId="1932" r:id="rId911" name="Button 908">
              <controlPr defaultSize="0" autoFill="0" autoLine="0" autoPict="0" macro="[1]!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933" r:id="rId912" name="Button 909">
              <controlPr defaultSize="0" autoFill="0" autoLine="0" autoPict="0" macro="[1]!Sheet1.deleteProcedure">
                <anchor moveWithCells="1" sizeWithCells="1">
                  <from>
                    <xdr:col>6</xdr:col>
                    <xdr:colOff>0</xdr:colOff>
                    <xdr:row>2446</xdr:row>
                    <xdr:rowOff>0</xdr:rowOff>
                  </from>
                  <to>
                    <xdr:col>7</xdr:col>
                    <xdr:colOff>0</xdr:colOff>
                    <xdr:row>2447</xdr:row>
                    <xdr:rowOff>0</xdr:rowOff>
                  </to>
                </anchor>
              </controlPr>
            </control>
          </mc:Choice>
        </mc:AlternateContent>
        <mc:AlternateContent xmlns:mc="http://schemas.openxmlformats.org/markup-compatibility/2006">
          <mc:Choice Requires="x14">
            <control shapeId="1934" r:id="rId913" name="Button 910">
              <controlPr defaultSize="0" autoFill="0" autoLine="0" autoPict="0" macro="[1]!Sheet1.InsertNewTableRow">
                <anchor moveWithCells="1" sizeWithCells="1">
                  <from>
                    <xdr:col>6</xdr:col>
                    <xdr:colOff>0</xdr:colOff>
                    <xdr:row>2453</xdr:row>
                    <xdr:rowOff>0</xdr:rowOff>
                  </from>
                  <to>
                    <xdr:col>7</xdr:col>
                    <xdr:colOff>0</xdr:colOff>
                    <xdr:row>2454</xdr:row>
                    <xdr:rowOff>0</xdr:rowOff>
                  </to>
                </anchor>
              </controlPr>
            </control>
          </mc:Choice>
        </mc:AlternateContent>
        <mc:AlternateContent xmlns:mc="http://schemas.openxmlformats.org/markup-compatibility/2006">
          <mc:Choice Requires="x14">
            <control shapeId="1935" r:id="rId914" name="Button 911">
              <controlPr defaultSize="0" autoFill="0" autoLine="0" autoPict="0" macro="[1]!Sheet1.deleteRow">
                <anchor moveWithCells="1" sizeWithCells="1">
                  <from>
                    <xdr:col>6</xdr:col>
                    <xdr:colOff>0</xdr:colOff>
                    <xdr:row>2454</xdr:row>
                    <xdr:rowOff>0</xdr:rowOff>
                  </from>
                  <to>
                    <xdr:col>7</xdr:col>
                    <xdr:colOff>0</xdr:colOff>
                    <xdr:row>2454</xdr:row>
                    <xdr:rowOff>161925</xdr:rowOff>
                  </to>
                </anchor>
              </controlPr>
            </control>
          </mc:Choice>
        </mc:AlternateContent>
        <mc:AlternateContent xmlns:mc="http://schemas.openxmlformats.org/markup-compatibility/2006">
          <mc:Choice Requires="x14">
            <control shapeId="1936" r:id="rId915" name="Button 912">
              <controlPr defaultSize="0" autoFill="0" autoLine="0" autoPict="0" macro="[1]!Sheet1.deleteProcedure">
                <anchor moveWithCells="1" sizeWithCells="1">
                  <from>
                    <xdr:col>6</xdr:col>
                    <xdr:colOff>0</xdr:colOff>
                    <xdr:row>2457</xdr:row>
                    <xdr:rowOff>0</xdr:rowOff>
                  </from>
                  <to>
                    <xdr:col>7</xdr:col>
                    <xdr:colOff>0</xdr:colOff>
                    <xdr:row>2458</xdr:row>
                    <xdr:rowOff>0</xdr:rowOff>
                  </to>
                </anchor>
              </controlPr>
            </control>
          </mc:Choice>
        </mc:AlternateContent>
        <mc:AlternateContent xmlns:mc="http://schemas.openxmlformats.org/markup-compatibility/2006">
          <mc:Choice Requires="x14">
            <control shapeId="1937" r:id="rId916" name="Button 913">
              <controlPr defaultSize="0" autoFill="0" autoLine="0" autoPict="0" macro="[1]!Sheet1.InsertNewTableRow">
                <anchor moveWithCells="1" sizeWithCells="1">
                  <from>
                    <xdr:col>6</xdr:col>
                    <xdr:colOff>0</xdr:colOff>
                    <xdr:row>2464</xdr:row>
                    <xdr:rowOff>0</xdr:rowOff>
                  </from>
                  <to>
                    <xdr:col>7</xdr:col>
                    <xdr:colOff>0</xdr:colOff>
                    <xdr:row>2465</xdr:row>
                    <xdr:rowOff>0</xdr:rowOff>
                  </to>
                </anchor>
              </controlPr>
            </control>
          </mc:Choice>
        </mc:AlternateContent>
        <mc:AlternateContent xmlns:mc="http://schemas.openxmlformats.org/markup-compatibility/2006">
          <mc:Choice Requires="x14">
            <control shapeId="1938" r:id="rId917" name="Button 914">
              <controlPr defaultSize="0" autoFill="0" autoLine="0" autoPict="0" macro="[1]!Sheet1.deleteRow">
                <anchor moveWithCells="1" sizeWithCells="1">
                  <from>
                    <xdr:col>6</xdr:col>
                    <xdr:colOff>0</xdr:colOff>
                    <xdr:row>2465</xdr:row>
                    <xdr:rowOff>0</xdr:rowOff>
                  </from>
                  <to>
                    <xdr:col>7</xdr:col>
                    <xdr:colOff>0</xdr:colOff>
                    <xdr:row>2465</xdr:row>
                    <xdr:rowOff>161925</xdr:rowOff>
                  </to>
                </anchor>
              </controlPr>
            </control>
          </mc:Choice>
        </mc:AlternateContent>
        <mc:AlternateContent xmlns:mc="http://schemas.openxmlformats.org/markup-compatibility/2006">
          <mc:Choice Requires="x14">
            <control shapeId="1939" r:id="rId918" name="Button 915">
              <controlPr defaultSize="0" autoFill="0" autoLine="0" autoPict="0" macro="[1]!Sheet1.deleteProcedure">
                <anchor moveWithCells="1" sizeWithCells="1">
                  <from>
                    <xdr:col>6</xdr:col>
                    <xdr:colOff>0</xdr:colOff>
                    <xdr:row>2468</xdr:row>
                    <xdr:rowOff>0</xdr:rowOff>
                  </from>
                  <to>
                    <xdr:col>7</xdr:col>
                    <xdr:colOff>0</xdr:colOff>
                    <xdr:row>2469</xdr:row>
                    <xdr:rowOff>0</xdr:rowOff>
                  </to>
                </anchor>
              </controlPr>
            </control>
          </mc:Choice>
        </mc:AlternateContent>
        <mc:AlternateContent xmlns:mc="http://schemas.openxmlformats.org/markup-compatibility/2006">
          <mc:Choice Requires="x14">
            <control shapeId="1940" r:id="rId919" name="Button 916">
              <controlPr defaultSize="0" autoFill="0" autoLine="0" autoPict="0" macro="[1]!Sheet1.InsertNewTableRow">
                <anchor moveWithCells="1" sizeWithCells="1">
                  <from>
                    <xdr:col>6</xdr:col>
                    <xdr:colOff>0</xdr:colOff>
                    <xdr:row>2475</xdr:row>
                    <xdr:rowOff>0</xdr:rowOff>
                  </from>
                  <to>
                    <xdr:col>7</xdr:col>
                    <xdr:colOff>0</xdr:colOff>
                    <xdr:row>2476</xdr:row>
                    <xdr:rowOff>0</xdr:rowOff>
                  </to>
                </anchor>
              </controlPr>
            </control>
          </mc:Choice>
        </mc:AlternateContent>
        <mc:AlternateContent xmlns:mc="http://schemas.openxmlformats.org/markup-compatibility/2006">
          <mc:Choice Requires="x14">
            <control shapeId="1941" r:id="rId920" name="Button 917">
              <controlPr defaultSize="0" autoFill="0" autoLine="0" autoPict="0" macro="[1]!Sheet1.deleteRow">
                <anchor moveWithCells="1" sizeWithCells="1">
                  <from>
                    <xdr:col>6</xdr:col>
                    <xdr:colOff>0</xdr:colOff>
                    <xdr:row>2476</xdr:row>
                    <xdr:rowOff>0</xdr:rowOff>
                  </from>
                  <to>
                    <xdr:col>7</xdr:col>
                    <xdr:colOff>0</xdr:colOff>
                    <xdr:row>2476</xdr:row>
                    <xdr:rowOff>161925</xdr:rowOff>
                  </to>
                </anchor>
              </controlPr>
            </control>
          </mc:Choice>
        </mc:AlternateContent>
        <mc:AlternateContent xmlns:mc="http://schemas.openxmlformats.org/markup-compatibility/2006">
          <mc:Choice Requires="x14">
            <control shapeId="1942" r:id="rId921" name="Button 918">
              <controlPr defaultSize="0" autoFill="0" autoLine="0" autoPict="0" macro="[1]!Sheet1.deleteProcedure">
                <anchor moveWithCells="1" sizeWithCells="1">
                  <from>
                    <xdr:col>6</xdr:col>
                    <xdr:colOff>0</xdr:colOff>
                    <xdr:row>2479</xdr:row>
                    <xdr:rowOff>0</xdr:rowOff>
                  </from>
                  <to>
                    <xdr:col>7</xdr:col>
                    <xdr:colOff>0</xdr:colOff>
                    <xdr:row>2480</xdr:row>
                    <xdr:rowOff>0</xdr:rowOff>
                  </to>
                </anchor>
              </controlPr>
            </control>
          </mc:Choice>
        </mc:AlternateContent>
        <mc:AlternateContent xmlns:mc="http://schemas.openxmlformats.org/markup-compatibility/2006">
          <mc:Choice Requires="x14">
            <control shapeId="1943" r:id="rId922" name="Button 919">
              <controlPr defaultSize="0" autoFill="0" autoLine="0" autoPict="0" macro="[1]!Sheet1.InsertNewTableRow">
                <anchor moveWithCells="1" sizeWithCells="1">
                  <from>
                    <xdr:col>6</xdr:col>
                    <xdr:colOff>0</xdr:colOff>
                    <xdr:row>2486</xdr:row>
                    <xdr:rowOff>0</xdr:rowOff>
                  </from>
                  <to>
                    <xdr:col>7</xdr:col>
                    <xdr:colOff>0</xdr:colOff>
                    <xdr:row>2487</xdr:row>
                    <xdr:rowOff>0</xdr:rowOff>
                  </to>
                </anchor>
              </controlPr>
            </control>
          </mc:Choice>
        </mc:AlternateContent>
        <mc:AlternateContent xmlns:mc="http://schemas.openxmlformats.org/markup-compatibility/2006">
          <mc:Choice Requires="x14">
            <control shapeId="1944" r:id="rId923" name="Button 920">
              <controlPr defaultSize="0" autoFill="0" autoLine="0" autoPict="0" macro="[1]!Sheet1.deleteRow">
                <anchor moveWithCells="1" sizeWithCells="1">
                  <from>
                    <xdr:col>6</xdr:col>
                    <xdr:colOff>0</xdr:colOff>
                    <xdr:row>2487</xdr:row>
                    <xdr:rowOff>0</xdr:rowOff>
                  </from>
                  <to>
                    <xdr:col>7</xdr:col>
                    <xdr:colOff>0</xdr:colOff>
                    <xdr:row>2487</xdr:row>
                    <xdr:rowOff>161925</xdr:rowOff>
                  </to>
                </anchor>
              </controlPr>
            </control>
          </mc:Choice>
        </mc:AlternateContent>
        <mc:AlternateContent xmlns:mc="http://schemas.openxmlformats.org/markup-compatibility/2006">
          <mc:Choice Requires="x14">
            <control shapeId="1945" r:id="rId924" name="Button 921">
              <controlPr defaultSize="0" autoFill="0" autoLine="0" autoPict="0" macro="[1]!Sheet1.deleteRow">
                <anchor moveWithCells="1" sizeWithCells="1">
                  <from>
                    <xdr:col>6</xdr:col>
                    <xdr:colOff>0</xdr:colOff>
                    <xdr:row>2488</xdr:row>
                    <xdr:rowOff>0</xdr:rowOff>
                  </from>
                  <to>
                    <xdr:col>7</xdr:col>
                    <xdr:colOff>0</xdr:colOff>
                    <xdr:row>2488</xdr:row>
                    <xdr:rowOff>161925</xdr:rowOff>
                  </to>
                </anchor>
              </controlPr>
            </control>
          </mc:Choice>
        </mc:AlternateContent>
        <mc:AlternateContent xmlns:mc="http://schemas.openxmlformats.org/markup-compatibility/2006">
          <mc:Choice Requires="x14">
            <control shapeId="1946" r:id="rId925" name="Button 922">
              <controlPr defaultSize="0" autoFill="0" autoLine="0" autoPict="0" macro="[1]!Sheet1.deleteProcedure">
                <anchor moveWithCells="1" sizeWithCells="1">
                  <from>
                    <xdr:col>6</xdr:col>
                    <xdr:colOff>0</xdr:colOff>
                    <xdr:row>2491</xdr:row>
                    <xdr:rowOff>0</xdr:rowOff>
                  </from>
                  <to>
                    <xdr:col>7</xdr:col>
                    <xdr:colOff>0</xdr:colOff>
                    <xdr:row>2492</xdr:row>
                    <xdr:rowOff>0</xdr:rowOff>
                  </to>
                </anchor>
              </controlPr>
            </control>
          </mc:Choice>
        </mc:AlternateContent>
        <mc:AlternateContent xmlns:mc="http://schemas.openxmlformats.org/markup-compatibility/2006">
          <mc:Choice Requires="x14">
            <control shapeId="1947" r:id="rId926" name="Button 923">
              <controlPr defaultSize="0" autoFill="0" autoLine="0" autoPict="0" macro="[1]!Sheet1.InsertNewTableRow">
                <anchor moveWithCells="1" sizeWithCells="1">
                  <from>
                    <xdr:col>6</xdr:col>
                    <xdr:colOff>0</xdr:colOff>
                    <xdr:row>2498</xdr:row>
                    <xdr:rowOff>0</xdr:rowOff>
                  </from>
                  <to>
                    <xdr:col>7</xdr:col>
                    <xdr:colOff>0</xdr:colOff>
                    <xdr:row>2499</xdr:row>
                    <xdr:rowOff>0</xdr:rowOff>
                  </to>
                </anchor>
              </controlPr>
            </control>
          </mc:Choice>
        </mc:AlternateContent>
        <mc:AlternateContent xmlns:mc="http://schemas.openxmlformats.org/markup-compatibility/2006">
          <mc:Choice Requires="x14">
            <control shapeId="1948" r:id="rId927" name="Button 924">
              <controlPr defaultSize="0" autoFill="0" autoLine="0" autoPict="0" macro="[1]!Sheet1.deleteRow">
                <anchor moveWithCells="1" sizeWithCells="1">
                  <from>
                    <xdr:col>6</xdr:col>
                    <xdr:colOff>0</xdr:colOff>
                    <xdr:row>2499</xdr:row>
                    <xdr:rowOff>0</xdr:rowOff>
                  </from>
                  <to>
                    <xdr:col>7</xdr:col>
                    <xdr:colOff>0</xdr:colOff>
                    <xdr:row>2499</xdr:row>
                    <xdr:rowOff>161925</xdr:rowOff>
                  </to>
                </anchor>
              </controlPr>
            </control>
          </mc:Choice>
        </mc:AlternateContent>
        <mc:AlternateContent xmlns:mc="http://schemas.openxmlformats.org/markup-compatibility/2006">
          <mc:Choice Requires="x14">
            <control shapeId="1949" r:id="rId928" name="Button 925">
              <controlPr defaultSize="0" autoFill="0" autoLine="0" autoPict="0" macro="[1]!Sheet1.deleteProcedure">
                <anchor moveWithCells="1" sizeWithCells="1">
                  <from>
                    <xdr:col>6</xdr:col>
                    <xdr:colOff>0</xdr:colOff>
                    <xdr:row>2502</xdr:row>
                    <xdr:rowOff>0</xdr:rowOff>
                  </from>
                  <to>
                    <xdr:col>7</xdr:col>
                    <xdr:colOff>0</xdr:colOff>
                    <xdr:row>2503</xdr:row>
                    <xdr:rowOff>0</xdr:rowOff>
                  </to>
                </anchor>
              </controlPr>
            </control>
          </mc:Choice>
        </mc:AlternateContent>
        <mc:AlternateContent xmlns:mc="http://schemas.openxmlformats.org/markup-compatibility/2006">
          <mc:Choice Requires="x14">
            <control shapeId="1950" r:id="rId929" name="Button 926">
              <controlPr defaultSize="0" autoFill="0" autoLine="0" autoPict="0" macro="[1]!Sheet1.InsertNewTableRow">
                <anchor moveWithCells="1" sizeWithCells="1">
                  <from>
                    <xdr:col>6</xdr:col>
                    <xdr:colOff>0</xdr:colOff>
                    <xdr:row>2509</xdr:row>
                    <xdr:rowOff>0</xdr:rowOff>
                  </from>
                  <to>
                    <xdr:col>7</xdr:col>
                    <xdr:colOff>0</xdr:colOff>
                    <xdr:row>2510</xdr:row>
                    <xdr:rowOff>0</xdr:rowOff>
                  </to>
                </anchor>
              </controlPr>
            </control>
          </mc:Choice>
        </mc:AlternateContent>
        <mc:AlternateContent xmlns:mc="http://schemas.openxmlformats.org/markup-compatibility/2006">
          <mc:Choice Requires="x14">
            <control shapeId="1951" r:id="rId930" name="Button 927">
              <controlPr defaultSize="0" autoFill="0" autoLine="0" autoPict="0" macro="[1]!Sheet1.deleteRow">
                <anchor moveWithCells="1" sizeWithCells="1">
                  <from>
                    <xdr:col>6</xdr:col>
                    <xdr:colOff>0</xdr:colOff>
                    <xdr:row>2510</xdr:row>
                    <xdr:rowOff>0</xdr:rowOff>
                  </from>
                  <to>
                    <xdr:col>7</xdr:col>
                    <xdr:colOff>0</xdr:colOff>
                    <xdr:row>2510</xdr:row>
                    <xdr:rowOff>161925</xdr:rowOff>
                  </to>
                </anchor>
              </controlPr>
            </control>
          </mc:Choice>
        </mc:AlternateContent>
        <mc:AlternateContent xmlns:mc="http://schemas.openxmlformats.org/markup-compatibility/2006">
          <mc:Choice Requires="x14">
            <control shapeId="1952" r:id="rId931" name="Button 928">
              <controlPr defaultSize="0" autoFill="0" autoLine="0" autoPict="0" macro="[1]!Sheet1.deleteRow">
                <anchor moveWithCells="1" sizeWithCells="1">
                  <from>
                    <xdr:col>6</xdr:col>
                    <xdr:colOff>0</xdr:colOff>
                    <xdr:row>2511</xdr:row>
                    <xdr:rowOff>0</xdr:rowOff>
                  </from>
                  <to>
                    <xdr:col>7</xdr:col>
                    <xdr:colOff>0</xdr:colOff>
                    <xdr:row>2511</xdr:row>
                    <xdr:rowOff>161925</xdr:rowOff>
                  </to>
                </anchor>
              </controlPr>
            </control>
          </mc:Choice>
        </mc:AlternateContent>
        <mc:AlternateContent xmlns:mc="http://schemas.openxmlformats.org/markup-compatibility/2006">
          <mc:Choice Requires="x14">
            <control shapeId="1953" r:id="rId932" name="Button 929">
              <controlPr defaultSize="0" autoFill="0" autoLine="0" autoPict="0" macro="[1]!Sheet1.deleteProcedure">
                <anchor moveWithCells="1" sizeWithCells="1">
                  <from>
                    <xdr:col>6</xdr:col>
                    <xdr:colOff>0</xdr:colOff>
                    <xdr:row>2514</xdr:row>
                    <xdr:rowOff>0</xdr:rowOff>
                  </from>
                  <to>
                    <xdr:col>7</xdr:col>
                    <xdr:colOff>0</xdr:colOff>
                    <xdr:row>2515</xdr:row>
                    <xdr:rowOff>0</xdr:rowOff>
                  </to>
                </anchor>
              </controlPr>
            </control>
          </mc:Choice>
        </mc:AlternateContent>
        <mc:AlternateContent xmlns:mc="http://schemas.openxmlformats.org/markup-compatibility/2006">
          <mc:Choice Requires="x14">
            <control shapeId="1954" r:id="rId933" name="Button 930">
              <controlPr defaultSize="0" autoFill="0" autoLine="0" autoPict="0" macro="[1]!Sheet1.InsertNewTableRow">
                <anchor moveWithCells="1" sizeWithCells="1">
                  <from>
                    <xdr:col>6</xdr:col>
                    <xdr:colOff>0</xdr:colOff>
                    <xdr:row>2521</xdr:row>
                    <xdr:rowOff>0</xdr:rowOff>
                  </from>
                  <to>
                    <xdr:col>7</xdr:col>
                    <xdr:colOff>0</xdr:colOff>
                    <xdr:row>2522</xdr:row>
                    <xdr:rowOff>0</xdr:rowOff>
                  </to>
                </anchor>
              </controlPr>
            </control>
          </mc:Choice>
        </mc:AlternateContent>
        <mc:AlternateContent xmlns:mc="http://schemas.openxmlformats.org/markup-compatibility/2006">
          <mc:Choice Requires="x14">
            <control shapeId="1955" r:id="rId934" name="Button 931">
              <controlPr defaultSize="0" autoFill="0" autoLine="0" autoPict="0" macro="[1]!Sheet1.deleteRow">
                <anchor moveWithCells="1" sizeWithCells="1">
                  <from>
                    <xdr:col>6</xdr:col>
                    <xdr:colOff>0</xdr:colOff>
                    <xdr:row>2522</xdr:row>
                    <xdr:rowOff>0</xdr:rowOff>
                  </from>
                  <to>
                    <xdr:col>7</xdr:col>
                    <xdr:colOff>0</xdr:colOff>
                    <xdr:row>2522</xdr:row>
                    <xdr:rowOff>161925</xdr:rowOff>
                  </to>
                </anchor>
              </controlPr>
            </control>
          </mc:Choice>
        </mc:AlternateContent>
        <mc:AlternateContent xmlns:mc="http://schemas.openxmlformats.org/markup-compatibility/2006">
          <mc:Choice Requires="x14">
            <control shapeId="1956" r:id="rId935" name="Button 932">
              <controlPr defaultSize="0" autoFill="0" autoLine="0" autoPict="0" macro="[1]!Sheet1.deleteProcedure">
                <anchor moveWithCells="1" sizeWithCells="1">
                  <from>
                    <xdr:col>6</xdr:col>
                    <xdr:colOff>0</xdr:colOff>
                    <xdr:row>2526</xdr:row>
                    <xdr:rowOff>0</xdr:rowOff>
                  </from>
                  <to>
                    <xdr:col>7</xdr:col>
                    <xdr:colOff>0</xdr:colOff>
                    <xdr:row>2527</xdr:row>
                    <xdr:rowOff>0</xdr:rowOff>
                  </to>
                </anchor>
              </controlPr>
            </control>
          </mc:Choice>
        </mc:AlternateContent>
        <mc:AlternateContent xmlns:mc="http://schemas.openxmlformats.org/markup-compatibility/2006">
          <mc:Choice Requires="x14">
            <control shapeId="1957" r:id="rId936" name="Button 933">
              <controlPr defaultSize="0" autoFill="0" autoLine="0" autoPict="0" macro="[1]!Sheet1.InsertNewTableRow">
                <anchor moveWithCells="1" sizeWithCells="1">
                  <from>
                    <xdr:col>6</xdr:col>
                    <xdr:colOff>0</xdr:colOff>
                    <xdr:row>2533</xdr:row>
                    <xdr:rowOff>0</xdr:rowOff>
                  </from>
                  <to>
                    <xdr:col>7</xdr:col>
                    <xdr:colOff>0</xdr:colOff>
                    <xdr:row>2534</xdr:row>
                    <xdr:rowOff>0</xdr:rowOff>
                  </to>
                </anchor>
              </controlPr>
            </control>
          </mc:Choice>
        </mc:AlternateContent>
        <mc:AlternateContent xmlns:mc="http://schemas.openxmlformats.org/markup-compatibility/2006">
          <mc:Choice Requires="x14">
            <control shapeId="1958" r:id="rId937" name="Button 934">
              <controlPr defaultSize="0" autoFill="0" autoLine="0" autoPict="0" macro="[1]!Sheet1.deleteRow">
                <anchor moveWithCells="1" sizeWithCells="1">
                  <from>
                    <xdr:col>6</xdr:col>
                    <xdr:colOff>0</xdr:colOff>
                    <xdr:row>2534</xdr:row>
                    <xdr:rowOff>0</xdr:rowOff>
                  </from>
                  <to>
                    <xdr:col>7</xdr:col>
                    <xdr:colOff>0</xdr:colOff>
                    <xdr:row>2534</xdr:row>
                    <xdr:rowOff>161925</xdr:rowOff>
                  </to>
                </anchor>
              </controlPr>
            </control>
          </mc:Choice>
        </mc:AlternateContent>
        <mc:AlternateContent xmlns:mc="http://schemas.openxmlformats.org/markup-compatibility/2006">
          <mc:Choice Requires="x14">
            <control shapeId="1959" r:id="rId938" name="Button 935">
              <controlPr defaultSize="0" autoFill="0" autoLine="0" autoPict="0" macro="[1]!Sheet1.deleteProcedure">
                <anchor moveWithCells="1" sizeWithCells="1">
                  <from>
                    <xdr:col>6</xdr:col>
                    <xdr:colOff>0</xdr:colOff>
                    <xdr:row>2537</xdr:row>
                    <xdr:rowOff>0</xdr:rowOff>
                  </from>
                  <to>
                    <xdr:col>7</xdr:col>
                    <xdr:colOff>0</xdr:colOff>
                    <xdr:row>2538</xdr:row>
                    <xdr:rowOff>0</xdr:rowOff>
                  </to>
                </anchor>
              </controlPr>
            </control>
          </mc:Choice>
        </mc:AlternateContent>
        <mc:AlternateContent xmlns:mc="http://schemas.openxmlformats.org/markup-compatibility/2006">
          <mc:Choice Requires="x14">
            <control shapeId="1960" r:id="rId939" name="Button 936">
              <controlPr defaultSize="0" autoFill="0" autoLine="0" autoPict="0" macro="[1]!Sheet1.InsertNewTableRow">
                <anchor moveWithCells="1" sizeWithCells="1">
                  <from>
                    <xdr:col>6</xdr:col>
                    <xdr:colOff>0</xdr:colOff>
                    <xdr:row>2544</xdr:row>
                    <xdr:rowOff>0</xdr:rowOff>
                  </from>
                  <to>
                    <xdr:col>7</xdr:col>
                    <xdr:colOff>0</xdr:colOff>
                    <xdr:row>2545</xdr:row>
                    <xdr:rowOff>0</xdr:rowOff>
                  </to>
                </anchor>
              </controlPr>
            </control>
          </mc:Choice>
        </mc:AlternateContent>
        <mc:AlternateContent xmlns:mc="http://schemas.openxmlformats.org/markup-compatibility/2006">
          <mc:Choice Requires="x14">
            <control shapeId="1961" r:id="rId940" name="Button 937">
              <controlPr defaultSize="0" autoFill="0" autoLine="0" autoPict="0" macro="[1]!Sheet1.deleteRow">
                <anchor moveWithCells="1" sizeWithCells="1">
                  <from>
                    <xdr:col>6</xdr:col>
                    <xdr:colOff>0</xdr:colOff>
                    <xdr:row>2545</xdr:row>
                    <xdr:rowOff>0</xdr:rowOff>
                  </from>
                  <to>
                    <xdr:col>7</xdr:col>
                    <xdr:colOff>0</xdr:colOff>
                    <xdr:row>2545</xdr:row>
                    <xdr:rowOff>161925</xdr:rowOff>
                  </to>
                </anchor>
              </controlPr>
            </control>
          </mc:Choice>
        </mc:AlternateContent>
        <mc:AlternateContent xmlns:mc="http://schemas.openxmlformats.org/markup-compatibility/2006">
          <mc:Choice Requires="x14">
            <control shapeId="1962" r:id="rId941" name="Button 938">
              <controlPr defaultSize="0" autoFill="0" autoLine="0" autoPict="0" macro="[1]!Sheet1.deleteRow">
                <anchor moveWithCells="1" sizeWithCells="1">
                  <from>
                    <xdr:col>6</xdr:col>
                    <xdr:colOff>0</xdr:colOff>
                    <xdr:row>2546</xdr:row>
                    <xdr:rowOff>0</xdr:rowOff>
                  </from>
                  <to>
                    <xdr:col>7</xdr:col>
                    <xdr:colOff>0</xdr:colOff>
                    <xdr:row>2546</xdr:row>
                    <xdr:rowOff>161925</xdr:rowOff>
                  </to>
                </anchor>
              </controlPr>
            </control>
          </mc:Choice>
        </mc:AlternateContent>
        <mc:AlternateContent xmlns:mc="http://schemas.openxmlformats.org/markup-compatibility/2006">
          <mc:Choice Requires="x14">
            <control shapeId="1963" r:id="rId942" name="Button 939">
              <controlPr defaultSize="0" autoFill="0" autoLine="0" autoPict="0" macro="[1]!Sheet1.deleteProcedure">
                <anchor moveWithCells="1" sizeWithCells="1">
                  <from>
                    <xdr:col>6</xdr:col>
                    <xdr:colOff>0</xdr:colOff>
                    <xdr:row>2549</xdr:row>
                    <xdr:rowOff>0</xdr:rowOff>
                  </from>
                  <to>
                    <xdr:col>7</xdr:col>
                    <xdr:colOff>0</xdr:colOff>
                    <xdr:row>2550</xdr:row>
                    <xdr:rowOff>0</xdr:rowOff>
                  </to>
                </anchor>
              </controlPr>
            </control>
          </mc:Choice>
        </mc:AlternateContent>
        <mc:AlternateContent xmlns:mc="http://schemas.openxmlformats.org/markup-compatibility/2006">
          <mc:Choice Requires="x14">
            <control shapeId="1964" r:id="rId943" name="Button 940">
              <controlPr defaultSize="0" autoFill="0" autoLine="0" autoPict="0" macro="[1]!Sheet1.InsertNewTableRow">
                <anchor moveWithCells="1" sizeWithCells="1">
                  <from>
                    <xdr:col>6</xdr:col>
                    <xdr:colOff>0</xdr:colOff>
                    <xdr:row>2556</xdr:row>
                    <xdr:rowOff>0</xdr:rowOff>
                  </from>
                  <to>
                    <xdr:col>7</xdr:col>
                    <xdr:colOff>0</xdr:colOff>
                    <xdr:row>2557</xdr:row>
                    <xdr:rowOff>0</xdr:rowOff>
                  </to>
                </anchor>
              </controlPr>
            </control>
          </mc:Choice>
        </mc:AlternateContent>
        <mc:AlternateContent xmlns:mc="http://schemas.openxmlformats.org/markup-compatibility/2006">
          <mc:Choice Requires="x14">
            <control shapeId="1965" r:id="rId944" name="Button 941">
              <controlPr defaultSize="0" autoFill="0" autoLine="0" autoPict="0" macro="[1]!Sheet1.deleteRow">
                <anchor moveWithCells="1" sizeWithCells="1">
                  <from>
                    <xdr:col>6</xdr:col>
                    <xdr:colOff>0</xdr:colOff>
                    <xdr:row>2557</xdr:row>
                    <xdr:rowOff>0</xdr:rowOff>
                  </from>
                  <to>
                    <xdr:col>7</xdr:col>
                    <xdr:colOff>0</xdr:colOff>
                    <xdr:row>2557</xdr:row>
                    <xdr:rowOff>161925</xdr:rowOff>
                  </to>
                </anchor>
              </controlPr>
            </control>
          </mc:Choice>
        </mc:AlternateContent>
        <mc:AlternateContent xmlns:mc="http://schemas.openxmlformats.org/markup-compatibility/2006">
          <mc:Choice Requires="x14">
            <control shapeId="1966" r:id="rId945" name="Button 942">
              <controlPr defaultSize="0" autoFill="0" autoLine="0" autoPict="0" macro="[1]!Sheet1.deleteProcedure">
                <anchor moveWithCells="1" sizeWithCells="1">
                  <from>
                    <xdr:col>6</xdr:col>
                    <xdr:colOff>0</xdr:colOff>
                    <xdr:row>2560</xdr:row>
                    <xdr:rowOff>0</xdr:rowOff>
                  </from>
                  <to>
                    <xdr:col>7</xdr:col>
                    <xdr:colOff>0</xdr:colOff>
                    <xdr:row>2561</xdr:row>
                    <xdr:rowOff>0</xdr:rowOff>
                  </to>
                </anchor>
              </controlPr>
            </control>
          </mc:Choice>
        </mc:AlternateContent>
        <mc:AlternateContent xmlns:mc="http://schemas.openxmlformats.org/markup-compatibility/2006">
          <mc:Choice Requires="x14">
            <control shapeId="1967" r:id="rId946" name="Button 943">
              <controlPr defaultSize="0" autoFill="0" autoLine="0" autoPict="0" macro="[1]!Sheet1.InsertNewTableRow">
                <anchor moveWithCells="1" sizeWithCells="1">
                  <from>
                    <xdr:col>6</xdr:col>
                    <xdr:colOff>0</xdr:colOff>
                    <xdr:row>2567</xdr:row>
                    <xdr:rowOff>0</xdr:rowOff>
                  </from>
                  <to>
                    <xdr:col>7</xdr:col>
                    <xdr:colOff>0</xdr:colOff>
                    <xdr:row>2568</xdr:row>
                    <xdr:rowOff>0</xdr:rowOff>
                  </to>
                </anchor>
              </controlPr>
            </control>
          </mc:Choice>
        </mc:AlternateContent>
        <mc:AlternateContent xmlns:mc="http://schemas.openxmlformats.org/markup-compatibility/2006">
          <mc:Choice Requires="x14">
            <control shapeId="1968" r:id="rId947" name="Button 944">
              <controlPr defaultSize="0" autoFill="0" autoLine="0" autoPict="0" macro="[1]!Sheet1.deleteRow">
                <anchor moveWithCells="1" sizeWithCells="1">
                  <from>
                    <xdr:col>6</xdr:col>
                    <xdr:colOff>0</xdr:colOff>
                    <xdr:row>2568</xdr:row>
                    <xdr:rowOff>0</xdr:rowOff>
                  </from>
                  <to>
                    <xdr:col>7</xdr:col>
                    <xdr:colOff>0</xdr:colOff>
                    <xdr:row>2568</xdr:row>
                    <xdr:rowOff>161925</xdr:rowOff>
                  </to>
                </anchor>
              </controlPr>
            </control>
          </mc:Choice>
        </mc:AlternateContent>
        <mc:AlternateContent xmlns:mc="http://schemas.openxmlformats.org/markup-compatibility/2006">
          <mc:Choice Requires="x14">
            <control shapeId="1969" r:id="rId948" name="Button 945">
              <controlPr defaultSize="0" autoFill="0" autoLine="0" autoPict="0" macro="[1]!Sheet1.deleteProcedure">
                <anchor moveWithCells="1" sizeWithCells="1">
                  <from>
                    <xdr:col>6</xdr:col>
                    <xdr:colOff>0</xdr:colOff>
                    <xdr:row>2571</xdr:row>
                    <xdr:rowOff>0</xdr:rowOff>
                  </from>
                  <to>
                    <xdr:col>7</xdr:col>
                    <xdr:colOff>0</xdr:colOff>
                    <xdr:row>2572</xdr:row>
                    <xdr:rowOff>0</xdr:rowOff>
                  </to>
                </anchor>
              </controlPr>
            </control>
          </mc:Choice>
        </mc:AlternateContent>
        <mc:AlternateContent xmlns:mc="http://schemas.openxmlformats.org/markup-compatibility/2006">
          <mc:Choice Requires="x14">
            <control shapeId="1970" r:id="rId949" name="Button 946">
              <controlPr defaultSize="0" autoFill="0" autoLine="0" autoPict="0" macro="[1]!Sheet1.InsertNewTableRow">
                <anchor moveWithCells="1" sizeWithCells="1">
                  <from>
                    <xdr:col>6</xdr:col>
                    <xdr:colOff>0</xdr:colOff>
                    <xdr:row>2578</xdr:row>
                    <xdr:rowOff>0</xdr:rowOff>
                  </from>
                  <to>
                    <xdr:col>7</xdr:col>
                    <xdr:colOff>0</xdr:colOff>
                    <xdr:row>2579</xdr:row>
                    <xdr:rowOff>0</xdr:rowOff>
                  </to>
                </anchor>
              </controlPr>
            </control>
          </mc:Choice>
        </mc:AlternateContent>
        <mc:AlternateContent xmlns:mc="http://schemas.openxmlformats.org/markup-compatibility/2006">
          <mc:Choice Requires="x14">
            <control shapeId="1971" r:id="rId950" name="Button 947">
              <controlPr defaultSize="0" autoFill="0" autoLine="0" autoPict="0" macro="[1]!Sheet1.deleteRow">
                <anchor moveWithCells="1" sizeWithCells="1">
                  <from>
                    <xdr:col>6</xdr:col>
                    <xdr:colOff>0</xdr:colOff>
                    <xdr:row>2579</xdr:row>
                    <xdr:rowOff>0</xdr:rowOff>
                  </from>
                  <to>
                    <xdr:col>7</xdr:col>
                    <xdr:colOff>0</xdr:colOff>
                    <xdr:row>2579</xdr:row>
                    <xdr:rowOff>161925</xdr:rowOff>
                  </to>
                </anchor>
              </controlPr>
            </control>
          </mc:Choice>
        </mc:AlternateContent>
        <mc:AlternateContent xmlns:mc="http://schemas.openxmlformats.org/markup-compatibility/2006">
          <mc:Choice Requires="x14">
            <control shapeId="1972" r:id="rId951" name="Button 948">
              <controlPr defaultSize="0" autoFill="0" autoLine="0" autoPict="0" macro="[1]!Sheet1.deleteProcedure">
                <anchor moveWithCells="1" sizeWithCells="1">
                  <from>
                    <xdr:col>6</xdr:col>
                    <xdr:colOff>0</xdr:colOff>
                    <xdr:row>2582</xdr:row>
                    <xdr:rowOff>0</xdr:rowOff>
                  </from>
                  <to>
                    <xdr:col>7</xdr:col>
                    <xdr:colOff>0</xdr:colOff>
                    <xdr:row>2583</xdr:row>
                    <xdr:rowOff>0</xdr:rowOff>
                  </to>
                </anchor>
              </controlPr>
            </control>
          </mc:Choice>
        </mc:AlternateContent>
        <mc:AlternateContent xmlns:mc="http://schemas.openxmlformats.org/markup-compatibility/2006">
          <mc:Choice Requires="x14">
            <control shapeId="1973" r:id="rId952" name="Button 949">
              <controlPr defaultSize="0" autoFill="0" autoLine="0" autoPict="0" macro="[1]!Sheet1.InsertNewTableRow">
                <anchor moveWithCells="1" sizeWithCells="1">
                  <from>
                    <xdr:col>6</xdr:col>
                    <xdr:colOff>0</xdr:colOff>
                    <xdr:row>2589</xdr:row>
                    <xdr:rowOff>0</xdr:rowOff>
                  </from>
                  <to>
                    <xdr:col>7</xdr:col>
                    <xdr:colOff>0</xdr:colOff>
                    <xdr:row>2590</xdr:row>
                    <xdr:rowOff>0</xdr:rowOff>
                  </to>
                </anchor>
              </controlPr>
            </control>
          </mc:Choice>
        </mc:AlternateContent>
        <mc:AlternateContent xmlns:mc="http://schemas.openxmlformats.org/markup-compatibility/2006">
          <mc:Choice Requires="x14">
            <control shapeId="1974" r:id="rId953" name="Button 950">
              <controlPr defaultSize="0" autoFill="0" autoLine="0" autoPict="0" macro="[1]!Sheet1.deleteRow">
                <anchor moveWithCells="1" sizeWithCells="1">
                  <from>
                    <xdr:col>6</xdr:col>
                    <xdr:colOff>0</xdr:colOff>
                    <xdr:row>2590</xdr:row>
                    <xdr:rowOff>0</xdr:rowOff>
                  </from>
                  <to>
                    <xdr:col>7</xdr:col>
                    <xdr:colOff>0</xdr:colOff>
                    <xdr:row>2590</xdr:row>
                    <xdr:rowOff>161925</xdr:rowOff>
                  </to>
                </anchor>
              </controlPr>
            </control>
          </mc:Choice>
        </mc:AlternateContent>
        <mc:AlternateContent xmlns:mc="http://schemas.openxmlformats.org/markup-compatibility/2006">
          <mc:Choice Requires="x14">
            <control shapeId="1975" r:id="rId954" name="Button 951">
              <controlPr defaultSize="0" autoFill="0" autoLine="0" autoPict="0" macro="[1]!Sheet1.deleteRow">
                <anchor moveWithCells="1" sizeWithCells="1">
                  <from>
                    <xdr:col>6</xdr:col>
                    <xdr:colOff>0</xdr:colOff>
                    <xdr:row>2591</xdr:row>
                    <xdr:rowOff>0</xdr:rowOff>
                  </from>
                  <to>
                    <xdr:col>7</xdr:col>
                    <xdr:colOff>0</xdr:colOff>
                    <xdr:row>2591</xdr:row>
                    <xdr:rowOff>161925</xdr:rowOff>
                  </to>
                </anchor>
              </controlPr>
            </control>
          </mc:Choice>
        </mc:AlternateContent>
        <mc:AlternateContent xmlns:mc="http://schemas.openxmlformats.org/markup-compatibility/2006">
          <mc:Choice Requires="x14">
            <control shapeId="1976" r:id="rId955" name="Button 952">
              <controlPr defaultSize="0" autoFill="0" autoLine="0" autoPict="0" macro="[1]!Sheet1.deleteRow">
                <anchor moveWithCells="1" sizeWithCells="1">
                  <from>
                    <xdr:col>6</xdr:col>
                    <xdr:colOff>0</xdr:colOff>
                    <xdr:row>2592</xdr:row>
                    <xdr:rowOff>0</xdr:rowOff>
                  </from>
                  <to>
                    <xdr:col>7</xdr:col>
                    <xdr:colOff>0</xdr:colOff>
                    <xdr:row>2592</xdr:row>
                    <xdr:rowOff>161925</xdr:rowOff>
                  </to>
                </anchor>
              </controlPr>
            </control>
          </mc:Choice>
        </mc:AlternateContent>
        <mc:AlternateContent xmlns:mc="http://schemas.openxmlformats.org/markup-compatibility/2006">
          <mc:Choice Requires="x14">
            <control shapeId="1977" r:id="rId956" name="Button 953">
              <controlPr defaultSize="0" autoFill="0" autoLine="0" autoPict="0" macro="[1]!Sheet1.deleteRow">
                <anchor moveWithCells="1" sizeWithCells="1">
                  <from>
                    <xdr:col>6</xdr:col>
                    <xdr:colOff>0</xdr:colOff>
                    <xdr:row>2593</xdr:row>
                    <xdr:rowOff>0</xdr:rowOff>
                  </from>
                  <to>
                    <xdr:col>7</xdr:col>
                    <xdr:colOff>0</xdr:colOff>
                    <xdr:row>2593</xdr:row>
                    <xdr:rowOff>161925</xdr:rowOff>
                  </to>
                </anchor>
              </controlPr>
            </control>
          </mc:Choice>
        </mc:AlternateContent>
        <mc:AlternateContent xmlns:mc="http://schemas.openxmlformats.org/markup-compatibility/2006">
          <mc:Choice Requires="x14">
            <control shapeId="1978" r:id="rId957" name="Button 954">
              <controlPr defaultSize="0" autoFill="0" autoLine="0" autoPict="0" macro="[1]!Sheet1.deleteRow">
                <anchor moveWithCells="1" sizeWithCells="1">
                  <from>
                    <xdr:col>6</xdr:col>
                    <xdr:colOff>0</xdr:colOff>
                    <xdr:row>2594</xdr:row>
                    <xdr:rowOff>0</xdr:rowOff>
                  </from>
                  <to>
                    <xdr:col>7</xdr:col>
                    <xdr:colOff>0</xdr:colOff>
                    <xdr:row>2594</xdr:row>
                    <xdr:rowOff>161925</xdr:rowOff>
                  </to>
                </anchor>
              </controlPr>
            </control>
          </mc:Choice>
        </mc:AlternateContent>
        <mc:AlternateContent xmlns:mc="http://schemas.openxmlformats.org/markup-compatibility/2006">
          <mc:Choice Requires="x14">
            <control shapeId="1979" r:id="rId958" name="Button 955">
              <controlPr defaultSize="0" autoFill="0" autoLine="0" autoPict="0" macro="[1]!Sheet1.deleteRow">
                <anchor moveWithCells="1" sizeWithCells="1">
                  <from>
                    <xdr:col>6</xdr:col>
                    <xdr:colOff>0</xdr:colOff>
                    <xdr:row>2595</xdr:row>
                    <xdr:rowOff>0</xdr:rowOff>
                  </from>
                  <to>
                    <xdr:col>7</xdr:col>
                    <xdr:colOff>0</xdr:colOff>
                    <xdr:row>2595</xdr:row>
                    <xdr:rowOff>161925</xdr:rowOff>
                  </to>
                </anchor>
              </controlPr>
            </control>
          </mc:Choice>
        </mc:AlternateContent>
        <mc:AlternateContent xmlns:mc="http://schemas.openxmlformats.org/markup-compatibility/2006">
          <mc:Choice Requires="x14">
            <control shapeId="1980" r:id="rId959" name="Button 956">
              <controlPr defaultSize="0" autoFill="0" autoLine="0" autoPict="0" macro="[1]!Sheet1.deleteRow">
                <anchor moveWithCells="1" sizeWithCells="1">
                  <from>
                    <xdr:col>6</xdr:col>
                    <xdr:colOff>0</xdr:colOff>
                    <xdr:row>2596</xdr:row>
                    <xdr:rowOff>0</xdr:rowOff>
                  </from>
                  <to>
                    <xdr:col>7</xdr:col>
                    <xdr:colOff>0</xdr:colOff>
                    <xdr:row>2596</xdr:row>
                    <xdr:rowOff>161925</xdr:rowOff>
                  </to>
                </anchor>
              </controlPr>
            </control>
          </mc:Choice>
        </mc:AlternateContent>
        <mc:AlternateContent xmlns:mc="http://schemas.openxmlformats.org/markup-compatibility/2006">
          <mc:Choice Requires="x14">
            <control shapeId="1981" r:id="rId960" name="Button 957">
              <controlPr defaultSize="0" autoFill="0" autoLine="0" autoPict="0" macro="[1]!Sheet1.deleteProcedure">
                <anchor moveWithCells="1" sizeWithCells="1">
                  <from>
                    <xdr:col>6</xdr:col>
                    <xdr:colOff>0</xdr:colOff>
                    <xdr:row>2599</xdr:row>
                    <xdr:rowOff>0</xdr:rowOff>
                  </from>
                  <to>
                    <xdr:col>7</xdr:col>
                    <xdr:colOff>0</xdr:colOff>
                    <xdr:row>2600</xdr:row>
                    <xdr:rowOff>0</xdr:rowOff>
                  </to>
                </anchor>
              </controlPr>
            </control>
          </mc:Choice>
        </mc:AlternateContent>
        <mc:AlternateContent xmlns:mc="http://schemas.openxmlformats.org/markup-compatibility/2006">
          <mc:Choice Requires="x14">
            <control shapeId="1982" r:id="rId961" name="Button 958">
              <controlPr defaultSize="0" autoFill="0" autoLine="0" autoPict="0" macro="[1]!Sheet1.InsertNewTableRow">
                <anchor moveWithCells="1" sizeWithCells="1">
                  <from>
                    <xdr:col>6</xdr:col>
                    <xdr:colOff>0</xdr:colOff>
                    <xdr:row>2606</xdr:row>
                    <xdr:rowOff>0</xdr:rowOff>
                  </from>
                  <to>
                    <xdr:col>7</xdr:col>
                    <xdr:colOff>0</xdr:colOff>
                    <xdr:row>2607</xdr:row>
                    <xdr:rowOff>0</xdr:rowOff>
                  </to>
                </anchor>
              </controlPr>
            </control>
          </mc:Choice>
        </mc:AlternateContent>
        <mc:AlternateContent xmlns:mc="http://schemas.openxmlformats.org/markup-compatibility/2006">
          <mc:Choice Requires="x14">
            <control shapeId="1983" r:id="rId962" name="Button 959">
              <controlPr defaultSize="0" autoFill="0" autoLine="0" autoPict="0" macro="[1]!Sheet1.deleteRow">
                <anchor moveWithCells="1" sizeWithCells="1">
                  <from>
                    <xdr:col>6</xdr:col>
                    <xdr:colOff>0</xdr:colOff>
                    <xdr:row>2607</xdr:row>
                    <xdr:rowOff>0</xdr:rowOff>
                  </from>
                  <to>
                    <xdr:col>7</xdr:col>
                    <xdr:colOff>0</xdr:colOff>
                    <xdr:row>2607</xdr:row>
                    <xdr:rowOff>161925</xdr:rowOff>
                  </to>
                </anchor>
              </controlPr>
            </control>
          </mc:Choice>
        </mc:AlternateContent>
        <mc:AlternateContent xmlns:mc="http://schemas.openxmlformats.org/markup-compatibility/2006">
          <mc:Choice Requires="x14">
            <control shapeId="1984" r:id="rId963" name="Button 960">
              <controlPr defaultSize="0" autoFill="0" autoLine="0" autoPict="0" macro="[1]!Sheet1.deleteRow">
                <anchor moveWithCells="1" sizeWithCells="1">
                  <from>
                    <xdr:col>6</xdr:col>
                    <xdr:colOff>0</xdr:colOff>
                    <xdr:row>2608</xdr:row>
                    <xdr:rowOff>0</xdr:rowOff>
                  </from>
                  <to>
                    <xdr:col>7</xdr:col>
                    <xdr:colOff>0</xdr:colOff>
                    <xdr:row>2608</xdr:row>
                    <xdr:rowOff>161925</xdr:rowOff>
                  </to>
                </anchor>
              </controlPr>
            </control>
          </mc:Choice>
        </mc:AlternateContent>
        <mc:AlternateContent xmlns:mc="http://schemas.openxmlformats.org/markup-compatibility/2006">
          <mc:Choice Requires="x14">
            <control shapeId="1985" r:id="rId964" name="Button 961">
              <controlPr defaultSize="0" autoFill="0" autoLine="0" autoPict="0" macro="[1]!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986" r:id="rId965" name="Button 962">
              <controlPr defaultSize="0" autoFill="0" autoLine="0" autoPict="0" macro="[1]!Sheet1.deleteRow">
                <anchor moveWithCells="1" sizeWithCells="1">
                  <from>
                    <xdr:col>6</xdr:col>
                    <xdr:colOff>0</xdr:colOff>
                    <xdr:row>2610</xdr:row>
                    <xdr:rowOff>0</xdr:rowOff>
                  </from>
                  <to>
                    <xdr:col>7</xdr:col>
                    <xdr:colOff>0</xdr:colOff>
                    <xdr:row>2610</xdr:row>
                    <xdr:rowOff>161925</xdr:rowOff>
                  </to>
                </anchor>
              </controlPr>
            </control>
          </mc:Choice>
        </mc:AlternateContent>
        <mc:AlternateContent xmlns:mc="http://schemas.openxmlformats.org/markup-compatibility/2006">
          <mc:Choice Requires="x14">
            <control shapeId="1987" r:id="rId966" name="Button 963">
              <controlPr defaultSize="0" autoFill="0" autoLine="0" autoPict="0" macro="[1]!Sheet1.deleteProcedure">
                <anchor moveWithCells="1" sizeWithCells="1">
                  <from>
                    <xdr:col>6</xdr:col>
                    <xdr:colOff>0</xdr:colOff>
                    <xdr:row>2613</xdr:row>
                    <xdr:rowOff>0</xdr:rowOff>
                  </from>
                  <to>
                    <xdr:col>7</xdr:col>
                    <xdr:colOff>0</xdr:colOff>
                    <xdr:row>2614</xdr:row>
                    <xdr:rowOff>0</xdr:rowOff>
                  </to>
                </anchor>
              </controlPr>
            </control>
          </mc:Choice>
        </mc:AlternateContent>
        <mc:AlternateContent xmlns:mc="http://schemas.openxmlformats.org/markup-compatibility/2006">
          <mc:Choice Requires="x14">
            <control shapeId="1988" r:id="rId967" name="Button 964">
              <controlPr defaultSize="0" autoFill="0" autoLine="0" autoPict="0" macro="[1]!Sheet1.InsertNewTableRow">
                <anchor moveWithCells="1" sizeWithCells="1">
                  <from>
                    <xdr:col>6</xdr:col>
                    <xdr:colOff>0</xdr:colOff>
                    <xdr:row>2620</xdr:row>
                    <xdr:rowOff>0</xdr:rowOff>
                  </from>
                  <to>
                    <xdr:col>7</xdr:col>
                    <xdr:colOff>0</xdr:colOff>
                    <xdr:row>2621</xdr:row>
                    <xdr:rowOff>0</xdr:rowOff>
                  </to>
                </anchor>
              </controlPr>
            </control>
          </mc:Choice>
        </mc:AlternateContent>
        <mc:AlternateContent xmlns:mc="http://schemas.openxmlformats.org/markup-compatibility/2006">
          <mc:Choice Requires="x14">
            <control shapeId="1989" r:id="rId968" name="Button 965">
              <controlPr defaultSize="0" autoFill="0" autoLine="0" autoPict="0" macro="[1]!Sheet1.deleteRow">
                <anchor moveWithCells="1" sizeWithCells="1">
                  <from>
                    <xdr:col>6</xdr:col>
                    <xdr:colOff>0</xdr:colOff>
                    <xdr:row>2621</xdr:row>
                    <xdr:rowOff>0</xdr:rowOff>
                  </from>
                  <to>
                    <xdr:col>7</xdr:col>
                    <xdr:colOff>0</xdr:colOff>
                    <xdr:row>2621</xdr:row>
                    <xdr:rowOff>161925</xdr:rowOff>
                  </to>
                </anchor>
              </controlPr>
            </control>
          </mc:Choice>
        </mc:AlternateContent>
        <mc:AlternateContent xmlns:mc="http://schemas.openxmlformats.org/markup-compatibility/2006">
          <mc:Choice Requires="x14">
            <control shapeId="1990" r:id="rId969" name="Button 966">
              <controlPr defaultSize="0" autoFill="0" autoLine="0" autoPict="0" macro="[1]!Sheet1.deleteProcedure">
                <anchor moveWithCells="1" sizeWithCells="1">
                  <from>
                    <xdr:col>6</xdr:col>
                    <xdr:colOff>0</xdr:colOff>
                    <xdr:row>2624</xdr:row>
                    <xdr:rowOff>0</xdr:rowOff>
                  </from>
                  <to>
                    <xdr:col>7</xdr:col>
                    <xdr:colOff>0</xdr:colOff>
                    <xdr:row>2625</xdr:row>
                    <xdr:rowOff>0</xdr:rowOff>
                  </to>
                </anchor>
              </controlPr>
            </control>
          </mc:Choice>
        </mc:AlternateContent>
        <mc:AlternateContent xmlns:mc="http://schemas.openxmlformats.org/markup-compatibility/2006">
          <mc:Choice Requires="x14">
            <control shapeId="1991" r:id="rId970" name="Button 967">
              <controlPr defaultSize="0" autoFill="0" autoLine="0" autoPict="0" macro="[1]!Sheet1.InsertNewTableRow">
                <anchor moveWithCells="1" sizeWithCells="1">
                  <from>
                    <xdr:col>6</xdr:col>
                    <xdr:colOff>0</xdr:colOff>
                    <xdr:row>2631</xdr:row>
                    <xdr:rowOff>0</xdr:rowOff>
                  </from>
                  <to>
                    <xdr:col>7</xdr:col>
                    <xdr:colOff>0</xdr:colOff>
                    <xdr:row>2632</xdr:row>
                    <xdr:rowOff>0</xdr:rowOff>
                  </to>
                </anchor>
              </controlPr>
            </control>
          </mc:Choice>
        </mc:AlternateContent>
        <mc:AlternateContent xmlns:mc="http://schemas.openxmlformats.org/markup-compatibility/2006">
          <mc:Choice Requires="x14">
            <control shapeId="1992" r:id="rId971" name="Button 968">
              <controlPr defaultSize="0" autoFill="0" autoLine="0" autoPict="0" macro="[1]!Sheet1.deleteRow">
                <anchor moveWithCells="1" sizeWithCells="1">
                  <from>
                    <xdr:col>6</xdr:col>
                    <xdr:colOff>0</xdr:colOff>
                    <xdr:row>2632</xdr:row>
                    <xdr:rowOff>0</xdr:rowOff>
                  </from>
                  <to>
                    <xdr:col>7</xdr:col>
                    <xdr:colOff>0</xdr:colOff>
                    <xdr:row>2632</xdr:row>
                    <xdr:rowOff>161925</xdr:rowOff>
                  </to>
                </anchor>
              </controlPr>
            </control>
          </mc:Choice>
        </mc:AlternateContent>
        <mc:AlternateContent xmlns:mc="http://schemas.openxmlformats.org/markup-compatibility/2006">
          <mc:Choice Requires="x14">
            <control shapeId="1993" r:id="rId972" name="Button 969">
              <controlPr defaultSize="0" autoFill="0" autoLine="0" autoPict="0" macro="[1]!Sheet1.deleteRow">
                <anchor moveWithCells="1" sizeWithCells="1">
                  <from>
                    <xdr:col>6</xdr:col>
                    <xdr:colOff>0</xdr:colOff>
                    <xdr:row>2633</xdr:row>
                    <xdr:rowOff>0</xdr:rowOff>
                  </from>
                  <to>
                    <xdr:col>7</xdr:col>
                    <xdr:colOff>0</xdr:colOff>
                    <xdr:row>2633</xdr:row>
                    <xdr:rowOff>161925</xdr:rowOff>
                  </to>
                </anchor>
              </controlPr>
            </control>
          </mc:Choice>
        </mc:AlternateContent>
        <mc:AlternateContent xmlns:mc="http://schemas.openxmlformats.org/markup-compatibility/2006">
          <mc:Choice Requires="x14">
            <control shapeId="1994" r:id="rId973" name="Button 970">
              <controlPr defaultSize="0" autoFill="0" autoLine="0" autoPict="0" macro="[1]!Sheet1.deleteProcedure">
                <anchor moveWithCells="1" sizeWithCells="1">
                  <from>
                    <xdr:col>6</xdr:col>
                    <xdr:colOff>0</xdr:colOff>
                    <xdr:row>2639</xdr:row>
                    <xdr:rowOff>0</xdr:rowOff>
                  </from>
                  <to>
                    <xdr:col>7</xdr:col>
                    <xdr:colOff>0</xdr:colOff>
                    <xdr:row>2640</xdr:row>
                    <xdr:rowOff>0</xdr:rowOff>
                  </to>
                </anchor>
              </controlPr>
            </control>
          </mc:Choice>
        </mc:AlternateContent>
        <mc:AlternateContent xmlns:mc="http://schemas.openxmlformats.org/markup-compatibility/2006">
          <mc:Choice Requires="x14">
            <control shapeId="1995" r:id="rId974" name="Button 971">
              <controlPr defaultSize="0" autoFill="0" autoLine="0" autoPict="0" macro="[1]!Sheet1.InsertNewTableRow">
                <anchor moveWithCells="1" sizeWithCells="1">
                  <from>
                    <xdr:col>6</xdr:col>
                    <xdr:colOff>0</xdr:colOff>
                    <xdr:row>2646</xdr:row>
                    <xdr:rowOff>0</xdr:rowOff>
                  </from>
                  <to>
                    <xdr:col>7</xdr:col>
                    <xdr:colOff>0</xdr:colOff>
                    <xdr:row>2647</xdr:row>
                    <xdr:rowOff>0</xdr:rowOff>
                  </to>
                </anchor>
              </controlPr>
            </control>
          </mc:Choice>
        </mc:AlternateContent>
        <mc:AlternateContent xmlns:mc="http://schemas.openxmlformats.org/markup-compatibility/2006">
          <mc:Choice Requires="x14">
            <control shapeId="1996" r:id="rId975" name="Button 972">
              <controlPr defaultSize="0" autoFill="0" autoLine="0" autoPict="0" macro="[1]!Sheet1.deleteRow">
                <anchor moveWithCells="1" sizeWithCells="1">
                  <from>
                    <xdr:col>6</xdr:col>
                    <xdr:colOff>0</xdr:colOff>
                    <xdr:row>2647</xdr:row>
                    <xdr:rowOff>0</xdr:rowOff>
                  </from>
                  <to>
                    <xdr:col>7</xdr:col>
                    <xdr:colOff>0</xdr:colOff>
                    <xdr:row>2647</xdr:row>
                    <xdr:rowOff>161925</xdr:rowOff>
                  </to>
                </anchor>
              </controlPr>
            </control>
          </mc:Choice>
        </mc:AlternateContent>
        <mc:AlternateContent xmlns:mc="http://schemas.openxmlformats.org/markup-compatibility/2006">
          <mc:Choice Requires="x14">
            <control shapeId="1997" r:id="rId976" name="Button 973">
              <controlPr defaultSize="0" autoFill="0" autoLine="0" autoPict="0" macro="[1]!Sheet1.deleteProcedure">
                <anchor moveWithCells="1" sizeWithCells="1">
                  <from>
                    <xdr:col>6</xdr:col>
                    <xdr:colOff>0</xdr:colOff>
                    <xdr:row>2650</xdr:row>
                    <xdr:rowOff>0</xdr:rowOff>
                  </from>
                  <to>
                    <xdr:col>7</xdr:col>
                    <xdr:colOff>0</xdr:colOff>
                    <xdr:row>2651</xdr:row>
                    <xdr:rowOff>0</xdr:rowOff>
                  </to>
                </anchor>
              </controlPr>
            </control>
          </mc:Choice>
        </mc:AlternateContent>
        <mc:AlternateContent xmlns:mc="http://schemas.openxmlformats.org/markup-compatibility/2006">
          <mc:Choice Requires="x14">
            <control shapeId="1998" r:id="rId977" name="Button 974">
              <controlPr defaultSize="0" autoFill="0" autoLine="0" autoPict="0" macro="[1]!Sheet1.InsertNewTableRow">
                <anchor moveWithCells="1" sizeWithCells="1">
                  <from>
                    <xdr:col>6</xdr:col>
                    <xdr:colOff>0</xdr:colOff>
                    <xdr:row>2657</xdr:row>
                    <xdr:rowOff>0</xdr:rowOff>
                  </from>
                  <to>
                    <xdr:col>7</xdr:col>
                    <xdr:colOff>0</xdr:colOff>
                    <xdr:row>2658</xdr:row>
                    <xdr:rowOff>0</xdr:rowOff>
                  </to>
                </anchor>
              </controlPr>
            </control>
          </mc:Choice>
        </mc:AlternateContent>
        <mc:AlternateContent xmlns:mc="http://schemas.openxmlformats.org/markup-compatibility/2006">
          <mc:Choice Requires="x14">
            <control shapeId="1999" r:id="rId978" name="Button 975">
              <controlPr defaultSize="0" autoFill="0" autoLine="0" autoPict="0" macro="[1]!Sheet1.deleteRow">
                <anchor moveWithCells="1" sizeWithCells="1">
                  <from>
                    <xdr:col>6</xdr:col>
                    <xdr:colOff>0</xdr:colOff>
                    <xdr:row>2658</xdr:row>
                    <xdr:rowOff>0</xdr:rowOff>
                  </from>
                  <to>
                    <xdr:col>7</xdr:col>
                    <xdr:colOff>0</xdr:colOff>
                    <xdr:row>2658</xdr:row>
                    <xdr:rowOff>161925</xdr:rowOff>
                  </to>
                </anchor>
              </controlPr>
            </control>
          </mc:Choice>
        </mc:AlternateContent>
        <mc:AlternateContent xmlns:mc="http://schemas.openxmlformats.org/markup-compatibility/2006">
          <mc:Choice Requires="x14">
            <control shapeId="2000" r:id="rId979" name="Button 976">
              <controlPr defaultSize="0" autoFill="0" autoLine="0" autoPict="0" macro="[1]!Sheet1.deleteProcedure">
                <anchor moveWithCells="1" sizeWithCells="1">
                  <from>
                    <xdr:col>6</xdr:col>
                    <xdr:colOff>0</xdr:colOff>
                    <xdr:row>2661</xdr:row>
                    <xdr:rowOff>0</xdr:rowOff>
                  </from>
                  <to>
                    <xdr:col>7</xdr:col>
                    <xdr:colOff>0</xdr:colOff>
                    <xdr:row>2662</xdr:row>
                    <xdr:rowOff>0</xdr:rowOff>
                  </to>
                </anchor>
              </controlPr>
            </control>
          </mc:Choice>
        </mc:AlternateContent>
        <mc:AlternateContent xmlns:mc="http://schemas.openxmlformats.org/markup-compatibility/2006">
          <mc:Choice Requires="x14">
            <control shapeId="2001" r:id="rId980" name="Button 977">
              <controlPr defaultSize="0" autoFill="0" autoLine="0" autoPict="0" macro="[1]!Sheet1.InsertNewTableRow">
                <anchor moveWithCells="1" sizeWithCells="1">
                  <from>
                    <xdr:col>6</xdr:col>
                    <xdr:colOff>0</xdr:colOff>
                    <xdr:row>2668</xdr:row>
                    <xdr:rowOff>0</xdr:rowOff>
                  </from>
                  <to>
                    <xdr:col>7</xdr:col>
                    <xdr:colOff>0</xdr:colOff>
                    <xdr:row>2669</xdr:row>
                    <xdr:rowOff>0</xdr:rowOff>
                  </to>
                </anchor>
              </controlPr>
            </control>
          </mc:Choice>
        </mc:AlternateContent>
        <mc:AlternateContent xmlns:mc="http://schemas.openxmlformats.org/markup-compatibility/2006">
          <mc:Choice Requires="x14">
            <control shapeId="2002" r:id="rId981" name="Button 978">
              <controlPr defaultSize="0" autoFill="0" autoLine="0" autoPict="0" macro="[1]!Sheet1.deleteRow">
                <anchor moveWithCells="1" sizeWithCells="1">
                  <from>
                    <xdr:col>6</xdr:col>
                    <xdr:colOff>0</xdr:colOff>
                    <xdr:row>2669</xdr:row>
                    <xdr:rowOff>0</xdr:rowOff>
                  </from>
                  <to>
                    <xdr:col>7</xdr:col>
                    <xdr:colOff>0</xdr:colOff>
                    <xdr:row>2669</xdr:row>
                    <xdr:rowOff>161925</xdr:rowOff>
                  </to>
                </anchor>
              </controlPr>
            </control>
          </mc:Choice>
        </mc:AlternateContent>
        <mc:AlternateContent xmlns:mc="http://schemas.openxmlformats.org/markup-compatibility/2006">
          <mc:Choice Requires="x14">
            <control shapeId="2003" r:id="rId982" name="Button 979">
              <controlPr defaultSize="0" autoFill="0" autoLine="0" autoPict="0" macro="[1]!Sheet1.deleteRow">
                <anchor moveWithCells="1" sizeWithCells="1">
                  <from>
                    <xdr:col>6</xdr:col>
                    <xdr:colOff>0</xdr:colOff>
                    <xdr:row>2670</xdr:row>
                    <xdr:rowOff>0</xdr:rowOff>
                  </from>
                  <to>
                    <xdr:col>7</xdr:col>
                    <xdr:colOff>0</xdr:colOff>
                    <xdr:row>2670</xdr:row>
                    <xdr:rowOff>161925</xdr:rowOff>
                  </to>
                </anchor>
              </controlPr>
            </control>
          </mc:Choice>
        </mc:AlternateContent>
        <mc:AlternateContent xmlns:mc="http://schemas.openxmlformats.org/markup-compatibility/2006">
          <mc:Choice Requires="x14">
            <control shapeId="2004" r:id="rId983" name="Button 980">
              <controlPr defaultSize="0" autoFill="0" autoLine="0" autoPict="0" macro="[1]!Sheet1.deleteProcedure">
                <anchor moveWithCells="1" sizeWithCells="1">
                  <from>
                    <xdr:col>6</xdr:col>
                    <xdr:colOff>0</xdr:colOff>
                    <xdr:row>2673</xdr:row>
                    <xdr:rowOff>0</xdr:rowOff>
                  </from>
                  <to>
                    <xdr:col>7</xdr:col>
                    <xdr:colOff>0</xdr:colOff>
                    <xdr:row>2674</xdr:row>
                    <xdr:rowOff>0</xdr:rowOff>
                  </to>
                </anchor>
              </controlPr>
            </control>
          </mc:Choice>
        </mc:AlternateContent>
        <mc:AlternateContent xmlns:mc="http://schemas.openxmlformats.org/markup-compatibility/2006">
          <mc:Choice Requires="x14">
            <control shapeId="2005" r:id="rId984" name="Button 981">
              <controlPr defaultSize="0" autoFill="0" autoLine="0" autoPict="0" macro="[1]!Sheet1.InsertNewTableRow">
                <anchor moveWithCells="1" sizeWithCells="1">
                  <from>
                    <xdr:col>6</xdr:col>
                    <xdr:colOff>0</xdr:colOff>
                    <xdr:row>2680</xdr:row>
                    <xdr:rowOff>0</xdr:rowOff>
                  </from>
                  <to>
                    <xdr:col>7</xdr:col>
                    <xdr:colOff>0</xdr:colOff>
                    <xdr:row>2681</xdr:row>
                    <xdr:rowOff>0</xdr:rowOff>
                  </to>
                </anchor>
              </controlPr>
            </control>
          </mc:Choice>
        </mc:AlternateContent>
        <mc:AlternateContent xmlns:mc="http://schemas.openxmlformats.org/markup-compatibility/2006">
          <mc:Choice Requires="x14">
            <control shapeId="2006" r:id="rId985" name="Button 982">
              <controlPr defaultSize="0" autoFill="0" autoLine="0" autoPict="0" macro="[1]!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2007" r:id="rId986" name="Button 983">
              <controlPr defaultSize="0" autoFill="0" autoLine="0" autoPict="0" macro="[1]!Sheet1.deleteProcedure">
                <anchor moveWithCells="1" sizeWithCells="1">
                  <from>
                    <xdr:col>6</xdr:col>
                    <xdr:colOff>0</xdr:colOff>
                    <xdr:row>2684</xdr:row>
                    <xdr:rowOff>0</xdr:rowOff>
                  </from>
                  <to>
                    <xdr:col>7</xdr:col>
                    <xdr:colOff>0</xdr:colOff>
                    <xdr:row>2685</xdr:row>
                    <xdr:rowOff>0</xdr:rowOff>
                  </to>
                </anchor>
              </controlPr>
            </control>
          </mc:Choice>
        </mc:AlternateContent>
        <mc:AlternateContent xmlns:mc="http://schemas.openxmlformats.org/markup-compatibility/2006">
          <mc:Choice Requires="x14">
            <control shapeId="2008" r:id="rId987" name="Button 984">
              <controlPr defaultSize="0" autoFill="0" autoLine="0" autoPict="0" macro="[1]!Sheet1.InsertNewTableRow">
                <anchor moveWithCells="1" sizeWithCells="1">
                  <from>
                    <xdr:col>6</xdr:col>
                    <xdr:colOff>0</xdr:colOff>
                    <xdr:row>2691</xdr:row>
                    <xdr:rowOff>0</xdr:rowOff>
                  </from>
                  <to>
                    <xdr:col>7</xdr:col>
                    <xdr:colOff>0</xdr:colOff>
                    <xdr:row>2692</xdr:row>
                    <xdr:rowOff>0</xdr:rowOff>
                  </to>
                </anchor>
              </controlPr>
            </control>
          </mc:Choice>
        </mc:AlternateContent>
        <mc:AlternateContent xmlns:mc="http://schemas.openxmlformats.org/markup-compatibility/2006">
          <mc:Choice Requires="x14">
            <control shapeId="2009" r:id="rId988" name="Button 985">
              <controlPr defaultSize="0" autoFill="0" autoLine="0" autoPict="0" macro="[1]!Sheet1.deleteRow">
                <anchor moveWithCells="1" sizeWithCells="1">
                  <from>
                    <xdr:col>6</xdr:col>
                    <xdr:colOff>0</xdr:colOff>
                    <xdr:row>2692</xdr:row>
                    <xdr:rowOff>0</xdr:rowOff>
                  </from>
                  <to>
                    <xdr:col>7</xdr:col>
                    <xdr:colOff>0</xdr:colOff>
                    <xdr:row>2692</xdr:row>
                    <xdr:rowOff>161925</xdr:rowOff>
                  </to>
                </anchor>
              </controlPr>
            </control>
          </mc:Choice>
        </mc:AlternateContent>
        <mc:AlternateContent xmlns:mc="http://schemas.openxmlformats.org/markup-compatibility/2006">
          <mc:Choice Requires="x14">
            <control shapeId="2010" r:id="rId989" name="Button 986">
              <controlPr defaultSize="0" autoFill="0" autoLine="0" autoPict="0" macro="[1]!Sheet1.deleteProcedure">
                <anchor moveWithCells="1" sizeWithCells="1">
                  <from>
                    <xdr:col>6</xdr:col>
                    <xdr:colOff>0</xdr:colOff>
                    <xdr:row>2695</xdr:row>
                    <xdr:rowOff>0</xdr:rowOff>
                  </from>
                  <to>
                    <xdr:col>7</xdr:col>
                    <xdr:colOff>0</xdr:colOff>
                    <xdr:row>2696</xdr:row>
                    <xdr:rowOff>0</xdr:rowOff>
                  </to>
                </anchor>
              </controlPr>
            </control>
          </mc:Choice>
        </mc:AlternateContent>
        <mc:AlternateContent xmlns:mc="http://schemas.openxmlformats.org/markup-compatibility/2006">
          <mc:Choice Requires="x14">
            <control shapeId="2011" r:id="rId990" name="Button 987">
              <controlPr defaultSize="0" autoFill="0" autoLine="0" autoPict="0" macro="[1]!Sheet1.InsertNewTableRow">
                <anchor moveWithCells="1" sizeWithCells="1">
                  <from>
                    <xdr:col>6</xdr:col>
                    <xdr:colOff>0</xdr:colOff>
                    <xdr:row>2702</xdr:row>
                    <xdr:rowOff>0</xdr:rowOff>
                  </from>
                  <to>
                    <xdr:col>7</xdr:col>
                    <xdr:colOff>0</xdr:colOff>
                    <xdr:row>2703</xdr:row>
                    <xdr:rowOff>0</xdr:rowOff>
                  </to>
                </anchor>
              </controlPr>
            </control>
          </mc:Choice>
        </mc:AlternateContent>
        <mc:AlternateContent xmlns:mc="http://schemas.openxmlformats.org/markup-compatibility/2006">
          <mc:Choice Requires="x14">
            <control shapeId="2012" r:id="rId991" name="Button 988">
              <controlPr defaultSize="0" autoFill="0" autoLine="0" autoPict="0" macro="[1]!Sheet1.deleteRow">
                <anchor moveWithCells="1" sizeWithCells="1">
                  <from>
                    <xdr:col>6</xdr:col>
                    <xdr:colOff>0</xdr:colOff>
                    <xdr:row>2703</xdr:row>
                    <xdr:rowOff>0</xdr:rowOff>
                  </from>
                  <to>
                    <xdr:col>7</xdr:col>
                    <xdr:colOff>0</xdr:colOff>
                    <xdr:row>2703</xdr:row>
                    <xdr:rowOff>161925</xdr:rowOff>
                  </to>
                </anchor>
              </controlPr>
            </control>
          </mc:Choice>
        </mc:AlternateContent>
        <mc:AlternateContent xmlns:mc="http://schemas.openxmlformats.org/markup-compatibility/2006">
          <mc:Choice Requires="x14">
            <control shapeId="2013" r:id="rId992" name="Button 989">
              <controlPr defaultSize="0" autoFill="0" autoLine="0" autoPict="0" macro="[1]!Sheet1.deleteProcedure">
                <anchor moveWithCells="1" sizeWithCells="1">
                  <from>
                    <xdr:col>6</xdr:col>
                    <xdr:colOff>0</xdr:colOff>
                    <xdr:row>2706</xdr:row>
                    <xdr:rowOff>0</xdr:rowOff>
                  </from>
                  <to>
                    <xdr:col>7</xdr:col>
                    <xdr:colOff>0</xdr:colOff>
                    <xdr:row>2707</xdr:row>
                    <xdr:rowOff>0</xdr:rowOff>
                  </to>
                </anchor>
              </controlPr>
            </control>
          </mc:Choice>
        </mc:AlternateContent>
        <mc:AlternateContent xmlns:mc="http://schemas.openxmlformats.org/markup-compatibility/2006">
          <mc:Choice Requires="x14">
            <control shapeId="2014" r:id="rId993" name="Button 990">
              <controlPr defaultSize="0" autoFill="0" autoLine="0" autoPict="0" macro="[1]!Sheet1.InsertNewTableRow">
                <anchor moveWithCells="1" sizeWithCells="1">
                  <from>
                    <xdr:col>6</xdr:col>
                    <xdr:colOff>0</xdr:colOff>
                    <xdr:row>2713</xdr:row>
                    <xdr:rowOff>0</xdr:rowOff>
                  </from>
                  <to>
                    <xdr:col>7</xdr:col>
                    <xdr:colOff>0</xdr:colOff>
                    <xdr:row>2714</xdr:row>
                    <xdr:rowOff>0</xdr:rowOff>
                  </to>
                </anchor>
              </controlPr>
            </control>
          </mc:Choice>
        </mc:AlternateContent>
        <mc:AlternateContent xmlns:mc="http://schemas.openxmlformats.org/markup-compatibility/2006">
          <mc:Choice Requires="x14">
            <control shapeId="2015" r:id="rId994" name="Button 991">
              <controlPr defaultSize="0" autoFill="0" autoLine="0" autoPict="0" macro="[1]!Sheet1.deleteRow">
                <anchor moveWithCells="1" sizeWithCells="1">
                  <from>
                    <xdr:col>6</xdr:col>
                    <xdr:colOff>0</xdr:colOff>
                    <xdr:row>2714</xdr:row>
                    <xdr:rowOff>0</xdr:rowOff>
                  </from>
                  <to>
                    <xdr:col>7</xdr:col>
                    <xdr:colOff>0</xdr:colOff>
                    <xdr:row>2714</xdr:row>
                    <xdr:rowOff>161925</xdr:rowOff>
                  </to>
                </anchor>
              </controlPr>
            </control>
          </mc:Choice>
        </mc:AlternateContent>
        <mc:AlternateContent xmlns:mc="http://schemas.openxmlformats.org/markup-compatibility/2006">
          <mc:Choice Requires="x14">
            <control shapeId="2016" r:id="rId995" name="Button 992">
              <controlPr defaultSize="0" autoFill="0" autoLine="0" autoPict="0" macro="[1]!Sheet1.deleteRow">
                <anchor moveWithCells="1" sizeWithCells="1">
                  <from>
                    <xdr:col>6</xdr:col>
                    <xdr:colOff>0</xdr:colOff>
                    <xdr:row>2715</xdr:row>
                    <xdr:rowOff>0</xdr:rowOff>
                  </from>
                  <to>
                    <xdr:col>7</xdr:col>
                    <xdr:colOff>0</xdr:colOff>
                    <xdr:row>2715</xdr:row>
                    <xdr:rowOff>161925</xdr:rowOff>
                  </to>
                </anchor>
              </controlPr>
            </control>
          </mc:Choice>
        </mc:AlternateContent>
        <mc:AlternateContent xmlns:mc="http://schemas.openxmlformats.org/markup-compatibility/2006">
          <mc:Choice Requires="x14">
            <control shapeId="2017" r:id="rId996" name="Button 993">
              <controlPr defaultSize="0" autoFill="0" autoLine="0" autoPict="0" macro="[1]!Sheet1.deleteRow">
                <anchor moveWithCells="1" sizeWithCells="1">
                  <from>
                    <xdr:col>6</xdr:col>
                    <xdr:colOff>0</xdr:colOff>
                    <xdr:row>2716</xdr:row>
                    <xdr:rowOff>0</xdr:rowOff>
                  </from>
                  <to>
                    <xdr:col>7</xdr:col>
                    <xdr:colOff>0</xdr:colOff>
                    <xdr:row>2716</xdr:row>
                    <xdr:rowOff>161925</xdr:rowOff>
                  </to>
                </anchor>
              </controlPr>
            </control>
          </mc:Choice>
        </mc:AlternateContent>
        <mc:AlternateContent xmlns:mc="http://schemas.openxmlformats.org/markup-compatibility/2006">
          <mc:Choice Requires="x14">
            <control shapeId="2018" r:id="rId997" name="Button 994">
              <controlPr defaultSize="0" autoFill="0" autoLine="0" autoPict="0" macro="[1]!Sheet1.deleteRow">
                <anchor moveWithCells="1" sizeWithCells="1">
                  <from>
                    <xdr:col>6</xdr:col>
                    <xdr:colOff>0</xdr:colOff>
                    <xdr:row>2717</xdr:row>
                    <xdr:rowOff>0</xdr:rowOff>
                  </from>
                  <to>
                    <xdr:col>7</xdr:col>
                    <xdr:colOff>0</xdr:colOff>
                    <xdr:row>2717</xdr:row>
                    <xdr:rowOff>161925</xdr:rowOff>
                  </to>
                </anchor>
              </controlPr>
            </control>
          </mc:Choice>
        </mc:AlternateContent>
        <mc:AlternateContent xmlns:mc="http://schemas.openxmlformats.org/markup-compatibility/2006">
          <mc:Choice Requires="x14">
            <control shapeId="2019" r:id="rId998" name="Button 995">
              <controlPr defaultSize="0" autoFill="0" autoLine="0" autoPict="0" macro="[1]!Sheet1.deleteRow">
                <anchor moveWithCells="1" sizeWithCells="1">
                  <from>
                    <xdr:col>6</xdr:col>
                    <xdr:colOff>0</xdr:colOff>
                    <xdr:row>2718</xdr:row>
                    <xdr:rowOff>0</xdr:rowOff>
                  </from>
                  <to>
                    <xdr:col>7</xdr:col>
                    <xdr:colOff>0</xdr:colOff>
                    <xdr:row>2718</xdr:row>
                    <xdr:rowOff>161925</xdr:rowOff>
                  </to>
                </anchor>
              </controlPr>
            </control>
          </mc:Choice>
        </mc:AlternateContent>
        <mc:AlternateContent xmlns:mc="http://schemas.openxmlformats.org/markup-compatibility/2006">
          <mc:Choice Requires="x14">
            <control shapeId="2020" r:id="rId999" name="Button 996">
              <controlPr defaultSize="0" autoFill="0" autoLine="0" autoPict="0" macro="[1]!Sheet1.deleteRow">
                <anchor moveWithCells="1" sizeWithCells="1">
                  <from>
                    <xdr:col>6</xdr:col>
                    <xdr:colOff>0</xdr:colOff>
                    <xdr:row>2719</xdr:row>
                    <xdr:rowOff>0</xdr:rowOff>
                  </from>
                  <to>
                    <xdr:col>7</xdr:col>
                    <xdr:colOff>0</xdr:colOff>
                    <xdr:row>2719</xdr:row>
                    <xdr:rowOff>161925</xdr:rowOff>
                  </to>
                </anchor>
              </controlPr>
            </control>
          </mc:Choice>
        </mc:AlternateContent>
        <mc:AlternateContent xmlns:mc="http://schemas.openxmlformats.org/markup-compatibility/2006">
          <mc:Choice Requires="x14">
            <control shapeId="2021" r:id="rId1000" name="Button 997">
              <controlPr defaultSize="0" autoFill="0" autoLine="0" autoPict="0" macro="[1]!Sheet1.deleteProcedure">
                <anchor moveWithCells="1" sizeWithCells="1">
                  <from>
                    <xdr:col>6</xdr:col>
                    <xdr:colOff>0</xdr:colOff>
                    <xdr:row>2727</xdr:row>
                    <xdr:rowOff>0</xdr:rowOff>
                  </from>
                  <to>
                    <xdr:col>7</xdr:col>
                    <xdr:colOff>0</xdr:colOff>
                    <xdr:row>2728</xdr:row>
                    <xdr:rowOff>0</xdr:rowOff>
                  </to>
                </anchor>
              </controlPr>
            </control>
          </mc:Choice>
        </mc:AlternateContent>
        <mc:AlternateContent xmlns:mc="http://schemas.openxmlformats.org/markup-compatibility/2006">
          <mc:Choice Requires="x14">
            <control shapeId="2022" r:id="rId1001" name="Button 998">
              <controlPr defaultSize="0" autoFill="0" autoLine="0" autoPict="0" macro="[1]!Sheet1.InsertNewTableRow">
                <anchor moveWithCells="1" sizeWithCells="1">
                  <from>
                    <xdr:col>6</xdr:col>
                    <xdr:colOff>0</xdr:colOff>
                    <xdr:row>2734</xdr:row>
                    <xdr:rowOff>0</xdr:rowOff>
                  </from>
                  <to>
                    <xdr:col>7</xdr:col>
                    <xdr:colOff>0</xdr:colOff>
                    <xdr:row>2735</xdr:row>
                    <xdr:rowOff>0</xdr:rowOff>
                  </to>
                </anchor>
              </controlPr>
            </control>
          </mc:Choice>
        </mc:AlternateContent>
        <mc:AlternateContent xmlns:mc="http://schemas.openxmlformats.org/markup-compatibility/2006">
          <mc:Choice Requires="x14">
            <control shapeId="2023" r:id="rId1002" name="Button 999">
              <controlPr defaultSize="0" autoFill="0" autoLine="0" autoPict="0" macro="[1]!Sheet1.deleteRow">
                <anchor moveWithCells="1" sizeWithCells="1">
                  <from>
                    <xdr:col>6</xdr:col>
                    <xdr:colOff>0</xdr:colOff>
                    <xdr:row>2735</xdr:row>
                    <xdr:rowOff>0</xdr:rowOff>
                  </from>
                  <to>
                    <xdr:col>7</xdr:col>
                    <xdr:colOff>0</xdr:colOff>
                    <xdr:row>2735</xdr:row>
                    <xdr:rowOff>161925</xdr:rowOff>
                  </to>
                </anchor>
              </controlPr>
            </control>
          </mc:Choice>
        </mc:AlternateContent>
        <mc:AlternateContent xmlns:mc="http://schemas.openxmlformats.org/markup-compatibility/2006">
          <mc:Choice Requires="x14">
            <control shapeId="2024" r:id="rId1003" name="Button 1000">
              <controlPr defaultSize="0" autoFill="0" autoLine="0" autoPict="0" macro="[1]!Sheet1.deleteProcedure">
                <anchor moveWithCells="1" sizeWithCells="1">
                  <from>
                    <xdr:col>6</xdr:col>
                    <xdr:colOff>0</xdr:colOff>
                    <xdr:row>2738</xdr:row>
                    <xdr:rowOff>0</xdr:rowOff>
                  </from>
                  <to>
                    <xdr:col>7</xdr:col>
                    <xdr:colOff>0</xdr:colOff>
                    <xdr:row>2739</xdr:row>
                    <xdr:rowOff>0</xdr:rowOff>
                  </to>
                </anchor>
              </controlPr>
            </control>
          </mc:Choice>
        </mc:AlternateContent>
        <mc:AlternateContent xmlns:mc="http://schemas.openxmlformats.org/markup-compatibility/2006">
          <mc:Choice Requires="x14">
            <control shapeId="2025" r:id="rId1004" name="Button 1001">
              <controlPr defaultSize="0" autoFill="0" autoLine="0" autoPict="0" macro="[1]!Sheet1.InsertNewTableRow">
                <anchor moveWithCells="1" sizeWithCells="1">
                  <from>
                    <xdr:col>6</xdr:col>
                    <xdr:colOff>0</xdr:colOff>
                    <xdr:row>2745</xdr:row>
                    <xdr:rowOff>0</xdr:rowOff>
                  </from>
                  <to>
                    <xdr:col>7</xdr:col>
                    <xdr:colOff>0</xdr:colOff>
                    <xdr:row>2746</xdr:row>
                    <xdr:rowOff>0</xdr:rowOff>
                  </to>
                </anchor>
              </controlPr>
            </control>
          </mc:Choice>
        </mc:AlternateContent>
        <mc:AlternateContent xmlns:mc="http://schemas.openxmlformats.org/markup-compatibility/2006">
          <mc:Choice Requires="x14">
            <control shapeId="2026" r:id="rId1005" name="Button 1002">
              <controlPr defaultSize="0" autoFill="0" autoLine="0" autoPict="0" macro="[1]!Sheet1.deleteRow">
                <anchor moveWithCells="1" sizeWithCells="1">
                  <from>
                    <xdr:col>6</xdr:col>
                    <xdr:colOff>0</xdr:colOff>
                    <xdr:row>2746</xdr:row>
                    <xdr:rowOff>0</xdr:rowOff>
                  </from>
                  <to>
                    <xdr:col>7</xdr:col>
                    <xdr:colOff>0</xdr:colOff>
                    <xdr:row>2746</xdr:row>
                    <xdr:rowOff>161925</xdr:rowOff>
                  </to>
                </anchor>
              </controlPr>
            </control>
          </mc:Choice>
        </mc:AlternateContent>
        <mc:AlternateContent xmlns:mc="http://schemas.openxmlformats.org/markup-compatibility/2006">
          <mc:Choice Requires="x14">
            <control shapeId="2027" r:id="rId1006" name="Button 1003">
              <controlPr defaultSize="0" autoFill="0" autoLine="0" autoPict="0" macro="[1]!Sheet1.deleteProcedure">
                <anchor moveWithCells="1" sizeWithCells="1">
                  <from>
                    <xdr:col>6</xdr:col>
                    <xdr:colOff>0</xdr:colOff>
                    <xdr:row>2749</xdr:row>
                    <xdr:rowOff>0</xdr:rowOff>
                  </from>
                  <to>
                    <xdr:col>7</xdr:col>
                    <xdr:colOff>0</xdr:colOff>
                    <xdr:row>2750</xdr:row>
                    <xdr:rowOff>0</xdr:rowOff>
                  </to>
                </anchor>
              </controlPr>
            </control>
          </mc:Choice>
        </mc:AlternateContent>
        <mc:AlternateContent xmlns:mc="http://schemas.openxmlformats.org/markup-compatibility/2006">
          <mc:Choice Requires="x14">
            <control shapeId="2028" r:id="rId1007" name="Button 1004">
              <controlPr defaultSize="0" autoFill="0" autoLine="0" autoPict="0" macro="[1]!Sheet1.InsertNewTableRow">
                <anchor moveWithCells="1" sizeWithCells="1">
                  <from>
                    <xdr:col>6</xdr:col>
                    <xdr:colOff>0</xdr:colOff>
                    <xdr:row>2756</xdr:row>
                    <xdr:rowOff>0</xdr:rowOff>
                  </from>
                  <to>
                    <xdr:col>7</xdr:col>
                    <xdr:colOff>0</xdr:colOff>
                    <xdr:row>2757</xdr:row>
                    <xdr:rowOff>0</xdr:rowOff>
                  </to>
                </anchor>
              </controlPr>
            </control>
          </mc:Choice>
        </mc:AlternateContent>
        <mc:AlternateContent xmlns:mc="http://schemas.openxmlformats.org/markup-compatibility/2006">
          <mc:Choice Requires="x14">
            <control shapeId="2029" r:id="rId1008" name="Button 1005">
              <controlPr defaultSize="0" autoFill="0" autoLine="0" autoPict="0" macro="[1]!Sheet1.deleteRow">
                <anchor moveWithCells="1" sizeWithCells="1">
                  <from>
                    <xdr:col>6</xdr:col>
                    <xdr:colOff>0</xdr:colOff>
                    <xdr:row>2757</xdr:row>
                    <xdr:rowOff>0</xdr:rowOff>
                  </from>
                  <to>
                    <xdr:col>7</xdr:col>
                    <xdr:colOff>0</xdr:colOff>
                    <xdr:row>2757</xdr:row>
                    <xdr:rowOff>161925</xdr:rowOff>
                  </to>
                </anchor>
              </controlPr>
            </control>
          </mc:Choice>
        </mc:AlternateContent>
        <mc:AlternateContent xmlns:mc="http://schemas.openxmlformats.org/markup-compatibility/2006">
          <mc:Choice Requires="x14">
            <control shapeId="2030" r:id="rId1009" name="Button 1006">
              <controlPr defaultSize="0" autoFill="0" autoLine="0" autoPict="0" macro="[1]!Sheet1.deleteProcedure">
                <anchor moveWithCells="1" sizeWithCells="1">
                  <from>
                    <xdr:col>6</xdr:col>
                    <xdr:colOff>0</xdr:colOff>
                    <xdr:row>2760</xdr:row>
                    <xdr:rowOff>0</xdr:rowOff>
                  </from>
                  <to>
                    <xdr:col>7</xdr:col>
                    <xdr:colOff>0</xdr:colOff>
                    <xdr:row>2761</xdr:row>
                    <xdr:rowOff>0</xdr:rowOff>
                  </to>
                </anchor>
              </controlPr>
            </control>
          </mc:Choice>
        </mc:AlternateContent>
        <mc:AlternateContent xmlns:mc="http://schemas.openxmlformats.org/markup-compatibility/2006">
          <mc:Choice Requires="x14">
            <control shapeId="2031" r:id="rId1010" name="Button 1007">
              <controlPr defaultSize="0" autoFill="0" autoLine="0" autoPict="0" macro="[1]!Sheet1.InsertNewTableRow">
                <anchor moveWithCells="1" sizeWithCells="1">
                  <from>
                    <xdr:col>6</xdr:col>
                    <xdr:colOff>0</xdr:colOff>
                    <xdr:row>2767</xdr:row>
                    <xdr:rowOff>0</xdr:rowOff>
                  </from>
                  <to>
                    <xdr:col>7</xdr:col>
                    <xdr:colOff>0</xdr:colOff>
                    <xdr:row>2768</xdr:row>
                    <xdr:rowOff>0</xdr:rowOff>
                  </to>
                </anchor>
              </controlPr>
            </control>
          </mc:Choice>
        </mc:AlternateContent>
        <mc:AlternateContent xmlns:mc="http://schemas.openxmlformats.org/markup-compatibility/2006">
          <mc:Choice Requires="x14">
            <control shapeId="2032" r:id="rId1011" name="Button 1008">
              <controlPr defaultSize="0" autoFill="0" autoLine="0" autoPict="0" macro="[1]!Sheet1.deleteRow">
                <anchor moveWithCells="1" sizeWithCells="1">
                  <from>
                    <xdr:col>6</xdr:col>
                    <xdr:colOff>0</xdr:colOff>
                    <xdr:row>2768</xdr:row>
                    <xdr:rowOff>0</xdr:rowOff>
                  </from>
                  <to>
                    <xdr:col>7</xdr:col>
                    <xdr:colOff>0</xdr:colOff>
                    <xdr:row>2768</xdr:row>
                    <xdr:rowOff>161925</xdr:rowOff>
                  </to>
                </anchor>
              </controlPr>
            </control>
          </mc:Choice>
        </mc:AlternateContent>
        <mc:AlternateContent xmlns:mc="http://schemas.openxmlformats.org/markup-compatibility/2006">
          <mc:Choice Requires="x14">
            <control shapeId="2033" r:id="rId1012" name="Button 1009">
              <controlPr defaultSize="0" autoFill="0" autoLine="0" autoPict="0" macro="[1]!Sheet1.deleteProcedure">
                <anchor moveWithCells="1" sizeWithCells="1">
                  <from>
                    <xdr:col>6</xdr:col>
                    <xdr:colOff>0</xdr:colOff>
                    <xdr:row>2771</xdr:row>
                    <xdr:rowOff>0</xdr:rowOff>
                  </from>
                  <to>
                    <xdr:col>7</xdr:col>
                    <xdr:colOff>0</xdr:colOff>
                    <xdr:row>2772</xdr:row>
                    <xdr:rowOff>0</xdr:rowOff>
                  </to>
                </anchor>
              </controlPr>
            </control>
          </mc:Choice>
        </mc:AlternateContent>
        <mc:AlternateContent xmlns:mc="http://schemas.openxmlformats.org/markup-compatibility/2006">
          <mc:Choice Requires="x14">
            <control shapeId="2034" r:id="rId1013" name="Button 1010">
              <controlPr defaultSize="0" autoFill="0" autoLine="0" autoPict="0" macro="[1]!Sheet1.InsertNewTableRow">
                <anchor moveWithCells="1" sizeWithCells="1">
                  <from>
                    <xdr:col>6</xdr:col>
                    <xdr:colOff>0</xdr:colOff>
                    <xdr:row>2778</xdr:row>
                    <xdr:rowOff>0</xdr:rowOff>
                  </from>
                  <to>
                    <xdr:col>7</xdr:col>
                    <xdr:colOff>0</xdr:colOff>
                    <xdr:row>2779</xdr:row>
                    <xdr:rowOff>0</xdr:rowOff>
                  </to>
                </anchor>
              </controlPr>
            </control>
          </mc:Choice>
        </mc:AlternateContent>
        <mc:AlternateContent xmlns:mc="http://schemas.openxmlformats.org/markup-compatibility/2006">
          <mc:Choice Requires="x14">
            <control shapeId="2035" r:id="rId1014" name="Button 1011">
              <controlPr defaultSize="0" autoFill="0" autoLine="0" autoPict="0" macro="[1]!Sheet1.deleteRow">
                <anchor moveWithCells="1" sizeWithCells="1">
                  <from>
                    <xdr:col>6</xdr:col>
                    <xdr:colOff>0</xdr:colOff>
                    <xdr:row>2779</xdr:row>
                    <xdr:rowOff>0</xdr:rowOff>
                  </from>
                  <to>
                    <xdr:col>7</xdr:col>
                    <xdr:colOff>0</xdr:colOff>
                    <xdr:row>2779</xdr:row>
                    <xdr:rowOff>161925</xdr:rowOff>
                  </to>
                </anchor>
              </controlPr>
            </control>
          </mc:Choice>
        </mc:AlternateContent>
        <mc:AlternateContent xmlns:mc="http://schemas.openxmlformats.org/markup-compatibility/2006">
          <mc:Choice Requires="x14">
            <control shapeId="2036" r:id="rId1015" name="Button 1012">
              <controlPr defaultSize="0" autoFill="0" autoLine="0" autoPict="0" macro="[1]!Sheet1.deleteProcedure">
                <anchor moveWithCells="1" sizeWithCells="1">
                  <from>
                    <xdr:col>6</xdr:col>
                    <xdr:colOff>0</xdr:colOff>
                    <xdr:row>2782</xdr:row>
                    <xdr:rowOff>0</xdr:rowOff>
                  </from>
                  <to>
                    <xdr:col>7</xdr:col>
                    <xdr:colOff>0</xdr:colOff>
                    <xdr:row>2783</xdr:row>
                    <xdr:rowOff>0</xdr:rowOff>
                  </to>
                </anchor>
              </controlPr>
            </control>
          </mc:Choice>
        </mc:AlternateContent>
        <mc:AlternateContent xmlns:mc="http://schemas.openxmlformats.org/markup-compatibility/2006">
          <mc:Choice Requires="x14">
            <control shapeId="2037" r:id="rId1016" name="Button 1013">
              <controlPr defaultSize="0" autoFill="0" autoLine="0" autoPict="0" macro="[1]!Sheet1.InsertNewTableRow">
                <anchor moveWithCells="1" sizeWithCells="1">
                  <from>
                    <xdr:col>6</xdr:col>
                    <xdr:colOff>0</xdr:colOff>
                    <xdr:row>2789</xdr:row>
                    <xdr:rowOff>0</xdr:rowOff>
                  </from>
                  <to>
                    <xdr:col>7</xdr:col>
                    <xdr:colOff>0</xdr:colOff>
                    <xdr:row>2790</xdr:row>
                    <xdr:rowOff>0</xdr:rowOff>
                  </to>
                </anchor>
              </controlPr>
            </control>
          </mc:Choice>
        </mc:AlternateContent>
        <mc:AlternateContent xmlns:mc="http://schemas.openxmlformats.org/markup-compatibility/2006">
          <mc:Choice Requires="x14">
            <control shapeId="2038" r:id="rId1017" name="Button 1014">
              <controlPr defaultSize="0" autoFill="0" autoLine="0" autoPict="0" macro="[1]!Sheet1.deleteRow">
                <anchor moveWithCells="1" sizeWithCells="1">
                  <from>
                    <xdr:col>6</xdr:col>
                    <xdr:colOff>0</xdr:colOff>
                    <xdr:row>2790</xdr:row>
                    <xdr:rowOff>0</xdr:rowOff>
                  </from>
                  <to>
                    <xdr:col>7</xdr:col>
                    <xdr:colOff>0</xdr:colOff>
                    <xdr:row>2790</xdr:row>
                    <xdr:rowOff>161925</xdr:rowOff>
                  </to>
                </anchor>
              </controlPr>
            </control>
          </mc:Choice>
        </mc:AlternateContent>
        <mc:AlternateContent xmlns:mc="http://schemas.openxmlformats.org/markup-compatibility/2006">
          <mc:Choice Requires="x14">
            <control shapeId="2039" r:id="rId1018" name="Button 1015">
              <controlPr defaultSize="0" autoFill="0" autoLine="0" autoPict="0" macro="[1]!Sheet1.deleteRow">
                <anchor moveWithCells="1" sizeWithCells="1">
                  <from>
                    <xdr:col>6</xdr:col>
                    <xdr:colOff>0</xdr:colOff>
                    <xdr:row>2791</xdr:row>
                    <xdr:rowOff>0</xdr:rowOff>
                  </from>
                  <to>
                    <xdr:col>7</xdr:col>
                    <xdr:colOff>0</xdr:colOff>
                    <xdr:row>2791</xdr:row>
                    <xdr:rowOff>161925</xdr:rowOff>
                  </to>
                </anchor>
              </controlPr>
            </control>
          </mc:Choice>
        </mc:AlternateContent>
        <mc:AlternateContent xmlns:mc="http://schemas.openxmlformats.org/markup-compatibility/2006">
          <mc:Choice Requires="x14">
            <control shapeId="2040" r:id="rId1019" name="Button 1016">
              <controlPr defaultSize="0" autoFill="0" autoLine="0" autoPict="0" macro="[1]!Sheet1.deleteRow">
                <anchor moveWithCells="1" sizeWithCells="1">
                  <from>
                    <xdr:col>6</xdr:col>
                    <xdr:colOff>0</xdr:colOff>
                    <xdr:row>2792</xdr:row>
                    <xdr:rowOff>0</xdr:rowOff>
                  </from>
                  <to>
                    <xdr:col>7</xdr:col>
                    <xdr:colOff>0</xdr:colOff>
                    <xdr:row>2792</xdr:row>
                    <xdr:rowOff>161925</xdr:rowOff>
                  </to>
                </anchor>
              </controlPr>
            </control>
          </mc:Choice>
        </mc:AlternateContent>
        <mc:AlternateContent xmlns:mc="http://schemas.openxmlformats.org/markup-compatibility/2006">
          <mc:Choice Requires="x14">
            <control shapeId="2041" r:id="rId1020" name="Button 1017">
              <controlPr defaultSize="0" autoFill="0" autoLine="0" autoPict="0" macro="[1]!Sheet1.deleteRow">
                <anchor moveWithCells="1" sizeWithCells="1">
                  <from>
                    <xdr:col>6</xdr:col>
                    <xdr:colOff>0</xdr:colOff>
                    <xdr:row>2793</xdr:row>
                    <xdr:rowOff>0</xdr:rowOff>
                  </from>
                  <to>
                    <xdr:col>7</xdr:col>
                    <xdr:colOff>0</xdr:colOff>
                    <xdr:row>2793</xdr:row>
                    <xdr:rowOff>161925</xdr:rowOff>
                  </to>
                </anchor>
              </controlPr>
            </control>
          </mc:Choice>
        </mc:AlternateContent>
        <mc:AlternateContent xmlns:mc="http://schemas.openxmlformats.org/markup-compatibility/2006">
          <mc:Choice Requires="x14">
            <control shapeId="2042" r:id="rId1021" name="Button 1018">
              <controlPr defaultSize="0" autoFill="0" autoLine="0" autoPict="0" macro="[1]!Sheet1.deleteRow">
                <anchor moveWithCells="1" sizeWithCells="1">
                  <from>
                    <xdr:col>6</xdr:col>
                    <xdr:colOff>0</xdr:colOff>
                    <xdr:row>2794</xdr:row>
                    <xdr:rowOff>0</xdr:rowOff>
                  </from>
                  <to>
                    <xdr:col>7</xdr:col>
                    <xdr:colOff>0</xdr:colOff>
                    <xdr:row>2794</xdr:row>
                    <xdr:rowOff>161925</xdr:rowOff>
                  </to>
                </anchor>
              </controlPr>
            </control>
          </mc:Choice>
        </mc:AlternateContent>
        <mc:AlternateContent xmlns:mc="http://schemas.openxmlformats.org/markup-compatibility/2006">
          <mc:Choice Requires="x14">
            <control shapeId="2043" r:id="rId1022" name="Button 1019">
              <controlPr defaultSize="0" autoFill="0" autoLine="0" autoPict="0" macro="[1]!Sheet1.deleteProcedure">
                <anchor moveWithCells="1" sizeWithCells="1">
                  <from>
                    <xdr:col>6</xdr:col>
                    <xdr:colOff>0</xdr:colOff>
                    <xdr:row>2797</xdr:row>
                    <xdr:rowOff>0</xdr:rowOff>
                  </from>
                  <to>
                    <xdr:col>7</xdr:col>
                    <xdr:colOff>0</xdr:colOff>
                    <xdr:row>2798</xdr:row>
                    <xdr:rowOff>0</xdr:rowOff>
                  </to>
                </anchor>
              </controlPr>
            </control>
          </mc:Choice>
        </mc:AlternateContent>
        <mc:AlternateContent xmlns:mc="http://schemas.openxmlformats.org/markup-compatibility/2006">
          <mc:Choice Requires="x14">
            <control shapeId="2044" r:id="rId1023" name="Button 1020">
              <controlPr defaultSize="0" autoFill="0" autoLine="0" autoPict="0" macro="[1]!Sheet1.InsertNewTableRow">
                <anchor moveWithCells="1" sizeWithCells="1">
                  <from>
                    <xdr:col>6</xdr:col>
                    <xdr:colOff>0</xdr:colOff>
                    <xdr:row>2804</xdr:row>
                    <xdr:rowOff>0</xdr:rowOff>
                  </from>
                  <to>
                    <xdr:col>7</xdr:col>
                    <xdr:colOff>0</xdr:colOff>
                    <xdr:row>2805</xdr:row>
                    <xdr:rowOff>0</xdr:rowOff>
                  </to>
                </anchor>
              </controlPr>
            </control>
          </mc:Choice>
        </mc:AlternateContent>
        <mc:AlternateContent xmlns:mc="http://schemas.openxmlformats.org/markup-compatibility/2006">
          <mc:Choice Requires="x14">
            <control shapeId="2045" r:id="rId1024" name="Button 1021">
              <controlPr defaultSize="0" autoFill="0" autoLine="0" autoPict="0" macro="[1]!Sheet1.deleteRow">
                <anchor moveWithCells="1" sizeWithCells="1">
                  <from>
                    <xdr:col>6</xdr:col>
                    <xdr:colOff>0</xdr:colOff>
                    <xdr:row>2805</xdr:row>
                    <xdr:rowOff>0</xdr:rowOff>
                  </from>
                  <to>
                    <xdr:col>7</xdr:col>
                    <xdr:colOff>0</xdr:colOff>
                    <xdr:row>2805</xdr:row>
                    <xdr:rowOff>161925</xdr:rowOff>
                  </to>
                </anchor>
              </controlPr>
            </control>
          </mc:Choice>
        </mc:AlternateContent>
        <mc:AlternateContent xmlns:mc="http://schemas.openxmlformats.org/markup-compatibility/2006">
          <mc:Choice Requires="x14">
            <control shapeId="2046" r:id="rId1025" name="Button 1022">
              <controlPr defaultSize="0" autoFill="0" autoLine="0" autoPict="0" macro="[1]!Sheet1.deleteProcedure">
                <anchor moveWithCells="1" sizeWithCells="1">
                  <from>
                    <xdr:col>6</xdr:col>
                    <xdr:colOff>0</xdr:colOff>
                    <xdr:row>2808</xdr:row>
                    <xdr:rowOff>0</xdr:rowOff>
                  </from>
                  <to>
                    <xdr:col>7</xdr:col>
                    <xdr:colOff>0</xdr:colOff>
                    <xdr:row>2809</xdr:row>
                    <xdr:rowOff>0</xdr:rowOff>
                  </to>
                </anchor>
              </controlPr>
            </control>
          </mc:Choice>
        </mc:AlternateContent>
        <mc:AlternateContent xmlns:mc="http://schemas.openxmlformats.org/markup-compatibility/2006">
          <mc:Choice Requires="x14">
            <control shapeId="2047" r:id="rId1026" name="Button 1023">
              <controlPr defaultSize="0" autoFill="0" autoLine="0" autoPict="0" macro="[1]!Sheet1.InsertNewTableRow">
                <anchor moveWithCells="1" sizeWithCells="1">
                  <from>
                    <xdr:col>6</xdr:col>
                    <xdr:colOff>0</xdr:colOff>
                    <xdr:row>2815</xdr:row>
                    <xdr:rowOff>0</xdr:rowOff>
                  </from>
                  <to>
                    <xdr:col>7</xdr:col>
                    <xdr:colOff>0</xdr:colOff>
                    <xdr:row>2816</xdr:row>
                    <xdr:rowOff>0</xdr:rowOff>
                  </to>
                </anchor>
              </controlPr>
            </control>
          </mc:Choice>
        </mc:AlternateContent>
        <mc:AlternateContent xmlns:mc="http://schemas.openxmlformats.org/markup-compatibility/2006">
          <mc:Choice Requires="x14">
            <control shapeId="2048" r:id="rId1027" name="Button 1024">
              <controlPr defaultSize="0" autoFill="0" autoLine="0" autoPict="0" macro="[1]!Sheet1.deleteRow">
                <anchor moveWithCells="1" sizeWithCells="1">
                  <from>
                    <xdr:col>6</xdr:col>
                    <xdr:colOff>0</xdr:colOff>
                    <xdr:row>2816</xdr:row>
                    <xdr:rowOff>0</xdr:rowOff>
                  </from>
                  <to>
                    <xdr:col>7</xdr:col>
                    <xdr:colOff>0</xdr:colOff>
                    <xdr:row>2816</xdr:row>
                    <xdr:rowOff>161925</xdr:rowOff>
                  </to>
                </anchor>
              </controlPr>
            </control>
          </mc:Choice>
        </mc:AlternateContent>
        <mc:AlternateContent xmlns:mc="http://schemas.openxmlformats.org/markup-compatibility/2006">
          <mc:Choice Requires="x14">
            <control shapeId="2049" r:id="rId1028" name="Button 1025">
              <controlPr defaultSize="0" autoFill="0" autoLine="0" autoPict="0" macro="[1]!Sheet1.deleteProcedure">
                <anchor moveWithCells="1" sizeWithCells="1">
                  <from>
                    <xdr:col>6</xdr:col>
                    <xdr:colOff>0</xdr:colOff>
                    <xdr:row>2819</xdr:row>
                    <xdr:rowOff>0</xdr:rowOff>
                  </from>
                  <to>
                    <xdr:col>7</xdr:col>
                    <xdr:colOff>0</xdr:colOff>
                    <xdr:row>2820</xdr:row>
                    <xdr:rowOff>0</xdr:rowOff>
                  </to>
                </anchor>
              </controlPr>
            </control>
          </mc:Choice>
        </mc:AlternateContent>
        <mc:AlternateContent xmlns:mc="http://schemas.openxmlformats.org/markup-compatibility/2006">
          <mc:Choice Requires="x14">
            <control shapeId="2050" r:id="rId1029" name="Button 1026">
              <controlPr defaultSize="0" autoFill="0" autoLine="0" autoPict="0" macro="[1]!Sheet1.InsertNewTableRow">
                <anchor moveWithCells="1" sizeWithCells="1">
                  <from>
                    <xdr:col>6</xdr:col>
                    <xdr:colOff>0</xdr:colOff>
                    <xdr:row>2826</xdr:row>
                    <xdr:rowOff>0</xdr:rowOff>
                  </from>
                  <to>
                    <xdr:col>7</xdr:col>
                    <xdr:colOff>0</xdr:colOff>
                    <xdr:row>2827</xdr:row>
                    <xdr:rowOff>0</xdr:rowOff>
                  </to>
                </anchor>
              </controlPr>
            </control>
          </mc:Choice>
        </mc:AlternateContent>
        <mc:AlternateContent xmlns:mc="http://schemas.openxmlformats.org/markup-compatibility/2006">
          <mc:Choice Requires="x14">
            <control shapeId="2051" r:id="rId1030" name="Button 1027">
              <controlPr defaultSize="0" autoFill="0" autoLine="0" autoPict="0" macro="[1]!Sheet1.deleteRow">
                <anchor moveWithCells="1" sizeWithCells="1">
                  <from>
                    <xdr:col>6</xdr:col>
                    <xdr:colOff>0</xdr:colOff>
                    <xdr:row>2827</xdr:row>
                    <xdr:rowOff>0</xdr:rowOff>
                  </from>
                  <to>
                    <xdr:col>7</xdr:col>
                    <xdr:colOff>0</xdr:colOff>
                    <xdr:row>2827</xdr:row>
                    <xdr:rowOff>161925</xdr:rowOff>
                  </to>
                </anchor>
              </controlPr>
            </control>
          </mc:Choice>
        </mc:AlternateContent>
        <mc:AlternateContent xmlns:mc="http://schemas.openxmlformats.org/markup-compatibility/2006">
          <mc:Choice Requires="x14">
            <control shapeId="2052" r:id="rId1031" name="Button 1028">
              <controlPr defaultSize="0" autoFill="0" autoLine="0" autoPict="0" macro="[1]!Sheet1.deleteProcedure">
                <anchor moveWithCells="1" sizeWithCells="1">
                  <from>
                    <xdr:col>6</xdr:col>
                    <xdr:colOff>0</xdr:colOff>
                    <xdr:row>2830</xdr:row>
                    <xdr:rowOff>0</xdr:rowOff>
                  </from>
                  <to>
                    <xdr:col>7</xdr:col>
                    <xdr:colOff>0</xdr:colOff>
                    <xdr:row>2831</xdr:row>
                    <xdr:rowOff>0</xdr:rowOff>
                  </to>
                </anchor>
              </controlPr>
            </control>
          </mc:Choice>
        </mc:AlternateContent>
        <mc:AlternateContent xmlns:mc="http://schemas.openxmlformats.org/markup-compatibility/2006">
          <mc:Choice Requires="x14">
            <control shapeId="2053" r:id="rId1032" name="Button 1029">
              <controlPr defaultSize="0" autoFill="0" autoLine="0" autoPict="0" macro="[1]!Sheet1.InsertNewTableRow">
                <anchor moveWithCells="1" sizeWithCells="1">
                  <from>
                    <xdr:col>6</xdr:col>
                    <xdr:colOff>0</xdr:colOff>
                    <xdr:row>2837</xdr:row>
                    <xdr:rowOff>0</xdr:rowOff>
                  </from>
                  <to>
                    <xdr:col>7</xdr:col>
                    <xdr:colOff>0</xdr:colOff>
                    <xdr:row>2838</xdr:row>
                    <xdr:rowOff>0</xdr:rowOff>
                  </to>
                </anchor>
              </controlPr>
            </control>
          </mc:Choice>
        </mc:AlternateContent>
        <mc:AlternateContent xmlns:mc="http://schemas.openxmlformats.org/markup-compatibility/2006">
          <mc:Choice Requires="x14">
            <control shapeId="2054" r:id="rId1033" name="Button 1030">
              <controlPr defaultSize="0" autoFill="0" autoLine="0" autoPict="0" macro="[1]!Sheet1.deleteRow">
                <anchor moveWithCells="1" sizeWithCells="1">
                  <from>
                    <xdr:col>6</xdr:col>
                    <xdr:colOff>0</xdr:colOff>
                    <xdr:row>2838</xdr:row>
                    <xdr:rowOff>0</xdr:rowOff>
                  </from>
                  <to>
                    <xdr:col>7</xdr:col>
                    <xdr:colOff>0</xdr:colOff>
                    <xdr:row>2838</xdr:row>
                    <xdr:rowOff>161925</xdr:rowOff>
                  </to>
                </anchor>
              </controlPr>
            </control>
          </mc:Choice>
        </mc:AlternateContent>
        <mc:AlternateContent xmlns:mc="http://schemas.openxmlformats.org/markup-compatibility/2006">
          <mc:Choice Requires="x14">
            <control shapeId="2055" r:id="rId1034" name="Button 1031">
              <controlPr defaultSize="0" autoFill="0" autoLine="0" autoPict="0" macro="[1]!Sheet1.deleteProcedure">
                <anchor moveWithCells="1" sizeWithCells="1">
                  <from>
                    <xdr:col>6</xdr:col>
                    <xdr:colOff>0</xdr:colOff>
                    <xdr:row>2841</xdr:row>
                    <xdr:rowOff>0</xdr:rowOff>
                  </from>
                  <to>
                    <xdr:col>7</xdr:col>
                    <xdr:colOff>0</xdr:colOff>
                    <xdr:row>2842</xdr:row>
                    <xdr:rowOff>0</xdr:rowOff>
                  </to>
                </anchor>
              </controlPr>
            </control>
          </mc:Choice>
        </mc:AlternateContent>
        <mc:AlternateContent xmlns:mc="http://schemas.openxmlformats.org/markup-compatibility/2006">
          <mc:Choice Requires="x14">
            <control shapeId="2056" r:id="rId1035" name="Button 1032">
              <controlPr defaultSize="0" autoFill="0" autoLine="0" autoPict="0" macro="[1]!Sheet1.InsertNewTableRow">
                <anchor moveWithCells="1" sizeWithCells="1">
                  <from>
                    <xdr:col>6</xdr:col>
                    <xdr:colOff>0</xdr:colOff>
                    <xdr:row>2848</xdr:row>
                    <xdr:rowOff>0</xdr:rowOff>
                  </from>
                  <to>
                    <xdr:col>7</xdr:col>
                    <xdr:colOff>0</xdr:colOff>
                    <xdr:row>2849</xdr:row>
                    <xdr:rowOff>0</xdr:rowOff>
                  </to>
                </anchor>
              </controlPr>
            </control>
          </mc:Choice>
        </mc:AlternateContent>
        <mc:AlternateContent xmlns:mc="http://schemas.openxmlformats.org/markup-compatibility/2006">
          <mc:Choice Requires="x14">
            <control shapeId="2057" r:id="rId1036" name="Button 1033">
              <controlPr defaultSize="0" autoFill="0" autoLine="0" autoPict="0" macro="[1]!Sheet1.deleteRow">
                <anchor moveWithCells="1" sizeWithCells="1">
                  <from>
                    <xdr:col>6</xdr:col>
                    <xdr:colOff>0</xdr:colOff>
                    <xdr:row>2849</xdr:row>
                    <xdr:rowOff>0</xdr:rowOff>
                  </from>
                  <to>
                    <xdr:col>7</xdr:col>
                    <xdr:colOff>0</xdr:colOff>
                    <xdr:row>2849</xdr:row>
                    <xdr:rowOff>161925</xdr:rowOff>
                  </to>
                </anchor>
              </controlPr>
            </control>
          </mc:Choice>
        </mc:AlternateContent>
        <mc:AlternateContent xmlns:mc="http://schemas.openxmlformats.org/markup-compatibility/2006">
          <mc:Choice Requires="x14">
            <control shapeId="2058" r:id="rId1037" name="Button 1034">
              <controlPr defaultSize="0" autoFill="0" autoLine="0" autoPict="0" macro="[1]!Sheet1.deleteProcedure">
                <anchor moveWithCells="1" sizeWithCells="1">
                  <from>
                    <xdr:col>6</xdr:col>
                    <xdr:colOff>0</xdr:colOff>
                    <xdr:row>2852</xdr:row>
                    <xdr:rowOff>0</xdr:rowOff>
                  </from>
                  <to>
                    <xdr:col>7</xdr:col>
                    <xdr:colOff>0</xdr:colOff>
                    <xdr:row>2853</xdr:row>
                    <xdr:rowOff>0</xdr:rowOff>
                  </to>
                </anchor>
              </controlPr>
            </control>
          </mc:Choice>
        </mc:AlternateContent>
        <mc:AlternateContent xmlns:mc="http://schemas.openxmlformats.org/markup-compatibility/2006">
          <mc:Choice Requires="x14">
            <control shapeId="2059" r:id="rId1038" name="Button 1035">
              <controlPr defaultSize="0" autoFill="0" autoLine="0" autoPict="0" macro="[1]!Sheet1.InsertNewTableRow">
                <anchor moveWithCells="1" sizeWithCells="1">
                  <from>
                    <xdr:col>6</xdr:col>
                    <xdr:colOff>0</xdr:colOff>
                    <xdr:row>2859</xdr:row>
                    <xdr:rowOff>0</xdr:rowOff>
                  </from>
                  <to>
                    <xdr:col>7</xdr:col>
                    <xdr:colOff>0</xdr:colOff>
                    <xdr:row>2860</xdr:row>
                    <xdr:rowOff>0</xdr:rowOff>
                  </to>
                </anchor>
              </controlPr>
            </control>
          </mc:Choice>
        </mc:AlternateContent>
        <mc:AlternateContent xmlns:mc="http://schemas.openxmlformats.org/markup-compatibility/2006">
          <mc:Choice Requires="x14">
            <control shapeId="2060" r:id="rId1039" name="Button 1036">
              <controlPr defaultSize="0" autoFill="0" autoLine="0" autoPict="0" macro="[1]!Sheet1.deleteRow">
                <anchor moveWithCells="1" sizeWithCells="1">
                  <from>
                    <xdr:col>6</xdr:col>
                    <xdr:colOff>0</xdr:colOff>
                    <xdr:row>2860</xdr:row>
                    <xdr:rowOff>0</xdr:rowOff>
                  </from>
                  <to>
                    <xdr:col>7</xdr:col>
                    <xdr:colOff>0</xdr:colOff>
                    <xdr:row>2860</xdr:row>
                    <xdr:rowOff>161925</xdr:rowOff>
                  </to>
                </anchor>
              </controlPr>
            </control>
          </mc:Choice>
        </mc:AlternateContent>
        <mc:AlternateContent xmlns:mc="http://schemas.openxmlformats.org/markup-compatibility/2006">
          <mc:Choice Requires="x14">
            <control shapeId="2061" r:id="rId1040" name="Button 1037">
              <controlPr defaultSize="0" autoFill="0" autoLine="0" autoPict="0" macro="[1]!Sheet1.deleteRow">
                <anchor moveWithCells="1" sizeWithCells="1">
                  <from>
                    <xdr:col>6</xdr:col>
                    <xdr:colOff>0</xdr:colOff>
                    <xdr:row>2861</xdr:row>
                    <xdr:rowOff>0</xdr:rowOff>
                  </from>
                  <to>
                    <xdr:col>7</xdr:col>
                    <xdr:colOff>0</xdr:colOff>
                    <xdr:row>2861</xdr:row>
                    <xdr:rowOff>161925</xdr:rowOff>
                  </to>
                </anchor>
              </controlPr>
            </control>
          </mc:Choice>
        </mc:AlternateContent>
        <mc:AlternateContent xmlns:mc="http://schemas.openxmlformats.org/markup-compatibility/2006">
          <mc:Choice Requires="x14">
            <control shapeId="2062" r:id="rId1041" name="Button 1038">
              <controlPr defaultSize="0" autoFill="0" autoLine="0" autoPict="0" macro="[1]!Sheet1.deleteProcedure">
                <anchor moveWithCells="1" sizeWithCells="1">
                  <from>
                    <xdr:col>6</xdr:col>
                    <xdr:colOff>0</xdr:colOff>
                    <xdr:row>2864</xdr:row>
                    <xdr:rowOff>0</xdr:rowOff>
                  </from>
                  <to>
                    <xdr:col>7</xdr:col>
                    <xdr:colOff>0</xdr:colOff>
                    <xdr:row>2865</xdr:row>
                    <xdr:rowOff>0</xdr:rowOff>
                  </to>
                </anchor>
              </controlPr>
            </control>
          </mc:Choice>
        </mc:AlternateContent>
        <mc:AlternateContent xmlns:mc="http://schemas.openxmlformats.org/markup-compatibility/2006">
          <mc:Choice Requires="x14">
            <control shapeId="2063" r:id="rId1042" name="Button 1039">
              <controlPr defaultSize="0" autoFill="0" autoLine="0" autoPict="0" macro="[1]!Sheet1.InsertNewTableRow">
                <anchor moveWithCells="1" sizeWithCells="1">
                  <from>
                    <xdr:col>6</xdr:col>
                    <xdr:colOff>0</xdr:colOff>
                    <xdr:row>2871</xdr:row>
                    <xdr:rowOff>0</xdr:rowOff>
                  </from>
                  <to>
                    <xdr:col>7</xdr:col>
                    <xdr:colOff>0</xdr:colOff>
                    <xdr:row>2872</xdr:row>
                    <xdr:rowOff>0</xdr:rowOff>
                  </to>
                </anchor>
              </controlPr>
            </control>
          </mc:Choice>
        </mc:AlternateContent>
        <mc:AlternateContent xmlns:mc="http://schemas.openxmlformats.org/markup-compatibility/2006">
          <mc:Choice Requires="x14">
            <control shapeId="2064" r:id="rId1043" name="Button 1040">
              <controlPr defaultSize="0" autoFill="0" autoLine="0" autoPict="0" macro="[1]!Sheet1.deleteRow">
                <anchor moveWithCells="1" sizeWithCells="1">
                  <from>
                    <xdr:col>6</xdr:col>
                    <xdr:colOff>0</xdr:colOff>
                    <xdr:row>2872</xdr:row>
                    <xdr:rowOff>0</xdr:rowOff>
                  </from>
                  <to>
                    <xdr:col>7</xdr:col>
                    <xdr:colOff>0</xdr:colOff>
                    <xdr:row>2872</xdr:row>
                    <xdr:rowOff>161925</xdr:rowOff>
                  </to>
                </anchor>
              </controlPr>
            </control>
          </mc:Choice>
        </mc:AlternateContent>
        <mc:AlternateContent xmlns:mc="http://schemas.openxmlformats.org/markup-compatibility/2006">
          <mc:Choice Requires="x14">
            <control shapeId="2065" r:id="rId1044" name="Button 1041">
              <controlPr defaultSize="0" autoFill="0" autoLine="0" autoPict="0" macro="[1]!Sheet1.deleteRow">
                <anchor moveWithCells="1" sizeWithCells="1">
                  <from>
                    <xdr:col>6</xdr:col>
                    <xdr:colOff>0</xdr:colOff>
                    <xdr:row>2873</xdr:row>
                    <xdr:rowOff>0</xdr:rowOff>
                  </from>
                  <to>
                    <xdr:col>7</xdr:col>
                    <xdr:colOff>0</xdr:colOff>
                    <xdr:row>2873</xdr:row>
                    <xdr:rowOff>161925</xdr:rowOff>
                  </to>
                </anchor>
              </controlPr>
            </control>
          </mc:Choice>
        </mc:AlternateContent>
        <mc:AlternateContent xmlns:mc="http://schemas.openxmlformats.org/markup-compatibility/2006">
          <mc:Choice Requires="x14">
            <control shapeId="2066" r:id="rId1045" name="Button 1042">
              <controlPr defaultSize="0" autoFill="0" autoLine="0" autoPict="0" macro="[1]!Sheet1.deleteProcedure">
                <anchor moveWithCells="1" sizeWithCells="1">
                  <from>
                    <xdr:col>6</xdr:col>
                    <xdr:colOff>0</xdr:colOff>
                    <xdr:row>2876</xdr:row>
                    <xdr:rowOff>0</xdr:rowOff>
                  </from>
                  <to>
                    <xdr:col>7</xdr:col>
                    <xdr:colOff>0</xdr:colOff>
                    <xdr:row>2877</xdr:row>
                    <xdr:rowOff>0</xdr:rowOff>
                  </to>
                </anchor>
              </controlPr>
            </control>
          </mc:Choice>
        </mc:AlternateContent>
        <mc:AlternateContent xmlns:mc="http://schemas.openxmlformats.org/markup-compatibility/2006">
          <mc:Choice Requires="x14">
            <control shapeId="2067" r:id="rId1046" name="Button 1043">
              <controlPr defaultSize="0" autoFill="0" autoLine="0" autoPict="0" macro="[1]!Sheet1.InsertNewTableRow">
                <anchor moveWithCells="1" sizeWithCells="1">
                  <from>
                    <xdr:col>6</xdr:col>
                    <xdr:colOff>0</xdr:colOff>
                    <xdr:row>2883</xdr:row>
                    <xdr:rowOff>0</xdr:rowOff>
                  </from>
                  <to>
                    <xdr:col>7</xdr:col>
                    <xdr:colOff>0</xdr:colOff>
                    <xdr:row>2884</xdr:row>
                    <xdr:rowOff>0</xdr:rowOff>
                  </to>
                </anchor>
              </controlPr>
            </control>
          </mc:Choice>
        </mc:AlternateContent>
        <mc:AlternateContent xmlns:mc="http://schemas.openxmlformats.org/markup-compatibility/2006">
          <mc:Choice Requires="x14">
            <control shapeId="2068" r:id="rId1047" name="Button 1044">
              <controlPr defaultSize="0" autoFill="0" autoLine="0" autoPict="0" macro="[1]!Sheet1.deleteRow">
                <anchor moveWithCells="1" sizeWithCells="1">
                  <from>
                    <xdr:col>6</xdr:col>
                    <xdr:colOff>0</xdr:colOff>
                    <xdr:row>2884</xdr:row>
                    <xdr:rowOff>0</xdr:rowOff>
                  </from>
                  <to>
                    <xdr:col>7</xdr:col>
                    <xdr:colOff>0</xdr:colOff>
                    <xdr:row>2884</xdr:row>
                    <xdr:rowOff>161925</xdr:rowOff>
                  </to>
                </anchor>
              </controlPr>
            </control>
          </mc:Choice>
        </mc:AlternateContent>
        <mc:AlternateContent xmlns:mc="http://schemas.openxmlformats.org/markup-compatibility/2006">
          <mc:Choice Requires="x14">
            <control shapeId="2069" r:id="rId1048" name="Button 1045">
              <controlPr defaultSize="0" autoFill="0" autoLine="0" autoPict="0" macro="[1]!Sheet1.deleteProcedure">
                <anchor moveWithCells="1" sizeWithCells="1">
                  <from>
                    <xdr:col>6</xdr:col>
                    <xdr:colOff>0</xdr:colOff>
                    <xdr:row>2887</xdr:row>
                    <xdr:rowOff>0</xdr:rowOff>
                  </from>
                  <to>
                    <xdr:col>7</xdr:col>
                    <xdr:colOff>0</xdr:colOff>
                    <xdr:row>2888</xdr:row>
                    <xdr:rowOff>0</xdr:rowOff>
                  </to>
                </anchor>
              </controlPr>
            </control>
          </mc:Choice>
        </mc:AlternateContent>
        <mc:AlternateContent xmlns:mc="http://schemas.openxmlformats.org/markup-compatibility/2006">
          <mc:Choice Requires="x14">
            <control shapeId="2070" r:id="rId1049" name="Button 1046">
              <controlPr defaultSize="0" autoFill="0" autoLine="0" autoPict="0" macro="[1]!Sheet1.InsertNewTableRow">
                <anchor moveWithCells="1" sizeWithCells="1">
                  <from>
                    <xdr:col>6</xdr:col>
                    <xdr:colOff>0</xdr:colOff>
                    <xdr:row>2894</xdr:row>
                    <xdr:rowOff>0</xdr:rowOff>
                  </from>
                  <to>
                    <xdr:col>7</xdr:col>
                    <xdr:colOff>0</xdr:colOff>
                    <xdr:row>2895</xdr:row>
                    <xdr:rowOff>0</xdr:rowOff>
                  </to>
                </anchor>
              </controlPr>
            </control>
          </mc:Choice>
        </mc:AlternateContent>
        <mc:AlternateContent xmlns:mc="http://schemas.openxmlformats.org/markup-compatibility/2006">
          <mc:Choice Requires="x14">
            <control shapeId="2071" r:id="rId1050" name="Button 1047">
              <controlPr defaultSize="0" autoFill="0" autoLine="0" autoPict="0" macro="[1]!Sheet1.deleteRow">
                <anchor moveWithCells="1" sizeWithCells="1">
                  <from>
                    <xdr:col>6</xdr:col>
                    <xdr:colOff>0</xdr:colOff>
                    <xdr:row>2895</xdr:row>
                    <xdr:rowOff>0</xdr:rowOff>
                  </from>
                  <to>
                    <xdr:col>7</xdr:col>
                    <xdr:colOff>0</xdr:colOff>
                    <xdr:row>2895</xdr:row>
                    <xdr:rowOff>161925</xdr:rowOff>
                  </to>
                </anchor>
              </controlPr>
            </control>
          </mc:Choice>
        </mc:AlternateContent>
        <mc:AlternateContent xmlns:mc="http://schemas.openxmlformats.org/markup-compatibility/2006">
          <mc:Choice Requires="x14">
            <control shapeId="2072" r:id="rId1051" name="Button 1048">
              <controlPr defaultSize="0" autoFill="0" autoLine="0" autoPict="0" macro="[1]!Sheet1.deleteProcedure">
                <anchor moveWithCells="1" sizeWithCells="1">
                  <from>
                    <xdr:col>6</xdr:col>
                    <xdr:colOff>0</xdr:colOff>
                    <xdr:row>2898</xdr:row>
                    <xdr:rowOff>0</xdr:rowOff>
                  </from>
                  <to>
                    <xdr:col>7</xdr:col>
                    <xdr:colOff>0</xdr:colOff>
                    <xdr:row>2899</xdr:row>
                    <xdr:rowOff>0</xdr:rowOff>
                  </to>
                </anchor>
              </controlPr>
            </control>
          </mc:Choice>
        </mc:AlternateContent>
        <mc:AlternateContent xmlns:mc="http://schemas.openxmlformats.org/markup-compatibility/2006">
          <mc:Choice Requires="x14">
            <control shapeId="2073" r:id="rId1052" name="Button 1049">
              <controlPr defaultSize="0" autoFill="0" autoLine="0" autoPict="0" macro="[1]!Sheet1.InsertNewTableRow">
                <anchor moveWithCells="1" sizeWithCells="1">
                  <from>
                    <xdr:col>6</xdr:col>
                    <xdr:colOff>0</xdr:colOff>
                    <xdr:row>2905</xdr:row>
                    <xdr:rowOff>0</xdr:rowOff>
                  </from>
                  <to>
                    <xdr:col>7</xdr:col>
                    <xdr:colOff>0</xdr:colOff>
                    <xdr:row>2906</xdr:row>
                    <xdr:rowOff>0</xdr:rowOff>
                  </to>
                </anchor>
              </controlPr>
            </control>
          </mc:Choice>
        </mc:AlternateContent>
        <mc:AlternateContent xmlns:mc="http://schemas.openxmlformats.org/markup-compatibility/2006">
          <mc:Choice Requires="x14">
            <control shapeId="2074" r:id="rId1053" name="Button 1050">
              <controlPr defaultSize="0" autoFill="0" autoLine="0" autoPict="0" macro="[1]!Sheet1.deleteRow">
                <anchor moveWithCells="1" sizeWithCells="1">
                  <from>
                    <xdr:col>6</xdr:col>
                    <xdr:colOff>0</xdr:colOff>
                    <xdr:row>2906</xdr:row>
                    <xdr:rowOff>0</xdr:rowOff>
                  </from>
                  <to>
                    <xdr:col>7</xdr:col>
                    <xdr:colOff>0</xdr:colOff>
                    <xdr:row>2906</xdr:row>
                    <xdr:rowOff>161925</xdr:rowOff>
                  </to>
                </anchor>
              </controlPr>
            </control>
          </mc:Choice>
        </mc:AlternateContent>
        <mc:AlternateContent xmlns:mc="http://schemas.openxmlformats.org/markup-compatibility/2006">
          <mc:Choice Requires="x14">
            <control shapeId="2075" r:id="rId1054" name="Button 1051">
              <controlPr defaultSize="0" autoFill="0" autoLine="0" autoPict="0" macro="[1]!Sheet1.deleteRow">
                <anchor moveWithCells="1" sizeWithCells="1">
                  <from>
                    <xdr:col>6</xdr:col>
                    <xdr:colOff>0</xdr:colOff>
                    <xdr:row>2907</xdr:row>
                    <xdr:rowOff>0</xdr:rowOff>
                  </from>
                  <to>
                    <xdr:col>7</xdr:col>
                    <xdr:colOff>0</xdr:colOff>
                    <xdr:row>2907</xdr:row>
                    <xdr:rowOff>161925</xdr:rowOff>
                  </to>
                </anchor>
              </controlPr>
            </control>
          </mc:Choice>
        </mc:AlternateContent>
        <mc:AlternateContent xmlns:mc="http://schemas.openxmlformats.org/markup-compatibility/2006">
          <mc:Choice Requires="x14">
            <control shapeId="2076" r:id="rId1055" name="Button 1052">
              <controlPr defaultSize="0" autoFill="0" autoLine="0" autoPict="0" macro="[1]!Sheet1.deleteRow">
                <anchor moveWithCells="1" sizeWithCells="1">
                  <from>
                    <xdr:col>6</xdr:col>
                    <xdr:colOff>0</xdr:colOff>
                    <xdr:row>2908</xdr:row>
                    <xdr:rowOff>0</xdr:rowOff>
                  </from>
                  <to>
                    <xdr:col>7</xdr:col>
                    <xdr:colOff>0</xdr:colOff>
                    <xdr:row>2908</xdr:row>
                    <xdr:rowOff>161925</xdr:rowOff>
                  </to>
                </anchor>
              </controlPr>
            </control>
          </mc:Choice>
        </mc:AlternateContent>
        <mc:AlternateContent xmlns:mc="http://schemas.openxmlformats.org/markup-compatibility/2006">
          <mc:Choice Requires="x14">
            <control shapeId="2077" r:id="rId1056" name="Button 1053">
              <controlPr defaultSize="0" autoFill="0" autoLine="0" autoPict="0" macro="[1]!Sheet1.deleteProcedure">
                <anchor moveWithCells="1" sizeWithCells="1">
                  <from>
                    <xdr:col>6</xdr:col>
                    <xdr:colOff>0</xdr:colOff>
                    <xdr:row>2911</xdr:row>
                    <xdr:rowOff>0</xdr:rowOff>
                  </from>
                  <to>
                    <xdr:col>7</xdr:col>
                    <xdr:colOff>0</xdr:colOff>
                    <xdr:row>2912</xdr:row>
                    <xdr:rowOff>0</xdr:rowOff>
                  </to>
                </anchor>
              </controlPr>
            </control>
          </mc:Choice>
        </mc:AlternateContent>
        <mc:AlternateContent xmlns:mc="http://schemas.openxmlformats.org/markup-compatibility/2006">
          <mc:Choice Requires="x14">
            <control shapeId="2078" r:id="rId1057" name="Button 1054">
              <controlPr defaultSize="0" autoFill="0" autoLine="0" autoPict="0" macro="[1]!Sheet1.InsertNewTableRow">
                <anchor moveWithCells="1" sizeWithCells="1">
                  <from>
                    <xdr:col>6</xdr:col>
                    <xdr:colOff>0</xdr:colOff>
                    <xdr:row>2918</xdr:row>
                    <xdr:rowOff>0</xdr:rowOff>
                  </from>
                  <to>
                    <xdr:col>7</xdr:col>
                    <xdr:colOff>0</xdr:colOff>
                    <xdr:row>2919</xdr:row>
                    <xdr:rowOff>0</xdr:rowOff>
                  </to>
                </anchor>
              </controlPr>
            </control>
          </mc:Choice>
        </mc:AlternateContent>
        <mc:AlternateContent xmlns:mc="http://schemas.openxmlformats.org/markup-compatibility/2006">
          <mc:Choice Requires="x14">
            <control shapeId="2079" r:id="rId1058" name="Button 1055">
              <controlPr defaultSize="0" autoFill="0" autoLine="0" autoPict="0" macro="[1]!Sheet1.deleteRow">
                <anchor moveWithCells="1" sizeWithCells="1">
                  <from>
                    <xdr:col>6</xdr:col>
                    <xdr:colOff>0</xdr:colOff>
                    <xdr:row>2919</xdr:row>
                    <xdr:rowOff>0</xdr:rowOff>
                  </from>
                  <to>
                    <xdr:col>7</xdr:col>
                    <xdr:colOff>0</xdr:colOff>
                    <xdr:row>2919</xdr:row>
                    <xdr:rowOff>161925</xdr:rowOff>
                  </to>
                </anchor>
              </controlPr>
            </control>
          </mc:Choice>
        </mc:AlternateContent>
        <mc:AlternateContent xmlns:mc="http://schemas.openxmlformats.org/markup-compatibility/2006">
          <mc:Choice Requires="x14">
            <control shapeId="2080" r:id="rId1059" name="Button 1056">
              <controlPr defaultSize="0" autoFill="0" autoLine="0" autoPict="0" macro="[1]!Sheet1.deleteRow">
                <anchor moveWithCells="1" sizeWithCells="1">
                  <from>
                    <xdr:col>6</xdr:col>
                    <xdr:colOff>0</xdr:colOff>
                    <xdr:row>2920</xdr:row>
                    <xdr:rowOff>0</xdr:rowOff>
                  </from>
                  <to>
                    <xdr:col>7</xdr:col>
                    <xdr:colOff>0</xdr:colOff>
                    <xdr:row>2920</xdr:row>
                    <xdr:rowOff>161925</xdr:rowOff>
                  </to>
                </anchor>
              </controlPr>
            </control>
          </mc:Choice>
        </mc:AlternateContent>
        <mc:AlternateContent xmlns:mc="http://schemas.openxmlformats.org/markup-compatibility/2006">
          <mc:Choice Requires="x14">
            <control shapeId="2081" r:id="rId1060" name="Button 1057">
              <controlPr defaultSize="0" autoFill="0" autoLine="0" autoPict="0" macro="[1]!Sheet1.deleteRow">
                <anchor moveWithCells="1" sizeWithCells="1">
                  <from>
                    <xdr:col>6</xdr:col>
                    <xdr:colOff>0</xdr:colOff>
                    <xdr:row>2921</xdr:row>
                    <xdr:rowOff>0</xdr:rowOff>
                  </from>
                  <to>
                    <xdr:col>7</xdr:col>
                    <xdr:colOff>0</xdr:colOff>
                    <xdr:row>2921</xdr:row>
                    <xdr:rowOff>161925</xdr:rowOff>
                  </to>
                </anchor>
              </controlPr>
            </control>
          </mc:Choice>
        </mc:AlternateContent>
        <mc:AlternateContent xmlns:mc="http://schemas.openxmlformats.org/markup-compatibility/2006">
          <mc:Choice Requires="x14">
            <control shapeId="2082" r:id="rId1061" name="Button 1058">
              <controlPr defaultSize="0" autoFill="0" autoLine="0" autoPict="0" macro="[1]!Sheet1.deleteRow">
                <anchor moveWithCells="1" sizeWithCells="1">
                  <from>
                    <xdr:col>6</xdr:col>
                    <xdr:colOff>0</xdr:colOff>
                    <xdr:row>2922</xdr:row>
                    <xdr:rowOff>0</xdr:rowOff>
                  </from>
                  <to>
                    <xdr:col>7</xdr:col>
                    <xdr:colOff>0</xdr:colOff>
                    <xdr:row>2922</xdr:row>
                    <xdr:rowOff>161925</xdr:rowOff>
                  </to>
                </anchor>
              </controlPr>
            </control>
          </mc:Choice>
        </mc:AlternateContent>
        <mc:AlternateContent xmlns:mc="http://schemas.openxmlformats.org/markup-compatibility/2006">
          <mc:Choice Requires="x14">
            <control shapeId="2083" r:id="rId1062" name="Button 1059">
              <controlPr defaultSize="0" autoFill="0" autoLine="0" autoPict="0" macro="[1]!Sheet1.deleteRow">
                <anchor moveWithCells="1" sizeWithCells="1">
                  <from>
                    <xdr:col>6</xdr:col>
                    <xdr:colOff>0</xdr:colOff>
                    <xdr:row>2923</xdr:row>
                    <xdr:rowOff>0</xdr:rowOff>
                  </from>
                  <to>
                    <xdr:col>7</xdr:col>
                    <xdr:colOff>0</xdr:colOff>
                    <xdr:row>2923</xdr:row>
                    <xdr:rowOff>161925</xdr:rowOff>
                  </to>
                </anchor>
              </controlPr>
            </control>
          </mc:Choice>
        </mc:AlternateContent>
        <mc:AlternateContent xmlns:mc="http://schemas.openxmlformats.org/markup-compatibility/2006">
          <mc:Choice Requires="x14">
            <control shapeId="2084" r:id="rId1063" name="Button 1060">
              <controlPr defaultSize="0" autoFill="0" autoLine="0" autoPict="0" macro="[1]!Sheet1.deleteProcedure">
                <anchor moveWithCells="1" sizeWithCells="1">
                  <from>
                    <xdr:col>6</xdr:col>
                    <xdr:colOff>0</xdr:colOff>
                    <xdr:row>2926</xdr:row>
                    <xdr:rowOff>0</xdr:rowOff>
                  </from>
                  <to>
                    <xdr:col>7</xdr:col>
                    <xdr:colOff>0</xdr:colOff>
                    <xdr:row>2927</xdr:row>
                    <xdr:rowOff>0</xdr:rowOff>
                  </to>
                </anchor>
              </controlPr>
            </control>
          </mc:Choice>
        </mc:AlternateContent>
        <mc:AlternateContent xmlns:mc="http://schemas.openxmlformats.org/markup-compatibility/2006">
          <mc:Choice Requires="x14">
            <control shapeId="2085" r:id="rId1064" name="Button 1061">
              <controlPr defaultSize="0" autoFill="0" autoLine="0" autoPict="0" macro="[1]!Sheet1.InsertNewTableRow">
                <anchor moveWithCells="1" sizeWithCells="1">
                  <from>
                    <xdr:col>6</xdr:col>
                    <xdr:colOff>0</xdr:colOff>
                    <xdr:row>2933</xdr:row>
                    <xdr:rowOff>0</xdr:rowOff>
                  </from>
                  <to>
                    <xdr:col>7</xdr:col>
                    <xdr:colOff>0</xdr:colOff>
                    <xdr:row>2934</xdr:row>
                    <xdr:rowOff>0</xdr:rowOff>
                  </to>
                </anchor>
              </controlPr>
            </control>
          </mc:Choice>
        </mc:AlternateContent>
        <mc:AlternateContent xmlns:mc="http://schemas.openxmlformats.org/markup-compatibility/2006">
          <mc:Choice Requires="x14">
            <control shapeId="2086" r:id="rId1065" name="Button 1062">
              <controlPr defaultSize="0" autoFill="0" autoLine="0" autoPict="0" macro="[1]!Sheet1.deleteRow">
                <anchor moveWithCells="1" sizeWithCells="1">
                  <from>
                    <xdr:col>6</xdr:col>
                    <xdr:colOff>0</xdr:colOff>
                    <xdr:row>2934</xdr:row>
                    <xdr:rowOff>0</xdr:rowOff>
                  </from>
                  <to>
                    <xdr:col>7</xdr:col>
                    <xdr:colOff>0</xdr:colOff>
                    <xdr:row>2934</xdr:row>
                    <xdr:rowOff>161925</xdr:rowOff>
                  </to>
                </anchor>
              </controlPr>
            </control>
          </mc:Choice>
        </mc:AlternateContent>
        <mc:AlternateContent xmlns:mc="http://schemas.openxmlformats.org/markup-compatibility/2006">
          <mc:Choice Requires="x14">
            <control shapeId="2087" r:id="rId1066" name="Button 1063">
              <controlPr defaultSize="0" autoFill="0" autoLine="0" autoPict="0" macro="[1]!Sheet1.deleteProcedure">
                <anchor moveWithCells="1" sizeWithCells="1">
                  <from>
                    <xdr:col>6</xdr:col>
                    <xdr:colOff>0</xdr:colOff>
                    <xdr:row>2937</xdr:row>
                    <xdr:rowOff>0</xdr:rowOff>
                  </from>
                  <to>
                    <xdr:col>7</xdr:col>
                    <xdr:colOff>0</xdr:colOff>
                    <xdr:row>2938</xdr:row>
                    <xdr:rowOff>0</xdr:rowOff>
                  </to>
                </anchor>
              </controlPr>
            </control>
          </mc:Choice>
        </mc:AlternateContent>
        <mc:AlternateContent xmlns:mc="http://schemas.openxmlformats.org/markup-compatibility/2006">
          <mc:Choice Requires="x14">
            <control shapeId="2088" r:id="rId1067" name="Button 1064">
              <controlPr defaultSize="0" autoFill="0" autoLine="0" autoPict="0" macro="[1]!Sheet1.InsertNewTableRow">
                <anchor moveWithCells="1" sizeWithCells="1">
                  <from>
                    <xdr:col>6</xdr:col>
                    <xdr:colOff>0</xdr:colOff>
                    <xdr:row>2944</xdr:row>
                    <xdr:rowOff>0</xdr:rowOff>
                  </from>
                  <to>
                    <xdr:col>7</xdr:col>
                    <xdr:colOff>0</xdr:colOff>
                    <xdr:row>2945</xdr:row>
                    <xdr:rowOff>0</xdr:rowOff>
                  </to>
                </anchor>
              </controlPr>
            </control>
          </mc:Choice>
        </mc:AlternateContent>
        <mc:AlternateContent xmlns:mc="http://schemas.openxmlformats.org/markup-compatibility/2006">
          <mc:Choice Requires="x14">
            <control shapeId="2089" r:id="rId1068" name="Button 1065">
              <controlPr defaultSize="0" autoFill="0" autoLine="0" autoPict="0" macro="[1]!Sheet1.deleteRow">
                <anchor moveWithCells="1" sizeWithCells="1">
                  <from>
                    <xdr:col>6</xdr:col>
                    <xdr:colOff>0</xdr:colOff>
                    <xdr:row>2945</xdr:row>
                    <xdr:rowOff>0</xdr:rowOff>
                  </from>
                  <to>
                    <xdr:col>7</xdr:col>
                    <xdr:colOff>0</xdr:colOff>
                    <xdr:row>2945</xdr:row>
                    <xdr:rowOff>161925</xdr:rowOff>
                  </to>
                </anchor>
              </controlPr>
            </control>
          </mc:Choice>
        </mc:AlternateContent>
        <mc:AlternateContent xmlns:mc="http://schemas.openxmlformats.org/markup-compatibility/2006">
          <mc:Choice Requires="x14">
            <control shapeId="2090" r:id="rId1069" name="Button 1066">
              <controlPr defaultSize="0" autoFill="0" autoLine="0" autoPict="0" macro="[1]!Sheet1.deleteProcedure">
                <anchor moveWithCells="1" sizeWithCells="1">
                  <from>
                    <xdr:col>6</xdr:col>
                    <xdr:colOff>0</xdr:colOff>
                    <xdr:row>2948</xdr:row>
                    <xdr:rowOff>0</xdr:rowOff>
                  </from>
                  <to>
                    <xdr:col>7</xdr:col>
                    <xdr:colOff>0</xdr:colOff>
                    <xdr:row>2949</xdr:row>
                    <xdr:rowOff>0</xdr:rowOff>
                  </to>
                </anchor>
              </controlPr>
            </control>
          </mc:Choice>
        </mc:AlternateContent>
        <mc:AlternateContent xmlns:mc="http://schemas.openxmlformats.org/markup-compatibility/2006">
          <mc:Choice Requires="x14">
            <control shapeId="2091" r:id="rId1070" name="Button 1067">
              <controlPr defaultSize="0" autoFill="0" autoLine="0" autoPict="0" macro="[1]!Sheet1.InsertNewTableRow">
                <anchor moveWithCells="1" sizeWithCells="1">
                  <from>
                    <xdr:col>6</xdr:col>
                    <xdr:colOff>0</xdr:colOff>
                    <xdr:row>2955</xdr:row>
                    <xdr:rowOff>0</xdr:rowOff>
                  </from>
                  <to>
                    <xdr:col>7</xdr:col>
                    <xdr:colOff>0</xdr:colOff>
                    <xdr:row>2956</xdr:row>
                    <xdr:rowOff>0</xdr:rowOff>
                  </to>
                </anchor>
              </controlPr>
            </control>
          </mc:Choice>
        </mc:AlternateContent>
        <mc:AlternateContent xmlns:mc="http://schemas.openxmlformats.org/markup-compatibility/2006">
          <mc:Choice Requires="x14">
            <control shapeId="2092" r:id="rId1071" name="Button 1068">
              <controlPr defaultSize="0" autoFill="0" autoLine="0" autoPict="0" macro="[1]!Sheet1.deleteRow">
                <anchor moveWithCells="1" sizeWithCells="1">
                  <from>
                    <xdr:col>6</xdr:col>
                    <xdr:colOff>0</xdr:colOff>
                    <xdr:row>2956</xdr:row>
                    <xdr:rowOff>0</xdr:rowOff>
                  </from>
                  <to>
                    <xdr:col>7</xdr:col>
                    <xdr:colOff>0</xdr:colOff>
                    <xdr:row>2956</xdr:row>
                    <xdr:rowOff>161925</xdr:rowOff>
                  </to>
                </anchor>
              </controlPr>
            </control>
          </mc:Choice>
        </mc:AlternateContent>
        <mc:AlternateContent xmlns:mc="http://schemas.openxmlformats.org/markup-compatibility/2006">
          <mc:Choice Requires="x14">
            <control shapeId="2093" r:id="rId1072" name="Button 1069">
              <controlPr defaultSize="0" autoFill="0" autoLine="0" autoPict="0" macro="[1]!Sheet1.deleteProcedure">
                <anchor moveWithCells="1" sizeWithCells="1">
                  <from>
                    <xdr:col>6</xdr:col>
                    <xdr:colOff>0</xdr:colOff>
                    <xdr:row>2959</xdr:row>
                    <xdr:rowOff>0</xdr:rowOff>
                  </from>
                  <to>
                    <xdr:col>7</xdr:col>
                    <xdr:colOff>0</xdr:colOff>
                    <xdr:row>2960</xdr:row>
                    <xdr:rowOff>0</xdr:rowOff>
                  </to>
                </anchor>
              </controlPr>
            </control>
          </mc:Choice>
        </mc:AlternateContent>
        <mc:AlternateContent xmlns:mc="http://schemas.openxmlformats.org/markup-compatibility/2006">
          <mc:Choice Requires="x14">
            <control shapeId="2094" r:id="rId1073" name="Button 1070">
              <controlPr defaultSize="0" autoFill="0" autoLine="0" autoPict="0" macro="[1]!Sheet1.InsertNewTableRow">
                <anchor moveWithCells="1" sizeWithCells="1">
                  <from>
                    <xdr:col>6</xdr:col>
                    <xdr:colOff>0</xdr:colOff>
                    <xdr:row>2966</xdr:row>
                    <xdr:rowOff>0</xdr:rowOff>
                  </from>
                  <to>
                    <xdr:col>7</xdr:col>
                    <xdr:colOff>0</xdr:colOff>
                    <xdr:row>2967</xdr:row>
                    <xdr:rowOff>0</xdr:rowOff>
                  </to>
                </anchor>
              </controlPr>
            </control>
          </mc:Choice>
        </mc:AlternateContent>
        <mc:AlternateContent xmlns:mc="http://schemas.openxmlformats.org/markup-compatibility/2006">
          <mc:Choice Requires="x14">
            <control shapeId="2095" r:id="rId1074" name="Button 1071">
              <controlPr defaultSize="0" autoFill="0" autoLine="0" autoPict="0" macro="[1]!Sheet1.deleteRow">
                <anchor moveWithCells="1" sizeWithCells="1">
                  <from>
                    <xdr:col>6</xdr:col>
                    <xdr:colOff>0</xdr:colOff>
                    <xdr:row>2967</xdr:row>
                    <xdr:rowOff>0</xdr:rowOff>
                  </from>
                  <to>
                    <xdr:col>7</xdr:col>
                    <xdr:colOff>0</xdr:colOff>
                    <xdr:row>2967</xdr:row>
                    <xdr:rowOff>161925</xdr:rowOff>
                  </to>
                </anchor>
              </controlPr>
            </control>
          </mc:Choice>
        </mc:AlternateContent>
        <mc:AlternateContent xmlns:mc="http://schemas.openxmlformats.org/markup-compatibility/2006">
          <mc:Choice Requires="x14">
            <control shapeId="2096" r:id="rId1075" name="Button 1072">
              <controlPr defaultSize="0" autoFill="0" autoLine="0" autoPict="0" macro="[1]!Sheet1.deleteProcedure">
                <anchor moveWithCells="1" sizeWithCells="1">
                  <from>
                    <xdr:col>6</xdr:col>
                    <xdr:colOff>0</xdr:colOff>
                    <xdr:row>2970</xdr:row>
                    <xdr:rowOff>0</xdr:rowOff>
                  </from>
                  <to>
                    <xdr:col>7</xdr:col>
                    <xdr:colOff>0</xdr:colOff>
                    <xdr:row>2971</xdr:row>
                    <xdr:rowOff>0</xdr:rowOff>
                  </to>
                </anchor>
              </controlPr>
            </control>
          </mc:Choice>
        </mc:AlternateContent>
        <mc:AlternateContent xmlns:mc="http://schemas.openxmlformats.org/markup-compatibility/2006">
          <mc:Choice Requires="x14">
            <control shapeId="2097" r:id="rId1076" name="Button 1073">
              <controlPr defaultSize="0" autoFill="0" autoLine="0" autoPict="0" macro="[1]!Sheet1.InsertNewTableRow">
                <anchor moveWithCells="1" sizeWithCells="1">
                  <from>
                    <xdr:col>6</xdr:col>
                    <xdr:colOff>0</xdr:colOff>
                    <xdr:row>2977</xdr:row>
                    <xdr:rowOff>0</xdr:rowOff>
                  </from>
                  <to>
                    <xdr:col>7</xdr:col>
                    <xdr:colOff>0</xdr:colOff>
                    <xdr:row>2978</xdr:row>
                    <xdr:rowOff>0</xdr:rowOff>
                  </to>
                </anchor>
              </controlPr>
            </control>
          </mc:Choice>
        </mc:AlternateContent>
        <mc:AlternateContent xmlns:mc="http://schemas.openxmlformats.org/markup-compatibility/2006">
          <mc:Choice Requires="x14">
            <control shapeId="2098" r:id="rId1077" name="Button 1074">
              <controlPr defaultSize="0" autoFill="0" autoLine="0" autoPict="0" macro="[1]!Sheet1.deleteRow">
                <anchor moveWithCells="1" sizeWithCells="1">
                  <from>
                    <xdr:col>6</xdr:col>
                    <xdr:colOff>0</xdr:colOff>
                    <xdr:row>2978</xdr:row>
                    <xdr:rowOff>0</xdr:rowOff>
                  </from>
                  <to>
                    <xdr:col>7</xdr:col>
                    <xdr:colOff>0</xdr:colOff>
                    <xdr:row>2978</xdr:row>
                    <xdr:rowOff>161925</xdr:rowOff>
                  </to>
                </anchor>
              </controlPr>
            </control>
          </mc:Choice>
        </mc:AlternateContent>
        <mc:AlternateContent xmlns:mc="http://schemas.openxmlformats.org/markup-compatibility/2006">
          <mc:Choice Requires="x14">
            <control shapeId="2099" r:id="rId1078" name="Button 1075">
              <controlPr defaultSize="0" autoFill="0" autoLine="0" autoPict="0" macro="[1]!Sheet1.deleteProcedure">
                <anchor moveWithCells="1" sizeWithCells="1">
                  <from>
                    <xdr:col>6</xdr:col>
                    <xdr:colOff>0</xdr:colOff>
                    <xdr:row>2981</xdr:row>
                    <xdr:rowOff>0</xdr:rowOff>
                  </from>
                  <to>
                    <xdr:col>7</xdr:col>
                    <xdr:colOff>0</xdr:colOff>
                    <xdr:row>2982</xdr:row>
                    <xdr:rowOff>0</xdr:rowOff>
                  </to>
                </anchor>
              </controlPr>
            </control>
          </mc:Choice>
        </mc:AlternateContent>
        <mc:AlternateContent xmlns:mc="http://schemas.openxmlformats.org/markup-compatibility/2006">
          <mc:Choice Requires="x14">
            <control shapeId="2100" r:id="rId1079" name="Button 1076">
              <controlPr defaultSize="0" autoFill="0" autoLine="0" autoPict="0" macro="[1]!Sheet1.InsertNewTableRow">
                <anchor moveWithCells="1" sizeWithCells="1">
                  <from>
                    <xdr:col>6</xdr:col>
                    <xdr:colOff>0</xdr:colOff>
                    <xdr:row>2988</xdr:row>
                    <xdr:rowOff>0</xdr:rowOff>
                  </from>
                  <to>
                    <xdr:col>7</xdr:col>
                    <xdr:colOff>0</xdr:colOff>
                    <xdr:row>2989</xdr:row>
                    <xdr:rowOff>0</xdr:rowOff>
                  </to>
                </anchor>
              </controlPr>
            </control>
          </mc:Choice>
        </mc:AlternateContent>
        <mc:AlternateContent xmlns:mc="http://schemas.openxmlformats.org/markup-compatibility/2006">
          <mc:Choice Requires="x14">
            <control shapeId="2101" r:id="rId1080" name="Button 1077">
              <controlPr defaultSize="0" autoFill="0" autoLine="0" autoPict="0" macro="[1]!Sheet1.deleteRow">
                <anchor moveWithCells="1" sizeWithCells="1">
                  <from>
                    <xdr:col>6</xdr:col>
                    <xdr:colOff>0</xdr:colOff>
                    <xdr:row>2989</xdr:row>
                    <xdr:rowOff>0</xdr:rowOff>
                  </from>
                  <to>
                    <xdr:col>7</xdr:col>
                    <xdr:colOff>0</xdr:colOff>
                    <xdr:row>2989</xdr:row>
                    <xdr:rowOff>161925</xdr:rowOff>
                  </to>
                </anchor>
              </controlPr>
            </control>
          </mc:Choice>
        </mc:AlternateContent>
        <mc:AlternateContent xmlns:mc="http://schemas.openxmlformats.org/markup-compatibility/2006">
          <mc:Choice Requires="x14">
            <control shapeId="2102" r:id="rId1081" name="Button 1078">
              <controlPr defaultSize="0" autoFill="0" autoLine="0" autoPict="0" macro="[1]!Sheet1.deleteProcedure">
                <anchor moveWithCells="1" sizeWithCells="1">
                  <from>
                    <xdr:col>6</xdr:col>
                    <xdr:colOff>0</xdr:colOff>
                    <xdr:row>2992</xdr:row>
                    <xdr:rowOff>0</xdr:rowOff>
                  </from>
                  <to>
                    <xdr:col>7</xdr:col>
                    <xdr:colOff>0</xdr:colOff>
                    <xdr:row>2993</xdr:row>
                    <xdr:rowOff>0</xdr:rowOff>
                  </to>
                </anchor>
              </controlPr>
            </control>
          </mc:Choice>
        </mc:AlternateContent>
        <mc:AlternateContent xmlns:mc="http://schemas.openxmlformats.org/markup-compatibility/2006">
          <mc:Choice Requires="x14">
            <control shapeId="2103" r:id="rId1082" name="Button 1079">
              <controlPr defaultSize="0" autoFill="0" autoLine="0" autoPict="0" macro="[1]!Sheet1.InsertNewTableRow">
                <anchor moveWithCells="1" sizeWithCells="1">
                  <from>
                    <xdr:col>6</xdr:col>
                    <xdr:colOff>0</xdr:colOff>
                    <xdr:row>2999</xdr:row>
                    <xdr:rowOff>0</xdr:rowOff>
                  </from>
                  <to>
                    <xdr:col>7</xdr:col>
                    <xdr:colOff>0</xdr:colOff>
                    <xdr:row>3000</xdr:row>
                    <xdr:rowOff>0</xdr:rowOff>
                  </to>
                </anchor>
              </controlPr>
            </control>
          </mc:Choice>
        </mc:AlternateContent>
        <mc:AlternateContent xmlns:mc="http://schemas.openxmlformats.org/markup-compatibility/2006">
          <mc:Choice Requires="x14">
            <control shapeId="2104" r:id="rId1083" name="Button 1080">
              <controlPr defaultSize="0" autoFill="0" autoLine="0" autoPict="0" macro="[1]!Sheet1.deleteRow">
                <anchor moveWithCells="1" sizeWithCells="1">
                  <from>
                    <xdr:col>6</xdr:col>
                    <xdr:colOff>0</xdr:colOff>
                    <xdr:row>3000</xdr:row>
                    <xdr:rowOff>0</xdr:rowOff>
                  </from>
                  <to>
                    <xdr:col>7</xdr:col>
                    <xdr:colOff>0</xdr:colOff>
                    <xdr:row>3000</xdr:row>
                    <xdr:rowOff>161925</xdr:rowOff>
                  </to>
                </anchor>
              </controlPr>
            </control>
          </mc:Choice>
        </mc:AlternateContent>
        <mc:AlternateContent xmlns:mc="http://schemas.openxmlformats.org/markup-compatibility/2006">
          <mc:Choice Requires="x14">
            <control shapeId="2105" r:id="rId1084" name="Button 1081">
              <controlPr defaultSize="0" autoFill="0" autoLine="0" autoPict="0" macro="[1]!Sheet1.deleteProcedure">
                <anchor moveWithCells="1" sizeWithCells="1">
                  <from>
                    <xdr:col>6</xdr:col>
                    <xdr:colOff>0</xdr:colOff>
                    <xdr:row>3003</xdr:row>
                    <xdr:rowOff>0</xdr:rowOff>
                  </from>
                  <to>
                    <xdr:col>7</xdr:col>
                    <xdr:colOff>0</xdr:colOff>
                    <xdr:row>3004</xdr:row>
                    <xdr:rowOff>0</xdr:rowOff>
                  </to>
                </anchor>
              </controlPr>
            </control>
          </mc:Choice>
        </mc:AlternateContent>
        <mc:AlternateContent xmlns:mc="http://schemas.openxmlformats.org/markup-compatibility/2006">
          <mc:Choice Requires="x14">
            <control shapeId="2106" r:id="rId1085" name="Button 1082">
              <controlPr defaultSize="0" autoFill="0" autoLine="0" autoPict="0" macro="[1]!Sheet1.InsertNewTableRow">
                <anchor moveWithCells="1" sizeWithCells="1">
                  <from>
                    <xdr:col>6</xdr:col>
                    <xdr:colOff>0</xdr:colOff>
                    <xdr:row>3010</xdr:row>
                    <xdr:rowOff>0</xdr:rowOff>
                  </from>
                  <to>
                    <xdr:col>7</xdr:col>
                    <xdr:colOff>0</xdr:colOff>
                    <xdr:row>3011</xdr:row>
                    <xdr:rowOff>0</xdr:rowOff>
                  </to>
                </anchor>
              </controlPr>
            </control>
          </mc:Choice>
        </mc:AlternateContent>
        <mc:AlternateContent xmlns:mc="http://schemas.openxmlformats.org/markup-compatibility/2006">
          <mc:Choice Requires="x14">
            <control shapeId="2107" r:id="rId1086" name="Button 1083">
              <controlPr defaultSize="0" autoFill="0" autoLine="0" autoPict="0" macro="[1]!Sheet1.deleteRow">
                <anchor moveWithCells="1" sizeWithCells="1">
                  <from>
                    <xdr:col>6</xdr:col>
                    <xdr:colOff>0</xdr:colOff>
                    <xdr:row>3011</xdr:row>
                    <xdr:rowOff>0</xdr:rowOff>
                  </from>
                  <to>
                    <xdr:col>7</xdr:col>
                    <xdr:colOff>0</xdr:colOff>
                    <xdr:row>3011</xdr:row>
                    <xdr:rowOff>161925</xdr:rowOff>
                  </to>
                </anchor>
              </controlPr>
            </control>
          </mc:Choice>
        </mc:AlternateContent>
        <mc:AlternateContent xmlns:mc="http://schemas.openxmlformats.org/markup-compatibility/2006">
          <mc:Choice Requires="x14">
            <control shapeId="2108" r:id="rId1087" name="Button 1084">
              <controlPr defaultSize="0" autoFill="0" autoLine="0" autoPict="0" macro="[1]!Sheet1.deleteProcedure">
                <anchor moveWithCells="1" sizeWithCells="1">
                  <from>
                    <xdr:col>6</xdr:col>
                    <xdr:colOff>0</xdr:colOff>
                    <xdr:row>3014</xdr:row>
                    <xdr:rowOff>0</xdr:rowOff>
                  </from>
                  <to>
                    <xdr:col>7</xdr:col>
                    <xdr:colOff>0</xdr:colOff>
                    <xdr:row>3015</xdr:row>
                    <xdr:rowOff>0</xdr:rowOff>
                  </to>
                </anchor>
              </controlPr>
            </control>
          </mc:Choice>
        </mc:AlternateContent>
        <mc:AlternateContent xmlns:mc="http://schemas.openxmlformats.org/markup-compatibility/2006">
          <mc:Choice Requires="x14">
            <control shapeId="2109" r:id="rId1088" name="Button 1085">
              <controlPr defaultSize="0" autoFill="0" autoLine="0" autoPict="0" macro="[1]!Sheet1.InsertNewTableRow">
                <anchor moveWithCells="1" sizeWithCells="1">
                  <from>
                    <xdr:col>6</xdr:col>
                    <xdr:colOff>0</xdr:colOff>
                    <xdr:row>3021</xdr:row>
                    <xdr:rowOff>0</xdr:rowOff>
                  </from>
                  <to>
                    <xdr:col>7</xdr:col>
                    <xdr:colOff>0</xdr:colOff>
                    <xdr:row>3022</xdr:row>
                    <xdr:rowOff>0</xdr:rowOff>
                  </to>
                </anchor>
              </controlPr>
            </control>
          </mc:Choice>
        </mc:AlternateContent>
        <mc:AlternateContent xmlns:mc="http://schemas.openxmlformats.org/markup-compatibility/2006">
          <mc:Choice Requires="x14">
            <control shapeId="2110" r:id="rId1089" name="Button 1086">
              <controlPr defaultSize="0" autoFill="0" autoLine="0" autoPict="0" macro="[1]!Sheet1.deleteRow">
                <anchor moveWithCells="1" sizeWithCells="1">
                  <from>
                    <xdr:col>6</xdr:col>
                    <xdr:colOff>0</xdr:colOff>
                    <xdr:row>3022</xdr:row>
                    <xdr:rowOff>0</xdr:rowOff>
                  </from>
                  <to>
                    <xdr:col>7</xdr:col>
                    <xdr:colOff>0</xdr:colOff>
                    <xdr:row>3022</xdr:row>
                    <xdr:rowOff>161925</xdr:rowOff>
                  </to>
                </anchor>
              </controlPr>
            </control>
          </mc:Choice>
        </mc:AlternateContent>
        <mc:AlternateContent xmlns:mc="http://schemas.openxmlformats.org/markup-compatibility/2006">
          <mc:Choice Requires="x14">
            <control shapeId="2111" r:id="rId1090" name="Button 1087">
              <controlPr defaultSize="0" autoFill="0" autoLine="0" autoPict="0" macro="[1]!Sheet1.deleteProcedure">
                <anchor moveWithCells="1" sizeWithCells="1">
                  <from>
                    <xdr:col>6</xdr:col>
                    <xdr:colOff>0</xdr:colOff>
                    <xdr:row>3025</xdr:row>
                    <xdr:rowOff>0</xdr:rowOff>
                  </from>
                  <to>
                    <xdr:col>7</xdr:col>
                    <xdr:colOff>0</xdr:colOff>
                    <xdr:row>3026</xdr:row>
                    <xdr:rowOff>0</xdr:rowOff>
                  </to>
                </anchor>
              </controlPr>
            </control>
          </mc:Choice>
        </mc:AlternateContent>
        <mc:AlternateContent xmlns:mc="http://schemas.openxmlformats.org/markup-compatibility/2006">
          <mc:Choice Requires="x14">
            <control shapeId="2112" r:id="rId1091" name="Button 1088">
              <controlPr defaultSize="0" autoFill="0" autoLine="0" autoPict="0" macro="[1]!Sheet1.InsertNewTableRow">
                <anchor moveWithCells="1" sizeWithCells="1">
                  <from>
                    <xdr:col>6</xdr:col>
                    <xdr:colOff>0</xdr:colOff>
                    <xdr:row>3032</xdr:row>
                    <xdr:rowOff>0</xdr:rowOff>
                  </from>
                  <to>
                    <xdr:col>7</xdr:col>
                    <xdr:colOff>0</xdr:colOff>
                    <xdr:row>3033</xdr:row>
                    <xdr:rowOff>0</xdr:rowOff>
                  </to>
                </anchor>
              </controlPr>
            </control>
          </mc:Choice>
        </mc:AlternateContent>
        <mc:AlternateContent xmlns:mc="http://schemas.openxmlformats.org/markup-compatibility/2006">
          <mc:Choice Requires="x14">
            <control shapeId="2113" r:id="rId1092" name="Button 1089">
              <controlPr defaultSize="0" autoFill="0" autoLine="0" autoPict="0" macro="[1]!Sheet1.deleteRow">
                <anchor moveWithCells="1" sizeWithCells="1">
                  <from>
                    <xdr:col>6</xdr:col>
                    <xdr:colOff>0</xdr:colOff>
                    <xdr:row>3033</xdr:row>
                    <xdr:rowOff>0</xdr:rowOff>
                  </from>
                  <to>
                    <xdr:col>7</xdr:col>
                    <xdr:colOff>0</xdr:colOff>
                    <xdr:row>3033</xdr:row>
                    <xdr:rowOff>161925</xdr:rowOff>
                  </to>
                </anchor>
              </controlPr>
            </control>
          </mc:Choice>
        </mc:AlternateContent>
        <mc:AlternateContent xmlns:mc="http://schemas.openxmlformats.org/markup-compatibility/2006">
          <mc:Choice Requires="x14">
            <control shapeId="2114" r:id="rId1093" name="Button 1090">
              <controlPr defaultSize="0" autoFill="0" autoLine="0" autoPict="0" macro="[1]!Sheet1.deleteProcedure">
                <anchor moveWithCells="1" sizeWithCells="1">
                  <from>
                    <xdr:col>6</xdr:col>
                    <xdr:colOff>0</xdr:colOff>
                    <xdr:row>3036</xdr:row>
                    <xdr:rowOff>0</xdr:rowOff>
                  </from>
                  <to>
                    <xdr:col>7</xdr:col>
                    <xdr:colOff>0</xdr:colOff>
                    <xdr:row>3037</xdr:row>
                    <xdr:rowOff>0</xdr:rowOff>
                  </to>
                </anchor>
              </controlPr>
            </control>
          </mc:Choice>
        </mc:AlternateContent>
        <mc:AlternateContent xmlns:mc="http://schemas.openxmlformats.org/markup-compatibility/2006">
          <mc:Choice Requires="x14">
            <control shapeId="2115" r:id="rId1094" name="Button 1091">
              <controlPr defaultSize="0" autoFill="0" autoLine="0" autoPict="0" macro="[1]!Sheet1.InsertNewTableRow">
                <anchor moveWithCells="1" sizeWithCells="1">
                  <from>
                    <xdr:col>6</xdr:col>
                    <xdr:colOff>0</xdr:colOff>
                    <xdr:row>3043</xdr:row>
                    <xdr:rowOff>0</xdr:rowOff>
                  </from>
                  <to>
                    <xdr:col>7</xdr:col>
                    <xdr:colOff>0</xdr:colOff>
                    <xdr:row>3044</xdr:row>
                    <xdr:rowOff>0</xdr:rowOff>
                  </to>
                </anchor>
              </controlPr>
            </control>
          </mc:Choice>
        </mc:AlternateContent>
        <mc:AlternateContent xmlns:mc="http://schemas.openxmlformats.org/markup-compatibility/2006">
          <mc:Choice Requires="x14">
            <control shapeId="2116" r:id="rId1095" name="Button 1092">
              <controlPr defaultSize="0" autoFill="0" autoLine="0" autoPict="0" macro="[1]!Sheet1.deleteRow">
                <anchor moveWithCells="1" sizeWithCells="1">
                  <from>
                    <xdr:col>6</xdr:col>
                    <xdr:colOff>0</xdr:colOff>
                    <xdr:row>3044</xdr:row>
                    <xdr:rowOff>0</xdr:rowOff>
                  </from>
                  <to>
                    <xdr:col>7</xdr:col>
                    <xdr:colOff>0</xdr:colOff>
                    <xdr:row>3044</xdr:row>
                    <xdr:rowOff>161925</xdr:rowOff>
                  </to>
                </anchor>
              </controlPr>
            </control>
          </mc:Choice>
        </mc:AlternateContent>
        <mc:AlternateContent xmlns:mc="http://schemas.openxmlformats.org/markup-compatibility/2006">
          <mc:Choice Requires="x14">
            <control shapeId="2117" r:id="rId1096" name="Button 1093">
              <controlPr defaultSize="0" autoFill="0" autoLine="0" autoPict="0" macro="[1]!Sheet1.deleteRow">
                <anchor moveWithCells="1" sizeWithCells="1">
                  <from>
                    <xdr:col>6</xdr:col>
                    <xdr:colOff>0</xdr:colOff>
                    <xdr:row>3045</xdr:row>
                    <xdr:rowOff>0</xdr:rowOff>
                  </from>
                  <to>
                    <xdr:col>7</xdr:col>
                    <xdr:colOff>0</xdr:colOff>
                    <xdr:row>3045</xdr:row>
                    <xdr:rowOff>161925</xdr:rowOff>
                  </to>
                </anchor>
              </controlPr>
            </control>
          </mc:Choice>
        </mc:AlternateContent>
        <mc:AlternateContent xmlns:mc="http://schemas.openxmlformats.org/markup-compatibility/2006">
          <mc:Choice Requires="x14">
            <control shapeId="2118" r:id="rId1097" name="Button 1094">
              <controlPr defaultSize="0" autoFill="0" autoLine="0" autoPict="0" macro="[1]!Sheet1.deleteProcedure">
                <anchor moveWithCells="1" sizeWithCells="1">
                  <from>
                    <xdr:col>6</xdr:col>
                    <xdr:colOff>0</xdr:colOff>
                    <xdr:row>3048</xdr:row>
                    <xdr:rowOff>0</xdr:rowOff>
                  </from>
                  <to>
                    <xdr:col>7</xdr:col>
                    <xdr:colOff>0</xdr:colOff>
                    <xdr:row>3049</xdr:row>
                    <xdr:rowOff>0</xdr:rowOff>
                  </to>
                </anchor>
              </controlPr>
            </control>
          </mc:Choice>
        </mc:AlternateContent>
        <mc:AlternateContent xmlns:mc="http://schemas.openxmlformats.org/markup-compatibility/2006">
          <mc:Choice Requires="x14">
            <control shapeId="2119" r:id="rId1098" name="Button 1095">
              <controlPr defaultSize="0" autoFill="0" autoLine="0" autoPict="0" macro="[1]!Sheet1.InsertNewTableRow">
                <anchor moveWithCells="1" sizeWithCells="1">
                  <from>
                    <xdr:col>6</xdr:col>
                    <xdr:colOff>0</xdr:colOff>
                    <xdr:row>3055</xdr:row>
                    <xdr:rowOff>0</xdr:rowOff>
                  </from>
                  <to>
                    <xdr:col>7</xdr:col>
                    <xdr:colOff>0</xdr:colOff>
                    <xdr:row>3056</xdr:row>
                    <xdr:rowOff>0</xdr:rowOff>
                  </to>
                </anchor>
              </controlPr>
            </control>
          </mc:Choice>
        </mc:AlternateContent>
        <mc:AlternateContent xmlns:mc="http://schemas.openxmlformats.org/markup-compatibility/2006">
          <mc:Choice Requires="x14">
            <control shapeId="2120" r:id="rId1099" name="Button 1096">
              <controlPr defaultSize="0" autoFill="0" autoLine="0" autoPict="0" macro="[1]!Sheet1.deleteRow">
                <anchor moveWithCells="1" sizeWithCells="1">
                  <from>
                    <xdr:col>6</xdr:col>
                    <xdr:colOff>0</xdr:colOff>
                    <xdr:row>3056</xdr:row>
                    <xdr:rowOff>0</xdr:rowOff>
                  </from>
                  <to>
                    <xdr:col>7</xdr:col>
                    <xdr:colOff>0</xdr:colOff>
                    <xdr:row>3056</xdr:row>
                    <xdr:rowOff>161925</xdr:rowOff>
                  </to>
                </anchor>
              </controlPr>
            </control>
          </mc:Choice>
        </mc:AlternateContent>
        <mc:AlternateContent xmlns:mc="http://schemas.openxmlformats.org/markup-compatibility/2006">
          <mc:Choice Requires="x14">
            <control shapeId="2121" r:id="rId1100" name="Button 1097">
              <controlPr defaultSize="0" autoFill="0" autoLine="0" autoPict="0" macro="[1]!Sheet1.deleteProcedure">
                <anchor moveWithCells="1" sizeWithCells="1">
                  <from>
                    <xdr:col>6</xdr:col>
                    <xdr:colOff>0</xdr:colOff>
                    <xdr:row>3059</xdr:row>
                    <xdr:rowOff>0</xdr:rowOff>
                  </from>
                  <to>
                    <xdr:col>7</xdr:col>
                    <xdr:colOff>0</xdr:colOff>
                    <xdr:row>3060</xdr:row>
                    <xdr:rowOff>0</xdr:rowOff>
                  </to>
                </anchor>
              </controlPr>
            </control>
          </mc:Choice>
        </mc:AlternateContent>
        <mc:AlternateContent xmlns:mc="http://schemas.openxmlformats.org/markup-compatibility/2006">
          <mc:Choice Requires="x14">
            <control shapeId="2122" r:id="rId1101" name="Button 1098">
              <controlPr defaultSize="0" autoFill="0" autoLine="0" autoPict="0" macro="[1]!Sheet1.InsertNewTableRow">
                <anchor moveWithCells="1" sizeWithCells="1">
                  <from>
                    <xdr:col>6</xdr:col>
                    <xdr:colOff>0</xdr:colOff>
                    <xdr:row>3066</xdr:row>
                    <xdr:rowOff>0</xdr:rowOff>
                  </from>
                  <to>
                    <xdr:col>7</xdr:col>
                    <xdr:colOff>0</xdr:colOff>
                    <xdr:row>3067</xdr:row>
                    <xdr:rowOff>0</xdr:rowOff>
                  </to>
                </anchor>
              </controlPr>
            </control>
          </mc:Choice>
        </mc:AlternateContent>
        <mc:AlternateContent xmlns:mc="http://schemas.openxmlformats.org/markup-compatibility/2006">
          <mc:Choice Requires="x14">
            <control shapeId="2123" r:id="rId1102" name="Button 1099">
              <controlPr defaultSize="0" autoFill="0" autoLine="0" autoPict="0" macro="[1]!Sheet1.deleteRow">
                <anchor moveWithCells="1" sizeWithCells="1">
                  <from>
                    <xdr:col>6</xdr:col>
                    <xdr:colOff>0</xdr:colOff>
                    <xdr:row>3067</xdr:row>
                    <xdr:rowOff>0</xdr:rowOff>
                  </from>
                  <to>
                    <xdr:col>7</xdr:col>
                    <xdr:colOff>0</xdr:colOff>
                    <xdr:row>3067</xdr:row>
                    <xdr:rowOff>161925</xdr:rowOff>
                  </to>
                </anchor>
              </controlPr>
            </control>
          </mc:Choice>
        </mc:AlternateContent>
        <mc:AlternateContent xmlns:mc="http://schemas.openxmlformats.org/markup-compatibility/2006">
          <mc:Choice Requires="x14">
            <control shapeId="2124" r:id="rId1103" name="Button 1100">
              <controlPr defaultSize="0" autoFill="0" autoLine="0" autoPict="0" macro="[1]!Sheet1.CopyNewProcedure">
                <anchor moveWithCells="1" sizeWithCells="1">
                  <from>
                    <xdr:col>0</xdr:col>
                    <xdr:colOff>0</xdr:colOff>
                    <xdr:row>3323</xdr:row>
                    <xdr:rowOff>0</xdr:rowOff>
                  </from>
                  <to>
                    <xdr:col>1</xdr:col>
                    <xdr:colOff>457200</xdr:colOff>
                    <xdr:row>3324</xdr:row>
                    <xdr:rowOff>161925</xdr:rowOff>
                  </to>
                </anchor>
              </controlPr>
            </control>
          </mc:Choice>
        </mc:AlternateContent>
        <mc:AlternateContent xmlns:mc="http://schemas.openxmlformats.org/markup-compatibility/2006">
          <mc:Choice Requires="x14">
            <control shapeId="2125" r:id="rId1104" name="Button 1101">
              <controlPr locked="0" defaultSize="0" print="0" autoFill="0" autoPict="0" macro="[1]!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2126" r:id="rId1105" name="Button 1102">
              <controlPr locked="0" defaultSize="0" print="0" autoFill="0" autoPict="0" macro="[1]!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2127" r:id="rId1106" name="Button 1103">
              <controlPr locked="0" defaultSize="0" print="0" autoFill="0" autoPict="0" macro="[1]!Sheet1.InsertNewTableRow">
                <anchor moveWithCells="1" sizeWithCells="1">
                  <from>
                    <xdr:col>6</xdr:col>
                    <xdr:colOff>0</xdr:colOff>
                    <xdr:row>3077</xdr:row>
                    <xdr:rowOff>0</xdr:rowOff>
                  </from>
                  <to>
                    <xdr:col>10</xdr:col>
                    <xdr:colOff>0</xdr:colOff>
                    <xdr:row>3078</xdr:row>
                    <xdr:rowOff>0</xdr:rowOff>
                  </to>
                </anchor>
              </controlPr>
            </control>
          </mc:Choice>
        </mc:AlternateContent>
        <mc:AlternateContent xmlns:mc="http://schemas.openxmlformats.org/markup-compatibility/2006">
          <mc:Choice Requires="x14">
            <control shapeId="2128" r:id="rId1107" name="Button 1104">
              <controlPr locked="0" defaultSize="0" print="0" autoFill="0" autoPict="0" macro="[1]!Sheet1.deleteRow">
                <anchor moveWithCells="1" sizeWithCells="1">
                  <from>
                    <xdr:col>6</xdr:col>
                    <xdr:colOff>0</xdr:colOff>
                    <xdr:row>3078</xdr:row>
                    <xdr:rowOff>0</xdr:rowOff>
                  </from>
                  <to>
                    <xdr:col>10</xdr:col>
                    <xdr:colOff>0</xdr:colOff>
                    <xdr:row>3079</xdr:row>
                    <xdr:rowOff>0</xdr:rowOff>
                  </to>
                </anchor>
              </controlPr>
            </control>
          </mc:Choice>
        </mc:AlternateContent>
        <mc:AlternateContent xmlns:mc="http://schemas.openxmlformats.org/markup-compatibility/2006">
          <mc:Choice Requires="x14">
            <control shapeId="2129" r:id="rId1108" name="Button 1105">
              <controlPr locked="0" defaultSize="0" print="0" autoFill="0" autoPict="0" macro="[1]!Sheet1.deleteProcedure">
                <anchor moveWithCells="1" sizeWithCells="1">
                  <from>
                    <xdr:col>6</xdr:col>
                    <xdr:colOff>0</xdr:colOff>
                    <xdr:row>3070</xdr:row>
                    <xdr:rowOff>0</xdr:rowOff>
                  </from>
                  <to>
                    <xdr:col>10</xdr:col>
                    <xdr:colOff>0</xdr:colOff>
                    <xdr:row>3071</xdr:row>
                    <xdr:rowOff>0</xdr:rowOff>
                  </to>
                </anchor>
              </controlPr>
            </control>
          </mc:Choice>
        </mc:AlternateContent>
        <mc:AlternateContent xmlns:mc="http://schemas.openxmlformats.org/markup-compatibility/2006">
          <mc:Choice Requires="x14">
            <control shapeId="2130" r:id="rId1109" name="Button 1106">
              <controlPr locked="0" defaultSize="0" print="0" autoFill="0" autoPict="0" macro="[1]!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2131" r:id="rId1110" name="Button 1107">
              <controlPr locked="0" defaultSize="0" print="0" autoFill="0" autoPict="0" macro="[1]!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2132" r:id="rId1111" name="Button 1108">
              <controlPr locked="0" defaultSize="0" print="0" autoFill="0" autoPict="0" macro="[1]!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2133" r:id="rId1112" name="Button 1109">
              <controlPr locked="0" defaultSize="0" print="0" autoFill="0" autoPict="0" macro="[1]!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2134" r:id="rId1113" name="Button 1110">
              <controlPr locked="0" defaultSize="0" print="0" autoFill="0" autoPict="0" macro="[1]!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2135" r:id="rId1114" name="Button 1111">
              <controlPr locked="0" defaultSize="0" print="0" autoFill="0" autoPict="0" macro="[1]!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2136" r:id="rId1115" name="Button 1112">
              <controlPr locked="0" defaultSize="0" print="0" autoFill="0" autoPict="0" macro="[1]!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2137" r:id="rId1116" name="Button 1113">
              <controlPr locked="0" defaultSize="0" print="0" autoFill="0" autoPict="0" macro="[1]!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2138" r:id="rId1117" name="Button 1114">
              <controlPr locked="0" defaultSize="0" print="0" autoFill="0" autoPict="0" macro="[1]!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2139" r:id="rId1118" name="Button 1115">
              <controlPr locked="0" defaultSize="0" print="0" autoFill="0" autoPict="0" macro="[1]!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2140" r:id="rId1119" name="Button 1116">
              <controlPr locked="0" defaultSize="0" print="0" autoFill="0" autoPict="0" macro="[1]!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2141" r:id="rId1120" name="Button 1117">
              <controlPr locked="0" defaultSize="0" print="0" autoFill="0" autoPict="0" macro="[1]!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142" r:id="rId1121" name="Button 1118">
              <controlPr locked="0" defaultSize="0" print="0" autoFill="0" autoPict="0" macro="[1]!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143" r:id="rId1122" name="Button 1119">
              <controlPr locked="0" defaultSize="0" print="0" autoFill="0" autoPict="0" macro="[1]!Sheet1.deleteRow">
                <anchor moveWithCells="1" sizeWithCells="1">
                  <from>
                    <xdr:col>6</xdr:col>
                    <xdr:colOff>0</xdr:colOff>
                    <xdr:row>2523</xdr:row>
                    <xdr:rowOff>0</xdr:rowOff>
                  </from>
                  <to>
                    <xdr:col>10</xdr:col>
                    <xdr:colOff>0</xdr:colOff>
                    <xdr:row>2524</xdr:row>
                    <xdr:rowOff>0</xdr:rowOff>
                  </to>
                </anchor>
              </controlPr>
            </control>
          </mc:Choice>
        </mc:AlternateContent>
        <mc:AlternateContent xmlns:mc="http://schemas.openxmlformats.org/markup-compatibility/2006">
          <mc:Choice Requires="x14">
            <control shapeId="2144" r:id="rId1123" name="Button 1120">
              <controlPr locked="0" defaultSize="0" print="0" autoFill="0" autoPict="0" macro="[1]!Sheet1.deleteRow">
                <anchor moveWithCells="1" sizeWithCells="1">
                  <from>
                    <xdr:col>6</xdr:col>
                    <xdr:colOff>0</xdr:colOff>
                    <xdr:row>2272</xdr:row>
                    <xdr:rowOff>0</xdr:rowOff>
                  </from>
                  <to>
                    <xdr:col>10</xdr:col>
                    <xdr:colOff>0</xdr:colOff>
                    <xdr:row>2273</xdr:row>
                    <xdr:rowOff>0</xdr:rowOff>
                  </to>
                </anchor>
              </controlPr>
            </control>
          </mc:Choice>
        </mc:AlternateContent>
        <mc:AlternateContent xmlns:mc="http://schemas.openxmlformats.org/markup-compatibility/2006">
          <mc:Choice Requires="x14">
            <control shapeId="2145" r:id="rId1124" name="Button 1121">
              <controlPr locked="0" defaultSize="0" print="0" autoFill="0" autoPict="0" macro="[1]!Sheet1.deleteRow">
                <anchor moveWithCells="1" sizeWithCells="1">
                  <from>
                    <xdr:col>6</xdr:col>
                    <xdr:colOff>0</xdr:colOff>
                    <xdr:row>2634</xdr:row>
                    <xdr:rowOff>0</xdr:rowOff>
                  </from>
                  <to>
                    <xdr:col>10</xdr:col>
                    <xdr:colOff>0</xdr:colOff>
                    <xdr:row>2635</xdr:row>
                    <xdr:rowOff>0</xdr:rowOff>
                  </to>
                </anchor>
              </controlPr>
            </control>
          </mc:Choice>
        </mc:AlternateContent>
        <mc:AlternateContent xmlns:mc="http://schemas.openxmlformats.org/markup-compatibility/2006">
          <mc:Choice Requires="x14">
            <control shapeId="2146" r:id="rId1125" name="Button 1122">
              <controlPr locked="0" defaultSize="0" print="0" autoFill="0" autoPict="0" macro="[1]!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147" r:id="rId1126" name="Button 1123">
              <controlPr locked="0" defaultSize="0" print="0" autoFill="0" autoPict="0" macro="[1]!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2148" r:id="rId1127" name="Button 1124">
              <controlPr locked="0" defaultSize="0" print="0" autoFill="0" autoPict="0" macro="[1]!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2149" r:id="rId1128" name="Button 1125">
              <controlPr locked="0" defaultSize="0" print="0" autoFill="0" autoPict="0" macro="[1]!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150" r:id="rId1129" name="Button 1126">
              <controlPr locked="0" defaultSize="0" print="0" autoFill="0" autoPict="0" macro="[1]!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2151" r:id="rId1130" name="Button 1127">
              <controlPr locked="0" defaultSize="0" print="0" autoFill="0" autoPict="0" macro="[1]!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2152" r:id="rId1131" name="Button 1128">
              <controlPr locked="0" defaultSize="0" print="0" autoFill="0" autoPict="0" macro="[1]!Sheet1.deleteRow">
                <anchor moveWithCells="1" sizeWithCells="1">
                  <from>
                    <xdr:col>6</xdr:col>
                    <xdr:colOff>0</xdr:colOff>
                    <xdr:row>2720</xdr:row>
                    <xdr:rowOff>0</xdr:rowOff>
                  </from>
                  <to>
                    <xdr:col>10</xdr:col>
                    <xdr:colOff>0</xdr:colOff>
                    <xdr:row>2721</xdr:row>
                    <xdr:rowOff>0</xdr:rowOff>
                  </to>
                </anchor>
              </controlPr>
            </control>
          </mc:Choice>
        </mc:AlternateContent>
        <mc:AlternateContent xmlns:mc="http://schemas.openxmlformats.org/markup-compatibility/2006">
          <mc:Choice Requires="x14">
            <control shapeId="2153" r:id="rId1132" name="Button 1129">
              <controlPr locked="0" defaultSize="0" print="0" autoFill="0" autoPict="0" macro="[1]!Sheet1.deleteRow">
                <anchor moveWithCells="1" sizeWithCells="1">
                  <from>
                    <xdr:col>6</xdr:col>
                    <xdr:colOff>0</xdr:colOff>
                    <xdr:row>2635</xdr:row>
                    <xdr:rowOff>0</xdr:rowOff>
                  </from>
                  <to>
                    <xdr:col>10</xdr:col>
                    <xdr:colOff>0</xdr:colOff>
                    <xdr:row>2636</xdr:row>
                    <xdr:rowOff>0</xdr:rowOff>
                  </to>
                </anchor>
              </controlPr>
            </control>
          </mc:Choice>
        </mc:AlternateContent>
        <mc:AlternateContent xmlns:mc="http://schemas.openxmlformats.org/markup-compatibility/2006">
          <mc:Choice Requires="x14">
            <control shapeId="2154" r:id="rId1133" name="Button 1130">
              <controlPr locked="0" defaultSize="0" print="0" autoFill="0" autoPict="0" macro="[1]!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155" r:id="rId1134" name="Button 1131">
              <controlPr locked="0" defaultSize="0" print="0" autoFill="0" autoPict="0" macro="[1]!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2156" r:id="rId1135" name="Button 1132">
              <controlPr locked="0" defaultSize="0" print="0" autoFill="0" autoPict="0" macro="[1]!Sheet1.deleteRow">
                <anchor moveWithCells="1" sizeWithCells="1">
                  <from>
                    <xdr:col>6</xdr:col>
                    <xdr:colOff>0</xdr:colOff>
                    <xdr:row>2636</xdr:row>
                    <xdr:rowOff>0</xdr:rowOff>
                  </from>
                  <to>
                    <xdr:col>10</xdr:col>
                    <xdr:colOff>0</xdr:colOff>
                    <xdr:row>2637</xdr:row>
                    <xdr:rowOff>0</xdr:rowOff>
                  </to>
                </anchor>
              </controlPr>
            </control>
          </mc:Choice>
        </mc:AlternateContent>
        <mc:AlternateContent xmlns:mc="http://schemas.openxmlformats.org/markup-compatibility/2006">
          <mc:Choice Requires="x14">
            <control shapeId="2157" r:id="rId1136" name="Button 1133">
              <controlPr locked="0" defaultSize="0" print="0" autoFill="0" autoPict="0" macro="[1]!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2158" r:id="rId1137" name="Button 1134">
              <controlPr locked="0" defaultSize="0" print="0" autoFill="0" autoPict="0" macro="[1]!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159" r:id="rId1138" name="Button 1135">
              <controlPr locked="0" defaultSize="0" print="0" autoFill="0" autoPict="0" macro="[1]!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160" r:id="rId1139" name="Button 1136">
              <controlPr locked="0" defaultSize="0" print="0" autoFill="0" autoPict="0" macro="[1]!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161" r:id="rId1140" name="Button 1137">
              <controlPr locked="0" defaultSize="0" print="0" autoFill="0" autoPict="0" macro="[1]!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162" r:id="rId1141" name="Button 1138">
              <controlPr locked="0" defaultSize="0" print="0" autoFill="0" autoPict="0" macro="[1]!Sheet1.deleteRow">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2163" r:id="rId1142" name="Button 1139">
              <controlPr locked="0" defaultSize="0" print="0" autoFill="0" autoPict="0" macro="[1]!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164" r:id="rId1143" name="Button 1140">
              <controlPr locked="0" defaultSize="0" print="0" autoFill="0" autoPict="0" macro="[1]!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165" r:id="rId1144" name="Button 1141">
              <controlPr locked="0" defaultSize="0" print="0" autoFill="0" autoPict="0" macro="[1]!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166" r:id="rId1145" name="Button 1142">
              <controlPr locked="0" defaultSize="0" print="0" autoFill="0" autoPict="0" macro="[1]!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167" r:id="rId1146" name="Button 1143">
              <controlPr locked="0" defaultSize="0" print="0" autoFill="0" autoPict="0" macro="[1]!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2168" r:id="rId1147" name="Button 1144">
              <controlPr locked="0" defaultSize="0" print="0" autoFill="0" autoPict="0" macro="[1]!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2169" r:id="rId1148" name="Button 1145">
              <controlPr locked="0" defaultSize="0" print="0" autoFill="0" autoPict="0" macro="[1]!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170" r:id="rId1149" name="Button 1146">
              <controlPr locked="0" defaultSize="0" print="0" autoFill="0" autoPict="0" macro="[1]!Sheet1.deleteRow">
                <anchor moveWithCells="1" sizeWithCells="1">
                  <from>
                    <xdr:col>6</xdr:col>
                    <xdr:colOff>0</xdr:colOff>
                    <xdr:row>2721</xdr:row>
                    <xdr:rowOff>0</xdr:rowOff>
                  </from>
                  <to>
                    <xdr:col>10</xdr:col>
                    <xdr:colOff>0</xdr:colOff>
                    <xdr:row>2722</xdr:row>
                    <xdr:rowOff>0</xdr:rowOff>
                  </to>
                </anchor>
              </controlPr>
            </control>
          </mc:Choice>
        </mc:AlternateContent>
        <mc:AlternateContent xmlns:mc="http://schemas.openxmlformats.org/markup-compatibility/2006">
          <mc:Choice Requires="x14">
            <control shapeId="2171" r:id="rId1150" name="Button 1147">
              <controlPr locked="0" defaultSize="0" print="0" autoFill="0" autoPict="0" macro="[1]!Sheet1.deleteRow">
                <anchor moveWithCells="1" sizeWithCells="1">
                  <from>
                    <xdr:col>6</xdr:col>
                    <xdr:colOff>0</xdr:colOff>
                    <xdr:row>2722</xdr:row>
                    <xdr:rowOff>0</xdr:rowOff>
                  </from>
                  <to>
                    <xdr:col>10</xdr:col>
                    <xdr:colOff>0</xdr:colOff>
                    <xdr:row>2723</xdr:row>
                    <xdr:rowOff>0</xdr:rowOff>
                  </to>
                </anchor>
              </controlPr>
            </control>
          </mc:Choice>
        </mc:AlternateContent>
        <mc:AlternateContent xmlns:mc="http://schemas.openxmlformats.org/markup-compatibility/2006">
          <mc:Choice Requires="x14">
            <control shapeId="2172" r:id="rId1151" name="Button 1148">
              <controlPr locked="0" defaultSize="0" print="0" autoFill="0" autoPict="0" macro="[1]!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173" r:id="rId1152" name="Button 1149">
              <controlPr locked="0" defaultSize="0" print="0" autoFill="0" autoPict="0" macro="[1]!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174" r:id="rId1153" name="Button 1150">
              <controlPr locked="0" defaultSize="0" print="0" autoFill="0" autoPict="0" macro="[1]!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2175" r:id="rId1154" name="Button 1151">
              <controlPr locked="0" defaultSize="0" print="0" autoFill="0" autoPict="0" macro="[1]!Sheet1.deleteRow">
                <anchor moveWithCells="1" sizeWithCells="1">
                  <from>
                    <xdr:col>6</xdr:col>
                    <xdr:colOff>0</xdr:colOff>
                    <xdr:row>2723</xdr:row>
                    <xdr:rowOff>0</xdr:rowOff>
                  </from>
                  <to>
                    <xdr:col>10</xdr:col>
                    <xdr:colOff>0</xdr:colOff>
                    <xdr:row>2724</xdr:row>
                    <xdr:rowOff>0</xdr:rowOff>
                  </to>
                </anchor>
              </controlPr>
            </control>
          </mc:Choice>
        </mc:AlternateContent>
        <mc:AlternateContent xmlns:mc="http://schemas.openxmlformats.org/markup-compatibility/2006">
          <mc:Choice Requires="x14">
            <control shapeId="2176" r:id="rId1155" name="Button 1152">
              <controlPr locked="0" defaultSize="0" print="0" autoFill="0" autoPict="0" macro="[1]!Sheet1.deleteRow">
                <anchor moveWithCells="1" sizeWithCells="1">
                  <from>
                    <xdr:col>6</xdr:col>
                    <xdr:colOff>0</xdr:colOff>
                    <xdr:row>2724</xdr:row>
                    <xdr:rowOff>0</xdr:rowOff>
                  </from>
                  <to>
                    <xdr:col>10</xdr:col>
                    <xdr:colOff>0</xdr:colOff>
                    <xdr:row>2725</xdr:row>
                    <xdr:rowOff>0</xdr:rowOff>
                  </to>
                </anchor>
              </controlPr>
            </control>
          </mc:Choice>
        </mc:AlternateContent>
        <mc:AlternateContent xmlns:mc="http://schemas.openxmlformats.org/markup-compatibility/2006">
          <mc:Choice Requires="x14">
            <control shapeId="2177" r:id="rId1156" name="Button 1153">
              <controlPr locked="0" defaultSize="0" print="0" autoFill="0" autoPict="0" macro="[1]!Sheet1.deleteRow">
                <anchor moveWithCells="1" sizeWithCells="1">
                  <from>
                    <xdr:col>6</xdr:col>
                    <xdr:colOff>0</xdr:colOff>
                    <xdr:row>2208</xdr:row>
                    <xdr:rowOff>0</xdr:rowOff>
                  </from>
                  <to>
                    <xdr:col>10</xdr:col>
                    <xdr:colOff>0</xdr:colOff>
                    <xdr:row>2209</xdr:row>
                    <xdr:rowOff>0</xdr:rowOff>
                  </to>
                </anchor>
              </controlPr>
            </control>
          </mc:Choice>
        </mc:AlternateContent>
        <mc:AlternateContent xmlns:mc="http://schemas.openxmlformats.org/markup-compatibility/2006">
          <mc:Choice Requires="x14">
            <control shapeId="2178" r:id="rId1157" name="Button 1154">
              <controlPr locked="0" defaultSize="0" print="0" autoFill="0" autoPict="0" macro="[1]!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179" r:id="rId1158" name="Button 1155">
              <controlPr locked="0" defaultSize="0" print="0" autoFill="0" autoPict="0" macro="[1]!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2180" r:id="rId1159" name="Button 1156">
              <controlPr locked="0" defaultSize="0" print="0" autoFill="0" autoPict="0" macro="[1]!Sheet1.InsertNewTableRow">
                <anchor moveWithCells="1" sizeWithCells="1">
                  <from>
                    <xdr:col>6</xdr:col>
                    <xdr:colOff>0</xdr:colOff>
                    <xdr:row>3088</xdr:row>
                    <xdr:rowOff>0</xdr:rowOff>
                  </from>
                  <to>
                    <xdr:col>10</xdr:col>
                    <xdr:colOff>0</xdr:colOff>
                    <xdr:row>3089</xdr:row>
                    <xdr:rowOff>0</xdr:rowOff>
                  </to>
                </anchor>
              </controlPr>
            </control>
          </mc:Choice>
        </mc:AlternateContent>
        <mc:AlternateContent xmlns:mc="http://schemas.openxmlformats.org/markup-compatibility/2006">
          <mc:Choice Requires="x14">
            <control shapeId="2181" r:id="rId1160" name="Button 1157">
              <controlPr locked="0" defaultSize="0" print="0" autoFill="0" autoPict="0" macro="[1]!Sheet1.deleteRow">
                <anchor moveWithCells="1" sizeWithCells="1">
                  <from>
                    <xdr:col>6</xdr:col>
                    <xdr:colOff>0</xdr:colOff>
                    <xdr:row>3089</xdr:row>
                    <xdr:rowOff>0</xdr:rowOff>
                  </from>
                  <to>
                    <xdr:col>10</xdr:col>
                    <xdr:colOff>0</xdr:colOff>
                    <xdr:row>3090</xdr:row>
                    <xdr:rowOff>0</xdr:rowOff>
                  </to>
                </anchor>
              </controlPr>
            </control>
          </mc:Choice>
        </mc:AlternateContent>
        <mc:AlternateContent xmlns:mc="http://schemas.openxmlformats.org/markup-compatibility/2006">
          <mc:Choice Requires="x14">
            <control shapeId="2182" r:id="rId1161" name="Button 1158">
              <controlPr locked="0" defaultSize="0" print="0" autoFill="0" autoPict="0" macro="[1]!Sheet1.deleteProcedure">
                <anchor moveWithCells="1" sizeWithCells="1">
                  <from>
                    <xdr:col>6</xdr:col>
                    <xdr:colOff>0</xdr:colOff>
                    <xdr:row>3081</xdr:row>
                    <xdr:rowOff>0</xdr:rowOff>
                  </from>
                  <to>
                    <xdr:col>10</xdr:col>
                    <xdr:colOff>0</xdr:colOff>
                    <xdr:row>3082</xdr:row>
                    <xdr:rowOff>0</xdr:rowOff>
                  </to>
                </anchor>
              </controlPr>
            </control>
          </mc:Choice>
        </mc:AlternateContent>
        <mc:AlternateContent xmlns:mc="http://schemas.openxmlformats.org/markup-compatibility/2006">
          <mc:Choice Requires="x14">
            <control shapeId="2183" r:id="rId1162" name="Button 1159">
              <controlPr locked="0" defaultSize="0" print="0" autoFill="0" autoPict="0" macro="[1]!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184" r:id="rId1163" name="Button 1160">
              <controlPr locked="0" defaultSize="0" print="0" autoFill="0" autoPict="0" macro="[1]!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185" r:id="rId1164" name="Button 1161">
              <controlPr locked="0" defaultSize="0" print="0" autoFill="0" autoPict="0" macro="[1]!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186" r:id="rId1165" name="Button 1162">
              <controlPr locked="0" defaultSize="0" print="0" autoFill="0" autoPict="0" macro="[1]!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187" r:id="rId1166" name="Button 1163">
              <controlPr locked="0" defaultSize="0" print="0" autoFill="0" autoPict="0" macro="[1]!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188" r:id="rId1167" name="Button 1164">
              <controlPr locked="0" defaultSize="0" print="0" autoFill="0" autoPict="0" macro="[1]!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189" r:id="rId1168" name="Button 1165">
              <controlPr locked="0" defaultSize="0" print="0" autoFill="0" autoPict="0" macro="[1]!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190" r:id="rId1169" name="Button 1166">
              <controlPr locked="0" defaultSize="0" print="0" autoFill="0" autoPict="0" macro="[1]!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191" r:id="rId1170" name="Button 1167">
              <controlPr locked="0" defaultSize="0" print="0" autoFill="0" autoPict="0" macro="[1]!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192" r:id="rId1171" name="Button 1168">
              <controlPr locked="0" defaultSize="0" print="0" autoFill="0" autoPict="0" macro="[1]!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193" r:id="rId1172" name="Button 1169">
              <controlPr locked="0" defaultSize="0" print="0" autoFill="0" autoPict="0" macro="[1]!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194" r:id="rId1173" name="Button 1170">
              <controlPr locked="0" defaultSize="0" print="0" autoFill="0" autoPict="0" macro="[1]!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195" r:id="rId1174" name="Button 1171">
              <controlPr locked="0" defaultSize="0" print="0" autoFill="0" autoPict="0" macro="[1]!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196" r:id="rId1175" name="Button 1172">
              <controlPr locked="0" defaultSize="0" print="0" autoFill="0" autoPict="0" macro="[1]!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197" r:id="rId1176" name="Button 1173">
              <controlPr locked="0" defaultSize="0" print="0" autoFill="0" autoPict="0" macro="[1]!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198" r:id="rId1177" name="Button 1174">
              <controlPr locked="0" defaultSize="0" print="0" autoFill="0" autoPict="0" macro="[1]!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199" r:id="rId1178" name="Button 1175">
              <controlPr locked="0" defaultSize="0" print="0" autoFill="0" autoPict="0" macro="[1]!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200" r:id="rId1179" name="Button 1176">
              <controlPr locked="0" defaultSize="0" print="0" autoFill="0" autoPict="0" macro="[1]!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201" r:id="rId1180" name="Button 1177">
              <controlPr locked="0" defaultSize="0" print="0" autoFill="0" autoPict="0" macro="[1]!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202" r:id="rId1181" name="Button 1178">
              <controlPr locked="0" defaultSize="0" print="0" autoFill="0" autoPict="0" macro="[1]!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203" r:id="rId1182" name="Button 1179">
              <controlPr locked="0" defaultSize="0" print="0" autoFill="0" autoPict="0" macro="[1]!Sheet1.InsertNewTableRow">
                <anchor moveWithCells="1" sizeWithCells="1">
                  <from>
                    <xdr:col>6</xdr:col>
                    <xdr:colOff>0</xdr:colOff>
                    <xdr:row>3099</xdr:row>
                    <xdr:rowOff>0</xdr:rowOff>
                  </from>
                  <to>
                    <xdr:col>10</xdr:col>
                    <xdr:colOff>0</xdr:colOff>
                    <xdr:row>3100</xdr:row>
                    <xdr:rowOff>0</xdr:rowOff>
                  </to>
                </anchor>
              </controlPr>
            </control>
          </mc:Choice>
        </mc:AlternateContent>
        <mc:AlternateContent xmlns:mc="http://schemas.openxmlformats.org/markup-compatibility/2006">
          <mc:Choice Requires="x14">
            <control shapeId="2204" r:id="rId1183" name="Button 1180">
              <controlPr locked="0" defaultSize="0" print="0" autoFill="0" autoPict="0" macro="[1]!Sheet1.deleteRow">
                <anchor moveWithCells="1" sizeWithCells="1">
                  <from>
                    <xdr:col>6</xdr:col>
                    <xdr:colOff>0</xdr:colOff>
                    <xdr:row>3100</xdr:row>
                    <xdr:rowOff>0</xdr:rowOff>
                  </from>
                  <to>
                    <xdr:col>10</xdr:col>
                    <xdr:colOff>0</xdr:colOff>
                    <xdr:row>3101</xdr:row>
                    <xdr:rowOff>0</xdr:rowOff>
                  </to>
                </anchor>
              </controlPr>
            </control>
          </mc:Choice>
        </mc:AlternateContent>
        <mc:AlternateContent xmlns:mc="http://schemas.openxmlformats.org/markup-compatibility/2006">
          <mc:Choice Requires="x14">
            <control shapeId="2205" r:id="rId1184" name="Button 1181">
              <controlPr locked="0" defaultSize="0" print="0" autoFill="0" autoPict="0" macro="[1]!Sheet1.deleteProcedure">
                <anchor moveWithCells="1" sizeWithCells="1">
                  <from>
                    <xdr:col>6</xdr:col>
                    <xdr:colOff>0</xdr:colOff>
                    <xdr:row>3092</xdr:row>
                    <xdr:rowOff>0</xdr:rowOff>
                  </from>
                  <to>
                    <xdr:col>10</xdr:col>
                    <xdr:colOff>0</xdr:colOff>
                    <xdr:row>3093</xdr:row>
                    <xdr:rowOff>0</xdr:rowOff>
                  </to>
                </anchor>
              </controlPr>
            </control>
          </mc:Choice>
        </mc:AlternateContent>
        <mc:AlternateContent xmlns:mc="http://schemas.openxmlformats.org/markup-compatibility/2006">
          <mc:Choice Requires="x14">
            <control shapeId="2206" r:id="rId1185" name="Button 1182">
              <controlPr locked="0" defaultSize="0" print="0" autoFill="0" autoPict="0" macro="[1]!Sheet1.InsertNewTableRow">
                <anchor moveWithCells="1" sizeWithCells="1">
                  <from>
                    <xdr:col>6</xdr:col>
                    <xdr:colOff>0</xdr:colOff>
                    <xdr:row>3110</xdr:row>
                    <xdr:rowOff>0</xdr:rowOff>
                  </from>
                  <to>
                    <xdr:col>10</xdr:col>
                    <xdr:colOff>0</xdr:colOff>
                    <xdr:row>3111</xdr:row>
                    <xdr:rowOff>0</xdr:rowOff>
                  </to>
                </anchor>
              </controlPr>
            </control>
          </mc:Choice>
        </mc:AlternateContent>
        <mc:AlternateContent xmlns:mc="http://schemas.openxmlformats.org/markup-compatibility/2006">
          <mc:Choice Requires="x14">
            <control shapeId="2207" r:id="rId1186" name="Button 1183">
              <controlPr locked="0" defaultSize="0" print="0" autoFill="0" autoPict="0" macro="[1]!Sheet1.deleteRow">
                <anchor moveWithCells="1" sizeWithCells="1">
                  <from>
                    <xdr:col>6</xdr:col>
                    <xdr:colOff>0</xdr:colOff>
                    <xdr:row>3111</xdr:row>
                    <xdr:rowOff>0</xdr:rowOff>
                  </from>
                  <to>
                    <xdr:col>10</xdr:col>
                    <xdr:colOff>0</xdr:colOff>
                    <xdr:row>3112</xdr:row>
                    <xdr:rowOff>0</xdr:rowOff>
                  </to>
                </anchor>
              </controlPr>
            </control>
          </mc:Choice>
        </mc:AlternateContent>
        <mc:AlternateContent xmlns:mc="http://schemas.openxmlformats.org/markup-compatibility/2006">
          <mc:Choice Requires="x14">
            <control shapeId="2208" r:id="rId1187" name="Button 1184">
              <controlPr locked="0" defaultSize="0" print="0" autoFill="0" autoPict="0" macro="[1]!Sheet1.deleteProcedure">
                <anchor moveWithCells="1" sizeWithCells="1">
                  <from>
                    <xdr:col>6</xdr:col>
                    <xdr:colOff>0</xdr:colOff>
                    <xdr:row>3103</xdr:row>
                    <xdr:rowOff>0</xdr:rowOff>
                  </from>
                  <to>
                    <xdr:col>10</xdr:col>
                    <xdr:colOff>0</xdr:colOff>
                    <xdr:row>3104</xdr:row>
                    <xdr:rowOff>0</xdr:rowOff>
                  </to>
                </anchor>
              </controlPr>
            </control>
          </mc:Choice>
        </mc:AlternateContent>
        <mc:AlternateContent xmlns:mc="http://schemas.openxmlformats.org/markup-compatibility/2006">
          <mc:Choice Requires="x14">
            <control shapeId="2209" r:id="rId1188" name="Button 1185">
              <controlPr locked="0" defaultSize="0" print="0" autoFill="0" autoPict="0" macro="[1]!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2210" r:id="rId1189" name="Button 1186">
              <controlPr locked="0" defaultSize="0" print="0" autoFill="0" autoPict="0" macro="[1]!Sheet1.InsertNewTableRow">
                <anchor moveWithCells="1" sizeWithCells="1">
                  <from>
                    <xdr:col>6</xdr:col>
                    <xdr:colOff>0</xdr:colOff>
                    <xdr:row>3121</xdr:row>
                    <xdr:rowOff>0</xdr:rowOff>
                  </from>
                  <to>
                    <xdr:col>10</xdr:col>
                    <xdr:colOff>0</xdr:colOff>
                    <xdr:row>3122</xdr:row>
                    <xdr:rowOff>0</xdr:rowOff>
                  </to>
                </anchor>
              </controlPr>
            </control>
          </mc:Choice>
        </mc:AlternateContent>
        <mc:AlternateContent xmlns:mc="http://schemas.openxmlformats.org/markup-compatibility/2006">
          <mc:Choice Requires="x14">
            <control shapeId="2211" r:id="rId1190" name="Button 1187">
              <controlPr locked="0" defaultSize="0" print="0" autoFill="0" autoPict="0" macro="[1]!Sheet1.deleteRow">
                <anchor moveWithCells="1" sizeWithCells="1">
                  <from>
                    <xdr:col>6</xdr:col>
                    <xdr:colOff>0</xdr:colOff>
                    <xdr:row>3122</xdr:row>
                    <xdr:rowOff>0</xdr:rowOff>
                  </from>
                  <to>
                    <xdr:col>10</xdr:col>
                    <xdr:colOff>0</xdr:colOff>
                    <xdr:row>3123</xdr:row>
                    <xdr:rowOff>0</xdr:rowOff>
                  </to>
                </anchor>
              </controlPr>
            </control>
          </mc:Choice>
        </mc:AlternateContent>
        <mc:AlternateContent xmlns:mc="http://schemas.openxmlformats.org/markup-compatibility/2006">
          <mc:Choice Requires="x14">
            <control shapeId="2212" r:id="rId1191" name="Button 1188">
              <controlPr locked="0" defaultSize="0" print="0" autoFill="0" autoPict="0" macro="[1]!Sheet1.deleteProcedure">
                <anchor moveWithCells="1" sizeWithCells="1">
                  <from>
                    <xdr:col>6</xdr:col>
                    <xdr:colOff>0</xdr:colOff>
                    <xdr:row>3114</xdr:row>
                    <xdr:rowOff>0</xdr:rowOff>
                  </from>
                  <to>
                    <xdr:col>10</xdr:col>
                    <xdr:colOff>0</xdr:colOff>
                    <xdr:row>3115</xdr:row>
                    <xdr:rowOff>0</xdr:rowOff>
                  </to>
                </anchor>
              </controlPr>
            </control>
          </mc:Choice>
        </mc:AlternateContent>
        <mc:AlternateContent xmlns:mc="http://schemas.openxmlformats.org/markup-compatibility/2006">
          <mc:Choice Requires="x14">
            <control shapeId="2213" r:id="rId1192" name="Button 1189">
              <controlPr locked="0" defaultSize="0" print="0" autoFill="0" autoPict="0" macro="[1]!Sheet1.InsertNewTableRow">
                <anchor moveWithCells="1" sizeWithCells="1">
                  <from>
                    <xdr:col>6</xdr:col>
                    <xdr:colOff>0</xdr:colOff>
                    <xdr:row>3132</xdr:row>
                    <xdr:rowOff>0</xdr:rowOff>
                  </from>
                  <to>
                    <xdr:col>10</xdr:col>
                    <xdr:colOff>0</xdr:colOff>
                    <xdr:row>3133</xdr:row>
                    <xdr:rowOff>0</xdr:rowOff>
                  </to>
                </anchor>
              </controlPr>
            </control>
          </mc:Choice>
        </mc:AlternateContent>
        <mc:AlternateContent xmlns:mc="http://schemas.openxmlformats.org/markup-compatibility/2006">
          <mc:Choice Requires="x14">
            <control shapeId="2214" r:id="rId1193" name="Button 1190">
              <controlPr locked="0" defaultSize="0" print="0" autoFill="0" autoPict="0" macro="[1]!Sheet1.deleteRow">
                <anchor moveWithCells="1" sizeWithCells="1">
                  <from>
                    <xdr:col>6</xdr:col>
                    <xdr:colOff>0</xdr:colOff>
                    <xdr:row>3133</xdr:row>
                    <xdr:rowOff>0</xdr:rowOff>
                  </from>
                  <to>
                    <xdr:col>10</xdr:col>
                    <xdr:colOff>0</xdr:colOff>
                    <xdr:row>3134</xdr:row>
                    <xdr:rowOff>0</xdr:rowOff>
                  </to>
                </anchor>
              </controlPr>
            </control>
          </mc:Choice>
        </mc:AlternateContent>
        <mc:AlternateContent xmlns:mc="http://schemas.openxmlformats.org/markup-compatibility/2006">
          <mc:Choice Requires="x14">
            <control shapeId="2215" r:id="rId1194" name="Button 1191">
              <controlPr locked="0" defaultSize="0" print="0" autoFill="0" autoPict="0" macro="[1]!Sheet1.deleteProcedure">
                <anchor moveWithCells="1" sizeWithCells="1">
                  <from>
                    <xdr:col>6</xdr:col>
                    <xdr:colOff>0</xdr:colOff>
                    <xdr:row>3125</xdr:row>
                    <xdr:rowOff>0</xdr:rowOff>
                  </from>
                  <to>
                    <xdr:col>10</xdr:col>
                    <xdr:colOff>0</xdr:colOff>
                    <xdr:row>3126</xdr:row>
                    <xdr:rowOff>0</xdr:rowOff>
                  </to>
                </anchor>
              </controlPr>
            </control>
          </mc:Choice>
        </mc:AlternateContent>
        <mc:AlternateContent xmlns:mc="http://schemas.openxmlformats.org/markup-compatibility/2006">
          <mc:Choice Requires="x14">
            <control shapeId="2216" r:id="rId1195" name="Button 1192">
              <controlPr locked="0" defaultSize="0" print="0" autoFill="0" autoPict="0" macro="[1]!Sheet1.InsertNewTableRow">
                <anchor moveWithCells="1" sizeWithCells="1">
                  <from>
                    <xdr:col>6</xdr:col>
                    <xdr:colOff>0</xdr:colOff>
                    <xdr:row>3143</xdr:row>
                    <xdr:rowOff>0</xdr:rowOff>
                  </from>
                  <to>
                    <xdr:col>10</xdr:col>
                    <xdr:colOff>0</xdr:colOff>
                    <xdr:row>3144</xdr:row>
                    <xdr:rowOff>0</xdr:rowOff>
                  </to>
                </anchor>
              </controlPr>
            </control>
          </mc:Choice>
        </mc:AlternateContent>
        <mc:AlternateContent xmlns:mc="http://schemas.openxmlformats.org/markup-compatibility/2006">
          <mc:Choice Requires="x14">
            <control shapeId="2217" r:id="rId1196" name="Button 1193">
              <controlPr locked="0" defaultSize="0" print="0" autoFill="0" autoPict="0" macro="[1]!Sheet1.deleteRow">
                <anchor moveWithCells="1" sizeWithCells="1">
                  <from>
                    <xdr:col>6</xdr:col>
                    <xdr:colOff>0</xdr:colOff>
                    <xdr:row>3144</xdr:row>
                    <xdr:rowOff>0</xdr:rowOff>
                  </from>
                  <to>
                    <xdr:col>10</xdr:col>
                    <xdr:colOff>0</xdr:colOff>
                    <xdr:row>3145</xdr:row>
                    <xdr:rowOff>0</xdr:rowOff>
                  </to>
                </anchor>
              </controlPr>
            </control>
          </mc:Choice>
        </mc:AlternateContent>
        <mc:AlternateContent xmlns:mc="http://schemas.openxmlformats.org/markup-compatibility/2006">
          <mc:Choice Requires="x14">
            <control shapeId="2218" r:id="rId1197" name="Button 1194">
              <controlPr locked="0" defaultSize="0" print="0" autoFill="0" autoPict="0" macro="[1]!Sheet1.deleteProcedure">
                <anchor moveWithCells="1" sizeWithCells="1">
                  <from>
                    <xdr:col>6</xdr:col>
                    <xdr:colOff>0</xdr:colOff>
                    <xdr:row>3136</xdr:row>
                    <xdr:rowOff>0</xdr:rowOff>
                  </from>
                  <to>
                    <xdr:col>10</xdr:col>
                    <xdr:colOff>0</xdr:colOff>
                    <xdr:row>3137</xdr:row>
                    <xdr:rowOff>0</xdr:rowOff>
                  </to>
                </anchor>
              </controlPr>
            </control>
          </mc:Choice>
        </mc:AlternateContent>
        <mc:AlternateContent xmlns:mc="http://schemas.openxmlformats.org/markup-compatibility/2006">
          <mc:Choice Requires="x14">
            <control shapeId="2219" r:id="rId1198" name="Button 1195">
              <controlPr locked="0" defaultSize="0" print="0" autoFill="0" autoPict="0" macro="[1]!Sheet1.InsertNewTableRow">
                <anchor moveWithCells="1" sizeWithCells="1">
                  <from>
                    <xdr:col>6</xdr:col>
                    <xdr:colOff>0</xdr:colOff>
                    <xdr:row>3154</xdr:row>
                    <xdr:rowOff>0</xdr:rowOff>
                  </from>
                  <to>
                    <xdr:col>10</xdr:col>
                    <xdr:colOff>0</xdr:colOff>
                    <xdr:row>3155</xdr:row>
                    <xdr:rowOff>0</xdr:rowOff>
                  </to>
                </anchor>
              </controlPr>
            </control>
          </mc:Choice>
        </mc:AlternateContent>
        <mc:AlternateContent xmlns:mc="http://schemas.openxmlformats.org/markup-compatibility/2006">
          <mc:Choice Requires="x14">
            <control shapeId="2220" r:id="rId1199" name="Button 1196">
              <controlPr locked="0" defaultSize="0" print="0" autoFill="0" autoPict="0" macro="[1]!Sheet1.deleteRow">
                <anchor moveWithCells="1" sizeWithCells="1">
                  <from>
                    <xdr:col>6</xdr:col>
                    <xdr:colOff>0</xdr:colOff>
                    <xdr:row>3155</xdr:row>
                    <xdr:rowOff>0</xdr:rowOff>
                  </from>
                  <to>
                    <xdr:col>10</xdr:col>
                    <xdr:colOff>0</xdr:colOff>
                    <xdr:row>3156</xdr:row>
                    <xdr:rowOff>0</xdr:rowOff>
                  </to>
                </anchor>
              </controlPr>
            </control>
          </mc:Choice>
        </mc:AlternateContent>
        <mc:AlternateContent xmlns:mc="http://schemas.openxmlformats.org/markup-compatibility/2006">
          <mc:Choice Requires="x14">
            <control shapeId="2221" r:id="rId1200" name="Button 1197">
              <controlPr locked="0" defaultSize="0" print="0" autoFill="0" autoPict="0" macro="[1]!Sheet1.deleteProcedure">
                <anchor moveWithCells="1" sizeWithCells="1">
                  <from>
                    <xdr:col>6</xdr:col>
                    <xdr:colOff>0</xdr:colOff>
                    <xdr:row>3147</xdr:row>
                    <xdr:rowOff>0</xdr:rowOff>
                  </from>
                  <to>
                    <xdr:col>10</xdr:col>
                    <xdr:colOff>0</xdr:colOff>
                    <xdr:row>3148</xdr:row>
                    <xdr:rowOff>0</xdr:rowOff>
                  </to>
                </anchor>
              </controlPr>
            </control>
          </mc:Choice>
        </mc:AlternateContent>
        <mc:AlternateContent xmlns:mc="http://schemas.openxmlformats.org/markup-compatibility/2006">
          <mc:Choice Requires="x14">
            <control shapeId="2222" r:id="rId1201" name="Button 1198">
              <controlPr locked="0" defaultSize="0" print="0" autoFill="0" autoPict="0" macro="[1]!Sheet1.InsertNewTableRow">
                <anchor moveWithCells="1" sizeWithCells="1">
                  <from>
                    <xdr:col>6</xdr:col>
                    <xdr:colOff>0</xdr:colOff>
                    <xdr:row>3165</xdr:row>
                    <xdr:rowOff>0</xdr:rowOff>
                  </from>
                  <to>
                    <xdr:col>10</xdr:col>
                    <xdr:colOff>0</xdr:colOff>
                    <xdr:row>3166</xdr:row>
                    <xdr:rowOff>0</xdr:rowOff>
                  </to>
                </anchor>
              </controlPr>
            </control>
          </mc:Choice>
        </mc:AlternateContent>
        <mc:AlternateContent xmlns:mc="http://schemas.openxmlformats.org/markup-compatibility/2006">
          <mc:Choice Requires="x14">
            <control shapeId="2223" r:id="rId1202" name="Button 1199">
              <controlPr locked="0" defaultSize="0" print="0" autoFill="0" autoPict="0" macro="[1]!Sheet1.deleteRow">
                <anchor moveWithCells="1" sizeWithCells="1">
                  <from>
                    <xdr:col>6</xdr:col>
                    <xdr:colOff>0</xdr:colOff>
                    <xdr:row>3166</xdr:row>
                    <xdr:rowOff>0</xdr:rowOff>
                  </from>
                  <to>
                    <xdr:col>10</xdr:col>
                    <xdr:colOff>0</xdr:colOff>
                    <xdr:row>3167</xdr:row>
                    <xdr:rowOff>0</xdr:rowOff>
                  </to>
                </anchor>
              </controlPr>
            </control>
          </mc:Choice>
        </mc:AlternateContent>
        <mc:AlternateContent xmlns:mc="http://schemas.openxmlformats.org/markup-compatibility/2006">
          <mc:Choice Requires="x14">
            <control shapeId="2224" r:id="rId1203" name="Button 1200">
              <controlPr locked="0" defaultSize="0" print="0" autoFill="0" autoPict="0" macro="[1]!Sheet1.deleteProcedure">
                <anchor moveWithCells="1" sizeWithCells="1">
                  <from>
                    <xdr:col>6</xdr:col>
                    <xdr:colOff>0</xdr:colOff>
                    <xdr:row>3158</xdr:row>
                    <xdr:rowOff>0</xdr:rowOff>
                  </from>
                  <to>
                    <xdr:col>10</xdr:col>
                    <xdr:colOff>0</xdr:colOff>
                    <xdr:row>3159</xdr:row>
                    <xdr:rowOff>0</xdr:rowOff>
                  </to>
                </anchor>
              </controlPr>
            </control>
          </mc:Choice>
        </mc:AlternateContent>
        <mc:AlternateContent xmlns:mc="http://schemas.openxmlformats.org/markup-compatibility/2006">
          <mc:Choice Requires="x14">
            <control shapeId="2225" r:id="rId1204" name="Button 1201">
              <controlPr locked="0" defaultSize="0" print="0" autoFill="0" autoPict="0" macro="[1]!Sheet1.deleteRow">
                <anchor moveWithCells="1" sizeWithCells="1">
                  <from>
                    <xdr:col>6</xdr:col>
                    <xdr:colOff>0</xdr:colOff>
                    <xdr:row>3167</xdr:row>
                    <xdr:rowOff>0</xdr:rowOff>
                  </from>
                  <to>
                    <xdr:col>10</xdr:col>
                    <xdr:colOff>0</xdr:colOff>
                    <xdr:row>3168</xdr:row>
                    <xdr:rowOff>0</xdr:rowOff>
                  </to>
                </anchor>
              </controlPr>
            </control>
          </mc:Choice>
        </mc:AlternateContent>
        <mc:AlternateContent xmlns:mc="http://schemas.openxmlformats.org/markup-compatibility/2006">
          <mc:Choice Requires="x14">
            <control shapeId="2226" r:id="rId1205" name="Button 1202">
              <controlPr locked="0" defaultSize="0" print="0" autoFill="0" autoPict="0" macro="[1]!Sheet1.deleteRow">
                <anchor moveWithCells="1" sizeWithCells="1">
                  <from>
                    <xdr:col>6</xdr:col>
                    <xdr:colOff>0</xdr:colOff>
                    <xdr:row>3168</xdr:row>
                    <xdr:rowOff>0</xdr:rowOff>
                  </from>
                  <to>
                    <xdr:col>10</xdr:col>
                    <xdr:colOff>0</xdr:colOff>
                    <xdr:row>3169</xdr:row>
                    <xdr:rowOff>0</xdr:rowOff>
                  </to>
                </anchor>
              </controlPr>
            </control>
          </mc:Choice>
        </mc:AlternateContent>
        <mc:AlternateContent xmlns:mc="http://schemas.openxmlformats.org/markup-compatibility/2006">
          <mc:Choice Requires="x14">
            <control shapeId="2227" r:id="rId1206" name="Button 1203">
              <controlPr locked="0" defaultSize="0" print="0" autoFill="0" autoPict="0" macro="[1]!Sheet1.deleteRow">
                <anchor moveWithCells="1" sizeWithCells="1">
                  <from>
                    <xdr:col>6</xdr:col>
                    <xdr:colOff>0</xdr:colOff>
                    <xdr:row>3169</xdr:row>
                    <xdr:rowOff>0</xdr:rowOff>
                  </from>
                  <to>
                    <xdr:col>10</xdr:col>
                    <xdr:colOff>0</xdr:colOff>
                    <xdr:row>3170</xdr:row>
                    <xdr:rowOff>0</xdr:rowOff>
                  </to>
                </anchor>
              </controlPr>
            </control>
          </mc:Choice>
        </mc:AlternateContent>
        <mc:AlternateContent xmlns:mc="http://schemas.openxmlformats.org/markup-compatibility/2006">
          <mc:Choice Requires="x14">
            <control shapeId="2228" r:id="rId1207" name="Button 1204">
              <controlPr locked="0" defaultSize="0" print="0" autoFill="0" autoPict="0" macro="[1]!Sheet1.InsertNewTableRow">
                <anchor moveWithCells="1" sizeWithCells="1">
                  <from>
                    <xdr:col>6</xdr:col>
                    <xdr:colOff>0</xdr:colOff>
                    <xdr:row>3179</xdr:row>
                    <xdr:rowOff>0</xdr:rowOff>
                  </from>
                  <to>
                    <xdr:col>10</xdr:col>
                    <xdr:colOff>0</xdr:colOff>
                    <xdr:row>3180</xdr:row>
                    <xdr:rowOff>0</xdr:rowOff>
                  </to>
                </anchor>
              </controlPr>
            </control>
          </mc:Choice>
        </mc:AlternateContent>
        <mc:AlternateContent xmlns:mc="http://schemas.openxmlformats.org/markup-compatibility/2006">
          <mc:Choice Requires="x14">
            <control shapeId="2229" r:id="rId1208" name="Button 1205">
              <controlPr locked="0" defaultSize="0" print="0" autoFill="0" autoPict="0" macro="[1]!Sheet1.deleteRow">
                <anchor moveWithCells="1" sizeWithCells="1">
                  <from>
                    <xdr:col>6</xdr:col>
                    <xdr:colOff>0</xdr:colOff>
                    <xdr:row>3180</xdr:row>
                    <xdr:rowOff>0</xdr:rowOff>
                  </from>
                  <to>
                    <xdr:col>10</xdr:col>
                    <xdr:colOff>0</xdr:colOff>
                    <xdr:row>3181</xdr:row>
                    <xdr:rowOff>0</xdr:rowOff>
                  </to>
                </anchor>
              </controlPr>
            </control>
          </mc:Choice>
        </mc:AlternateContent>
        <mc:AlternateContent xmlns:mc="http://schemas.openxmlformats.org/markup-compatibility/2006">
          <mc:Choice Requires="x14">
            <control shapeId="2230" r:id="rId1209" name="Button 1206">
              <controlPr locked="0" defaultSize="0" print="0" autoFill="0" autoPict="0" macro="[1]!Sheet1.deleteProcedure">
                <anchor moveWithCells="1" sizeWithCells="1">
                  <from>
                    <xdr:col>6</xdr:col>
                    <xdr:colOff>0</xdr:colOff>
                    <xdr:row>3172</xdr:row>
                    <xdr:rowOff>0</xdr:rowOff>
                  </from>
                  <to>
                    <xdr:col>10</xdr:col>
                    <xdr:colOff>0</xdr:colOff>
                    <xdr:row>3173</xdr:row>
                    <xdr:rowOff>0</xdr:rowOff>
                  </to>
                </anchor>
              </controlPr>
            </control>
          </mc:Choice>
        </mc:AlternateContent>
        <mc:AlternateContent xmlns:mc="http://schemas.openxmlformats.org/markup-compatibility/2006">
          <mc:Choice Requires="x14">
            <control shapeId="2231" r:id="rId1210" name="Button 1207">
              <controlPr locked="0" defaultSize="0" print="0" autoFill="0" autoPict="0" macro="[1]!Sheet1.InsertNewTableRow">
                <anchor moveWithCells="1" sizeWithCells="1">
                  <from>
                    <xdr:col>6</xdr:col>
                    <xdr:colOff>0</xdr:colOff>
                    <xdr:row>3190</xdr:row>
                    <xdr:rowOff>0</xdr:rowOff>
                  </from>
                  <to>
                    <xdr:col>10</xdr:col>
                    <xdr:colOff>0</xdr:colOff>
                    <xdr:row>3191</xdr:row>
                    <xdr:rowOff>0</xdr:rowOff>
                  </to>
                </anchor>
              </controlPr>
            </control>
          </mc:Choice>
        </mc:AlternateContent>
        <mc:AlternateContent xmlns:mc="http://schemas.openxmlformats.org/markup-compatibility/2006">
          <mc:Choice Requires="x14">
            <control shapeId="2232" r:id="rId1211" name="Button 1208">
              <controlPr locked="0" defaultSize="0" print="0" autoFill="0" autoPict="0" macro="[1]!Sheet1.deleteRow">
                <anchor moveWithCells="1" sizeWithCells="1">
                  <from>
                    <xdr:col>6</xdr:col>
                    <xdr:colOff>0</xdr:colOff>
                    <xdr:row>3191</xdr:row>
                    <xdr:rowOff>0</xdr:rowOff>
                  </from>
                  <to>
                    <xdr:col>10</xdr:col>
                    <xdr:colOff>0</xdr:colOff>
                    <xdr:row>3192</xdr:row>
                    <xdr:rowOff>0</xdr:rowOff>
                  </to>
                </anchor>
              </controlPr>
            </control>
          </mc:Choice>
        </mc:AlternateContent>
        <mc:AlternateContent xmlns:mc="http://schemas.openxmlformats.org/markup-compatibility/2006">
          <mc:Choice Requires="x14">
            <control shapeId="2233" r:id="rId1212" name="Button 1209">
              <controlPr locked="0" defaultSize="0" print="0" autoFill="0" autoPict="0" macro="[1]!Sheet1.deleteProcedure">
                <anchor moveWithCells="1" sizeWithCells="1">
                  <from>
                    <xdr:col>6</xdr:col>
                    <xdr:colOff>0</xdr:colOff>
                    <xdr:row>3183</xdr:row>
                    <xdr:rowOff>0</xdr:rowOff>
                  </from>
                  <to>
                    <xdr:col>10</xdr:col>
                    <xdr:colOff>0</xdr:colOff>
                    <xdr:row>3184</xdr:row>
                    <xdr:rowOff>0</xdr:rowOff>
                  </to>
                </anchor>
              </controlPr>
            </control>
          </mc:Choice>
        </mc:AlternateContent>
        <mc:AlternateContent xmlns:mc="http://schemas.openxmlformats.org/markup-compatibility/2006">
          <mc:Choice Requires="x14">
            <control shapeId="2234" r:id="rId1213" name="Button 1210">
              <controlPr locked="0" defaultSize="0" print="0" autoFill="0" autoPict="0" macro="[1]!Sheet1.InsertNewTableRow">
                <anchor moveWithCells="1" sizeWithCells="1">
                  <from>
                    <xdr:col>6</xdr:col>
                    <xdr:colOff>0</xdr:colOff>
                    <xdr:row>3201</xdr:row>
                    <xdr:rowOff>0</xdr:rowOff>
                  </from>
                  <to>
                    <xdr:col>10</xdr:col>
                    <xdr:colOff>0</xdr:colOff>
                    <xdr:row>3202</xdr:row>
                    <xdr:rowOff>0</xdr:rowOff>
                  </to>
                </anchor>
              </controlPr>
            </control>
          </mc:Choice>
        </mc:AlternateContent>
        <mc:AlternateContent xmlns:mc="http://schemas.openxmlformats.org/markup-compatibility/2006">
          <mc:Choice Requires="x14">
            <control shapeId="2235" r:id="rId1214" name="Button 1211">
              <controlPr locked="0" defaultSize="0" print="0" autoFill="0" autoPict="0" macro="[1]!Sheet1.deleteRow">
                <anchor moveWithCells="1" sizeWithCells="1">
                  <from>
                    <xdr:col>6</xdr:col>
                    <xdr:colOff>0</xdr:colOff>
                    <xdr:row>3202</xdr:row>
                    <xdr:rowOff>0</xdr:rowOff>
                  </from>
                  <to>
                    <xdr:col>10</xdr:col>
                    <xdr:colOff>0</xdr:colOff>
                    <xdr:row>3203</xdr:row>
                    <xdr:rowOff>0</xdr:rowOff>
                  </to>
                </anchor>
              </controlPr>
            </control>
          </mc:Choice>
        </mc:AlternateContent>
        <mc:AlternateContent xmlns:mc="http://schemas.openxmlformats.org/markup-compatibility/2006">
          <mc:Choice Requires="x14">
            <control shapeId="2236" r:id="rId1215" name="Button 1212">
              <controlPr locked="0" defaultSize="0" print="0" autoFill="0" autoPict="0" macro="[1]!Sheet1.deleteProcedure">
                <anchor moveWithCells="1" sizeWithCells="1">
                  <from>
                    <xdr:col>6</xdr:col>
                    <xdr:colOff>0</xdr:colOff>
                    <xdr:row>3194</xdr:row>
                    <xdr:rowOff>0</xdr:rowOff>
                  </from>
                  <to>
                    <xdr:col>10</xdr:col>
                    <xdr:colOff>0</xdr:colOff>
                    <xdr:row>3195</xdr:row>
                    <xdr:rowOff>0</xdr:rowOff>
                  </to>
                </anchor>
              </controlPr>
            </control>
          </mc:Choice>
        </mc:AlternateContent>
        <mc:AlternateContent xmlns:mc="http://schemas.openxmlformats.org/markup-compatibility/2006">
          <mc:Choice Requires="x14">
            <control shapeId="2237" r:id="rId1216" name="Button 1213">
              <controlPr locked="0" defaultSize="0" print="0" autoFill="0" autoPict="0" macro="[1]!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2238" r:id="rId1217" name="Button 1214">
              <controlPr locked="0" defaultSize="0" print="0" autoFill="0" autoPict="0" macro="[1]!Sheet1.InsertNewTableRow">
                <anchor moveWithCells="1" sizeWithCells="1">
                  <from>
                    <xdr:col>6</xdr:col>
                    <xdr:colOff>0</xdr:colOff>
                    <xdr:row>3212</xdr:row>
                    <xdr:rowOff>0</xdr:rowOff>
                  </from>
                  <to>
                    <xdr:col>10</xdr:col>
                    <xdr:colOff>0</xdr:colOff>
                    <xdr:row>3213</xdr:row>
                    <xdr:rowOff>0</xdr:rowOff>
                  </to>
                </anchor>
              </controlPr>
            </control>
          </mc:Choice>
        </mc:AlternateContent>
        <mc:AlternateContent xmlns:mc="http://schemas.openxmlformats.org/markup-compatibility/2006">
          <mc:Choice Requires="x14">
            <control shapeId="2239" r:id="rId1218" name="Button 1215">
              <controlPr locked="0" defaultSize="0" print="0" autoFill="0" autoPict="0" macro="[1]!Sheet1.deleteRow">
                <anchor moveWithCells="1" sizeWithCells="1">
                  <from>
                    <xdr:col>6</xdr:col>
                    <xdr:colOff>0</xdr:colOff>
                    <xdr:row>3213</xdr:row>
                    <xdr:rowOff>0</xdr:rowOff>
                  </from>
                  <to>
                    <xdr:col>10</xdr:col>
                    <xdr:colOff>0</xdr:colOff>
                    <xdr:row>3214</xdr:row>
                    <xdr:rowOff>0</xdr:rowOff>
                  </to>
                </anchor>
              </controlPr>
            </control>
          </mc:Choice>
        </mc:AlternateContent>
        <mc:AlternateContent xmlns:mc="http://schemas.openxmlformats.org/markup-compatibility/2006">
          <mc:Choice Requires="x14">
            <control shapeId="2240" r:id="rId1219" name="Button 1216">
              <controlPr locked="0" defaultSize="0" print="0" autoFill="0" autoPict="0" macro="[1]!Sheet1.deleteProcedure">
                <anchor moveWithCells="1" sizeWithCells="1">
                  <from>
                    <xdr:col>6</xdr:col>
                    <xdr:colOff>0</xdr:colOff>
                    <xdr:row>3205</xdr:row>
                    <xdr:rowOff>0</xdr:rowOff>
                  </from>
                  <to>
                    <xdr:col>10</xdr:col>
                    <xdr:colOff>0</xdr:colOff>
                    <xdr:row>3206</xdr:row>
                    <xdr:rowOff>0</xdr:rowOff>
                  </to>
                </anchor>
              </controlPr>
            </control>
          </mc:Choice>
        </mc:AlternateContent>
        <mc:AlternateContent xmlns:mc="http://schemas.openxmlformats.org/markup-compatibility/2006">
          <mc:Choice Requires="x14">
            <control shapeId="2241" r:id="rId1220" name="Button 1217">
              <controlPr locked="0" defaultSize="0" print="0" autoFill="0" autoPict="0" macro="[1]!Sheet1.InsertNewTableRow">
                <anchor moveWithCells="1" sizeWithCells="1">
                  <from>
                    <xdr:col>6</xdr:col>
                    <xdr:colOff>0</xdr:colOff>
                    <xdr:row>3223</xdr:row>
                    <xdr:rowOff>0</xdr:rowOff>
                  </from>
                  <to>
                    <xdr:col>10</xdr:col>
                    <xdr:colOff>0</xdr:colOff>
                    <xdr:row>3224</xdr:row>
                    <xdr:rowOff>0</xdr:rowOff>
                  </to>
                </anchor>
              </controlPr>
            </control>
          </mc:Choice>
        </mc:AlternateContent>
        <mc:AlternateContent xmlns:mc="http://schemas.openxmlformats.org/markup-compatibility/2006">
          <mc:Choice Requires="x14">
            <control shapeId="2242" r:id="rId1221" name="Button 1218">
              <controlPr locked="0" defaultSize="0" print="0" autoFill="0" autoPict="0" macro="[1]!Sheet1.deleteRow">
                <anchor moveWithCells="1" sizeWithCells="1">
                  <from>
                    <xdr:col>6</xdr:col>
                    <xdr:colOff>0</xdr:colOff>
                    <xdr:row>3224</xdr:row>
                    <xdr:rowOff>0</xdr:rowOff>
                  </from>
                  <to>
                    <xdr:col>10</xdr:col>
                    <xdr:colOff>0</xdr:colOff>
                    <xdr:row>3225</xdr:row>
                    <xdr:rowOff>0</xdr:rowOff>
                  </to>
                </anchor>
              </controlPr>
            </control>
          </mc:Choice>
        </mc:AlternateContent>
        <mc:AlternateContent xmlns:mc="http://schemas.openxmlformats.org/markup-compatibility/2006">
          <mc:Choice Requires="x14">
            <control shapeId="2243" r:id="rId1222" name="Button 1219">
              <controlPr locked="0" defaultSize="0" print="0" autoFill="0" autoPict="0" macro="[1]!Sheet1.deleteProcedure">
                <anchor moveWithCells="1" sizeWithCells="1">
                  <from>
                    <xdr:col>6</xdr:col>
                    <xdr:colOff>0</xdr:colOff>
                    <xdr:row>3216</xdr:row>
                    <xdr:rowOff>0</xdr:rowOff>
                  </from>
                  <to>
                    <xdr:col>10</xdr:col>
                    <xdr:colOff>0</xdr:colOff>
                    <xdr:row>3217</xdr:row>
                    <xdr:rowOff>0</xdr:rowOff>
                  </to>
                </anchor>
              </controlPr>
            </control>
          </mc:Choice>
        </mc:AlternateContent>
        <mc:AlternateContent xmlns:mc="http://schemas.openxmlformats.org/markup-compatibility/2006">
          <mc:Choice Requires="x14">
            <control shapeId="2244" r:id="rId1223" name="Button 1220">
              <controlPr locked="0" defaultSize="0" print="0" autoFill="0" autoPict="0" macro="[1]!Sheet1.deleteRow">
                <anchor moveWithCells="1" sizeWithCells="1">
                  <from>
                    <xdr:col>6</xdr:col>
                    <xdr:colOff>0</xdr:colOff>
                    <xdr:row>3225</xdr:row>
                    <xdr:rowOff>0</xdr:rowOff>
                  </from>
                  <to>
                    <xdr:col>10</xdr:col>
                    <xdr:colOff>0</xdr:colOff>
                    <xdr:row>3226</xdr:row>
                    <xdr:rowOff>0</xdr:rowOff>
                  </to>
                </anchor>
              </controlPr>
            </control>
          </mc:Choice>
        </mc:AlternateContent>
        <mc:AlternateContent xmlns:mc="http://schemas.openxmlformats.org/markup-compatibility/2006">
          <mc:Choice Requires="x14">
            <control shapeId="2245" r:id="rId1224" name="Button 1221">
              <controlPr locked="0" defaultSize="0" print="0" autoFill="0" autoPict="0" macro="[1]!Sheet1.InsertNewTableRow">
                <anchor moveWithCells="1" sizeWithCells="1">
                  <from>
                    <xdr:col>6</xdr:col>
                    <xdr:colOff>0</xdr:colOff>
                    <xdr:row>3235</xdr:row>
                    <xdr:rowOff>0</xdr:rowOff>
                  </from>
                  <to>
                    <xdr:col>10</xdr:col>
                    <xdr:colOff>0</xdr:colOff>
                    <xdr:row>3236</xdr:row>
                    <xdr:rowOff>0</xdr:rowOff>
                  </to>
                </anchor>
              </controlPr>
            </control>
          </mc:Choice>
        </mc:AlternateContent>
        <mc:AlternateContent xmlns:mc="http://schemas.openxmlformats.org/markup-compatibility/2006">
          <mc:Choice Requires="x14">
            <control shapeId="2246" r:id="rId1225" name="Button 1222">
              <controlPr locked="0" defaultSize="0" print="0" autoFill="0" autoPict="0" macro="[1]!Sheet1.deleteRow">
                <anchor moveWithCells="1" sizeWithCells="1">
                  <from>
                    <xdr:col>6</xdr:col>
                    <xdr:colOff>0</xdr:colOff>
                    <xdr:row>3236</xdr:row>
                    <xdr:rowOff>0</xdr:rowOff>
                  </from>
                  <to>
                    <xdr:col>10</xdr:col>
                    <xdr:colOff>0</xdr:colOff>
                    <xdr:row>3237</xdr:row>
                    <xdr:rowOff>0</xdr:rowOff>
                  </to>
                </anchor>
              </controlPr>
            </control>
          </mc:Choice>
        </mc:AlternateContent>
        <mc:AlternateContent xmlns:mc="http://schemas.openxmlformats.org/markup-compatibility/2006">
          <mc:Choice Requires="x14">
            <control shapeId="2247" r:id="rId1226" name="Button 1223">
              <controlPr locked="0" defaultSize="0" print="0" autoFill="0" autoPict="0" macro="[1]!Sheet1.deleteProcedure">
                <anchor moveWithCells="1" sizeWithCells="1">
                  <from>
                    <xdr:col>6</xdr:col>
                    <xdr:colOff>0</xdr:colOff>
                    <xdr:row>3228</xdr:row>
                    <xdr:rowOff>0</xdr:rowOff>
                  </from>
                  <to>
                    <xdr:col>10</xdr:col>
                    <xdr:colOff>0</xdr:colOff>
                    <xdr:row>3229</xdr:row>
                    <xdr:rowOff>0</xdr:rowOff>
                  </to>
                </anchor>
              </controlPr>
            </control>
          </mc:Choice>
        </mc:AlternateContent>
        <mc:AlternateContent xmlns:mc="http://schemas.openxmlformats.org/markup-compatibility/2006">
          <mc:Choice Requires="x14">
            <control shapeId="2248" r:id="rId1227" name="Button 1224">
              <controlPr locked="0" defaultSize="0" print="0" autoFill="0" autoPict="0" macro="[1]!Sheet1.deleteRow">
                <anchor moveWithCells="1" sizeWithCells="1">
                  <from>
                    <xdr:col>6</xdr:col>
                    <xdr:colOff>0</xdr:colOff>
                    <xdr:row>3237</xdr:row>
                    <xdr:rowOff>0</xdr:rowOff>
                  </from>
                  <to>
                    <xdr:col>10</xdr:col>
                    <xdr:colOff>0</xdr:colOff>
                    <xdr:row>3238</xdr:row>
                    <xdr:rowOff>0</xdr:rowOff>
                  </to>
                </anchor>
              </controlPr>
            </control>
          </mc:Choice>
        </mc:AlternateContent>
        <mc:AlternateContent xmlns:mc="http://schemas.openxmlformats.org/markup-compatibility/2006">
          <mc:Choice Requires="x14">
            <control shapeId="2249" r:id="rId1228" name="Button 1225">
              <controlPr locked="0" defaultSize="0" print="0" autoFill="0" autoPict="0" macro="[1]!Sheet1.deleteRow">
                <anchor moveWithCells="1" sizeWithCells="1">
                  <from>
                    <xdr:col>6</xdr:col>
                    <xdr:colOff>0</xdr:colOff>
                    <xdr:row>3238</xdr:row>
                    <xdr:rowOff>0</xdr:rowOff>
                  </from>
                  <to>
                    <xdr:col>10</xdr:col>
                    <xdr:colOff>0</xdr:colOff>
                    <xdr:row>3239</xdr:row>
                    <xdr:rowOff>0</xdr:rowOff>
                  </to>
                </anchor>
              </controlPr>
            </control>
          </mc:Choice>
        </mc:AlternateContent>
        <mc:AlternateContent xmlns:mc="http://schemas.openxmlformats.org/markup-compatibility/2006">
          <mc:Choice Requires="x14">
            <control shapeId="2250" r:id="rId1229" name="Button 1226">
              <controlPr locked="0" defaultSize="0" print="0" autoFill="0" autoPict="0" macro="[1]!Sheet1.deleteRow">
                <anchor moveWithCells="1" sizeWithCells="1">
                  <from>
                    <xdr:col>6</xdr:col>
                    <xdr:colOff>0</xdr:colOff>
                    <xdr:row>3239</xdr:row>
                    <xdr:rowOff>0</xdr:rowOff>
                  </from>
                  <to>
                    <xdr:col>10</xdr:col>
                    <xdr:colOff>0</xdr:colOff>
                    <xdr:row>3240</xdr:row>
                    <xdr:rowOff>0</xdr:rowOff>
                  </to>
                </anchor>
              </controlPr>
            </control>
          </mc:Choice>
        </mc:AlternateContent>
        <mc:AlternateContent xmlns:mc="http://schemas.openxmlformats.org/markup-compatibility/2006">
          <mc:Choice Requires="x14">
            <control shapeId="2251" r:id="rId1230" name="Button 1227">
              <controlPr locked="0" defaultSize="0" print="0" autoFill="0" autoPict="0" macro="[1]!Sheet1.deleteRow">
                <anchor moveWithCells="1" sizeWithCells="1">
                  <from>
                    <xdr:col>6</xdr:col>
                    <xdr:colOff>0</xdr:colOff>
                    <xdr:row>3240</xdr:row>
                    <xdr:rowOff>0</xdr:rowOff>
                  </from>
                  <to>
                    <xdr:col>10</xdr:col>
                    <xdr:colOff>0</xdr:colOff>
                    <xdr:row>3241</xdr:row>
                    <xdr:rowOff>0</xdr:rowOff>
                  </to>
                </anchor>
              </controlPr>
            </control>
          </mc:Choice>
        </mc:AlternateContent>
        <mc:AlternateContent xmlns:mc="http://schemas.openxmlformats.org/markup-compatibility/2006">
          <mc:Choice Requires="x14">
            <control shapeId="2252" r:id="rId1231" name="Button 1228">
              <controlPr locked="0" defaultSize="0" print="0" autoFill="0" autoPict="0" macro="[1]!Sheet1.InsertNewTableRow">
                <anchor moveWithCells="1" sizeWithCells="1">
                  <from>
                    <xdr:col>6</xdr:col>
                    <xdr:colOff>0</xdr:colOff>
                    <xdr:row>3250</xdr:row>
                    <xdr:rowOff>0</xdr:rowOff>
                  </from>
                  <to>
                    <xdr:col>10</xdr:col>
                    <xdr:colOff>0</xdr:colOff>
                    <xdr:row>3251</xdr:row>
                    <xdr:rowOff>0</xdr:rowOff>
                  </to>
                </anchor>
              </controlPr>
            </control>
          </mc:Choice>
        </mc:AlternateContent>
        <mc:AlternateContent xmlns:mc="http://schemas.openxmlformats.org/markup-compatibility/2006">
          <mc:Choice Requires="x14">
            <control shapeId="2253" r:id="rId1232" name="Button 1229">
              <controlPr locked="0" defaultSize="0" print="0" autoFill="0" autoPict="0" macro="[1]!Sheet1.deleteRow">
                <anchor moveWithCells="1" sizeWithCells="1">
                  <from>
                    <xdr:col>6</xdr:col>
                    <xdr:colOff>0</xdr:colOff>
                    <xdr:row>3251</xdr:row>
                    <xdr:rowOff>0</xdr:rowOff>
                  </from>
                  <to>
                    <xdr:col>10</xdr:col>
                    <xdr:colOff>0</xdr:colOff>
                    <xdr:row>3252</xdr:row>
                    <xdr:rowOff>0</xdr:rowOff>
                  </to>
                </anchor>
              </controlPr>
            </control>
          </mc:Choice>
        </mc:AlternateContent>
        <mc:AlternateContent xmlns:mc="http://schemas.openxmlformats.org/markup-compatibility/2006">
          <mc:Choice Requires="x14">
            <control shapeId="2254" r:id="rId1233" name="Button 1230">
              <controlPr locked="0" defaultSize="0" print="0" autoFill="0" autoPict="0" macro="[1]!Sheet1.deleteProcedure">
                <anchor moveWithCells="1" sizeWithCells="1">
                  <from>
                    <xdr:col>6</xdr:col>
                    <xdr:colOff>0</xdr:colOff>
                    <xdr:row>3243</xdr:row>
                    <xdr:rowOff>0</xdr:rowOff>
                  </from>
                  <to>
                    <xdr:col>10</xdr:col>
                    <xdr:colOff>0</xdr:colOff>
                    <xdr:row>3244</xdr:row>
                    <xdr:rowOff>0</xdr:rowOff>
                  </to>
                </anchor>
              </controlPr>
            </control>
          </mc:Choice>
        </mc:AlternateContent>
        <mc:AlternateContent xmlns:mc="http://schemas.openxmlformats.org/markup-compatibility/2006">
          <mc:Choice Requires="x14">
            <control shapeId="2255" r:id="rId1234" name="Button 1231">
              <controlPr locked="0" defaultSize="0" print="0" autoFill="0" autoPict="0" macro="[1]!Sheet1.InsertNewTableRow">
                <anchor moveWithCells="1" sizeWithCells="1">
                  <from>
                    <xdr:col>6</xdr:col>
                    <xdr:colOff>0</xdr:colOff>
                    <xdr:row>3267</xdr:row>
                    <xdr:rowOff>0</xdr:rowOff>
                  </from>
                  <to>
                    <xdr:col>10</xdr:col>
                    <xdr:colOff>0</xdr:colOff>
                    <xdr:row>3268</xdr:row>
                    <xdr:rowOff>0</xdr:rowOff>
                  </to>
                </anchor>
              </controlPr>
            </control>
          </mc:Choice>
        </mc:AlternateContent>
        <mc:AlternateContent xmlns:mc="http://schemas.openxmlformats.org/markup-compatibility/2006">
          <mc:Choice Requires="x14">
            <control shapeId="2256" r:id="rId1235" name="Button 1232">
              <controlPr locked="0" defaultSize="0" print="0" autoFill="0" autoPict="0" macro="[1]!Sheet1.deleteRow">
                <anchor moveWithCells="1" sizeWithCells="1">
                  <from>
                    <xdr:col>6</xdr:col>
                    <xdr:colOff>0</xdr:colOff>
                    <xdr:row>3268</xdr:row>
                    <xdr:rowOff>0</xdr:rowOff>
                  </from>
                  <to>
                    <xdr:col>10</xdr:col>
                    <xdr:colOff>0</xdr:colOff>
                    <xdr:row>3269</xdr:row>
                    <xdr:rowOff>0</xdr:rowOff>
                  </to>
                </anchor>
              </controlPr>
            </control>
          </mc:Choice>
        </mc:AlternateContent>
        <mc:AlternateContent xmlns:mc="http://schemas.openxmlformats.org/markup-compatibility/2006">
          <mc:Choice Requires="x14">
            <control shapeId="2257" r:id="rId1236" name="Button 1233">
              <controlPr locked="0" defaultSize="0" print="0" autoFill="0" autoPict="0" macro="[1]!Sheet1.deleteProcedure">
                <anchor moveWithCells="1" sizeWithCells="1">
                  <from>
                    <xdr:col>6</xdr:col>
                    <xdr:colOff>0</xdr:colOff>
                    <xdr:row>3260</xdr:row>
                    <xdr:rowOff>0</xdr:rowOff>
                  </from>
                  <to>
                    <xdr:col>10</xdr:col>
                    <xdr:colOff>0</xdr:colOff>
                    <xdr:row>3261</xdr:row>
                    <xdr:rowOff>0</xdr:rowOff>
                  </to>
                </anchor>
              </controlPr>
            </control>
          </mc:Choice>
        </mc:AlternateContent>
        <mc:AlternateContent xmlns:mc="http://schemas.openxmlformats.org/markup-compatibility/2006">
          <mc:Choice Requires="x14">
            <control shapeId="2258" r:id="rId1237" name="Button 1234">
              <controlPr locked="0" defaultSize="0" print="0" autoFill="0" autoPict="0" macro="[1]!Sheet1.deleteRow">
                <anchor moveWithCells="1" sizeWithCells="1">
                  <from>
                    <xdr:col>6</xdr:col>
                    <xdr:colOff>0</xdr:colOff>
                    <xdr:row>3252</xdr:row>
                    <xdr:rowOff>0</xdr:rowOff>
                  </from>
                  <to>
                    <xdr:col>10</xdr:col>
                    <xdr:colOff>0</xdr:colOff>
                    <xdr:row>3253</xdr:row>
                    <xdr:rowOff>0</xdr:rowOff>
                  </to>
                </anchor>
              </controlPr>
            </control>
          </mc:Choice>
        </mc:AlternateContent>
        <mc:AlternateContent xmlns:mc="http://schemas.openxmlformats.org/markup-compatibility/2006">
          <mc:Choice Requires="x14">
            <control shapeId="2259" r:id="rId1238" name="Button 1235">
              <controlPr locked="0" defaultSize="0" print="0" autoFill="0" autoPict="0" macro="[1]!Sheet1.deleteRow">
                <anchor moveWithCells="1" sizeWithCells="1">
                  <from>
                    <xdr:col>6</xdr:col>
                    <xdr:colOff>0</xdr:colOff>
                    <xdr:row>3253</xdr:row>
                    <xdr:rowOff>0</xdr:rowOff>
                  </from>
                  <to>
                    <xdr:col>10</xdr:col>
                    <xdr:colOff>0</xdr:colOff>
                    <xdr:row>3254</xdr:row>
                    <xdr:rowOff>0</xdr:rowOff>
                  </to>
                </anchor>
              </controlPr>
            </control>
          </mc:Choice>
        </mc:AlternateContent>
        <mc:AlternateContent xmlns:mc="http://schemas.openxmlformats.org/markup-compatibility/2006">
          <mc:Choice Requires="x14">
            <control shapeId="2260" r:id="rId1239" name="Button 1236">
              <controlPr locked="0" defaultSize="0" print="0" autoFill="0" autoPict="0" macro="[1]!Sheet1.deleteRow">
                <anchor moveWithCells="1" sizeWithCells="1">
                  <from>
                    <xdr:col>6</xdr:col>
                    <xdr:colOff>0</xdr:colOff>
                    <xdr:row>3269</xdr:row>
                    <xdr:rowOff>0</xdr:rowOff>
                  </from>
                  <to>
                    <xdr:col>10</xdr:col>
                    <xdr:colOff>0</xdr:colOff>
                    <xdr:row>3270</xdr:row>
                    <xdr:rowOff>0</xdr:rowOff>
                  </to>
                </anchor>
              </controlPr>
            </control>
          </mc:Choice>
        </mc:AlternateContent>
        <mc:AlternateContent xmlns:mc="http://schemas.openxmlformats.org/markup-compatibility/2006">
          <mc:Choice Requires="x14">
            <control shapeId="2261" r:id="rId1240" name="Button 1237">
              <controlPr locked="0" defaultSize="0" print="0" autoFill="0" autoPict="0" macro="[1]!Sheet1.deleteRow">
                <anchor moveWithCells="1" sizeWithCells="1">
                  <from>
                    <xdr:col>6</xdr:col>
                    <xdr:colOff>0</xdr:colOff>
                    <xdr:row>3270</xdr:row>
                    <xdr:rowOff>0</xdr:rowOff>
                  </from>
                  <to>
                    <xdr:col>10</xdr:col>
                    <xdr:colOff>0</xdr:colOff>
                    <xdr:row>3271</xdr:row>
                    <xdr:rowOff>0</xdr:rowOff>
                  </to>
                </anchor>
              </controlPr>
            </control>
          </mc:Choice>
        </mc:AlternateContent>
        <mc:AlternateContent xmlns:mc="http://schemas.openxmlformats.org/markup-compatibility/2006">
          <mc:Choice Requires="x14">
            <control shapeId="2262" r:id="rId1241" name="Button 1238">
              <controlPr locked="0" defaultSize="0" print="0" autoFill="0" autoPict="0" macro="[1]!Sheet1.deleteRow">
                <anchor moveWithCells="1" sizeWithCells="1">
                  <from>
                    <xdr:col>6</xdr:col>
                    <xdr:colOff>0</xdr:colOff>
                    <xdr:row>3254</xdr:row>
                    <xdr:rowOff>0</xdr:rowOff>
                  </from>
                  <to>
                    <xdr:col>10</xdr:col>
                    <xdr:colOff>0</xdr:colOff>
                    <xdr:row>3255</xdr:row>
                    <xdr:rowOff>0</xdr:rowOff>
                  </to>
                </anchor>
              </controlPr>
            </control>
          </mc:Choice>
        </mc:AlternateContent>
        <mc:AlternateContent xmlns:mc="http://schemas.openxmlformats.org/markup-compatibility/2006">
          <mc:Choice Requires="x14">
            <control shapeId="2263" r:id="rId1242" name="Button 1239">
              <controlPr locked="0" defaultSize="0" print="0" autoFill="0" autoPict="0" macro="[1]!Sheet1.deleteRow">
                <anchor moveWithCells="1" sizeWithCells="1">
                  <from>
                    <xdr:col>6</xdr:col>
                    <xdr:colOff>0</xdr:colOff>
                    <xdr:row>3271</xdr:row>
                    <xdr:rowOff>0</xdr:rowOff>
                  </from>
                  <to>
                    <xdr:col>10</xdr:col>
                    <xdr:colOff>0</xdr:colOff>
                    <xdr:row>3272</xdr:row>
                    <xdr:rowOff>0</xdr:rowOff>
                  </to>
                </anchor>
              </controlPr>
            </control>
          </mc:Choice>
        </mc:AlternateContent>
        <mc:AlternateContent xmlns:mc="http://schemas.openxmlformats.org/markup-compatibility/2006">
          <mc:Choice Requires="x14">
            <control shapeId="2264" r:id="rId1243" name="Button 1240">
              <controlPr locked="0" defaultSize="0" print="0" autoFill="0" autoPict="0" macro="[1]!Sheet1.deleteRow">
                <anchor moveWithCells="1" sizeWithCells="1">
                  <from>
                    <xdr:col>6</xdr:col>
                    <xdr:colOff>0</xdr:colOff>
                    <xdr:row>3255</xdr:row>
                    <xdr:rowOff>0</xdr:rowOff>
                  </from>
                  <to>
                    <xdr:col>10</xdr:col>
                    <xdr:colOff>0</xdr:colOff>
                    <xdr:row>3256</xdr:row>
                    <xdr:rowOff>0</xdr:rowOff>
                  </to>
                </anchor>
              </controlPr>
            </control>
          </mc:Choice>
        </mc:AlternateContent>
        <mc:AlternateContent xmlns:mc="http://schemas.openxmlformats.org/markup-compatibility/2006">
          <mc:Choice Requires="x14">
            <control shapeId="2265" r:id="rId1244" name="Button 1241">
              <controlPr locked="0" defaultSize="0" print="0" autoFill="0" autoPict="0" macro="[1]!Sheet1.deleteRow">
                <anchor moveWithCells="1" sizeWithCells="1">
                  <from>
                    <xdr:col>6</xdr:col>
                    <xdr:colOff>0</xdr:colOff>
                    <xdr:row>3272</xdr:row>
                    <xdr:rowOff>0</xdr:rowOff>
                  </from>
                  <to>
                    <xdr:col>10</xdr:col>
                    <xdr:colOff>0</xdr:colOff>
                    <xdr:row>3273</xdr:row>
                    <xdr:rowOff>0</xdr:rowOff>
                  </to>
                </anchor>
              </controlPr>
            </control>
          </mc:Choice>
        </mc:AlternateContent>
        <mc:AlternateContent xmlns:mc="http://schemas.openxmlformats.org/markup-compatibility/2006">
          <mc:Choice Requires="x14">
            <control shapeId="2266" r:id="rId1245" name="Button 1242">
              <controlPr locked="0" defaultSize="0" print="0" autoFill="0" autoPict="0" macro="[1]!Sheet1.deleteRow">
                <anchor moveWithCells="1" sizeWithCells="1">
                  <from>
                    <xdr:col>6</xdr:col>
                    <xdr:colOff>0</xdr:colOff>
                    <xdr:row>3273</xdr:row>
                    <xdr:rowOff>0</xdr:rowOff>
                  </from>
                  <to>
                    <xdr:col>10</xdr:col>
                    <xdr:colOff>0</xdr:colOff>
                    <xdr:row>3274</xdr:row>
                    <xdr:rowOff>0</xdr:rowOff>
                  </to>
                </anchor>
              </controlPr>
            </control>
          </mc:Choice>
        </mc:AlternateContent>
        <mc:AlternateContent xmlns:mc="http://schemas.openxmlformats.org/markup-compatibility/2006">
          <mc:Choice Requires="x14">
            <control shapeId="2267" r:id="rId1246" name="Button 1243">
              <controlPr locked="0" defaultSize="0" print="0" autoFill="0" autoPict="0" macro="[1]!Sheet1.deleteRow">
                <anchor moveWithCells="1" sizeWithCells="1">
                  <from>
                    <xdr:col>6</xdr:col>
                    <xdr:colOff>0</xdr:colOff>
                    <xdr:row>3256</xdr:row>
                    <xdr:rowOff>0</xdr:rowOff>
                  </from>
                  <to>
                    <xdr:col>10</xdr:col>
                    <xdr:colOff>0</xdr:colOff>
                    <xdr:row>3257</xdr:row>
                    <xdr:rowOff>0</xdr:rowOff>
                  </to>
                </anchor>
              </controlPr>
            </control>
          </mc:Choice>
        </mc:AlternateContent>
        <mc:AlternateContent xmlns:mc="http://schemas.openxmlformats.org/markup-compatibility/2006">
          <mc:Choice Requires="x14">
            <control shapeId="2268" r:id="rId1247" name="Button 1244">
              <controlPr locked="0" defaultSize="0" print="0" autoFill="0" autoPict="0" macro="[1]!Sheet1.deleteRow">
                <anchor moveWithCells="1" sizeWithCells="1">
                  <from>
                    <xdr:col>6</xdr:col>
                    <xdr:colOff>0</xdr:colOff>
                    <xdr:row>3274</xdr:row>
                    <xdr:rowOff>0</xdr:rowOff>
                  </from>
                  <to>
                    <xdr:col>10</xdr:col>
                    <xdr:colOff>0</xdr:colOff>
                    <xdr:row>3275</xdr:row>
                    <xdr:rowOff>0</xdr:rowOff>
                  </to>
                </anchor>
              </controlPr>
            </control>
          </mc:Choice>
        </mc:AlternateContent>
        <mc:AlternateContent xmlns:mc="http://schemas.openxmlformats.org/markup-compatibility/2006">
          <mc:Choice Requires="x14">
            <control shapeId="2269" r:id="rId1248" name="Button 1245">
              <controlPr locked="0" defaultSize="0" print="0" autoFill="0" autoPict="0" macro="[1]!Sheet1.deleteRow">
                <anchor moveWithCells="1" sizeWithCells="1">
                  <from>
                    <xdr:col>6</xdr:col>
                    <xdr:colOff>0</xdr:colOff>
                    <xdr:row>3257</xdr:row>
                    <xdr:rowOff>0</xdr:rowOff>
                  </from>
                  <to>
                    <xdr:col>10</xdr:col>
                    <xdr:colOff>0</xdr:colOff>
                    <xdr:row>3258</xdr:row>
                    <xdr:rowOff>0</xdr:rowOff>
                  </to>
                </anchor>
              </controlPr>
            </control>
          </mc:Choice>
        </mc:AlternateContent>
        <mc:AlternateContent xmlns:mc="http://schemas.openxmlformats.org/markup-compatibility/2006">
          <mc:Choice Requires="x14">
            <control shapeId="2270" r:id="rId1249" name="Button 1246">
              <controlPr locked="0" defaultSize="0" print="0" autoFill="0" autoPict="0" macro="[1]!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271" r:id="rId1250" name="Button 1247">
              <controlPr locked="0" defaultSize="0" print="0" autoFill="0" autoPict="0" macro="[1]!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272" r:id="rId1251" name="Button 1248">
              <controlPr locked="0" defaultSize="0" print="0" autoFill="0" autoPict="0" macro="[1]!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273" r:id="rId1252" name="Button 1249">
              <controlPr locked="0" defaultSize="0" print="0" autoFill="0" autoPict="0" macro="[1]!Sheet1.InsertNewTableRow">
                <anchor moveWithCells="1" sizeWithCells="1">
                  <from>
                    <xdr:col>6</xdr:col>
                    <xdr:colOff>0</xdr:colOff>
                    <xdr:row>3284</xdr:row>
                    <xdr:rowOff>0</xdr:rowOff>
                  </from>
                  <to>
                    <xdr:col>10</xdr:col>
                    <xdr:colOff>0</xdr:colOff>
                    <xdr:row>3285</xdr:row>
                    <xdr:rowOff>0</xdr:rowOff>
                  </to>
                </anchor>
              </controlPr>
            </control>
          </mc:Choice>
        </mc:AlternateContent>
        <mc:AlternateContent xmlns:mc="http://schemas.openxmlformats.org/markup-compatibility/2006">
          <mc:Choice Requires="x14">
            <control shapeId="2274" r:id="rId1253" name="Button 1250">
              <controlPr locked="0" defaultSize="0" print="0" autoFill="0" autoPict="0" macro="[1]!Sheet1.deleteRow">
                <anchor moveWithCells="1" sizeWithCells="1">
                  <from>
                    <xdr:col>6</xdr:col>
                    <xdr:colOff>0</xdr:colOff>
                    <xdr:row>3285</xdr:row>
                    <xdr:rowOff>0</xdr:rowOff>
                  </from>
                  <to>
                    <xdr:col>10</xdr:col>
                    <xdr:colOff>0</xdr:colOff>
                    <xdr:row>3286</xdr:row>
                    <xdr:rowOff>0</xdr:rowOff>
                  </to>
                </anchor>
              </controlPr>
            </control>
          </mc:Choice>
        </mc:AlternateContent>
        <mc:AlternateContent xmlns:mc="http://schemas.openxmlformats.org/markup-compatibility/2006">
          <mc:Choice Requires="x14">
            <control shapeId="2275" r:id="rId1254" name="Button 1251">
              <controlPr locked="0" defaultSize="0" print="0" autoFill="0" autoPict="0" macro="[1]!Sheet1.deleteProcedure">
                <anchor moveWithCells="1" sizeWithCells="1">
                  <from>
                    <xdr:col>6</xdr:col>
                    <xdr:colOff>0</xdr:colOff>
                    <xdr:row>3277</xdr:row>
                    <xdr:rowOff>0</xdr:rowOff>
                  </from>
                  <to>
                    <xdr:col>10</xdr:col>
                    <xdr:colOff>0</xdr:colOff>
                    <xdr:row>3278</xdr:row>
                    <xdr:rowOff>0</xdr:rowOff>
                  </to>
                </anchor>
              </controlPr>
            </control>
          </mc:Choice>
        </mc:AlternateContent>
        <mc:AlternateContent xmlns:mc="http://schemas.openxmlformats.org/markup-compatibility/2006">
          <mc:Choice Requires="x14">
            <control shapeId="2276" r:id="rId1255" name="Button 1252">
              <controlPr locked="0" defaultSize="0" print="0" autoFill="0" autoPict="0" macro="[1]!Sheet1.InsertNewTableRow">
                <anchor moveWithCells="1" sizeWithCells="1">
                  <from>
                    <xdr:col>6</xdr:col>
                    <xdr:colOff>0</xdr:colOff>
                    <xdr:row>3295</xdr:row>
                    <xdr:rowOff>0</xdr:rowOff>
                  </from>
                  <to>
                    <xdr:col>10</xdr:col>
                    <xdr:colOff>0</xdr:colOff>
                    <xdr:row>3296</xdr:row>
                    <xdr:rowOff>0</xdr:rowOff>
                  </to>
                </anchor>
              </controlPr>
            </control>
          </mc:Choice>
        </mc:AlternateContent>
        <mc:AlternateContent xmlns:mc="http://schemas.openxmlformats.org/markup-compatibility/2006">
          <mc:Choice Requires="x14">
            <control shapeId="2277" r:id="rId1256" name="Button 1253">
              <controlPr locked="0" defaultSize="0" print="0" autoFill="0" autoPict="0" macro="[1]!Sheet1.deleteRow">
                <anchor moveWithCells="1" sizeWithCells="1">
                  <from>
                    <xdr:col>6</xdr:col>
                    <xdr:colOff>0</xdr:colOff>
                    <xdr:row>3296</xdr:row>
                    <xdr:rowOff>0</xdr:rowOff>
                  </from>
                  <to>
                    <xdr:col>10</xdr:col>
                    <xdr:colOff>0</xdr:colOff>
                    <xdr:row>3297</xdr:row>
                    <xdr:rowOff>0</xdr:rowOff>
                  </to>
                </anchor>
              </controlPr>
            </control>
          </mc:Choice>
        </mc:AlternateContent>
        <mc:AlternateContent xmlns:mc="http://schemas.openxmlformats.org/markup-compatibility/2006">
          <mc:Choice Requires="x14">
            <control shapeId="2278" r:id="rId1257" name="Button 1254">
              <controlPr locked="0" defaultSize="0" print="0" autoFill="0" autoPict="0" macro="[1]!Sheet1.deleteProcedure">
                <anchor moveWithCells="1" sizeWithCells="1">
                  <from>
                    <xdr:col>6</xdr:col>
                    <xdr:colOff>0</xdr:colOff>
                    <xdr:row>3288</xdr:row>
                    <xdr:rowOff>0</xdr:rowOff>
                  </from>
                  <to>
                    <xdr:col>10</xdr:col>
                    <xdr:colOff>0</xdr:colOff>
                    <xdr:row>3289</xdr:row>
                    <xdr:rowOff>0</xdr:rowOff>
                  </to>
                </anchor>
              </controlPr>
            </control>
          </mc:Choice>
        </mc:AlternateContent>
        <mc:AlternateContent xmlns:mc="http://schemas.openxmlformats.org/markup-compatibility/2006">
          <mc:Choice Requires="x14">
            <control shapeId="2279" r:id="rId1258" name="Button 1255">
              <controlPr locked="0" defaultSize="0" print="0" autoFill="0" autoPict="0" macro="[1]!Sheet1.InsertNewTableRow">
                <anchor moveWithCells="1" sizeWithCells="1">
                  <from>
                    <xdr:col>6</xdr:col>
                    <xdr:colOff>0</xdr:colOff>
                    <xdr:row>3306</xdr:row>
                    <xdr:rowOff>0</xdr:rowOff>
                  </from>
                  <to>
                    <xdr:col>10</xdr:col>
                    <xdr:colOff>0</xdr:colOff>
                    <xdr:row>3307</xdr:row>
                    <xdr:rowOff>0</xdr:rowOff>
                  </to>
                </anchor>
              </controlPr>
            </control>
          </mc:Choice>
        </mc:AlternateContent>
        <mc:AlternateContent xmlns:mc="http://schemas.openxmlformats.org/markup-compatibility/2006">
          <mc:Choice Requires="x14">
            <control shapeId="2280" r:id="rId1259" name="Button 1256">
              <controlPr locked="0" defaultSize="0" print="0" autoFill="0" autoPict="0" macro="[1]!Sheet1.deleteRow">
                <anchor moveWithCells="1" sizeWithCells="1">
                  <from>
                    <xdr:col>6</xdr:col>
                    <xdr:colOff>0</xdr:colOff>
                    <xdr:row>3307</xdr:row>
                    <xdr:rowOff>0</xdr:rowOff>
                  </from>
                  <to>
                    <xdr:col>10</xdr:col>
                    <xdr:colOff>0</xdr:colOff>
                    <xdr:row>3308</xdr:row>
                    <xdr:rowOff>0</xdr:rowOff>
                  </to>
                </anchor>
              </controlPr>
            </control>
          </mc:Choice>
        </mc:AlternateContent>
        <mc:AlternateContent xmlns:mc="http://schemas.openxmlformats.org/markup-compatibility/2006">
          <mc:Choice Requires="x14">
            <control shapeId="2281" r:id="rId1260" name="Button 1257">
              <controlPr locked="0" defaultSize="0" print="0" autoFill="0" autoPict="0" macro="[1]!Sheet1.deleteProcedure">
                <anchor moveWithCells="1" sizeWithCells="1">
                  <from>
                    <xdr:col>6</xdr:col>
                    <xdr:colOff>0</xdr:colOff>
                    <xdr:row>3299</xdr:row>
                    <xdr:rowOff>0</xdr:rowOff>
                  </from>
                  <to>
                    <xdr:col>10</xdr:col>
                    <xdr:colOff>0</xdr:colOff>
                    <xdr:row>3300</xdr:row>
                    <xdr:rowOff>0</xdr:rowOff>
                  </to>
                </anchor>
              </controlPr>
            </control>
          </mc:Choice>
        </mc:AlternateContent>
        <mc:AlternateContent xmlns:mc="http://schemas.openxmlformats.org/markup-compatibility/2006">
          <mc:Choice Requires="x14">
            <control shapeId="2282" r:id="rId1261" name="Button 1258">
              <controlPr locked="0" defaultSize="0" print="0" autoFill="0" autoPict="0" macro="[1]!Sheet1.InsertNewTableRow">
                <anchor moveWithCells="1" sizeWithCells="1">
                  <from>
                    <xdr:col>6</xdr:col>
                    <xdr:colOff>0</xdr:colOff>
                    <xdr:row>3317</xdr:row>
                    <xdr:rowOff>0</xdr:rowOff>
                  </from>
                  <to>
                    <xdr:col>10</xdr:col>
                    <xdr:colOff>0</xdr:colOff>
                    <xdr:row>3318</xdr:row>
                    <xdr:rowOff>0</xdr:rowOff>
                  </to>
                </anchor>
              </controlPr>
            </control>
          </mc:Choice>
        </mc:AlternateContent>
        <mc:AlternateContent xmlns:mc="http://schemas.openxmlformats.org/markup-compatibility/2006">
          <mc:Choice Requires="x14">
            <control shapeId="2283" r:id="rId1262" name="Button 1259">
              <controlPr locked="0" defaultSize="0" print="0" autoFill="0" autoPict="0" macro="[1]!Sheet1.deleteRow">
                <anchor moveWithCells="1" sizeWithCells="1">
                  <from>
                    <xdr:col>6</xdr:col>
                    <xdr:colOff>0</xdr:colOff>
                    <xdr:row>3318</xdr:row>
                    <xdr:rowOff>0</xdr:rowOff>
                  </from>
                  <to>
                    <xdr:col>10</xdr:col>
                    <xdr:colOff>0</xdr:colOff>
                    <xdr:row>3319</xdr:row>
                    <xdr:rowOff>0</xdr:rowOff>
                  </to>
                </anchor>
              </controlPr>
            </control>
          </mc:Choice>
        </mc:AlternateContent>
        <mc:AlternateContent xmlns:mc="http://schemas.openxmlformats.org/markup-compatibility/2006">
          <mc:Choice Requires="x14">
            <control shapeId="2284" r:id="rId1263" name="Button 1260">
              <controlPr locked="0" defaultSize="0" print="0" autoFill="0" autoPict="0" macro="[1]!Sheet1.deleteProcedure">
                <anchor moveWithCells="1" sizeWithCells="1">
                  <from>
                    <xdr:col>6</xdr:col>
                    <xdr:colOff>0</xdr:colOff>
                    <xdr:row>3310</xdr:row>
                    <xdr:rowOff>0</xdr:rowOff>
                  </from>
                  <to>
                    <xdr:col>10</xdr:col>
                    <xdr:colOff>0</xdr:colOff>
                    <xdr:row>3311</xdr:row>
                    <xdr:rowOff>0</xdr:rowOff>
                  </to>
                </anchor>
              </controlPr>
            </control>
          </mc:Choice>
        </mc:AlternateContent>
      </controls>
    </mc:Choice>
  </mc:AlternateContent>
  <tableParts count="256">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 r:id="rId1463"/>
    <tablePart r:id="rId1464"/>
    <tablePart r:id="rId1465"/>
    <tablePart r:id="rId1466"/>
    <tablePart r:id="rId1467"/>
    <tablePart r:id="rId1468"/>
    <tablePart r:id="rId1469"/>
    <tablePart r:id="rId1470"/>
    <tablePart r:id="rId1471"/>
    <tablePart r:id="rId1472"/>
    <tablePart r:id="rId1473"/>
    <tablePart r:id="rId1474"/>
    <tablePart r:id="rId1475"/>
    <tablePart r:id="rId1476"/>
    <tablePart r:id="rId1477"/>
    <tablePart r:id="rId1478"/>
    <tablePart r:id="rId1479"/>
    <tablePart r:id="rId1480"/>
    <tablePart r:id="rId1481"/>
    <tablePart r:id="rId1482"/>
    <tablePart r:id="rId1483"/>
    <tablePart r:id="rId1484"/>
    <tablePart r:id="rId1485"/>
    <tablePart r:id="rId1486"/>
    <tablePart r:id="rId1487"/>
    <tablePart r:id="rId1488"/>
    <tablePart r:id="rId1489"/>
    <tablePart r:id="rId1490"/>
    <tablePart r:id="rId1491"/>
    <tablePart r:id="rId1492"/>
    <tablePart r:id="rId1493"/>
    <tablePart r:id="rId1494"/>
    <tablePart r:id="rId1495"/>
    <tablePart r:id="rId1496"/>
    <tablePart r:id="rId1497"/>
    <tablePart r:id="rId1498"/>
    <tablePart r:id="rId1499"/>
    <tablePart r:id="rId1500"/>
    <tablePart r:id="rId1501"/>
    <tablePart r:id="rId1502"/>
    <tablePart r:id="rId1503"/>
    <tablePart r:id="rId1504"/>
    <tablePart r:id="rId1505"/>
    <tablePart r:id="rId1506"/>
    <tablePart r:id="rId1507"/>
    <tablePart r:id="rId1508"/>
    <tablePart r:id="rId1509"/>
    <tablePart r:id="rId1510"/>
    <tablePart r:id="rId1511"/>
    <tablePart r:id="rId1512"/>
    <tablePart r:id="rId1513"/>
    <tablePart r:id="rId1514"/>
    <tablePart r:id="rId1515"/>
    <tablePart r:id="rId1516"/>
    <tablePart r:id="rId1517"/>
    <tablePart r:id="rId1518"/>
    <tablePart r:id="rId151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8B235-7FA9-4AD6-BFFA-9FFC8378D518}">
  <dimension ref="A1:B18298"/>
  <sheetViews>
    <sheetView topLeftCell="A18260" workbookViewId="0">
      <selection activeCell="D8" sqref="D8"/>
    </sheetView>
  </sheetViews>
  <sheetFormatPr defaultRowHeight="15" x14ac:dyDescent="0.25"/>
  <cols>
    <col min="1" max="1" width="10.7109375" style="64" customWidth="1"/>
    <col min="2" max="2" width="97.5703125" style="65" customWidth="1"/>
  </cols>
  <sheetData>
    <row r="1" spans="1:2" x14ac:dyDescent="0.25">
      <c r="A1" s="62">
        <v>10101501</v>
      </c>
      <c r="B1" s="63" t="s">
        <v>708</v>
      </c>
    </row>
    <row r="2" spans="1:2" x14ac:dyDescent="0.25">
      <c r="A2" s="62">
        <v>10101502</v>
      </c>
      <c r="B2" s="63" t="s">
        <v>709</v>
      </c>
    </row>
    <row r="3" spans="1:2" x14ac:dyDescent="0.25">
      <c r="A3" s="62">
        <v>10101504</v>
      </c>
      <c r="B3" s="63" t="s">
        <v>710</v>
      </c>
    </row>
    <row r="4" spans="1:2" x14ac:dyDescent="0.25">
      <c r="A4" s="62">
        <v>10101505</v>
      </c>
      <c r="B4" s="63" t="s">
        <v>711</v>
      </c>
    </row>
    <row r="5" spans="1:2" x14ac:dyDescent="0.25">
      <c r="A5" s="62">
        <v>10101506</v>
      </c>
      <c r="B5" s="63" t="s">
        <v>712</v>
      </c>
    </row>
    <row r="6" spans="1:2" x14ac:dyDescent="0.25">
      <c r="A6" s="62">
        <v>10101507</v>
      </c>
      <c r="B6" s="63" t="s">
        <v>713</v>
      </c>
    </row>
    <row r="7" spans="1:2" x14ac:dyDescent="0.25">
      <c r="A7" s="62">
        <v>10101508</v>
      </c>
      <c r="B7" s="63" t="s">
        <v>714</v>
      </c>
    </row>
    <row r="8" spans="1:2" x14ac:dyDescent="0.25">
      <c r="A8" s="62">
        <v>10101509</v>
      </c>
      <c r="B8" s="63" t="s">
        <v>715</v>
      </c>
    </row>
    <row r="9" spans="1:2" x14ac:dyDescent="0.25">
      <c r="A9" s="62">
        <v>10101510</v>
      </c>
      <c r="B9" s="63" t="s">
        <v>716</v>
      </c>
    </row>
    <row r="10" spans="1:2" x14ac:dyDescent="0.25">
      <c r="A10" s="62">
        <v>10101511</v>
      </c>
      <c r="B10" s="63" t="s">
        <v>717</v>
      </c>
    </row>
    <row r="11" spans="1:2" x14ac:dyDescent="0.25">
      <c r="A11" s="62">
        <v>10101512</v>
      </c>
      <c r="B11" s="63" t="s">
        <v>718</v>
      </c>
    </row>
    <row r="12" spans="1:2" x14ac:dyDescent="0.25">
      <c r="A12" s="62">
        <v>10101513</v>
      </c>
      <c r="B12" s="63" t="s">
        <v>719</v>
      </c>
    </row>
    <row r="13" spans="1:2" x14ac:dyDescent="0.25">
      <c r="A13" s="62">
        <v>10101514</v>
      </c>
      <c r="B13" s="63" t="s">
        <v>720</v>
      </c>
    </row>
    <row r="14" spans="1:2" x14ac:dyDescent="0.25">
      <c r="A14" s="62">
        <v>10101515</v>
      </c>
      <c r="B14" s="63" t="s">
        <v>721</v>
      </c>
    </row>
    <row r="15" spans="1:2" x14ac:dyDescent="0.25">
      <c r="A15" s="62">
        <v>10101516</v>
      </c>
      <c r="B15" s="63" t="s">
        <v>722</v>
      </c>
    </row>
    <row r="16" spans="1:2" x14ac:dyDescent="0.25">
      <c r="A16" s="62">
        <v>10101517</v>
      </c>
      <c r="B16" s="63" t="s">
        <v>723</v>
      </c>
    </row>
    <row r="17" spans="1:2" x14ac:dyDescent="0.25">
      <c r="A17" s="62">
        <v>10101601</v>
      </c>
      <c r="B17" s="63" t="s">
        <v>724</v>
      </c>
    </row>
    <row r="18" spans="1:2" x14ac:dyDescent="0.25">
      <c r="A18" s="62">
        <v>10101602</v>
      </c>
      <c r="B18" s="63" t="s">
        <v>725</v>
      </c>
    </row>
    <row r="19" spans="1:2" x14ac:dyDescent="0.25">
      <c r="A19" s="62">
        <v>10101603</v>
      </c>
      <c r="B19" s="63" t="s">
        <v>726</v>
      </c>
    </row>
    <row r="20" spans="1:2" x14ac:dyDescent="0.25">
      <c r="A20" s="62">
        <v>10101604</v>
      </c>
      <c r="B20" s="63" t="s">
        <v>727</v>
      </c>
    </row>
    <row r="21" spans="1:2" x14ac:dyDescent="0.25">
      <c r="A21" s="62">
        <v>10101605</v>
      </c>
      <c r="B21" s="63" t="s">
        <v>728</v>
      </c>
    </row>
    <row r="22" spans="1:2" x14ac:dyDescent="0.25">
      <c r="A22" s="62">
        <v>10101701</v>
      </c>
      <c r="B22" s="63" t="s">
        <v>729</v>
      </c>
    </row>
    <row r="23" spans="1:2" x14ac:dyDescent="0.25">
      <c r="A23" s="62">
        <v>10101702</v>
      </c>
      <c r="B23" s="63" t="s">
        <v>730</v>
      </c>
    </row>
    <row r="24" spans="1:2" x14ac:dyDescent="0.25">
      <c r="A24" s="62">
        <v>10101703</v>
      </c>
      <c r="B24" s="63" t="s">
        <v>731</v>
      </c>
    </row>
    <row r="25" spans="1:2" x14ac:dyDescent="0.25">
      <c r="A25" s="62">
        <v>10101704</v>
      </c>
      <c r="B25" s="63" t="s">
        <v>732</v>
      </c>
    </row>
    <row r="26" spans="1:2" x14ac:dyDescent="0.25">
      <c r="A26" s="62">
        <v>10101705</v>
      </c>
      <c r="B26" s="63" t="s">
        <v>733</v>
      </c>
    </row>
    <row r="27" spans="1:2" x14ac:dyDescent="0.25">
      <c r="A27" s="62">
        <v>10101801</v>
      </c>
      <c r="B27" s="63" t="s">
        <v>734</v>
      </c>
    </row>
    <row r="28" spans="1:2" x14ac:dyDescent="0.25">
      <c r="A28" s="62">
        <v>10101802</v>
      </c>
      <c r="B28" s="63" t="s">
        <v>735</v>
      </c>
    </row>
    <row r="29" spans="1:2" x14ac:dyDescent="0.25">
      <c r="A29" s="62">
        <v>10101803</v>
      </c>
      <c r="B29" s="63" t="s">
        <v>736</v>
      </c>
    </row>
    <row r="30" spans="1:2" x14ac:dyDescent="0.25">
      <c r="A30" s="62">
        <v>10101804</v>
      </c>
      <c r="B30" s="63" t="s">
        <v>737</v>
      </c>
    </row>
    <row r="31" spans="1:2" x14ac:dyDescent="0.25">
      <c r="A31" s="62">
        <v>10101805</v>
      </c>
      <c r="B31" s="63" t="s">
        <v>738</v>
      </c>
    </row>
    <row r="32" spans="1:2" x14ac:dyDescent="0.25">
      <c r="A32" s="62">
        <v>10101806</v>
      </c>
      <c r="B32" s="63" t="s">
        <v>739</v>
      </c>
    </row>
    <row r="33" spans="1:2" x14ac:dyDescent="0.25">
      <c r="A33" s="62">
        <v>10101807</v>
      </c>
      <c r="B33" s="63" t="s">
        <v>740</v>
      </c>
    </row>
    <row r="34" spans="1:2" x14ac:dyDescent="0.25">
      <c r="A34" s="62">
        <v>10101808</v>
      </c>
      <c r="B34" s="63" t="s">
        <v>741</v>
      </c>
    </row>
    <row r="35" spans="1:2" x14ac:dyDescent="0.25">
      <c r="A35" s="62">
        <v>10101901</v>
      </c>
      <c r="B35" s="63" t="s">
        <v>742</v>
      </c>
    </row>
    <row r="36" spans="1:2" x14ac:dyDescent="0.25">
      <c r="A36" s="62">
        <v>10101902</v>
      </c>
      <c r="B36" s="63" t="s">
        <v>743</v>
      </c>
    </row>
    <row r="37" spans="1:2" x14ac:dyDescent="0.25">
      <c r="A37" s="62">
        <v>10101903</v>
      </c>
      <c r="B37" s="63" t="s">
        <v>744</v>
      </c>
    </row>
    <row r="38" spans="1:2" x14ac:dyDescent="0.25">
      <c r="A38" s="62">
        <v>10101904</v>
      </c>
      <c r="B38" s="63" t="s">
        <v>745</v>
      </c>
    </row>
    <row r="39" spans="1:2" x14ac:dyDescent="0.25">
      <c r="A39" s="62">
        <v>10102001</v>
      </c>
      <c r="B39" s="63" t="s">
        <v>746</v>
      </c>
    </row>
    <row r="40" spans="1:2" x14ac:dyDescent="0.25">
      <c r="A40" s="62">
        <v>10102002</v>
      </c>
      <c r="B40" s="63" t="s">
        <v>747</v>
      </c>
    </row>
    <row r="41" spans="1:2" x14ac:dyDescent="0.25">
      <c r="A41" s="62">
        <v>10111301</v>
      </c>
      <c r="B41" s="63" t="s">
        <v>748</v>
      </c>
    </row>
    <row r="42" spans="1:2" x14ac:dyDescent="0.25">
      <c r="A42" s="62">
        <v>10111302</v>
      </c>
      <c r="B42" s="63" t="s">
        <v>749</v>
      </c>
    </row>
    <row r="43" spans="1:2" x14ac:dyDescent="0.25">
      <c r="A43" s="62">
        <v>10111303</v>
      </c>
      <c r="B43" s="63" t="s">
        <v>750</v>
      </c>
    </row>
    <row r="44" spans="1:2" x14ac:dyDescent="0.25">
      <c r="A44" s="62">
        <v>10111304</v>
      </c>
      <c r="B44" s="63" t="s">
        <v>751</v>
      </c>
    </row>
    <row r="45" spans="1:2" x14ac:dyDescent="0.25">
      <c r="A45" s="62">
        <v>10111305</v>
      </c>
      <c r="B45" s="63" t="s">
        <v>752</v>
      </c>
    </row>
    <row r="46" spans="1:2" x14ac:dyDescent="0.25">
      <c r="A46" s="62">
        <v>10111306</v>
      </c>
      <c r="B46" s="63" t="s">
        <v>753</v>
      </c>
    </row>
    <row r="47" spans="1:2" x14ac:dyDescent="0.25">
      <c r="A47" s="62">
        <v>10111307</v>
      </c>
      <c r="B47" s="63" t="s">
        <v>754</v>
      </c>
    </row>
    <row r="48" spans="1:2" x14ac:dyDescent="0.25">
      <c r="A48" s="62">
        <v>10121501</v>
      </c>
      <c r="B48" s="63" t="s">
        <v>755</v>
      </c>
    </row>
    <row r="49" spans="1:2" x14ac:dyDescent="0.25">
      <c r="A49" s="62">
        <v>10121502</v>
      </c>
      <c r="B49" s="63" t="s">
        <v>756</v>
      </c>
    </row>
    <row r="50" spans="1:2" x14ac:dyDescent="0.25">
      <c r="A50" s="62">
        <v>10121503</v>
      </c>
      <c r="B50" s="63" t="s">
        <v>757</v>
      </c>
    </row>
    <row r="51" spans="1:2" x14ac:dyDescent="0.25">
      <c r="A51" s="62">
        <v>10121504</v>
      </c>
      <c r="B51" s="63" t="s">
        <v>758</v>
      </c>
    </row>
    <row r="52" spans="1:2" x14ac:dyDescent="0.25">
      <c r="A52" s="62">
        <v>10121505</v>
      </c>
      <c r="B52" s="63" t="s">
        <v>759</v>
      </c>
    </row>
    <row r="53" spans="1:2" x14ac:dyDescent="0.25">
      <c r="A53" s="62">
        <v>10121506</v>
      </c>
      <c r="B53" s="63" t="s">
        <v>760</v>
      </c>
    </row>
    <row r="54" spans="1:2" x14ac:dyDescent="0.25">
      <c r="A54" s="62">
        <v>10121601</v>
      </c>
      <c r="B54" s="63" t="s">
        <v>761</v>
      </c>
    </row>
    <row r="55" spans="1:2" x14ac:dyDescent="0.25">
      <c r="A55" s="62">
        <v>10121602</v>
      </c>
      <c r="B55" s="63" t="s">
        <v>762</v>
      </c>
    </row>
    <row r="56" spans="1:2" x14ac:dyDescent="0.25">
      <c r="A56" s="62">
        <v>10121603</v>
      </c>
      <c r="B56" s="63" t="s">
        <v>763</v>
      </c>
    </row>
    <row r="57" spans="1:2" x14ac:dyDescent="0.25">
      <c r="A57" s="62">
        <v>10121604</v>
      </c>
      <c r="B57" s="63" t="s">
        <v>764</v>
      </c>
    </row>
    <row r="58" spans="1:2" x14ac:dyDescent="0.25">
      <c r="A58" s="62">
        <v>10121701</v>
      </c>
      <c r="B58" s="63" t="s">
        <v>765</v>
      </c>
    </row>
    <row r="59" spans="1:2" x14ac:dyDescent="0.25">
      <c r="A59" s="62">
        <v>10121702</v>
      </c>
      <c r="B59" s="63" t="s">
        <v>766</v>
      </c>
    </row>
    <row r="60" spans="1:2" x14ac:dyDescent="0.25">
      <c r="A60" s="62">
        <v>10121703</v>
      </c>
      <c r="B60" s="63" t="s">
        <v>767</v>
      </c>
    </row>
    <row r="61" spans="1:2" x14ac:dyDescent="0.25">
      <c r="A61" s="62">
        <v>10121801</v>
      </c>
      <c r="B61" s="63" t="s">
        <v>768</v>
      </c>
    </row>
    <row r="62" spans="1:2" x14ac:dyDescent="0.25">
      <c r="A62" s="62">
        <v>10121802</v>
      </c>
      <c r="B62" s="63" t="s">
        <v>769</v>
      </c>
    </row>
    <row r="63" spans="1:2" x14ac:dyDescent="0.25">
      <c r="A63" s="62">
        <v>10121803</v>
      </c>
      <c r="B63" s="63" t="s">
        <v>770</v>
      </c>
    </row>
    <row r="64" spans="1:2" x14ac:dyDescent="0.25">
      <c r="A64" s="62">
        <v>10121804</v>
      </c>
      <c r="B64" s="63" t="s">
        <v>771</v>
      </c>
    </row>
    <row r="65" spans="1:2" x14ac:dyDescent="0.25">
      <c r="A65" s="62">
        <v>10121805</v>
      </c>
      <c r="B65" s="63" t="s">
        <v>772</v>
      </c>
    </row>
    <row r="66" spans="1:2" x14ac:dyDescent="0.25">
      <c r="A66" s="62">
        <v>10121806</v>
      </c>
      <c r="B66" s="63" t="s">
        <v>773</v>
      </c>
    </row>
    <row r="67" spans="1:2" x14ac:dyDescent="0.25">
      <c r="A67" s="62">
        <v>10121901</v>
      </c>
      <c r="B67" s="63" t="s">
        <v>774</v>
      </c>
    </row>
    <row r="68" spans="1:2" x14ac:dyDescent="0.25">
      <c r="A68" s="62">
        <v>10122001</v>
      </c>
      <c r="B68" s="63" t="s">
        <v>775</v>
      </c>
    </row>
    <row r="69" spans="1:2" x14ac:dyDescent="0.25">
      <c r="A69" s="62">
        <v>10122002</v>
      </c>
      <c r="B69" s="63" t="s">
        <v>776</v>
      </c>
    </row>
    <row r="70" spans="1:2" x14ac:dyDescent="0.25">
      <c r="A70" s="62">
        <v>10122003</v>
      </c>
      <c r="B70" s="63" t="s">
        <v>777</v>
      </c>
    </row>
    <row r="71" spans="1:2" x14ac:dyDescent="0.25">
      <c r="A71" s="62">
        <v>10122101</v>
      </c>
      <c r="B71" s="63" t="s">
        <v>778</v>
      </c>
    </row>
    <row r="72" spans="1:2" x14ac:dyDescent="0.25">
      <c r="A72" s="62">
        <v>10122102</v>
      </c>
      <c r="B72" s="63" t="s">
        <v>779</v>
      </c>
    </row>
    <row r="73" spans="1:2" x14ac:dyDescent="0.25">
      <c r="A73" s="62">
        <v>10122103</v>
      </c>
      <c r="B73" s="63" t="s">
        <v>780</v>
      </c>
    </row>
    <row r="74" spans="1:2" x14ac:dyDescent="0.25">
      <c r="A74" s="62">
        <v>10131506</v>
      </c>
      <c r="B74" s="63" t="s">
        <v>781</v>
      </c>
    </row>
    <row r="75" spans="1:2" x14ac:dyDescent="0.25">
      <c r="A75" s="62">
        <v>10131507</v>
      </c>
      <c r="B75" s="63" t="s">
        <v>782</v>
      </c>
    </row>
    <row r="76" spans="1:2" x14ac:dyDescent="0.25">
      <c r="A76" s="62">
        <v>10131508</v>
      </c>
      <c r="B76" s="63" t="s">
        <v>783</v>
      </c>
    </row>
    <row r="77" spans="1:2" x14ac:dyDescent="0.25">
      <c r="A77" s="62">
        <v>10131601</v>
      </c>
      <c r="B77" s="63" t="s">
        <v>784</v>
      </c>
    </row>
    <row r="78" spans="1:2" x14ac:dyDescent="0.25">
      <c r="A78" s="62">
        <v>10131602</v>
      </c>
      <c r="B78" s="63" t="s">
        <v>785</v>
      </c>
    </row>
    <row r="79" spans="1:2" x14ac:dyDescent="0.25">
      <c r="A79" s="62">
        <v>10131603</v>
      </c>
      <c r="B79" s="63" t="s">
        <v>786</v>
      </c>
    </row>
    <row r="80" spans="1:2" x14ac:dyDescent="0.25">
      <c r="A80" s="62">
        <v>10131604</v>
      </c>
      <c r="B80" s="63" t="s">
        <v>787</v>
      </c>
    </row>
    <row r="81" spans="1:2" x14ac:dyDescent="0.25">
      <c r="A81" s="62">
        <v>10131701</v>
      </c>
      <c r="B81" s="63" t="s">
        <v>788</v>
      </c>
    </row>
    <row r="82" spans="1:2" x14ac:dyDescent="0.25">
      <c r="A82" s="62">
        <v>10131702</v>
      </c>
      <c r="B82" s="63" t="s">
        <v>789</v>
      </c>
    </row>
    <row r="83" spans="1:2" x14ac:dyDescent="0.25">
      <c r="A83" s="62">
        <v>10141501</v>
      </c>
      <c r="B83" s="63" t="s">
        <v>790</v>
      </c>
    </row>
    <row r="84" spans="1:2" x14ac:dyDescent="0.25">
      <c r="A84" s="62">
        <v>10141502</v>
      </c>
      <c r="B84" s="63" t="s">
        <v>791</v>
      </c>
    </row>
    <row r="85" spans="1:2" x14ac:dyDescent="0.25">
      <c r="A85" s="62">
        <v>10141503</v>
      </c>
      <c r="B85" s="63" t="s">
        <v>792</v>
      </c>
    </row>
    <row r="86" spans="1:2" x14ac:dyDescent="0.25">
      <c r="A86" s="62">
        <v>10141504</v>
      </c>
      <c r="B86" s="63" t="s">
        <v>793</v>
      </c>
    </row>
    <row r="87" spans="1:2" x14ac:dyDescent="0.25">
      <c r="A87" s="62">
        <v>10141601</v>
      </c>
      <c r="B87" s="63" t="s">
        <v>794</v>
      </c>
    </row>
    <row r="88" spans="1:2" x14ac:dyDescent="0.25">
      <c r="A88" s="62">
        <v>10141602</v>
      </c>
      <c r="B88" s="63" t="s">
        <v>795</v>
      </c>
    </row>
    <row r="89" spans="1:2" x14ac:dyDescent="0.25">
      <c r="A89" s="62">
        <v>10141603</v>
      </c>
      <c r="B89" s="63" t="s">
        <v>796</v>
      </c>
    </row>
    <row r="90" spans="1:2" x14ac:dyDescent="0.25">
      <c r="A90" s="62">
        <v>10141604</v>
      </c>
      <c r="B90" s="63" t="s">
        <v>797</v>
      </c>
    </row>
    <row r="91" spans="1:2" x14ac:dyDescent="0.25">
      <c r="A91" s="62">
        <v>10141605</v>
      </c>
      <c r="B91" s="63" t="s">
        <v>798</v>
      </c>
    </row>
    <row r="92" spans="1:2" x14ac:dyDescent="0.25">
      <c r="A92" s="62">
        <v>10141606</v>
      </c>
      <c r="B92" s="63" t="s">
        <v>799</v>
      </c>
    </row>
    <row r="93" spans="1:2" x14ac:dyDescent="0.25">
      <c r="A93" s="62">
        <v>10141607</v>
      </c>
      <c r="B93" s="63" t="s">
        <v>800</v>
      </c>
    </row>
    <row r="94" spans="1:2" x14ac:dyDescent="0.25">
      <c r="A94" s="62">
        <v>10141608</v>
      </c>
      <c r="B94" s="63" t="s">
        <v>801</v>
      </c>
    </row>
    <row r="95" spans="1:2" x14ac:dyDescent="0.25">
      <c r="A95" s="62">
        <v>10141609</v>
      </c>
      <c r="B95" s="63" t="s">
        <v>802</v>
      </c>
    </row>
    <row r="96" spans="1:2" x14ac:dyDescent="0.25">
      <c r="A96" s="62">
        <v>10141610</v>
      </c>
      <c r="B96" s="63" t="s">
        <v>803</v>
      </c>
    </row>
    <row r="97" spans="1:2" x14ac:dyDescent="0.25">
      <c r="A97" s="62">
        <v>10141611</v>
      </c>
      <c r="B97" s="63" t="s">
        <v>804</v>
      </c>
    </row>
    <row r="98" spans="1:2" x14ac:dyDescent="0.25">
      <c r="A98" s="62">
        <v>10151501</v>
      </c>
      <c r="B98" s="63" t="s">
        <v>805</v>
      </c>
    </row>
    <row r="99" spans="1:2" x14ac:dyDescent="0.25">
      <c r="A99" s="62">
        <v>10151502</v>
      </c>
      <c r="B99" s="63" t="s">
        <v>806</v>
      </c>
    </row>
    <row r="100" spans="1:2" x14ac:dyDescent="0.25">
      <c r="A100" s="62">
        <v>10151503</v>
      </c>
      <c r="B100" s="63" t="s">
        <v>807</v>
      </c>
    </row>
    <row r="101" spans="1:2" x14ac:dyDescent="0.25">
      <c r="A101" s="62">
        <v>10151504</v>
      </c>
      <c r="B101" s="63" t="s">
        <v>808</v>
      </c>
    </row>
    <row r="102" spans="1:2" x14ac:dyDescent="0.25">
      <c r="A102" s="62">
        <v>10151505</v>
      </c>
      <c r="B102" s="63" t="s">
        <v>809</v>
      </c>
    </row>
    <row r="103" spans="1:2" x14ac:dyDescent="0.25">
      <c r="A103" s="62">
        <v>10151506</v>
      </c>
      <c r="B103" s="63" t="s">
        <v>810</v>
      </c>
    </row>
    <row r="104" spans="1:2" x14ac:dyDescent="0.25">
      <c r="A104" s="62">
        <v>10151507</v>
      </c>
      <c r="B104" s="63" t="s">
        <v>811</v>
      </c>
    </row>
    <row r="105" spans="1:2" x14ac:dyDescent="0.25">
      <c r="A105" s="62">
        <v>10151508</v>
      </c>
      <c r="B105" s="63" t="s">
        <v>812</v>
      </c>
    </row>
    <row r="106" spans="1:2" x14ac:dyDescent="0.25">
      <c r="A106" s="62">
        <v>10151509</v>
      </c>
      <c r="B106" s="63" t="s">
        <v>813</v>
      </c>
    </row>
    <row r="107" spans="1:2" x14ac:dyDescent="0.25">
      <c r="A107" s="62">
        <v>10151510</v>
      </c>
      <c r="B107" s="63" t="s">
        <v>814</v>
      </c>
    </row>
    <row r="108" spans="1:2" x14ac:dyDescent="0.25">
      <c r="A108" s="62">
        <v>10151511</v>
      </c>
      <c r="B108" s="63" t="s">
        <v>815</v>
      </c>
    </row>
    <row r="109" spans="1:2" x14ac:dyDescent="0.25">
      <c r="A109" s="62">
        <v>10151512</v>
      </c>
      <c r="B109" s="63" t="s">
        <v>816</v>
      </c>
    </row>
    <row r="110" spans="1:2" x14ac:dyDescent="0.25">
      <c r="A110" s="62">
        <v>10151513</v>
      </c>
      <c r="B110" s="63" t="s">
        <v>817</v>
      </c>
    </row>
    <row r="111" spans="1:2" x14ac:dyDescent="0.25">
      <c r="A111" s="62">
        <v>10151514</v>
      </c>
      <c r="B111" s="63" t="s">
        <v>818</v>
      </c>
    </row>
    <row r="112" spans="1:2" x14ac:dyDescent="0.25">
      <c r="A112" s="62">
        <v>10151515</v>
      </c>
      <c r="B112" s="63" t="s">
        <v>819</v>
      </c>
    </row>
    <row r="113" spans="1:2" x14ac:dyDescent="0.25">
      <c r="A113" s="62">
        <v>10151516</v>
      </c>
      <c r="B113" s="63" t="s">
        <v>820</v>
      </c>
    </row>
    <row r="114" spans="1:2" x14ac:dyDescent="0.25">
      <c r="A114" s="62">
        <v>10151517</v>
      </c>
      <c r="B114" s="63" t="s">
        <v>821</v>
      </c>
    </row>
    <row r="115" spans="1:2" x14ac:dyDescent="0.25">
      <c r="A115" s="62">
        <v>10151518</v>
      </c>
      <c r="B115" s="63" t="s">
        <v>822</v>
      </c>
    </row>
    <row r="116" spans="1:2" x14ac:dyDescent="0.25">
      <c r="A116" s="62">
        <v>10151519</v>
      </c>
      <c r="B116" s="63" t="s">
        <v>823</v>
      </c>
    </row>
    <row r="117" spans="1:2" x14ac:dyDescent="0.25">
      <c r="A117" s="62">
        <v>10151520</v>
      </c>
      <c r="B117" s="63" t="s">
        <v>824</v>
      </c>
    </row>
    <row r="118" spans="1:2" x14ac:dyDescent="0.25">
      <c r="A118" s="62">
        <v>10151521</v>
      </c>
      <c r="B118" s="63" t="s">
        <v>825</v>
      </c>
    </row>
    <row r="119" spans="1:2" x14ac:dyDescent="0.25">
      <c r="A119" s="62">
        <v>10151522</v>
      </c>
      <c r="B119" s="63" t="s">
        <v>826</v>
      </c>
    </row>
    <row r="120" spans="1:2" x14ac:dyDescent="0.25">
      <c r="A120" s="62">
        <v>10151523</v>
      </c>
      <c r="B120" s="63" t="s">
        <v>827</v>
      </c>
    </row>
    <row r="121" spans="1:2" x14ac:dyDescent="0.25">
      <c r="A121" s="62">
        <v>10151524</v>
      </c>
      <c r="B121" s="63" t="s">
        <v>828</v>
      </c>
    </row>
    <row r="122" spans="1:2" x14ac:dyDescent="0.25">
      <c r="A122" s="62">
        <v>10151525</v>
      </c>
      <c r="B122" s="63" t="s">
        <v>829</v>
      </c>
    </row>
    <row r="123" spans="1:2" x14ac:dyDescent="0.25">
      <c r="A123" s="62">
        <v>10151526</v>
      </c>
      <c r="B123" s="63" t="s">
        <v>830</v>
      </c>
    </row>
    <row r="124" spans="1:2" x14ac:dyDescent="0.25">
      <c r="A124" s="62">
        <v>10151527</v>
      </c>
      <c r="B124" s="63" t="s">
        <v>831</v>
      </c>
    </row>
    <row r="125" spans="1:2" x14ac:dyDescent="0.25">
      <c r="A125" s="62">
        <v>10151528</v>
      </c>
      <c r="B125" s="63" t="s">
        <v>832</v>
      </c>
    </row>
    <row r="126" spans="1:2" x14ac:dyDescent="0.25">
      <c r="A126" s="62">
        <v>10151529</v>
      </c>
      <c r="B126" s="63" t="s">
        <v>833</v>
      </c>
    </row>
    <row r="127" spans="1:2" x14ac:dyDescent="0.25">
      <c r="A127" s="62">
        <v>10151530</v>
      </c>
      <c r="B127" s="63" t="s">
        <v>834</v>
      </c>
    </row>
    <row r="128" spans="1:2" x14ac:dyDescent="0.25">
      <c r="A128" s="62">
        <v>10151531</v>
      </c>
      <c r="B128" s="63" t="s">
        <v>835</v>
      </c>
    </row>
    <row r="129" spans="1:2" x14ac:dyDescent="0.25">
      <c r="A129" s="62">
        <v>10151532</v>
      </c>
      <c r="B129" s="63" t="s">
        <v>836</v>
      </c>
    </row>
    <row r="130" spans="1:2" x14ac:dyDescent="0.25">
      <c r="A130" s="62">
        <v>10151533</v>
      </c>
      <c r="B130" s="63" t="s">
        <v>837</v>
      </c>
    </row>
    <row r="131" spans="1:2" x14ac:dyDescent="0.25">
      <c r="A131" s="62">
        <v>10151534</v>
      </c>
      <c r="B131" s="63" t="s">
        <v>838</v>
      </c>
    </row>
    <row r="132" spans="1:2" x14ac:dyDescent="0.25">
      <c r="A132" s="62">
        <v>10151535</v>
      </c>
      <c r="B132" s="63" t="s">
        <v>839</v>
      </c>
    </row>
    <row r="133" spans="1:2" x14ac:dyDescent="0.25">
      <c r="A133" s="62">
        <v>10151601</v>
      </c>
      <c r="B133" s="63" t="s">
        <v>840</v>
      </c>
    </row>
    <row r="134" spans="1:2" x14ac:dyDescent="0.25">
      <c r="A134" s="62">
        <v>10151602</v>
      </c>
      <c r="B134" s="63" t="s">
        <v>841</v>
      </c>
    </row>
    <row r="135" spans="1:2" x14ac:dyDescent="0.25">
      <c r="A135" s="62">
        <v>10151603</v>
      </c>
      <c r="B135" s="63" t="s">
        <v>842</v>
      </c>
    </row>
    <row r="136" spans="1:2" x14ac:dyDescent="0.25">
      <c r="A136" s="62">
        <v>10151604</v>
      </c>
      <c r="B136" s="63" t="s">
        <v>843</v>
      </c>
    </row>
    <row r="137" spans="1:2" x14ac:dyDescent="0.25">
      <c r="A137" s="62">
        <v>10151605</v>
      </c>
      <c r="B137" s="63" t="s">
        <v>844</v>
      </c>
    </row>
    <row r="138" spans="1:2" x14ac:dyDescent="0.25">
      <c r="A138" s="62">
        <v>10151606</v>
      </c>
      <c r="B138" s="63" t="s">
        <v>845</v>
      </c>
    </row>
    <row r="139" spans="1:2" x14ac:dyDescent="0.25">
      <c r="A139" s="62">
        <v>10151607</v>
      </c>
      <c r="B139" s="63" t="s">
        <v>846</v>
      </c>
    </row>
    <row r="140" spans="1:2" x14ac:dyDescent="0.25">
      <c r="A140" s="62">
        <v>10151608</v>
      </c>
      <c r="B140" s="63" t="s">
        <v>847</v>
      </c>
    </row>
    <row r="141" spans="1:2" x14ac:dyDescent="0.25">
      <c r="A141" s="62">
        <v>10151609</v>
      </c>
      <c r="B141" s="63" t="s">
        <v>848</v>
      </c>
    </row>
    <row r="142" spans="1:2" x14ac:dyDescent="0.25">
      <c r="A142" s="62">
        <v>10151610</v>
      </c>
      <c r="B142" s="63" t="s">
        <v>849</v>
      </c>
    </row>
    <row r="143" spans="1:2" x14ac:dyDescent="0.25">
      <c r="A143" s="62">
        <v>10151611</v>
      </c>
      <c r="B143" s="63" t="s">
        <v>850</v>
      </c>
    </row>
    <row r="144" spans="1:2" x14ac:dyDescent="0.25">
      <c r="A144" s="62">
        <v>10151701</v>
      </c>
      <c r="B144" s="63" t="s">
        <v>851</v>
      </c>
    </row>
    <row r="145" spans="1:2" x14ac:dyDescent="0.25">
      <c r="A145" s="62">
        <v>10151702</v>
      </c>
      <c r="B145" s="63" t="s">
        <v>852</v>
      </c>
    </row>
    <row r="146" spans="1:2" x14ac:dyDescent="0.25">
      <c r="A146" s="62">
        <v>10151703</v>
      </c>
      <c r="B146" s="63" t="s">
        <v>853</v>
      </c>
    </row>
    <row r="147" spans="1:2" x14ac:dyDescent="0.25">
      <c r="A147" s="62">
        <v>10151704</v>
      </c>
      <c r="B147" s="63" t="s">
        <v>854</v>
      </c>
    </row>
    <row r="148" spans="1:2" x14ac:dyDescent="0.25">
      <c r="A148" s="62">
        <v>10151705</v>
      </c>
      <c r="B148" s="63" t="s">
        <v>855</v>
      </c>
    </row>
    <row r="149" spans="1:2" x14ac:dyDescent="0.25">
      <c r="A149" s="62">
        <v>10151706</v>
      </c>
      <c r="B149" s="63" t="s">
        <v>856</v>
      </c>
    </row>
    <row r="150" spans="1:2" x14ac:dyDescent="0.25">
      <c r="A150" s="62">
        <v>10151801</v>
      </c>
      <c r="B150" s="63" t="s">
        <v>857</v>
      </c>
    </row>
    <row r="151" spans="1:2" x14ac:dyDescent="0.25">
      <c r="A151" s="62">
        <v>10151802</v>
      </c>
      <c r="B151" s="63" t="s">
        <v>858</v>
      </c>
    </row>
    <row r="152" spans="1:2" x14ac:dyDescent="0.25">
      <c r="A152" s="62">
        <v>10151803</v>
      </c>
      <c r="B152" s="63" t="s">
        <v>859</v>
      </c>
    </row>
    <row r="153" spans="1:2" x14ac:dyDescent="0.25">
      <c r="A153" s="62">
        <v>10151804</v>
      </c>
      <c r="B153" s="63" t="s">
        <v>860</v>
      </c>
    </row>
    <row r="154" spans="1:2" x14ac:dyDescent="0.25">
      <c r="A154" s="62">
        <v>10151805</v>
      </c>
      <c r="B154" s="63" t="s">
        <v>861</v>
      </c>
    </row>
    <row r="155" spans="1:2" x14ac:dyDescent="0.25">
      <c r="A155" s="62">
        <v>10151806</v>
      </c>
      <c r="B155" s="63" t="s">
        <v>862</v>
      </c>
    </row>
    <row r="156" spans="1:2" x14ac:dyDescent="0.25">
      <c r="A156" s="62">
        <v>10151807</v>
      </c>
      <c r="B156" s="63" t="s">
        <v>863</v>
      </c>
    </row>
    <row r="157" spans="1:2" x14ac:dyDescent="0.25">
      <c r="A157" s="62">
        <v>10151808</v>
      </c>
      <c r="B157" s="63" t="s">
        <v>864</v>
      </c>
    </row>
    <row r="158" spans="1:2" x14ac:dyDescent="0.25">
      <c r="A158" s="62">
        <v>10151809</v>
      </c>
      <c r="B158" s="63" t="s">
        <v>865</v>
      </c>
    </row>
    <row r="159" spans="1:2" x14ac:dyDescent="0.25">
      <c r="A159" s="62">
        <v>10151810</v>
      </c>
      <c r="B159" s="63" t="s">
        <v>866</v>
      </c>
    </row>
    <row r="160" spans="1:2" x14ac:dyDescent="0.25">
      <c r="A160" s="62">
        <v>10151811</v>
      </c>
      <c r="B160" s="63" t="s">
        <v>867</v>
      </c>
    </row>
    <row r="161" spans="1:2" x14ac:dyDescent="0.25">
      <c r="A161" s="62">
        <v>10151901</v>
      </c>
      <c r="B161" s="63" t="s">
        <v>868</v>
      </c>
    </row>
    <row r="162" spans="1:2" x14ac:dyDescent="0.25">
      <c r="A162" s="62">
        <v>10151902</v>
      </c>
      <c r="B162" s="63" t="s">
        <v>869</v>
      </c>
    </row>
    <row r="163" spans="1:2" x14ac:dyDescent="0.25">
      <c r="A163" s="62">
        <v>10151903</v>
      </c>
      <c r="B163" s="63" t="s">
        <v>870</v>
      </c>
    </row>
    <row r="164" spans="1:2" x14ac:dyDescent="0.25">
      <c r="A164" s="62">
        <v>10151904</v>
      </c>
      <c r="B164" s="63" t="s">
        <v>871</v>
      </c>
    </row>
    <row r="165" spans="1:2" x14ac:dyDescent="0.25">
      <c r="A165" s="62">
        <v>10151905</v>
      </c>
      <c r="B165" s="63" t="s">
        <v>872</v>
      </c>
    </row>
    <row r="166" spans="1:2" x14ac:dyDescent="0.25">
      <c r="A166" s="62">
        <v>10151906</v>
      </c>
      <c r="B166" s="63" t="s">
        <v>873</v>
      </c>
    </row>
    <row r="167" spans="1:2" x14ac:dyDescent="0.25">
      <c r="A167" s="62">
        <v>10151907</v>
      </c>
      <c r="B167" s="63" t="s">
        <v>874</v>
      </c>
    </row>
    <row r="168" spans="1:2" x14ac:dyDescent="0.25">
      <c r="A168" s="62">
        <v>10152001</v>
      </c>
      <c r="B168" s="63" t="s">
        <v>875</v>
      </c>
    </row>
    <row r="169" spans="1:2" x14ac:dyDescent="0.25">
      <c r="A169" s="62">
        <v>10152002</v>
      </c>
      <c r="B169" s="63" t="s">
        <v>876</v>
      </c>
    </row>
    <row r="170" spans="1:2" x14ac:dyDescent="0.25">
      <c r="A170" s="62">
        <v>10152003</v>
      </c>
      <c r="B170" s="63" t="s">
        <v>877</v>
      </c>
    </row>
    <row r="171" spans="1:2" x14ac:dyDescent="0.25">
      <c r="A171" s="62">
        <v>10152101</v>
      </c>
      <c r="B171" s="63" t="s">
        <v>878</v>
      </c>
    </row>
    <row r="172" spans="1:2" x14ac:dyDescent="0.25">
      <c r="A172" s="62">
        <v>10152102</v>
      </c>
      <c r="B172" s="63" t="s">
        <v>879</v>
      </c>
    </row>
    <row r="173" spans="1:2" x14ac:dyDescent="0.25">
      <c r="A173" s="62">
        <v>10152103</v>
      </c>
      <c r="B173" s="63" t="s">
        <v>880</v>
      </c>
    </row>
    <row r="174" spans="1:2" x14ac:dyDescent="0.25">
      <c r="A174" s="62">
        <v>10152104</v>
      </c>
      <c r="B174" s="63" t="s">
        <v>881</v>
      </c>
    </row>
    <row r="175" spans="1:2" x14ac:dyDescent="0.25">
      <c r="A175" s="62">
        <v>10152201</v>
      </c>
      <c r="B175" s="63" t="s">
        <v>882</v>
      </c>
    </row>
    <row r="176" spans="1:2" x14ac:dyDescent="0.25">
      <c r="A176" s="62">
        <v>10152202</v>
      </c>
      <c r="B176" s="63" t="s">
        <v>883</v>
      </c>
    </row>
    <row r="177" spans="1:2" x14ac:dyDescent="0.25">
      <c r="A177" s="62">
        <v>10161501</v>
      </c>
      <c r="B177" s="63" t="s">
        <v>884</v>
      </c>
    </row>
    <row r="178" spans="1:2" x14ac:dyDescent="0.25">
      <c r="A178" s="62">
        <v>10161502</v>
      </c>
      <c r="B178" s="63" t="s">
        <v>885</v>
      </c>
    </row>
    <row r="179" spans="1:2" x14ac:dyDescent="0.25">
      <c r="A179" s="62">
        <v>10161503</v>
      </c>
      <c r="B179" s="63" t="s">
        <v>886</v>
      </c>
    </row>
    <row r="180" spans="1:2" x14ac:dyDescent="0.25">
      <c r="A180" s="62">
        <v>10161504</v>
      </c>
      <c r="B180" s="63" t="s">
        <v>887</v>
      </c>
    </row>
    <row r="181" spans="1:2" x14ac:dyDescent="0.25">
      <c r="A181" s="62">
        <v>10161505</v>
      </c>
      <c r="B181" s="63" t="s">
        <v>888</v>
      </c>
    </row>
    <row r="182" spans="1:2" x14ac:dyDescent="0.25">
      <c r="A182" s="62">
        <v>10161506</v>
      </c>
      <c r="B182" s="63" t="s">
        <v>889</v>
      </c>
    </row>
    <row r="183" spans="1:2" x14ac:dyDescent="0.25">
      <c r="A183" s="62">
        <v>10161507</v>
      </c>
      <c r="B183" s="63" t="s">
        <v>890</v>
      </c>
    </row>
    <row r="184" spans="1:2" x14ac:dyDescent="0.25">
      <c r="A184" s="62">
        <v>10161508</v>
      </c>
      <c r="B184" s="63" t="s">
        <v>891</v>
      </c>
    </row>
    <row r="185" spans="1:2" x14ac:dyDescent="0.25">
      <c r="A185" s="62">
        <v>10161509</v>
      </c>
      <c r="B185" s="63" t="s">
        <v>892</v>
      </c>
    </row>
    <row r="186" spans="1:2" x14ac:dyDescent="0.25">
      <c r="A186" s="62">
        <v>10161510</v>
      </c>
      <c r="B186" s="63" t="s">
        <v>893</v>
      </c>
    </row>
    <row r="187" spans="1:2" x14ac:dyDescent="0.25">
      <c r="A187" s="62">
        <v>10161511</v>
      </c>
      <c r="B187" s="63" t="s">
        <v>894</v>
      </c>
    </row>
    <row r="188" spans="1:2" x14ac:dyDescent="0.25">
      <c r="A188" s="62">
        <v>10161512</v>
      </c>
      <c r="B188" s="63" t="s">
        <v>895</v>
      </c>
    </row>
    <row r="189" spans="1:2" x14ac:dyDescent="0.25">
      <c r="A189" s="62">
        <v>10161513</v>
      </c>
      <c r="B189" s="63" t="s">
        <v>896</v>
      </c>
    </row>
    <row r="190" spans="1:2" x14ac:dyDescent="0.25">
      <c r="A190" s="62">
        <v>10161601</v>
      </c>
      <c r="B190" s="63" t="s">
        <v>897</v>
      </c>
    </row>
    <row r="191" spans="1:2" x14ac:dyDescent="0.25">
      <c r="A191" s="62">
        <v>10161602</v>
      </c>
      <c r="B191" s="63" t="s">
        <v>898</v>
      </c>
    </row>
    <row r="192" spans="1:2" x14ac:dyDescent="0.25">
      <c r="A192" s="62">
        <v>10161603</v>
      </c>
      <c r="B192" s="63" t="s">
        <v>899</v>
      </c>
    </row>
    <row r="193" spans="1:2" x14ac:dyDescent="0.25">
      <c r="A193" s="62">
        <v>10161604</v>
      </c>
      <c r="B193" s="63" t="s">
        <v>900</v>
      </c>
    </row>
    <row r="194" spans="1:2" x14ac:dyDescent="0.25">
      <c r="A194" s="62">
        <v>10161605</v>
      </c>
      <c r="B194" s="63" t="s">
        <v>901</v>
      </c>
    </row>
    <row r="195" spans="1:2" x14ac:dyDescent="0.25">
      <c r="A195" s="62">
        <v>10161701</v>
      </c>
      <c r="B195" s="63" t="s">
        <v>902</v>
      </c>
    </row>
    <row r="196" spans="1:2" x14ac:dyDescent="0.25">
      <c r="A196" s="62">
        <v>10161702</v>
      </c>
      <c r="B196" s="63" t="s">
        <v>903</v>
      </c>
    </row>
    <row r="197" spans="1:2" x14ac:dyDescent="0.25">
      <c r="A197" s="62">
        <v>10161703</v>
      </c>
      <c r="B197" s="63" t="s">
        <v>904</v>
      </c>
    </row>
    <row r="198" spans="1:2" x14ac:dyDescent="0.25">
      <c r="A198" s="62">
        <v>10161704</v>
      </c>
      <c r="B198" s="63" t="s">
        <v>905</v>
      </c>
    </row>
    <row r="199" spans="1:2" x14ac:dyDescent="0.25">
      <c r="A199" s="62">
        <v>10161705</v>
      </c>
      <c r="B199" s="63" t="s">
        <v>906</v>
      </c>
    </row>
    <row r="200" spans="1:2" x14ac:dyDescent="0.25">
      <c r="A200" s="62">
        <v>10161707</v>
      </c>
      <c r="B200" s="63" t="s">
        <v>907</v>
      </c>
    </row>
    <row r="201" spans="1:2" x14ac:dyDescent="0.25">
      <c r="A201" s="62">
        <v>10161801</v>
      </c>
      <c r="B201" s="63" t="s">
        <v>908</v>
      </c>
    </row>
    <row r="202" spans="1:2" x14ac:dyDescent="0.25">
      <c r="A202" s="62">
        <v>10161802</v>
      </c>
      <c r="B202" s="63" t="s">
        <v>909</v>
      </c>
    </row>
    <row r="203" spans="1:2" x14ac:dyDescent="0.25">
      <c r="A203" s="62">
        <v>10161803</v>
      </c>
      <c r="B203" s="63" t="s">
        <v>910</v>
      </c>
    </row>
    <row r="204" spans="1:2" x14ac:dyDescent="0.25">
      <c r="A204" s="62">
        <v>10161804</v>
      </c>
      <c r="B204" s="63" t="s">
        <v>911</v>
      </c>
    </row>
    <row r="205" spans="1:2" x14ac:dyDescent="0.25">
      <c r="A205" s="62">
        <v>10161901</v>
      </c>
      <c r="B205" s="63" t="s">
        <v>912</v>
      </c>
    </row>
    <row r="206" spans="1:2" x14ac:dyDescent="0.25">
      <c r="A206" s="62">
        <v>10161902</v>
      </c>
      <c r="B206" s="63" t="s">
        <v>913</v>
      </c>
    </row>
    <row r="207" spans="1:2" x14ac:dyDescent="0.25">
      <c r="A207" s="62">
        <v>10161903</v>
      </c>
      <c r="B207" s="63" t="s">
        <v>914</v>
      </c>
    </row>
    <row r="208" spans="1:2" x14ac:dyDescent="0.25">
      <c r="A208" s="62">
        <v>10161904</v>
      </c>
      <c r="B208" s="63" t="s">
        <v>915</v>
      </c>
    </row>
    <row r="209" spans="1:2" x14ac:dyDescent="0.25">
      <c r="A209" s="62">
        <v>10161905</v>
      </c>
      <c r="B209" s="63" t="s">
        <v>916</v>
      </c>
    </row>
    <row r="210" spans="1:2" x14ac:dyDescent="0.25">
      <c r="A210" s="62">
        <v>10161906</v>
      </c>
      <c r="B210" s="63" t="s">
        <v>917</v>
      </c>
    </row>
    <row r="211" spans="1:2" x14ac:dyDescent="0.25">
      <c r="A211" s="62">
        <v>10161907</v>
      </c>
      <c r="B211" s="63" t="s">
        <v>918</v>
      </c>
    </row>
    <row r="212" spans="1:2" x14ac:dyDescent="0.25">
      <c r="A212" s="62">
        <v>10161908</v>
      </c>
      <c r="B212" s="63" t="s">
        <v>919</v>
      </c>
    </row>
    <row r="213" spans="1:2" x14ac:dyDescent="0.25">
      <c r="A213" s="62">
        <v>10171501</v>
      </c>
      <c r="B213" s="63" t="s">
        <v>920</v>
      </c>
    </row>
    <row r="214" spans="1:2" x14ac:dyDescent="0.25">
      <c r="A214" s="62">
        <v>10171502</v>
      </c>
      <c r="B214" s="63" t="s">
        <v>921</v>
      </c>
    </row>
    <row r="215" spans="1:2" x14ac:dyDescent="0.25">
      <c r="A215" s="62">
        <v>10171503</v>
      </c>
      <c r="B215" s="63" t="s">
        <v>922</v>
      </c>
    </row>
    <row r="216" spans="1:2" x14ac:dyDescent="0.25">
      <c r="A216" s="62">
        <v>10171504</v>
      </c>
      <c r="B216" s="63" t="s">
        <v>923</v>
      </c>
    </row>
    <row r="217" spans="1:2" x14ac:dyDescent="0.25">
      <c r="A217" s="62">
        <v>10171601</v>
      </c>
      <c r="B217" s="63" t="s">
        <v>924</v>
      </c>
    </row>
    <row r="218" spans="1:2" x14ac:dyDescent="0.25">
      <c r="A218" s="62">
        <v>10171602</v>
      </c>
      <c r="B218" s="63" t="s">
        <v>925</v>
      </c>
    </row>
    <row r="219" spans="1:2" x14ac:dyDescent="0.25">
      <c r="A219" s="62">
        <v>10171603</v>
      </c>
      <c r="B219" s="63" t="s">
        <v>926</v>
      </c>
    </row>
    <row r="220" spans="1:2" x14ac:dyDescent="0.25">
      <c r="A220" s="62">
        <v>10171604</v>
      </c>
      <c r="B220" s="63" t="s">
        <v>927</v>
      </c>
    </row>
    <row r="221" spans="1:2" x14ac:dyDescent="0.25">
      <c r="A221" s="62">
        <v>10171605</v>
      </c>
      <c r="B221" s="63" t="s">
        <v>928</v>
      </c>
    </row>
    <row r="222" spans="1:2" x14ac:dyDescent="0.25">
      <c r="A222" s="62">
        <v>10171701</v>
      </c>
      <c r="B222" s="63" t="s">
        <v>929</v>
      </c>
    </row>
    <row r="223" spans="1:2" x14ac:dyDescent="0.25">
      <c r="A223" s="62">
        <v>10171702</v>
      </c>
      <c r="B223" s="63" t="s">
        <v>930</v>
      </c>
    </row>
    <row r="224" spans="1:2" x14ac:dyDescent="0.25">
      <c r="A224" s="62">
        <v>10191506</v>
      </c>
      <c r="B224" s="63" t="s">
        <v>931</v>
      </c>
    </row>
    <row r="225" spans="1:2" x14ac:dyDescent="0.25">
      <c r="A225" s="62">
        <v>10191507</v>
      </c>
      <c r="B225" s="63" t="s">
        <v>932</v>
      </c>
    </row>
    <row r="226" spans="1:2" x14ac:dyDescent="0.25">
      <c r="A226" s="62">
        <v>10191508</v>
      </c>
      <c r="B226" s="63" t="s">
        <v>933</v>
      </c>
    </row>
    <row r="227" spans="1:2" x14ac:dyDescent="0.25">
      <c r="A227" s="62">
        <v>10191509</v>
      </c>
      <c r="B227" s="63" t="s">
        <v>499</v>
      </c>
    </row>
    <row r="228" spans="1:2" x14ac:dyDescent="0.25">
      <c r="A228" s="62">
        <v>10191701</v>
      </c>
      <c r="B228" s="63" t="s">
        <v>934</v>
      </c>
    </row>
    <row r="229" spans="1:2" x14ac:dyDescent="0.25">
      <c r="A229" s="62">
        <v>10191703</v>
      </c>
      <c r="B229" s="63" t="s">
        <v>935</v>
      </c>
    </row>
    <row r="230" spans="1:2" x14ac:dyDescent="0.25">
      <c r="A230" s="62">
        <v>10191704</v>
      </c>
      <c r="B230" s="63" t="s">
        <v>936</v>
      </c>
    </row>
    <row r="231" spans="1:2" x14ac:dyDescent="0.25">
      <c r="A231" s="62">
        <v>10191705</v>
      </c>
      <c r="B231" s="63" t="s">
        <v>937</v>
      </c>
    </row>
    <row r="232" spans="1:2" x14ac:dyDescent="0.25">
      <c r="A232" s="62">
        <v>10191706</v>
      </c>
      <c r="B232" s="63" t="s">
        <v>938</v>
      </c>
    </row>
    <row r="233" spans="1:2" x14ac:dyDescent="0.25">
      <c r="A233" s="62">
        <v>11101501</v>
      </c>
      <c r="B233" s="63" t="s">
        <v>939</v>
      </c>
    </row>
    <row r="234" spans="1:2" x14ac:dyDescent="0.25">
      <c r="A234" s="62">
        <v>11101502</v>
      </c>
      <c r="B234" s="63" t="s">
        <v>940</v>
      </c>
    </row>
    <row r="235" spans="1:2" x14ac:dyDescent="0.25">
      <c r="A235" s="62">
        <v>11101503</v>
      </c>
      <c r="B235" s="63" t="s">
        <v>941</v>
      </c>
    </row>
    <row r="236" spans="1:2" x14ac:dyDescent="0.25">
      <c r="A236" s="62">
        <v>11101504</v>
      </c>
      <c r="B236" s="63" t="s">
        <v>942</v>
      </c>
    </row>
    <row r="237" spans="1:2" x14ac:dyDescent="0.25">
      <c r="A237" s="62">
        <v>11101505</v>
      </c>
      <c r="B237" s="63" t="s">
        <v>943</v>
      </c>
    </row>
    <row r="238" spans="1:2" x14ac:dyDescent="0.25">
      <c r="A238" s="62">
        <v>11101506</v>
      </c>
      <c r="B238" s="63" t="s">
        <v>944</v>
      </c>
    </row>
    <row r="239" spans="1:2" x14ac:dyDescent="0.25">
      <c r="A239" s="62">
        <v>11101507</v>
      </c>
      <c r="B239" s="63" t="s">
        <v>945</v>
      </c>
    </row>
    <row r="240" spans="1:2" x14ac:dyDescent="0.25">
      <c r="A240" s="62">
        <v>11101508</v>
      </c>
      <c r="B240" s="63" t="s">
        <v>946</v>
      </c>
    </row>
    <row r="241" spans="1:2" x14ac:dyDescent="0.25">
      <c r="A241" s="62">
        <v>11101509</v>
      </c>
      <c r="B241" s="63" t="s">
        <v>947</v>
      </c>
    </row>
    <row r="242" spans="1:2" x14ac:dyDescent="0.25">
      <c r="A242" s="62">
        <v>11101510</v>
      </c>
      <c r="B242" s="63" t="s">
        <v>948</v>
      </c>
    </row>
    <row r="243" spans="1:2" x14ac:dyDescent="0.25">
      <c r="A243" s="62">
        <v>11101511</v>
      </c>
      <c r="B243" s="63" t="s">
        <v>949</v>
      </c>
    </row>
    <row r="244" spans="1:2" x14ac:dyDescent="0.25">
      <c r="A244" s="62">
        <v>11101512</v>
      </c>
      <c r="B244" s="63" t="s">
        <v>950</v>
      </c>
    </row>
    <row r="245" spans="1:2" x14ac:dyDescent="0.25">
      <c r="A245" s="62">
        <v>11101513</v>
      </c>
      <c r="B245" s="63" t="s">
        <v>951</v>
      </c>
    </row>
    <row r="246" spans="1:2" x14ac:dyDescent="0.25">
      <c r="A246" s="62">
        <v>11101514</v>
      </c>
      <c r="B246" s="63" t="s">
        <v>952</v>
      </c>
    </row>
    <row r="247" spans="1:2" x14ac:dyDescent="0.25">
      <c r="A247" s="62">
        <v>11101515</v>
      </c>
      <c r="B247" s="63" t="s">
        <v>953</v>
      </c>
    </row>
    <row r="248" spans="1:2" x14ac:dyDescent="0.25">
      <c r="A248" s="62">
        <v>11101516</v>
      </c>
      <c r="B248" s="63" t="s">
        <v>954</v>
      </c>
    </row>
    <row r="249" spans="1:2" x14ac:dyDescent="0.25">
      <c r="A249" s="62">
        <v>11101517</v>
      </c>
      <c r="B249" s="63" t="s">
        <v>955</v>
      </c>
    </row>
    <row r="250" spans="1:2" x14ac:dyDescent="0.25">
      <c r="A250" s="62">
        <v>11101518</v>
      </c>
      <c r="B250" s="63" t="s">
        <v>956</v>
      </c>
    </row>
    <row r="251" spans="1:2" x14ac:dyDescent="0.25">
      <c r="A251" s="62">
        <v>11101519</v>
      </c>
      <c r="B251" s="63" t="s">
        <v>957</v>
      </c>
    </row>
    <row r="252" spans="1:2" x14ac:dyDescent="0.25">
      <c r="A252" s="62">
        <v>11101520</v>
      </c>
      <c r="B252" s="63" t="s">
        <v>958</v>
      </c>
    </row>
    <row r="253" spans="1:2" x14ac:dyDescent="0.25">
      <c r="A253" s="62">
        <v>11101521</v>
      </c>
      <c r="B253" s="63" t="s">
        <v>959</v>
      </c>
    </row>
    <row r="254" spans="1:2" x14ac:dyDescent="0.25">
      <c r="A254" s="62">
        <v>11101522</v>
      </c>
      <c r="B254" s="63" t="s">
        <v>960</v>
      </c>
    </row>
    <row r="255" spans="1:2" x14ac:dyDescent="0.25">
      <c r="A255" s="62">
        <v>11101523</v>
      </c>
      <c r="B255" s="63" t="s">
        <v>961</v>
      </c>
    </row>
    <row r="256" spans="1:2" x14ac:dyDescent="0.25">
      <c r="A256" s="62">
        <v>11101524</v>
      </c>
      <c r="B256" s="63" t="s">
        <v>962</v>
      </c>
    </row>
    <row r="257" spans="1:2" x14ac:dyDescent="0.25">
      <c r="A257" s="62">
        <v>11101525</v>
      </c>
      <c r="B257" s="63" t="s">
        <v>963</v>
      </c>
    </row>
    <row r="258" spans="1:2" x14ac:dyDescent="0.25">
      <c r="A258" s="62">
        <v>11101526</v>
      </c>
      <c r="B258" s="63" t="s">
        <v>964</v>
      </c>
    </row>
    <row r="259" spans="1:2" x14ac:dyDescent="0.25">
      <c r="A259" s="62">
        <v>11101527</v>
      </c>
      <c r="B259" s="63" t="s">
        <v>965</v>
      </c>
    </row>
    <row r="260" spans="1:2" x14ac:dyDescent="0.25">
      <c r="A260" s="62">
        <v>11101601</v>
      </c>
      <c r="B260" s="63" t="s">
        <v>966</v>
      </c>
    </row>
    <row r="261" spans="1:2" x14ac:dyDescent="0.25">
      <c r="A261" s="62">
        <v>11101602</v>
      </c>
      <c r="B261" s="63" t="s">
        <v>967</v>
      </c>
    </row>
    <row r="262" spans="1:2" x14ac:dyDescent="0.25">
      <c r="A262" s="62">
        <v>11101603</v>
      </c>
      <c r="B262" s="63" t="s">
        <v>968</v>
      </c>
    </row>
    <row r="263" spans="1:2" x14ac:dyDescent="0.25">
      <c r="A263" s="62">
        <v>11101604</v>
      </c>
      <c r="B263" s="63" t="s">
        <v>969</v>
      </c>
    </row>
    <row r="264" spans="1:2" x14ac:dyDescent="0.25">
      <c r="A264" s="62">
        <v>11101605</v>
      </c>
      <c r="B264" s="63" t="s">
        <v>970</v>
      </c>
    </row>
    <row r="265" spans="1:2" x14ac:dyDescent="0.25">
      <c r="A265" s="62">
        <v>11101606</v>
      </c>
      <c r="B265" s="63" t="s">
        <v>971</v>
      </c>
    </row>
    <row r="266" spans="1:2" x14ac:dyDescent="0.25">
      <c r="A266" s="62">
        <v>11101607</v>
      </c>
      <c r="B266" s="63" t="s">
        <v>972</v>
      </c>
    </row>
    <row r="267" spans="1:2" x14ac:dyDescent="0.25">
      <c r="A267" s="62">
        <v>11101608</v>
      </c>
      <c r="B267" s="63" t="s">
        <v>973</v>
      </c>
    </row>
    <row r="268" spans="1:2" x14ac:dyDescent="0.25">
      <c r="A268" s="62">
        <v>11101609</v>
      </c>
      <c r="B268" s="63" t="s">
        <v>974</v>
      </c>
    </row>
    <row r="269" spans="1:2" x14ac:dyDescent="0.25">
      <c r="A269" s="62">
        <v>11101610</v>
      </c>
      <c r="B269" s="63" t="s">
        <v>975</v>
      </c>
    </row>
    <row r="270" spans="1:2" x14ac:dyDescent="0.25">
      <c r="A270" s="62">
        <v>11101611</v>
      </c>
      <c r="B270" s="63" t="s">
        <v>976</v>
      </c>
    </row>
    <row r="271" spans="1:2" x14ac:dyDescent="0.25">
      <c r="A271" s="62">
        <v>11101612</v>
      </c>
      <c r="B271" s="63" t="s">
        <v>977</v>
      </c>
    </row>
    <row r="272" spans="1:2" x14ac:dyDescent="0.25">
      <c r="A272" s="62">
        <v>11101613</v>
      </c>
      <c r="B272" s="63" t="s">
        <v>978</v>
      </c>
    </row>
    <row r="273" spans="1:2" x14ac:dyDescent="0.25">
      <c r="A273" s="62">
        <v>11101614</v>
      </c>
      <c r="B273" s="63" t="s">
        <v>979</v>
      </c>
    </row>
    <row r="274" spans="1:2" x14ac:dyDescent="0.25">
      <c r="A274" s="62">
        <v>11101615</v>
      </c>
      <c r="B274" s="63" t="s">
        <v>980</v>
      </c>
    </row>
    <row r="275" spans="1:2" x14ac:dyDescent="0.25">
      <c r="A275" s="62">
        <v>11101616</v>
      </c>
      <c r="B275" s="63" t="s">
        <v>981</v>
      </c>
    </row>
    <row r="276" spans="1:2" x14ac:dyDescent="0.25">
      <c r="A276" s="62">
        <v>11101617</v>
      </c>
      <c r="B276" s="63" t="s">
        <v>982</v>
      </c>
    </row>
    <row r="277" spans="1:2" x14ac:dyDescent="0.25">
      <c r="A277" s="62">
        <v>11101618</v>
      </c>
      <c r="B277" s="63" t="s">
        <v>983</v>
      </c>
    </row>
    <row r="278" spans="1:2" x14ac:dyDescent="0.25">
      <c r="A278" s="62">
        <v>11101619</v>
      </c>
      <c r="B278" s="63" t="s">
        <v>984</v>
      </c>
    </row>
    <row r="279" spans="1:2" x14ac:dyDescent="0.25">
      <c r="A279" s="62">
        <v>11101620</v>
      </c>
      <c r="B279" s="63" t="s">
        <v>985</v>
      </c>
    </row>
    <row r="280" spans="1:2" x14ac:dyDescent="0.25">
      <c r="A280" s="62">
        <v>11101621</v>
      </c>
      <c r="B280" s="63" t="s">
        <v>986</v>
      </c>
    </row>
    <row r="281" spans="1:2" x14ac:dyDescent="0.25">
      <c r="A281" s="62">
        <v>11101622</v>
      </c>
      <c r="B281" s="63" t="s">
        <v>987</v>
      </c>
    </row>
    <row r="282" spans="1:2" x14ac:dyDescent="0.25">
      <c r="A282" s="62">
        <v>11101623</v>
      </c>
      <c r="B282" s="63" t="s">
        <v>988</v>
      </c>
    </row>
    <row r="283" spans="1:2" x14ac:dyDescent="0.25">
      <c r="A283" s="62">
        <v>11101701</v>
      </c>
      <c r="B283" s="63" t="s">
        <v>989</v>
      </c>
    </row>
    <row r="284" spans="1:2" x14ac:dyDescent="0.25">
      <c r="A284" s="62">
        <v>11101702</v>
      </c>
      <c r="B284" s="63" t="s">
        <v>990</v>
      </c>
    </row>
    <row r="285" spans="1:2" x14ac:dyDescent="0.25">
      <c r="A285" s="62">
        <v>11101703</v>
      </c>
      <c r="B285" s="63" t="s">
        <v>991</v>
      </c>
    </row>
    <row r="286" spans="1:2" x14ac:dyDescent="0.25">
      <c r="A286" s="62">
        <v>11101704</v>
      </c>
      <c r="B286" s="63" t="s">
        <v>992</v>
      </c>
    </row>
    <row r="287" spans="1:2" x14ac:dyDescent="0.25">
      <c r="A287" s="62">
        <v>11101705</v>
      </c>
      <c r="B287" s="63" t="s">
        <v>993</v>
      </c>
    </row>
    <row r="288" spans="1:2" x14ac:dyDescent="0.25">
      <c r="A288" s="62">
        <v>11101706</v>
      </c>
      <c r="B288" s="63" t="s">
        <v>994</v>
      </c>
    </row>
    <row r="289" spans="1:2" x14ac:dyDescent="0.25">
      <c r="A289" s="62">
        <v>11101707</v>
      </c>
      <c r="B289" s="63" t="s">
        <v>995</v>
      </c>
    </row>
    <row r="290" spans="1:2" x14ac:dyDescent="0.25">
      <c r="A290" s="62">
        <v>11101708</v>
      </c>
      <c r="B290" s="63" t="s">
        <v>996</v>
      </c>
    </row>
    <row r="291" spans="1:2" x14ac:dyDescent="0.25">
      <c r="A291" s="62">
        <v>11101709</v>
      </c>
      <c r="B291" s="63" t="s">
        <v>997</v>
      </c>
    </row>
    <row r="292" spans="1:2" x14ac:dyDescent="0.25">
      <c r="A292" s="62">
        <v>11101710</v>
      </c>
      <c r="B292" s="63" t="s">
        <v>998</v>
      </c>
    </row>
    <row r="293" spans="1:2" x14ac:dyDescent="0.25">
      <c r="A293" s="62">
        <v>11101711</v>
      </c>
      <c r="B293" s="63" t="s">
        <v>999</v>
      </c>
    </row>
    <row r="294" spans="1:2" x14ac:dyDescent="0.25">
      <c r="A294" s="62">
        <v>11101712</v>
      </c>
      <c r="B294" s="63" t="s">
        <v>1000</v>
      </c>
    </row>
    <row r="295" spans="1:2" x14ac:dyDescent="0.25">
      <c r="A295" s="62">
        <v>11101713</v>
      </c>
      <c r="B295" s="63" t="s">
        <v>1001</v>
      </c>
    </row>
    <row r="296" spans="1:2" x14ac:dyDescent="0.25">
      <c r="A296" s="62">
        <v>11101714</v>
      </c>
      <c r="B296" s="63" t="s">
        <v>1002</v>
      </c>
    </row>
    <row r="297" spans="1:2" x14ac:dyDescent="0.25">
      <c r="A297" s="62">
        <v>11101715</v>
      </c>
      <c r="B297" s="63" t="s">
        <v>1003</v>
      </c>
    </row>
    <row r="298" spans="1:2" x14ac:dyDescent="0.25">
      <c r="A298" s="62">
        <v>11101716</v>
      </c>
      <c r="B298" s="63" t="s">
        <v>1004</v>
      </c>
    </row>
    <row r="299" spans="1:2" x14ac:dyDescent="0.25">
      <c r="A299" s="62">
        <v>11101717</v>
      </c>
      <c r="B299" s="63" t="s">
        <v>1005</v>
      </c>
    </row>
    <row r="300" spans="1:2" x14ac:dyDescent="0.25">
      <c r="A300" s="62">
        <v>11101718</v>
      </c>
      <c r="B300" s="63" t="s">
        <v>1006</v>
      </c>
    </row>
    <row r="301" spans="1:2" x14ac:dyDescent="0.25">
      <c r="A301" s="62">
        <v>11101719</v>
      </c>
      <c r="B301" s="63" t="s">
        <v>1007</v>
      </c>
    </row>
    <row r="302" spans="1:2" x14ac:dyDescent="0.25">
      <c r="A302" s="62">
        <v>11101801</v>
      </c>
      <c r="B302" s="63" t="s">
        <v>1008</v>
      </c>
    </row>
    <row r="303" spans="1:2" x14ac:dyDescent="0.25">
      <c r="A303" s="62">
        <v>11101802</v>
      </c>
      <c r="B303" s="63" t="s">
        <v>1009</v>
      </c>
    </row>
    <row r="304" spans="1:2" x14ac:dyDescent="0.25">
      <c r="A304" s="62">
        <v>11101803</v>
      </c>
      <c r="B304" s="63" t="s">
        <v>1010</v>
      </c>
    </row>
    <row r="305" spans="1:2" x14ac:dyDescent="0.25">
      <c r="A305" s="62">
        <v>11111501</v>
      </c>
      <c r="B305" s="63" t="s">
        <v>1011</v>
      </c>
    </row>
    <row r="306" spans="1:2" x14ac:dyDescent="0.25">
      <c r="A306" s="62">
        <v>11111502</v>
      </c>
      <c r="B306" s="63" t="s">
        <v>1012</v>
      </c>
    </row>
    <row r="307" spans="1:2" x14ac:dyDescent="0.25">
      <c r="A307" s="62">
        <v>11111503</v>
      </c>
      <c r="B307" s="63" t="s">
        <v>1013</v>
      </c>
    </row>
    <row r="308" spans="1:2" x14ac:dyDescent="0.25">
      <c r="A308" s="62">
        <v>11111601</v>
      </c>
      <c r="B308" s="63" t="s">
        <v>1014</v>
      </c>
    </row>
    <row r="309" spans="1:2" x14ac:dyDescent="0.25">
      <c r="A309" s="62">
        <v>11111602</v>
      </c>
      <c r="B309" s="63" t="s">
        <v>1015</v>
      </c>
    </row>
    <row r="310" spans="1:2" x14ac:dyDescent="0.25">
      <c r="A310" s="62">
        <v>11111603</v>
      </c>
      <c r="B310" s="63" t="s">
        <v>1016</v>
      </c>
    </row>
    <row r="311" spans="1:2" x14ac:dyDescent="0.25">
      <c r="A311" s="62">
        <v>11111604</v>
      </c>
      <c r="B311" s="63" t="s">
        <v>1017</v>
      </c>
    </row>
    <row r="312" spans="1:2" x14ac:dyDescent="0.25">
      <c r="A312" s="62">
        <v>11111605</v>
      </c>
      <c r="B312" s="63" t="s">
        <v>1018</v>
      </c>
    </row>
    <row r="313" spans="1:2" x14ac:dyDescent="0.25">
      <c r="A313" s="62">
        <v>11111606</v>
      </c>
      <c r="B313" s="63" t="s">
        <v>1019</v>
      </c>
    </row>
    <row r="314" spans="1:2" x14ac:dyDescent="0.25">
      <c r="A314" s="62">
        <v>11111607</v>
      </c>
      <c r="B314" s="63" t="s">
        <v>1020</v>
      </c>
    </row>
    <row r="315" spans="1:2" x14ac:dyDescent="0.25">
      <c r="A315" s="62">
        <v>11111608</v>
      </c>
      <c r="B315" s="63" t="s">
        <v>1021</v>
      </c>
    </row>
    <row r="316" spans="1:2" x14ac:dyDescent="0.25">
      <c r="A316" s="62">
        <v>11111609</v>
      </c>
      <c r="B316" s="63" t="s">
        <v>1022</v>
      </c>
    </row>
    <row r="317" spans="1:2" x14ac:dyDescent="0.25">
      <c r="A317" s="62">
        <v>11111610</v>
      </c>
      <c r="B317" s="63" t="s">
        <v>1023</v>
      </c>
    </row>
    <row r="318" spans="1:2" x14ac:dyDescent="0.25">
      <c r="A318" s="62">
        <v>11111611</v>
      </c>
      <c r="B318" s="63" t="s">
        <v>1024</v>
      </c>
    </row>
    <row r="319" spans="1:2" x14ac:dyDescent="0.25">
      <c r="A319" s="62">
        <v>11111701</v>
      </c>
      <c r="B319" s="63" t="s">
        <v>1025</v>
      </c>
    </row>
    <row r="320" spans="1:2" x14ac:dyDescent="0.25">
      <c r="A320" s="62">
        <v>11111801</v>
      </c>
      <c r="B320" s="63" t="s">
        <v>1026</v>
      </c>
    </row>
    <row r="321" spans="1:2" x14ac:dyDescent="0.25">
      <c r="A321" s="62">
        <v>11111802</v>
      </c>
      <c r="B321" s="63" t="s">
        <v>1027</v>
      </c>
    </row>
    <row r="322" spans="1:2" x14ac:dyDescent="0.25">
      <c r="A322" s="62">
        <v>11111803</v>
      </c>
      <c r="B322" s="63" t="s">
        <v>1028</v>
      </c>
    </row>
    <row r="323" spans="1:2" x14ac:dyDescent="0.25">
      <c r="A323" s="62">
        <v>11111804</v>
      </c>
      <c r="B323" s="63" t="s">
        <v>1029</v>
      </c>
    </row>
    <row r="324" spans="1:2" x14ac:dyDescent="0.25">
      <c r="A324" s="62">
        <v>11111805</v>
      </c>
      <c r="B324" s="63" t="s">
        <v>1030</v>
      </c>
    </row>
    <row r="325" spans="1:2" x14ac:dyDescent="0.25">
      <c r="A325" s="62">
        <v>11111806</v>
      </c>
      <c r="B325" s="63" t="s">
        <v>1031</v>
      </c>
    </row>
    <row r="326" spans="1:2" x14ac:dyDescent="0.25">
      <c r="A326" s="62">
        <v>11111807</v>
      </c>
      <c r="B326" s="63" t="s">
        <v>1032</v>
      </c>
    </row>
    <row r="327" spans="1:2" x14ac:dyDescent="0.25">
      <c r="A327" s="62">
        <v>11111808</v>
      </c>
      <c r="B327" s="63" t="s">
        <v>1033</v>
      </c>
    </row>
    <row r="328" spans="1:2" x14ac:dyDescent="0.25">
      <c r="A328" s="62">
        <v>11111809</v>
      </c>
      <c r="B328" s="63" t="s">
        <v>1034</v>
      </c>
    </row>
    <row r="329" spans="1:2" x14ac:dyDescent="0.25">
      <c r="A329" s="62">
        <v>11111810</v>
      </c>
      <c r="B329" s="63" t="s">
        <v>1035</v>
      </c>
    </row>
    <row r="330" spans="1:2" x14ac:dyDescent="0.25">
      <c r="A330" s="62">
        <v>11121502</v>
      </c>
      <c r="B330" s="63" t="s">
        <v>1036</v>
      </c>
    </row>
    <row r="331" spans="1:2" x14ac:dyDescent="0.25">
      <c r="A331" s="62">
        <v>11121503</v>
      </c>
      <c r="B331" s="63" t="s">
        <v>1037</v>
      </c>
    </row>
    <row r="332" spans="1:2" x14ac:dyDescent="0.25">
      <c r="A332" s="62">
        <v>11121603</v>
      </c>
      <c r="B332" s="63" t="s">
        <v>1038</v>
      </c>
    </row>
    <row r="333" spans="1:2" x14ac:dyDescent="0.25">
      <c r="A333" s="62">
        <v>11121604</v>
      </c>
      <c r="B333" s="63" t="s">
        <v>1039</v>
      </c>
    </row>
    <row r="334" spans="1:2" x14ac:dyDescent="0.25">
      <c r="A334" s="62">
        <v>11121605</v>
      </c>
      <c r="B334" s="63" t="s">
        <v>1040</v>
      </c>
    </row>
    <row r="335" spans="1:2" x14ac:dyDescent="0.25">
      <c r="A335" s="62">
        <v>11121606</v>
      </c>
      <c r="B335" s="63" t="s">
        <v>1041</v>
      </c>
    </row>
    <row r="336" spans="1:2" x14ac:dyDescent="0.25">
      <c r="A336" s="62">
        <v>11121607</v>
      </c>
      <c r="B336" s="63" t="s">
        <v>1042</v>
      </c>
    </row>
    <row r="337" spans="1:2" x14ac:dyDescent="0.25">
      <c r="A337" s="62">
        <v>11121608</v>
      </c>
      <c r="B337" s="63" t="s">
        <v>1043</v>
      </c>
    </row>
    <row r="338" spans="1:2" x14ac:dyDescent="0.25">
      <c r="A338" s="62">
        <v>11121609</v>
      </c>
      <c r="B338" s="63" t="s">
        <v>1044</v>
      </c>
    </row>
    <row r="339" spans="1:2" x14ac:dyDescent="0.25">
      <c r="A339" s="62">
        <v>11121610</v>
      </c>
      <c r="B339" s="63" t="s">
        <v>1045</v>
      </c>
    </row>
    <row r="340" spans="1:2" x14ac:dyDescent="0.25">
      <c r="A340" s="62">
        <v>11121611</v>
      </c>
      <c r="B340" s="63" t="s">
        <v>1046</v>
      </c>
    </row>
    <row r="341" spans="1:2" x14ac:dyDescent="0.25">
      <c r="A341" s="62">
        <v>11121612</v>
      </c>
      <c r="B341" s="63" t="s">
        <v>1047</v>
      </c>
    </row>
    <row r="342" spans="1:2" x14ac:dyDescent="0.25">
      <c r="A342" s="62">
        <v>11121701</v>
      </c>
      <c r="B342" s="63" t="s">
        <v>1048</v>
      </c>
    </row>
    <row r="343" spans="1:2" x14ac:dyDescent="0.25">
      <c r="A343" s="62">
        <v>11121702</v>
      </c>
      <c r="B343" s="63" t="s">
        <v>1049</v>
      </c>
    </row>
    <row r="344" spans="1:2" x14ac:dyDescent="0.25">
      <c r="A344" s="62">
        <v>11121703</v>
      </c>
      <c r="B344" s="63" t="s">
        <v>1050</v>
      </c>
    </row>
    <row r="345" spans="1:2" x14ac:dyDescent="0.25">
      <c r="A345" s="62">
        <v>11121705</v>
      </c>
      <c r="B345" s="63" t="s">
        <v>1051</v>
      </c>
    </row>
    <row r="346" spans="1:2" x14ac:dyDescent="0.25">
      <c r="A346" s="62">
        <v>11121706</v>
      </c>
      <c r="B346" s="63" t="s">
        <v>1052</v>
      </c>
    </row>
    <row r="347" spans="1:2" x14ac:dyDescent="0.25">
      <c r="A347" s="62">
        <v>11121707</v>
      </c>
      <c r="B347" s="63" t="s">
        <v>1053</v>
      </c>
    </row>
    <row r="348" spans="1:2" x14ac:dyDescent="0.25">
      <c r="A348" s="62">
        <v>11121708</v>
      </c>
      <c r="B348" s="63" t="s">
        <v>1054</v>
      </c>
    </row>
    <row r="349" spans="1:2" x14ac:dyDescent="0.25">
      <c r="A349" s="62">
        <v>11121709</v>
      </c>
      <c r="B349" s="63" t="s">
        <v>1055</v>
      </c>
    </row>
    <row r="350" spans="1:2" x14ac:dyDescent="0.25">
      <c r="A350" s="62">
        <v>11121710</v>
      </c>
      <c r="B350" s="63" t="s">
        <v>1056</v>
      </c>
    </row>
    <row r="351" spans="1:2" x14ac:dyDescent="0.25">
      <c r="A351" s="62">
        <v>11121801</v>
      </c>
      <c r="B351" s="63" t="s">
        <v>1057</v>
      </c>
    </row>
    <row r="352" spans="1:2" x14ac:dyDescent="0.25">
      <c r="A352" s="62">
        <v>11121802</v>
      </c>
      <c r="B352" s="63" t="s">
        <v>1058</v>
      </c>
    </row>
    <row r="353" spans="1:2" x14ac:dyDescent="0.25">
      <c r="A353" s="62">
        <v>11121803</v>
      </c>
      <c r="B353" s="63" t="s">
        <v>1059</v>
      </c>
    </row>
    <row r="354" spans="1:2" x14ac:dyDescent="0.25">
      <c r="A354" s="62">
        <v>11121804</v>
      </c>
      <c r="B354" s="63" t="s">
        <v>1060</v>
      </c>
    </row>
    <row r="355" spans="1:2" x14ac:dyDescent="0.25">
      <c r="A355" s="62">
        <v>11121805</v>
      </c>
      <c r="B355" s="63" t="s">
        <v>1061</v>
      </c>
    </row>
    <row r="356" spans="1:2" x14ac:dyDescent="0.25">
      <c r="A356" s="62">
        <v>11121806</v>
      </c>
      <c r="B356" s="63" t="s">
        <v>1062</v>
      </c>
    </row>
    <row r="357" spans="1:2" x14ac:dyDescent="0.25">
      <c r="A357" s="62">
        <v>11121807</v>
      </c>
      <c r="B357" s="63" t="s">
        <v>1063</v>
      </c>
    </row>
    <row r="358" spans="1:2" x14ac:dyDescent="0.25">
      <c r="A358" s="62">
        <v>11121808</v>
      </c>
      <c r="B358" s="63" t="s">
        <v>1064</v>
      </c>
    </row>
    <row r="359" spans="1:2" x14ac:dyDescent="0.25">
      <c r="A359" s="62">
        <v>11121809</v>
      </c>
      <c r="B359" s="63" t="s">
        <v>1065</v>
      </c>
    </row>
    <row r="360" spans="1:2" x14ac:dyDescent="0.25">
      <c r="A360" s="62">
        <v>11121810</v>
      </c>
      <c r="B360" s="63" t="s">
        <v>1066</v>
      </c>
    </row>
    <row r="361" spans="1:2" x14ac:dyDescent="0.25">
      <c r="A361" s="62">
        <v>11121901</v>
      </c>
      <c r="B361" s="63" t="s">
        <v>1067</v>
      </c>
    </row>
    <row r="362" spans="1:2" x14ac:dyDescent="0.25">
      <c r="A362" s="62">
        <v>11131501</v>
      </c>
      <c r="B362" s="63" t="s">
        <v>1068</v>
      </c>
    </row>
    <row r="363" spans="1:2" x14ac:dyDescent="0.25">
      <c r="A363" s="62">
        <v>11131502</v>
      </c>
      <c r="B363" s="63" t="s">
        <v>1069</v>
      </c>
    </row>
    <row r="364" spans="1:2" x14ac:dyDescent="0.25">
      <c r="A364" s="62">
        <v>11131503</v>
      </c>
      <c r="B364" s="63" t="s">
        <v>1070</v>
      </c>
    </row>
    <row r="365" spans="1:2" x14ac:dyDescent="0.25">
      <c r="A365" s="62">
        <v>11131504</v>
      </c>
      <c r="B365" s="63" t="s">
        <v>205</v>
      </c>
    </row>
    <row r="366" spans="1:2" x14ac:dyDescent="0.25">
      <c r="A366" s="62">
        <v>11131505</v>
      </c>
      <c r="B366" s="63" t="s">
        <v>1071</v>
      </c>
    </row>
    <row r="367" spans="1:2" x14ac:dyDescent="0.25">
      <c r="A367" s="62">
        <v>11131506</v>
      </c>
      <c r="B367" s="63" t="s">
        <v>1072</v>
      </c>
    </row>
    <row r="368" spans="1:2" x14ac:dyDescent="0.25">
      <c r="A368" s="62">
        <v>11131507</v>
      </c>
      <c r="B368" s="63" t="s">
        <v>1073</v>
      </c>
    </row>
    <row r="369" spans="1:2" x14ac:dyDescent="0.25">
      <c r="A369" s="62">
        <v>11131508</v>
      </c>
      <c r="B369" s="63" t="s">
        <v>1074</v>
      </c>
    </row>
    <row r="370" spans="1:2" x14ac:dyDescent="0.25">
      <c r="A370" s="62">
        <v>11131601</v>
      </c>
      <c r="B370" s="63" t="s">
        <v>1075</v>
      </c>
    </row>
    <row r="371" spans="1:2" x14ac:dyDescent="0.25">
      <c r="A371" s="62">
        <v>11131602</v>
      </c>
      <c r="B371" s="63" t="s">
        <v>1076</v>
      </c>
    </row>
    <row r="372" spans="1:2" x14ac:dyDescent="0.25">
      <c r="A372" s="62">
        <v>11131603</v>
      </c>
      <c r="B372" s="63" t="s">
        <v>1077</v>
      </c>
    </row>
    <row r="373" spans="1:2" x14ac:dyDescent="0.25">
      <c r="A373" s="62">
        <v>11131604</v>
      </c>
      <c r="B373" s="63" t="s">
        <v>1078</v>
      </c>
    </row>
    <row r="374" spans="1:2" x14ac:dyDescent="0.25">
      <c r="A374" s="62">
        <v>11131605</v>
      </c>
      <c r="B374" s="63" t="s">
        <v>1079</v>
      </c>
    </row>
    <row r="375" spans="1:2" x14ac:dyDescent="0.25">
      <c r="A375" s="62">
        <v>11131606</v>
      </c>
      <c r="B375" s="63" t="s">
        <v>1080</v>
      </c>
    </row>
    <row r="376" spans="1:2" x14ac:dyDescent="0.25">
      <c r="A376" s="62">
        <v>11131607</v>
      </c>
      <c r="B376" s="63" t="s">
        <v>1081</v>
      </c>
    </row>
    <row r="377" spans="1:2" x14ac:dyDescent="0.25">
      <c r="A377" s="62">
        <v>11131608</v>
      </c>
      <c r="B377" s="63" t="s">
        <v>1082</v>
      </c>
    </row>
    <row r="378" spans="1:2" x14ac:dyDescent="0.25">
      <c r="A378" s="62">
        <v>11141601</v>
      </c>
      <c r="B378" s="63" t="s">
        <v>1083</v>
      </c>
    </row>
    <row r="379" spans="1:2" x14ac:dyDescent="0.25">
      <c r="A379" s="62">
        <v>11141602</v>
      </c>
      <c r="B379" s="63" t="s">
        <v>1084</v>
      </c>
    </row>
    <row r="380" spans="1:2" x14ac:dyDescent="0.25">
      <c r="A380" s="62">
        <v>11141603</v>
      </c>
      <c r="B380" s="63" t="s">
        <v>1085</v>
      </c>
    </row>
    <row r="381" spans="1:2" x14ac:dyDescent="0.25">
      <c r="A381" s="62">
        <v>11141604</v>
      </c>
      <c r="B381" s="63" t="s">
        <v>1086</v>
      </c>
    </row>
    <row r="382" spans="1:2" x14ac:dyDescent="0.25">
      <c r="A382" s="62">
        <v>11141605</v>
      </c>
      <c r="B382" s="63" t="s">
        <v>1087</v>
      </c>
    </row>
    <row r="383" spans="1:2" x14ac:dyDescent="0.25">
      <c r="A383" s="62">
        <v>11141606</v>
      </c>
      <c r="B383" s="63" t="s">
        <v>1088</v>
      </c>
    </row>
    <row r="384" spans="1:2" x14ac:dyDescent="0.25">
      <c r="A384" s="62">
        <v>11141607</v>
      </c>
      <c r="B384" s="63" t="s">
        <v>1089</v>
      </c>
    </row>
    <row r="385" spans="1:2" x14ac:dyDescent="0.25">
      <c r="A385" s="62">
        <v>11141608</v>
      </c>
      <c r="B385" s="63" t="s">
        <v>1090</v>
      </c>
    </row>
    <row r="386" spans="1:2" x14ac:dyDescent="0.25">
      <c r="A386" s="62">
        <v>11141609</v>
      </c>
      <c r="B386" s="63" t="s">
        <v>1091</v>
      </c>
    </row>
    <row r="387" spans="1:2" x14ac:dyDescent="0.25">
      <c r="A387" s="62">
        <v>11141610</v>
      </c>
      <c r="B387" s="63" t="s">
        <v>1092</v>
      </c>
    </row>
    <row r="388" spans="1:2" x14ac:dyDescent="0.25">
      <c r="A388" s="62">
        <v>11141701</v>
      </c>
      <c r="B388" s="63" t="s">
        <v>1093</v>
      </c>
    </row>
    <row r="389" spans="1:2" x14ac:dyDescent="0.25">
      <c r="A389" s="62">
        <v>11141702</v>
      </c>
      <c r="B389" s="63" t="s">
        <v>1094</v>
      </c>
    </row>
    <row r="390" spans="1:2" x14ac:dyDescent="0.25">
      <c r="A390" s="62">
        <v>11151501</v>
      </c>
      <c r="B390" s="63" t="s">
        <v>1095</v>
      </c>
    </row>
    <row r="391" spans="1:2" x14ac:dyDescent="0.25">
      <c r="A391" s="62">
        <v>11151502</v>
      </c>
      <c r="B391" s="63" t="s">
        <v>1096</v>
      </c>
    </row>
    <row r="392" spans="1:2" x14ac:dyDescent="0.25">
      <c r="A392" s="62">
        <v>11151503</v>
      </c>
      <c r="B392" s="63" t="s">
        <v>1097</v>
      </c>
    </row>
    <row r="393" spans="1:2" x14ac:dyDescent="0.25">
      <c r="A393" s="62">
        <v>11151504</v>
      </c>
      <c r="B393" s="63" t="s">
        <v>1098</v>
      </c>
    </row>
    <row r="394" spans="1:2" x14ac:dyDescent="0.25">
      <c r="A394" s="62">
        <v>11151505</v>
      </c>
      <c r="B394" s="63" t="s">
        <v>1099</v>
      </c>
    </row>
    <row r="395" spans="1:2" x14ac:dyDescent="0.25">
      <c r="A395" s="62">
        <v>11151506</v>
      </c>
      <c r="B395" s="63" t="s">
        <v>1100</v>
      </c>
    </row>
    <row r="396" spans="1:2" x14ac:dyDescent="0.25">
      <c r="A396" s="62">
        <v>11151507</v>
      </c>
      <c r="B396" s="63" t="s">
        <v>1101</v>
      </c>
    </row>
    <row r="397" spans="1:2" x14ac:dyDescent="0.25">
      <c r="A397" s="62">
        <v>11151508</v>
      </c>
      <c r="B397" s="63" t="s">
        <v>1102</v>
      </c>
    </row>
    <row r="398" spans="1:2" x14ac:dyDescent="0.25">
      <c r="A398" s="62">
        <v>11151509</v>
      </c>
      <c r="B398" s="63" t="s">
        <v>1103</v>
      </c>
    </row>
    <row r="399" spans="1:2" x14ac:dyDescent="0.25">
      <c r="A399" s="62">
        <v>11151510</v>
      </c>
      <c r="B399" s="63" t="s">
        <v>1104</v>
      </c>
    </row>
    <row r="400" spans="1:2" x14ac:dyDescent="0.25">
      <c r="A400" s="62">
        <v>11151511</v>
      </c>
      <c r="B400" s="63" t="s">
        <v>1105</v>
      </c>
    </row>
    <row r="401" spans="1:2" x14ac:dyDescent="0.25">
      <c r="A401" s="62">
        <v>11151512</v>
      </c>
      <c r="B401" s="63" t="s">
        <v>1106</v>
      </c>
    </row>
    <row r="402" spans="1:2" x14ac:dyDescent="0.25">
      <c r="A402" s="62">
        <v>11151513</v>
      </c>
      <c r="B402" s="63" t="s">
        <v>1107</v>
      </c>
    </row>
    <row r="403" spans="1:2" x14ac:dyDescent="0.25">
      <c r="A403" s="62">
        <v>11151514</v>
      </c>
      <c r="B403" s="63" t="s">
        <v>1108</v>
      </c>
    </row>
    <row r="404" spans="1:2" x14ac:dyDescent="0.25">
      <c r="A404" s="62">
        <v>11151515</v>
      </c>
      <c r="B404" s="63" t="s">
        <v>1109</v>
      </c>
    </row>
    <row r="405" spans="1:2" x14ac:dyDescent="0.25">
      <c r="A405" s="62">
        <v>11151601</v>
      </c>
      <c r="B405" s="63" t="s">
        <v>1110</v>
      </c>
    </row>
    <row r="406" spans="1:2" x14ac:dyDescent="0.25">
      <c r="A406" s="62">
        <v>11151602</v>
      </c>
      <c r="B406" s="63" t="s">
        <v>1111</v>
      </c>
    </row>
    <row r="407" spans="1:2" x14ac:dyDescent="0.25">
      <c r="A407" s="62">
        <v>11151603</v>
      </c>
      <c r="B407" s="63" t="s">
        <v>1112</v>
      </c>
    </row>
    <row r="408" spans="1:2" x14ac:dyDescent="0.25">
      <c r="A408" s="62">
        <v>11151604</v>
      </c>
      <c r="B408" s="63" t="s">
        <v>1113</v>
      </c>
    </row>
    <row r="409" spans="1:2" x14ac:dyDescent="0.25">
      <c r="A409" s="62">
        <v>11151605</v>
      </c>
      <c r="B409" s="63" t="s">
        <v>1114</v>
      </c>
    </row>
    <row r="410" spans="1:2" x14ac:dyDescent="0.25">
      <c r="A410" s="62">
        <v>11151606</v>
      </c>
      <c r="B410" s="63" t="s">
        <v>1115</v>
      </c>
    </row>
    <row r="411" spans="1:2" x14ac:dyDescent="0.25">
      <c r="A411" s="62">
        <v>11151607</v>
      </c>
      <c r="B411" s="63" t="s">
        <v>1116</v>
      </c>
    </row>
    <row r="412" spans="1:2" x14ac:dyDescent="0.25">
      <c r="A412" s="62">
        <v>11151608</v>
      </c>
      <c r="B412" s="63" t="s">
        <v>1117</v>
      </c>
    </row>
    <row r="413" spans="1:2" x14ac:dyDescent="0.25">
      <c r="A413" s="62">
        <v>11151609</v>
      </c>
      <c r="B413" s="63" t="s">
        <v>1118</v>
      </c>
    </row>
    <row r="414" spans="1:2" x14ac:dyDescent="0.25">
      <c r="A414" s="62">
        <v>11151610</v>
      </c>
      <c r="B414" s="63" t="s">
        <v>1119</v>
      </c>
    </row>
    <row r="415" spans="1:2" x14ac:dyDescent="0.25">
      <c r="A415" s="62">
        <v>11151611</v>
      </c>
      <c r="B415" s="63" t="s">
        <v>1120</v>
      </c>
    </row>
    <row r="416" spans="1:2" x14ac:dyDescent="0.25">
      <c r="A416" s="62">
        <v>11151612</v>
      </c>
      <c r="B416" s="63" t="s">
        <v>1121</v>
      </c>
    </row>
    <row r="417" spans="1:2" x14ac:dyDescent="0.25">
      <c r="A417" s="62">
        <v>11151701</v>
      </c>
      <c r="B417" s="63" t="s">
        <v>1122</v>
      </c>
    </row>
    <row r="418" spans="1:2" x14ac:dyDescent="0.25">
      <c r="A418" s="62">
        <v>11151702</v>
      </c>
      <c r="B418" s="63" t="s">
        <v>1123</v>
      </c>
    </row>
    <row r="419" spans="1:2" x14ac:dyDescent="0.25">
      <c r="A419" s="62">
        <v>11151703</v>
      </c>
      <c r="B419" s="63" t="s">
        <v>1124</v>
      </c>
    </row>
    <row r="420" spans="1:2" x14ac:dyDescent="0.25">
      <c r="A420" s="62">
        <v>11151704</v>
      </c>
      <c r="B420" s="63" t="s">
        <v>1125</v>
      </c>
    </row>
    <row r="421" spans="1:2" x14ac:dyDescent="0.25">
      <c r="A421" s="62">
        <v>11151705</v>
      </c>
      <c r="B421" s="63" t="s">
        <v>1126</v>
      </c>
    </row>
    <row r="422" spans="1:2" x14ac:dyDescent="0.25">
      <c r="A422" s="62">
        <v>11151706</v>
      </c>
      <c r="B422" s="63" t="s">
        <v>1127</v>
      </c>
    </row>
    <row r="423" spans="1:2" x14ac:dyDescent="0.25">
      <c r="A423" s="62">
        <v>11151708</v>
      </c>
      <c r="B423" s="63" t="s">
        <v>1128</v>
      </c>
    </row>
    <row r="424" spans="1:2" x14ac:dyDescent="0.25">
      <c r="A424" s="62">
        <v>11151709</v>
      </c>
      <c r="B424" s="63" t="s">
        <v>1129</v>
      </c>
    </row>
    <row r="425" spans="1:2" x14ac:dyDescent="0.25">
      <c r="A425" s="62">
        <v>11151710</v>
      </c>
      <c r="B425" s="63" t="s">
        <v>1130</v>
      </c>
    </row>
    <row r="426" spans="1:2" x14ac:dyDescent="0.25">
      <c r="A426" s="62">
        <v>11151711</v>
      </c>
      <c r="B426" s="63" t="s">
        <v>1131</v>
      </c>
    </row>
    <row r="427" spans="1:2" x14ac:dyDescent="0.25">
      <c r="A427" s="62">
        <v>11151712</v>
      </c>
      <c r="B427" s="63" t="s">
        <v>1132</v>
      </c>
    </row>
    <row r="428" spans="1:2" x14ac:dyDescent="0.25">
      <c r="A428" s="62">
        <v>11151713</v>
      </c>
      <c r="B428" s="63" t="s">
        <v>1133</v>
      </c>
    </row>
    <row r="429" spans="1:2" x14ac:dyDescent="0.25">
      <c r="A429" s="62">
        <v>11151714</v>
      </c>
      <c r="B429" s="63" t="s">
        <v>1134</v>
      </c>
    </row>
    <row r="430" spans="1:2" x14ac:dyDescent="0.25">
      <c r="A430" s="62">
        <v>11151715</v>
      </c>
      <c r="B430" s="63" t="s">
        <v>1135</v>
      </c>
    </row>
    <row r="431" spans="1:2" x14ac:dyDescent="0.25">
      <c r="A431" s="62">
        <v>11161501</v>
      </c>
      <c r="B431" s="63" t="s">
        <v>1136</v>
      </c>
    </row>
    <row r="432" spans="1:2" x14ac:dyDescent="0.25">
      <c r="A432" s="62">
        <v>11161502</v>
      </c>
      <c r="B432" s="63" t="s">
        <v>1137</v>
      </c>
    </row>
    <row r="433" spans="1:2" x14ac:dyDescent="0.25">
      <c r="A433" s="62">
        <v>11161503</v>
      </c>
      <c r="B433" s="63" t="s">
        <v>1138</v>
      </c>
    </row>
    <row r="434" spans="1:2" x14ac:dyDescent="0.25">
      <c r="A434" s="62">
        <v>11161504</v>
      </c>
      <c r="B434" s="63" t="s">
        <v>1139</v>
      </c>
    </row>
    <row r="435" spans="1:2" x14ac:dyDescent="0.25">
      <c r="A435" s="62">
        <v>11161601</v>
      </c>
      <c r="B435" s="63" t="s">
        <v>1140</v>
      </c>
    </row>
    <row r="436" spans="1:2" x14ac:dyDescent="0.25">
      <c r="A436" s="62">
        <v>11161602</v>
      </c>
      <c r="B436" s="63" t="s">
        <v>1141</v>
      </c>
    </row>
    <row r="437" spans="1:2" x14ac:dyDescent="0.25">
      <c r="A437" s="62">
        <v>11161603</v>
      </c>
      <c r="B437" s="63" t="s">
        <v>1142</v>
      </c>
    </row>
    <row r="438" spans="1:2" x14ac:dyDescent="0.25">
      <c r="A438" s="62">
        <v>11161604</v>
      </c>
      <c r="B438" s="63" t="s">
        <v>1143</v>
      </c>
    </row>
    <row r="439" spans="1:2" x14ac:dyDescent="0.25">
      <c r="A439" s="62">
        <v>11161701</v>
      </c>
      <c r="B439" s="63" t="s">
        <v>1144</v>
      </c>
    </row>
    <row r="440" spans="1:2" x14ac:dyDescent="0.25">
      <c r="A440" s="62">
        <v>11161702</v>
      </c>
      <c r="B440" s="63" t="s">
        <v>1145</v>
      </c>
    </row>
    <row r="441" spans="1:2" x14ac:dyDescent="0.25">
      <c r="A441" s="62">
        <v>11161703</v>
      </c>
      <c r="B441" s="63" t="s">
        <v>1146</v>
      </c>
    </row>
    <row r="442" spans="1:2" x14ac:dyDescent="0.25">
      <c r="A442" s="62">
        <v>11161704</v>
      </c>
      <c r="B442" s="63" t="s">
        <v>1147</v>
      </c>
    </row>
    <row r="443" spans="1:2" x14ac:dyDescent="0.25">
      <c r="A443" s="62">
        <v>11161705</v>
      </c>
      <c r="B443" s="63" t="s">
        <v>1148</v>
      </c>
    </row>
    <row r="444" spans="1:2" x14ac:dyDescent="0.25">
      <c r="A444" s="62">
        <v>11161801</v>
      </c>
      <c r="B444" s="63" t="s">
        <v>1149</v>
      </c>
    </row>
    <row r="445" spans="1:2" x14ac:dyDescent="0.25">
      <c r="A445" s="62">
        <v>11161802</v>
      </c>
      <c r="B445" s="63" t="s">
        <v>1150</v>
      </c>
    </row>
    <row r="446" spans="1:2" x14ac:dyDescent="0.25">
      <c r="A446" s="62">
        <v>11161803</v>
      </c>
      <c r="B446" s="63" t="s">
        <v>1151</v>
      </c>
    </row>
    <row r="447" spans="1:2" x14ac:dyDescent="0.25">
      <c r="A447" s="62">
        <v>11161804</v>
      </c>
      <c r="B447" s="63" t="s">
        <v>1152</v>
      </c>
    </row>
    <row r="448" spans="1:2" x14ac:dyDescent="0.25">
      <c r="A448" s="62">
        <v>11161805</v>
      </c>
      <c r="B448" s="63" t="s">
        <v>1153</v>
      </c>
    </row>
    <row r="449" spans="1:2" x14ac:dyDescent="0.25">
      <c r="A449" s="62">
        <v>11162001</v>
      </c>
      <c r="B449" s="63" t="s">
        <v>1154</v>
      </c>
    </row>
    <row r="450" spans="1:2" x14ac:dyDescent="0.25">
      <c r="A450" s="62">
        <v>11162002</v>
      </c>
      <c r="B450" s="63" t="s">
        <v>1155</v>
      </c>
    </row>
    <row r="451" spans="1:2" x14ac:dyDescent="0.25">
      <c r="A451" s="62">
        <v>11162003</v>
      </c>
      <c r="B451" s="63" t="s">
        <v>1156</v>
      </c>
    </row>
    <row r="452" spans="1:2" x14ac:dyDescent="0.25">
      <c r="A452" s="62">
        <v>11162101</v>
      </c>
      <c r="B452" s="63" t="s">
        <v>1157</v>
      </c>
    </row>
    <row r="453" spans="1:2" x14ac:dyDescent="0.25">
      <c r="A453" s="62">
        <v>11162102</v>
      </c>
      <c r="B453" s="63" t="s">
        <v>1158</v>
      </c>
    </row>
    <row r="454" spans="1:2" x14ac:dyDescent="0.25">
      <c r="A454" s="62">
        <v>11162104</v>
      </c>
      <c r="B454" s="63" t="s">
        <v>1159</v>
      </c>
    </row>
    <row r="455" spans="1:2" x14ac:dyDescent="0.25">
      <c r="A455" s="62">
        <v>11162105</v>
      </c>
      <c r="B455" s="63" t="s">
        <v>1160</v>
      </c>
    </row>
    <row r="456" spans="1:2" x14ac:dyDescent="0.25">
      <c r="A456" s="62">
        <v>11162107</v>
      </c>
      <c r="B456" s="63" t="s">
        <v>1161</v>
      </c>
    </row>
    <row r="457" spans="1:2" x14ac:dyDescent="0.25">
      <c r="A457" s="62">
        <v>11162108</v>
      </c>
      <c r="B457" s="63" t="s">
        <v>1162</v>
      </c>
    </row>
    <row r="458" spans="1:2" x14ac:dyDescent="0.25">
      <c r="A458" s="62">
        <v>11162109</v>
      </c>
      <c r="B458" s="63" t="s">
        <v>1163</v>
      </c>
    </row>
    <row r="459" spans="1:2" x14ac:dyDescent="0.25">
      <c r="A459" s="62">
        <v>11162110</v>
      </c>
      <c r="B459" s="63" t="s">
        <v>1164</v>
      </c>
    </row>
    <row r="460" spans="1:2" x14ac:dyDescent="0.25">
      <c r="A460" s="62">
        <v>11162111</v>
      </c>
      <c r="B460" s="63" t="s">
        <v>1165</v>
      </c>
    </row>
    <row r="461" spans="1:2" x14ac:dyDescent="0.25">
      <c r="A461" s="62">
        <v>11162112</v>
      </c>
      <c r="B461" s="63" t="s">
        <v>1166</v>
      </c>
    </row>
    <row r="462" spans="1:2" x14ac:dyDescent="0.25">
      <c r="A462" s="62">
        <v>11162113</v>
      </c>
      <c r="B462" s="63" t="s">
        <v>1167</v>
      </c>
    </row>
    <row r="463" spans="1:2" x14ac:dyDescent="0.25">
      <c r="A463" s="62">
        <v>11162114</v>
      </c>
      <c r="B463" s="63" t="s">
        <v>1168</v>
      </c>
    </row>
    <row r="464" spans="1:2" x14ac:dyDescent="0.25">
      <c r="A464" s="62">
        <v>11162115</v>
      </c>
      <c r="B464" s="63" t="s">
        <v>1169</v>
      </c>
    </row>
    <row r="465" spans="1:2" x14ac:dyDescent="0.25">
      <c r="A465" s="62">
        <v>11162116</v>
      </c>
      <c r="B465" s="63" t="s">
        <v>1170</v>
      </c>
    </row>
    <row r="466" spans="1:2" x14ac:dyDescent="0.25">
      <c r="A466" s="62">
        <v>11162117</v>
      </c>
      <c r="B466" s="63" t="s">
        <v>1171</v>
      </c>
    </row>
    <row r="467" spans="1:2" x14ac:dyDescent="0.25">
      <c r="A467" s="62">
        <v>11162118</v>
      </c>
      <c r="B467" s="63" t="s">
        <v>1172</v>
      </c>
    </row>
    <row r="468" spans="1:2" x14ac:dyDescent="0.25">
      <c r="A468" s="62">
        <v>11162119</v>
      </c>
      <c r="B468" s="63" t="s">
        <v>1173</v>
      </c>
    </row>
    <row r="469" spans="1:2" x14ac:dyDescent="0.25">
      <c r="A469" s="62">
        <v>11162120</v>
      </c>
      <c r="B469" s="63" t="s">
        <v>1174</v>
      </c>
    </row>
    <row r="470" spans="1:2" x14ac:dyDescent="0.25">
      <c r="A470" s="62">
        <v>11162121</v>
      </c>
      <c r="B470" s="63" t="s">
        <v>1175</v>
      </c>
    </row>
    <row r="471" spans="1:2" x14ac:dyDescent="0.25">
      <c r="A471" s="62">
        <v>11162122</v>
      </c>
      <c r="B471" s="63" t="s">
        <v>1176</v>
      </c>
    </row>
    <row r="472" spans="1:2" x14ac:dyDescent="0.25">
      <c r="A472" s="62">
        <v>11162123</v>
      </c>
      <c r="B472" s="63" t="s">
        <v>1177</v>
      </c>
    </row>
    <row r="473" spans="1:2" x14ac:dyDescent="0.25">
      <c r="A473" s="62">
        <v>11162124</v>
      </c>
      <c r="B473" s="63" t="s">
        <v>1178</v>
      </c>
    </row>
    <row r="474" spans="1:2" x14ac:dyDescent="0.25">
      <c r="A474" s="62">
        <v>11162125</v>
      </c>
      <c r="B474" s="63" t="s">
        <v>1179</v>
      </c>
    </row>
    <row r="475" spans="1:2" x14ac:dyDescent="0.25">
      <c r="A475" s="62">
        <v>11162126</v>
      </c>
      <c r="B475" s="63" t="s">
        <v>1180</v>
      </c>
    </row>
    <row r="476" spans="1:2" x14ac:dyDescent="0.25">
      <c r="A476" s="62">
        <v>11162127</v>
      </c>
      <c r="B476" s="63" t="s">
        <v>1181</v>
      </c>
    </row>
    <row r="477" spans="1:2" x14ac:dyDescent="0.25">
      <c r="A477" s="62">
        <v>11162128</v>
      </c>
      <c r="B477" s="63" t="s">
        <v>1182</v>
      </c>
    </row>
    <row r="478" spans="1:2" x14ac:dyDescent="0.25">
      <c r="A478" s="62">
        <v>11162129</v>
      </c>
      <c r="B478" s="63" t="s">
        <v>1183</v>
      </c>
    </row>
    <row r="479" spans="1:2" x14ac:dyDescent="0.25">
      <c r="A479" s="62">
        <v>11162130</v>
      </c>
      <c r="B479" s="63" t="s">
        <v>1184</v>
      </c>
    </row>
    <row r="480" spans="1:2" x14ac:dyDescent="0.25">
      <c r="A480" s="62">
        <v>11162131</v>
      </c>
      <c r="B480" s="63" t="s">
        <v>1185</v>
      </c>
    </row>
    <row r="481" spans="1:2" x14ac:dyDescent="0.25">
      <c r="A481" s="62">
        <v>11162201</v>
      </c>
      <c r="B481" s="63" t="s">
        <v>1186</v>
      </c>
    </row>
    <row r="482" spans="1:2" x14ac:dyDescent="0.25">
      <c r="A482" s="62">
        <v>11162202</v>
      </c>
      <c r="B482" s="63" t="s">
        <v>1187</v>
      </c>
    </row>
    <row r="483" spans="1:2" x14ac:dyDescent="0.25">
      <c r="A483" s="62">
        <v>11162301</v>
      </c>
      <c r="B483" s="63" t="s">
        <v>1188</v>
      </c>
    </row>
    <row r="484" spans="1:2" x14ac:dyDescent="0.25">
      <c r="A484" s="62">
        <v>11162302</v>
      </c>
      <c r="B484" s="63" t="s">
        <v>1189</v>
      </c>
    </row>
    <row r="485" spans="1:2" x14ac:dyDescent="0.25">
      <c r="A485" s="62">
        <v>11162303</v>
      </c>
      <c r="B485" s="63" t="s">
        <v>1190</v>
      </c>
    </row>
    <row r="486" spans="1:2" x14ac:dyDescent="0.25">
      <c r="A486" s="62">
        <v>11162304</v>
      </c>
      <c r="B486" s="63" t="s">
        <v>1191</v>
      </c>
    </row>
    <row r="487" spans="1:2" x14ac:dyDescent="0.25">
      <c r="A487" s="62">
        <v>11162305</v>
      </c>
      <c r="B487" s="63" t="s">
        <v>1192</v>
      </c>
    </row>
    <row r="488" spans="1:2" x14ac:dyDescent="0.25">
      <c r="A488" s="62">
        <v>11162306</v>
      </c>
      <c r="B488" s="63" t="s">
        <v>1193</v>
      </c>
    </row>
    <row r="489" spans="1:2" x14ac:dyDescent="0.25">
      <c r="A489" s="62">
        <v>11162307</v>
      </c>
      <c r="B489" s="63" t="s">
        <v>1194</v>
      </c>
    </row>
    <row r="490" spans="1:2" x14ac:dyDescent="0.25">
      <c r="A490" s="62">
        <v>11162308</v>
      </c>
      <c r="B490" s="63" t="s">
        <v>1195</v>
      </c>
    </row>
    <row r="491" spans="1:2" x14ac:dyDescent="0.25">
      <c r="A491" s="62">
        <v>11162309</v>
      </c>
      <c r="B491" s="63" t="s">
        <v>1196</v>
      </c>
    </row>
    <row r="492" spans="1:2" x14ac:dyDescent="0.25">
      <c r="A492" s="62">
        <v>11162310</v>
      </c>
      <c r="B492" s="63" t="s">
        <v>1197</v>
      </c>
    </row>
    <row r="493" spans="1:2" x14ac:dyDescent="0.25">
      <c r="A493" s="62">
        <v>11162311</v>
      </c>
      <c r="B493" s="63" t="s">
        <v>1198</v>
      </c>
    </row>
    <row r="494" spans="1:2" x14ac:dyDescent="0.25">
      <c r="A494" s="62">
        <v>11171501</v>
      </c>
      <c r="B494" s="63" t="s">
        <v>1199</v>
      </c>
    </row>
    <row r="495" spans="1:2" x14ac:dyDescent="0.25">
      <c r="A495" s="62">
        <v>11171601</v>
      </c>
      <c r="B495" s="63" t="s">
        <v>1200</v>
      </c>
    </row>
    <row r="496" spans="1:2" x14ac:dyDescent="0.25">
      <c r="A496" s="62">
        <v>11171602</v>
      </c>
      <c r="B496" s="63" t="s">
        <v>1201</v>
      </c>
    </row>
    <row r="497" spans="1:2" x14ac:dyDescent="0.25">
      <c r="A497" s="62">
        <v>11171603</v>
      </c>
      <c r="B497" s="63" t="s">
        <v>1202</v>
      </c>
    </row>
    <row r="498" spans="1:2" x14ac:dyDescent="0.25">
      <c r="A498" s="62">
        <v>11171701</v>
      </c>
      <c r="B498" s="63" t="s">
        <v>1203</v>
      </c>
    </row>
    <row r="499" spans="1:2" x14ac:dyDescent="0.25">
      <c r="A499" s="62">
        <v>11171702</v>
      </c>
      <c r="B499" s="63" t="s">
        <v>1204</v>
      </c>
    </row>
    <row r="500" spans="1:2" x14ac:dyDescent="0.25">
      <c r="A500" s="62">
        <v>11171801</v>
      </c>
      <c r="B500" s="63" t="s">
        <v>1205</v>
      </c>
    </row>
    <row r="501" spans="1:2" x14ac:dyDescent="0.25">
      <c r="A501" s="62">
        <v>11171901</v>
      </c>
      <c r="B501" s="63" t="s">
        <v>1206</v>
      </c>
    </row>
    <row r="502" spans="1:2" x14ac:dyDescent="0.25">
      <c r="A502" s="62">
        <v>11172001</v>
      </c>
      <c r="B502" s="63" t="s">
        <v>1207</v>
      </c>
    </row>
    <row r="503" spans="1:2" x14ac:dyDescent="0.25">
      <c r="A503" s="62">
        <v>11172101</v>
      </c>
      <c r="B503" s="63" t="s">
        <v>1208</v>
      </c>
    </row>
    <row r="504" spans="1:2" x14ac:dyDescent="0.25">
      <c r="A504" s="62">
        <v>11181501</v>
      </c>
      <c r="B504" s="63" t="s">
        <v>1209</v>
      </c>
    </row>
    <row r="505" spans="1:2" x14ac:dyDescent="0.25">
      <c r="A505" s="62">
        <v>11191501</v>
      </c>
      <c r="B505" s="63" t="s">
        <v>1210</v>
      </c>
    </row>
    <row r="506" spans="1:2" x14ac:dyDescent="0.25">
      <c r="A506" s="62">
        <v>11191502</v>
      </c>
      <c r="B506" s="63" t="s">
        <v>1211</v>
      </c>
    </row>
    <row r="507" spans="1:2" x14ac:dyDescent="0.25">
      <c r="A507" s="62">
        <v>11191503</v>
      </c>
      <c r="B507" s="63" t="s">
        <v>1212</v>
      </c>
    </row>
    <row r="508" spans="1:2" x14ac:dyDescent="0.25">
      <c r="A508" s="62">
        <v>11191504</v>
      </c>
      <c r="B508" s="63" t="s">
        <v>1213</v>
      </c>
    </row>
    <row r="509" spans="1:2" x14ac:dyDescent="0.25">
      <c r="A509" s="62">
        <v>11191505</v>
      </c>
      <c r="B509" s="63" t="s">
        <v>1214</v>
      </c>
    </row>
    <row r="510" spans="1:2" x14ac:dyDescent="0.25">
      <c r="A510" s="62">
        <v>11191601</v>
      </c>
      <c r="B510" s="63" t="s">
        <v>1215</v>
      </c>
    </row>
    <row r="511" spans="1:2" x14ac:dyDescent="0.25">
      <c r="A511" s="62">
        <v>11191602</v>
      </c>
      <c r="B511" s="63" t="s">
        <v>1216</v>
      </c>
    </row>
    <row r="512" spans="1:2" x14ac:dyDescent="0.25">
      <c r="A512" s="62">
        <v>11191603</v>
      </c>
      <c r="B512" s="63" t="s">
        <v>1217</v>
      </c>
    </row>
    <row r="513" spans="1:2" x14ac:dyDescent="0.25">
      <c r="A513" s="62">
        <v>11191604</v>
      </c>
      <c r="B513" s="63" t="s">
        <v>1218</v>
      </c>
    </row>
    <row r="514" spans="1:2" x14ac:dyDescent="0.25">
      <c r="A514" s="62">
        <v>11191605</v>
      </c>
      <c r="B514" s="63" t="s">
        <v>1219</v>
      </c>
    </row>
    <row r="515" spans="1:2" x14ac:dyDescent="0.25">
      <c r="A515" s="62">
        <v>11191606</v>
      </c>
      <c r="B515" s="63" t="s">
        <v>1220</v>
      </c>
    </row>
    <row r="516" spans="1:2" x14ac:dyDescent="0.25">
      <c r="A516" s="62">
        <v>11191701</v>
      </c>
      <c r="B516" s="63" t="s">
        <v>1221</v>
      </c>
    </row>
    <row r="517" spans="1:2" x14ac:dyDescent="0.25">
      <c r="A517" s="62">
        <v>11191702</v>
      </c>
      <c r="B517" s="63" t="s">
        <v>1222</v>
      </c>
    </row>
    <row r="518" spans="1:2" x14ac:dyDescent="0.25">
      <c r="A518" s="62">
        <v>12131501</v>
      </c>
      <c r="B518" s="63" t="s">
        <v>1223</v>
      </c>
    </row>
    <row r="519" spans="1:2" x14ac:dyDescent="0.25">
      <c r="A519" s="62">
        <v>12131502</v>
      </c>
      <c r="B519" s="63" t="s">
        <v>1224</v>
      </c>
    </row>
    <row r="520" spans="1:2" x14ac:dyDescent="0.25">
      <c r="A520" s="62">
        <v>12131503</v>
      </c>
      <c r="B520" s="63" t="s">
        <v>1225</v>
      </c>
    </row>
    <row r="521" spans="1:2" x14ac:dyDescent="0.25">
      <c r="A521" s="62">
        <v>12131504</v>
      </c>
      <c r="B521" s="63" t="s">
        <v>1226</v>
      </c>
    </row>
    <row r="522" spans="1:2" x14ac:dyDescent="0.25">
      <c r="A522" s="62">
        <v>12131505</v>
      </c>
      <c r="B522" s="63" t="s">
        <v>1227</v>
      </c>
    </row>
    <row r="523" spans="1:2" x14ac:dyDescent="0.25">
      <c r="A523" s="62">
        <v>12131506</v>
      </c>
      <c r="B523" s="63" t="s">
        <v>1228</v>
      </c>
    </row>
    <row r="524" spans="1:2" x14ac:dyDescent="0.25">
      <c r="A524" s="62">
        <v>12131507</v>
      </c>
      <c r="B524" s="63" t="s">
        <v>1229</v>
      </c>
    </row>
    <row r="525" spans="1:2" x14ac:dyDescent="0.25">
      <c r="A525" s="62">
        <v>12131508</v>
      </c>
      <c r="B525" s="63" t="s">
        <v>1230</v>
      </c>
    </row>
    <row r="526" spans="1:2" x14ac:dyDescent="0.25">
      <c r="A526" s="62">
        <v>12131601</v>
      </c>
      <c r="B526" s="63" t="s">
        <v>1231</v>
      </c>
    </row>
    <row r="527" spans="1:2" x14ac:dyDescent="0.25">
      <c r="A527" s="62">
        <v>12131602</v>
      </c>
      <c r="B527" s="63" t="s">
        <v>1232</v>
      </c>
    </row>
    <row r="528" spans="1:2" x14ac:dyDescent="0.25">
      <c r="A528" s="62">
        <v>12131603</v>
      </c>
      <c r="B528" s="63" t="s">
        <v>1233</v>
      </c>
    </row>
    <row r="529" spans="1:2" x14ac:dyDescent="0.25">
      <c r="A529" s="62">
        <v>12131604</v>
      </c>
      <c r="B529" s="63" t="s">
        <v>1234</v>
      </c>
    </row>
    <row r="530" spans="1:2" x14ac:dyDescent="0.25">
      <c r="A530" s="62">
        <v>12131605</v>
      </c>
      <c r="B530" s="63" t="s">
        <v>1235</v>
      </c>
    </row>
    <row r="531" spans="1:2" x14ac:dyDescent="0.25">
      <c r="A531" s="62">
        <v>12131701</v>
      </c>
      <c r="B531" s="63" t="s">
        <v>1236</v>
      </c>
    </row>
    <row r="532" spans="1:2" x14ac:dyDescent="0.25">
      <c r="A532" s="62">
        <v>12131702</v>
      </c>
      <c r="B532" s="63" t="s">
        <v>1237</v>
      </c>
    </row>
    <row r="533" spans="1:2" x14ac:dyDescent="0.25">
      <c r="A533" s="62">
        <v>12131703</v>
      </c>
      <c r="B533" s="63" t="s">
        <v>1238</v>
      </c>
    </row>
    <row r="534" spans="1:2" x14ac:dyDescent="0.25">
      <c r="A534" s="62">
        <v>12131704</v>
      </c>
      <c r="B534" s="63" t="s">
        <v>1239</v>
      </c>
    </row>
    <row r="535" spans="1:2" x14ac:dyDescent="0.25">
      <c r="A535" s="62">
        <v>12131705</v>
      </c>
      <c r="B535" s="63" t="s">
        <v>1240</v>
      </c>
    </row>
    <row r="536" spans="1:2" x14ac:dyDescent="0.25">
      <c r="A536" s="62">
        <v>12131706</v>
      </c>
      <c r="B536" s="63" t="s">
        <v>1241</v>
      </c>
    </row>
    <row r="537" spans="1:2" x14ac:dyDescent="0.25">
      <c r="A537" s="62">
        <v>12131707</v>
      </c>
      <c r="B537" s="63" t="s">
        <v>1242</v>
      </c>
    </row>
    <row r="538" spans="1:2" x14ac:dyDescent="0.25">
      <c r="A538" s="62">
        <v>12131708</v>
      </c>
      <c r="B538" s="63" t="s">
        <v>1243</v>
      </c>
    </row>
    <row r="539" spans="1:2" x14ac:dyDescent="0.25">
      <c r="A539" s="62">
        <v>12131801</v>
      </c>
      <c r="B539" s="63" t="s">
        <v>1244</v>
      </c>
    </row>
    <row r="540" spans="1:2" x14ac:dyDescent="0.25">
      <c r="A540" s="62">
        <v>12131802</v>
      </c>
      <c r="B540" s="63" t="s">
        <v>1245</v>
      </c>
    </row>
    <row r="541" spans="1:2" x14ac:dyDescent="0.25">
      <c r="A541" s="62">
        <v>12131803</v>
      </c>
      <c r="B541" s="63" t="s">
        <v>1246</v>
      </c>
    </row>
    <row r="542" spans="1:2" x14ac:dyDescent="0.25">
      <c r="A542" s="62">
        <v>12131804</v>
      </c>
      <c r="B542" s="63" t="s">
        <v>1247</v>
      </c>
    </row>
    <row r="543" spans="1:2" x14ac:dyDescent="0.25">
      <c r="A543" s="62">
        <v>12131805</v>
      </c>
      <c r="B543" s="63" t="s">
        <v>1248</v>
      </c>
    </row>
    <row r="544" spans="1:2" x14ac:dyDescent="0.25">
      <c r="A544" s="62">
        <v>12131806</v>
      </c>
      <c r="B544" s="63" t="s">
        <v>1249</v>
      </c>
    </row>
    <row r="545" spans="1:2" x14ac:dyDescent="0.25">
      <c r="A545" s="62">
        <v>12141501</v>
      </c>
      <c r="B545" s="63" t="s">
        <v>1250</v>
      </c>
    </row>
    <row r="546" spans="1:2" x14ac:dyDescent="0.25">
      <c r="A546" s="62">
        <v>12141502</v>
      </c>
      <c r="B546" s="63" t="s">
        <v>1251</v>
      </c>
    </row>
    <row r="547" spans="1:2" x14ac:dyDescent="0.25">
      <c r="A547" s="62">
        <v>12141503</v>
      </c>
      <c r="B547" s="63" t="s">
        <v>1252</v>
      </c>
    </row>
    <row r="548" spans="1:2" x14ac:dyDescent="0.25">
      <c r="A548" s="62">
        <v>12141504</v>
      </c>
      <c r="B548" s="63" t="s">
        <v>1253</v>
      </c>
    </row>
    <row r="549" spans="1:2" x14ac:dyDescent="0.25">
      <c r="A549" s="62">
        <v>12141505</v>
      </c>
      <c r="B549" s="63" t="s">
        <v>1254</v>
      </c>
    </row>
    <row r="550" spans="1:2" x14ac:dyDescent="0.25">
      <c r="A550" s="62">
        <v>12141506</v>
      </c>
      <c r="B550" s="63" t="s">
        <v>1255</v>
      </c>
    </row>
    <row r="551" spans="1:2" x14ac:dyDescent="0.25">
      <c r="A551" s="62">
        <v>12141601</v>
      </c>
      <c r="B551" s="63" t="s">
        <v>1256</v>
      </c>
    </row>
    <row r="552" spans="1:2" x14ac:dyDescent="0.25">
      <c r="A552" s="62">
        <v>12141602</v>
      </c>
      <c r="B552" s="63" t="s">
        <v>1257</v>
      </c>
    </row>
    <row r="553" spans="1:2" x14ac:dyDescent="0.25">
      <c r="A553" s="62">
        <v>12141603</v>
      </c>
      <c r="B553" s="63" t="s">
        <v>1258</v>
      </c>
    </row>
    <row r="554" spans="1:2" x14ac:dyDescent="0.25">
      <c r="A554" s="62">
        <v>12141604</v>
      </c>
      <c r="B554" s="63" t="s">
        <v>1259</v>
      </c>
    </row>
    <row r="555" spans="1:2" x14ac:dyDescent="0.25">
      <c r="A555" s="62">
        <v>12141605</v>
      </c>
      <c r="B555" s="63" t="s">
        <v>1260</v>
      </c>
    </row>
    <row r="556" spans="1:2" x14ac:dyDescent="0.25">
      <c r="A556" s="62">
        <v>12141606</v>
      </c>
      <c r="B556" s="63" t="s">
        <v>1261</v>
      </c>
    </row>
    <row r="557" spans="1:2" x14ac:dyDescent="0.25">
      <c r="A557" s="62">
        <v>12141607</v>
      </c>
      <c r="B557" s="63" t="s">
        <v>1262</v>
      </c>
    </row>
    <row r="558" spans="1:2" x14ac:dyDescent="0.25">
      <c r="A558" s="62">
        <v>12141608</v>
      </c>
      <c r="B558" s="63" t="s">
        <v>1263</v>
      </c>
    </row>
    <row r="559" spans="1:2" x14ac:dyDescent="0.25">
      <c r="A559" s="62">
        <v>12141609</v>
      </c>
      <c r="B559" s="63" t="s">
        <v>1264</v>
      </c>
    </row>
    <row r="560" spans="1:2" x14ac:dyDescent="0.25">
      <c r="A560" s="62">
        <v>12141610</v>
      </c>
      <c r="B560" s="63" t="s">
        <v>1265</v>
      </c>
    </row>
    <row r="561" spans="1:2" x14ac:dyDescent="0.25">
      <c r="A561" s="62">
        <v>12141611</v>
      </c>
      <c r="B561" s="63" t="s">
        <v>1266</v>
      </c>
    </row>
    <row r="562" spans="1:2" x14ac:dyDescent="0.25">
      <c r="A562" s="62">
        <v>12141612</v>
      </c>
      <c r="B562" s="63" t="s">
        <v>1267</v>
      </c>
    </row>
    <row r="563" spans="1:2" x14ac:dyDescent="0.25">
      <c r="A563" s="62">
        <v>12141613</v>
      </c>
      <c r="B563" s="63" t="s">
        <v>1268</v>
      </c>
    </row>
    <row r="564" spans="1:2" x14ac:dyDescent="0.25">
      <c r="A564" s="62">
        <v>12141614</v>
      </c>
      <c r="B564" s="63" t="s">
        <v>1269</v>
      </c>
    </row>
    <row r="565" spans="1:2" x14ac:dyDescent="0.25">
      <c r="A565" s="62">
        <v>12141615</v>
      </c>
      <c r="B565" s="63" t="s">
        <v>1270</v>
      </c>
    </row>
    <row r="566" spans="1:2" x14ac:dyDescent="0.25">
      <c r="A566" s="62">
        <v>12141616</v>
      </c>
      <c r="B566" s="63" t="s">
        <v>1271</v>
      </c>
    </row>
    <row r="567" spans="1:2" x14ac:dyDescent="0.25">
      <c r="A567" s="62">
        <v>12141617</v>
      </c>
      <c r="B567" s="63" t="s">
        <v>1272</v>
      </c>
    </row>
    <row r="568" spans="1:2" x14ac:dyDescent="0.25">
      <c r="A568" s="62">
        <v>12141701</v>
      </c>
      <c r="B568" s="63" t="s">
        <v>1273</v>
      </c>
    </row>
    <row r="569" spans="1:2" x14ac:dyDescent="0.25">
      <c r="A569" s="62">
        <v>12141702</v>
      </c>
      <c r="B569" s="63" t="s">
        <v>1274</v>
      </c>
    </row>
    <row r="570" spans="1:2" x14ac:dyDescent="0.25">
      <c r="A570" s="62">
        <v>12141703</v>
      </c>
      <c r="B570" s="63" t="s">
        <v>1275</v>
      </c>
    </row>
    <row r="571" spans="1:2" x14ac:dyDescent="0.25">
      <c r="A571" s="62">
        <v>12141704</v>
      </c>
      <c r="B571" s="63" t="s">
        <v>1276</v>
      </c>
    </row>
    <row r="572" spans="1:2" x14ac:dyDescent="0.25">
      <c r="A572" s="62">
        <v>12141705</v>
      </c>
      <c r="B572" s="63" t="s">
        <v>1277</v>
      </c>
    </row>
    <row r="573" spans="1:2" x14ac:dyDescent="0.25">
      <c r="A573" s="62">
        <v>12141706</v>
      </c>
      <c r="B573" s="63" t="s">
        <v>1278</v>
      </c>
    </row>
    <row r="574" spans="1:2" x14ac:dyDescent="0.25">
      <c r="A574" s="62">
        <v>12141707</v>
      </c>
      <c r="B574" s="63" t="s">
        <v>1279</v>
      </c>
    </row>
    <row r="575" spans="1:2" x14ac:dyDescent="0.25">
      <c r="A575" s="62">
        <v>12141708</v>
      </c>
      <c r="B575" s="63" t="s">
        <v>1280</v>
      </c>
    </row>
    <row r="576" spans="1:2" x14ac:dyDescent="0.25">
      <c r="A576" s="62">
        <v>12141709</v>
      </c>
      <c r="B576" s="63" t="s">
        <v>1281</v>
      </c>
    </row>
    <row r="577" spans="1:2" x14ac:dyDescent="0.25">
      <c r="A577" s="62">
        <v>12141710</v>
      </c>
      <c r="B577" s="63" t="s">
        <v>1282</v>
      </c>
    </row>
    <row r="578" spans="1:2" x14ac:dyDescent="0.25">
      <c r="A578" s="62">
        <v>12141711</v>
      </c>
      <c r="B578" s="63" t="s">
        <v>1283</v>
      </c>
    </row>
    <row r="579" spans="1:2" x14ac:dyDescent="0.25">
      <c r="A579" s="62">
        <v>12141712</v>
      </c>
      <c r="B579" s="63" t="s">
        <v>1284</v>
      </c>
    </row>
    <row r="580" spans="1:2" x14ac:dyDescent="0.25">
      <c r="A580" s="62">
        <v>12141713</v>
      </c>
      <c r="B580" s="63" t="s">
        <v>1285</v>
      </c>
    </row>
    <row r="581" spans="1:2" x14ac:dyDescent="0.25">
      <c r="A581" s="62">
        <v>12141714</v>
      </c>
      <c r="B581" s="63" t="s">
        <v>1286</v>
      </c>
    </row>
    <row r="582" spans="1:2" x14ac:dyDescent="0.25">
      <c r="A582" s="62">
        <v>12141715</v>
      </c>
      <c r="B582" s="63" t="s">
        <v>1287</v>
      </c>
    </row>
    <row r="583" spans="1:2" x14ac:dyDescent="0.25">
      <c r="A583" s="62">
        <v>12141716</v>
      </c>
      <c r="B583" s="63" t="s">
        <v>1288</v>
      </c>
    </row>
    <row r="584" spans="1:2" x14ac:dyDescent="0.25">
      <c r="A584" s="62">
        <v>12141717</v>
      </c>
      <c r="B584" s="63" t="s">
        <v>1289</v>
      </c>
    </row>
    <row r="585" spans="1:2" x14ac:dyDescent="0.25">
      <c r="A585" s="62">
        <v>12141718</v>
      </c>
      <c r="B585" s="63" t="s">
        <v>1290</v>
      </c>
    </row>
    <row r="586" spans="1:2" x14ac:dyDescent="0.25">
      <c r="A586" s="62">
        <v>12141719</v>
      </c>
      <c r="B586" s="63" t="s">
        <v>1291</v>
      </c>
    </row>
    <row r="587" spans="1:2" x14ac:dyDescent="0.25">
      <c r="A587" s="62">
        <v>12141720</v>
      </c>
      <c r="B587" s="63" t="s">
        <v>1292</v>
      </c>
    </row>
    <row r="588" spans="1:2" x14ac:dyDescent="0.25">
      <c r="A588" s="62">
        <v>12141721</v>
      </c>
      <c r="B588" s="63" t="s">
        <v>1293</v>
      </c>
    </row>
    <row r="589" spans="1:2" x14ac:dyDescent="0.25">
      <c r="A589" s="62">
        <v>12141722</v>
      </c>
      <c r="B589" s="63" t="s">
        <v>1294</v>
      </c>
    </row>
    <row r="590" spans="1:2" x14ac:dyDescent="0.25">
      <c r="A590" s="62">
        <v>12141723</v>
      </c>
      <c r="B590" s="63" t="s">
        <v>1295</v>
      </c>
    </row>
    <row r="591" spans="1:2" x14ac:dyDescent="0.25">
      <c r="A591" s="62">
        <v>12141724</v>
      </c>
      <c r="B591" s="63" t="s">
        <v>1296</v>
      </c>
    </row>
    <row r="592" spans="1:2" x14ac:dyDescent="0.25">
      <c r="A592" s="62">
        <v>12141725</v>
      </c>
      <c r="B592" s="63" t="s">
        <v>1297</v>
      </c>
    </row>
    <row r="593" spans="1:2" x14ac:dyDescent="0.25">
      <c r="A593" s="62">
        <v>12141726</v>
      </c>
      <c r="B593" s="63" t="s">
        <v>1298</v>
      </c>
    </row>
    <row r="594" spans="1:2" x14ac:dyDescent="0.25">
      <c r="A594" s="62">
        <v>12141727</v>
      </c>
      <c r="B594" s="63" t="s">
        <v>1299</v>
      </c>
    </row>
    <row r="595" spans="1:2" x14ac:dyDescent="0.25">
      <c r="A595" s="62">
        <v>12141728</v>
      </c>
      <c r="B595" s="63" t="s">
        <v>1300</v>
      </c>
    </row>
    <row r="596" spans="1:2" x14ac:dyDescent="0.25">
      <c r="A596" s="62">
        <v>12141729</v>
      </c>
      <c r="B596" s="63" t="s">
        <v>1301</v>
      </c>
    </row>
    <row r="597" spans="1:2" x14ac:dyDescent="0.25">
      <c r="A597" s="62">
        <v>12141730</v>
      </c>
      <c r="B597" s="63" t="s">
        <v>1302</v>
      </c>
    </row>
    <row r="598" spans="1:2" x14ac:dyDescent="0.25">
      <c r="A598" s="62">
        <v>12141731</v>
      </c>
      <c r="B598" s="63" t="s">
        <v>1303</v>
      </c>
    </row>
    <row r="599" spans="1:2" x14ac:dyDescent="0.25">
      <c r="A599" s="62">
        <v>12141732</v>
      </c>
      <c r="B599" s="63" t="s">
        <v>1304</v>
      </c>
    </row>
    <row r="600" spans="1:2" x14ac:dyDescent="0.25">
      <c r="A600" s="62">
        <v>12141733</v>
      </c>
      <c r="B600" s="63" t="s">
        <v>1305</v>
      </c>
    </row>
    <row r="601" spans="1:2" x14ac:dyDescent="0.25">
      <c r="A601" s="62">
        <v>12141734</v>
      </c>
      <c r="B601" s="63" t="s">
        <v>1306</v>
      </c>
    </row>
    <row r="602" spans="1:2" x14ac:dyDescent="0.25">
      <c r="A602" s="62">
        <v>12141735</v>
      </c>
      <c r="B602" s="63" t="s">
        <v>1307</v>
      </c>
    </row>
    <row r="603" spans="1:2" x14ac:dyDescent="0.25">
      <c r="A603" s="62">
        <v>12141736</v>
      </c>
      <c r="B603" s="63" t="s">
        <v>1308</v>
      </c>
    </row>
    <row r="604" spans="1:2" x14ac:dyDescent="0.25">
      <c r="A604" s="62">
        <v>12141737</v>
      </c>
      <c r="B604" s="63" t="s">
        <v>1309</v>
      </c>
    </row>
    <row r="605" spans="1:2" x14ac:dyDescent="0.25">
      <c r="A605" s="62">
        <v>12141738</v>
      </c>
      <c r="B605" s="63" t="s">
        <v>1310</v>
      </c>
    </row>
    <row r="606" spans="1:2" x14ac:dyDescent="0.25">
      <c r="A606" s="62">
        <v>12141739</v>
      </c>
      <c r="B606" s="63" t="s">
        <v>1311</v>
      </c>
    </row>
    <row r="607" spans="1:2" x14ac:dyDescent="0.25">
      <c r="A607" s="62">
        <v>12141740</v>
      </c>
      <c r="B607" s="63" t="s">
        <v>1312</v>
      </c>
    </row>
    <row r="608" spans="1:2" x14ac:dyDescent="0.25">
      <c r="A608" s="62">
        <v>12141741</v>
      </c>
      <c r="B608" s="63" t="s">
        <v>1313</v>
      </c>
    </row>
    <row r="609" spans="1:2" x14ac:dyDescent="0.25">
      <c r="A609" s="62">
        <v>12141742</v>
      </c>
      <c r="B609" s="63" t="s">
        <v>1314</v>
      </c>
    </row>
    <row r="610" spans="1:2" x14ac:dyDescent="0.25">
      <c r="A610" s="62">
        <v>12141743</v>
      </c>
      <c r="B610" s="63" t="s">
        <v>1315</v>
      </c>
    </row>
    <row r="611" spans="1:2" x14ac:dyDescent="0.25">
      <c r="A611" s="62">
        <v>12141744</v>
      </c>
      <c r="B611" s="63" t="s">
        <v>1316</v>
      </c>
    </row>
    <row r="612" spans="1:2" x14ac:dyDescent="0.25">
      <c r="A612" s="62">
        <v>12141745</v>
      </c>
      <c r="B612" s="63" t="s">
        <v>1317</v>
      </c>
    </row>
    <row r="613" spans="1:2" x14ac:dyDescent="0.25">
      <c r="A613" s="62">
        <v>12141746</v>
      </c>
      <c r="B613" s="63" t="s">
        <v>1318</v>
      </c>
    </row>
    <row r="614" spans="1:2" x14ac:dyDescent="0.25">
      <c r="A614" s="62">
        <v>12141747</v>
      </c>
      <c r="B614" s="63" t="s">
        <v>1319</v>
      </c>
    </row>
    <row r="615" spans="1:2" x14ac:dyDescent="0.25">
      <c r="A615" s="62">
        <v>12141748</v>
      </c>
      <c r="B615" s="63" t="s">
        <v>1320</v>
      </c>
    </row>
    <row r="616" spans="1:2" x14ac:dyDescent="0.25">
      <c r="A616" s="62">
        <v>12141749</v>
      </c>
      <c r="B616" s="63" t="s">
        <v>1321</v>
      </c>
    </row>
    <row r="617" spans="1:2" x14ac:dyDescent="0.25">
      <c r="A617" s="62">
        <v>12141750</v>
      </c>
      <c r="B617" s="63" t="s">
        <v>1322</v>
      </c>
    </row>
    <row r="618" spans="1:2" x14ac:dyDescent="0.25">
      <c r="A618" s="62">
        <v>12141751</v>
      </c>
      <c r="B618" s="63" t="s">
        <v>1323</v>
      </c>
    </row>
    <row r="619" spans="1:2" x14ac:dyDescent="0.25">
      <c r="A619" s="62">
        <v>12141752</v>
      </c>
      <c r="B619" s="63" t="s">
        <v>1324</v>
      </c>
    </row>
    <row r="620" spans="1:2" x14ac:dyDescent="0.25">
      <c r="A620" s="62">
        <v>12141753</v>
      </c>
      <c r="B620" s="63" t="s">
        <v>1325</v>
      </c>
    </row>
    <row r="621" spans="1:2" x14ac:dyDescent="0.25">
      <c r="A621" s="62">
        <v>12141754</v>
      </c>
      <c r="B621" s="63" t="s">
        <v>1326</v>
      </c>
    </row>
    <row r="622" spans="1:2" x14ac:dyDescent="0.25">
      <c r="A622" s="62">
        <v>12141755</v>
      </c>
      <c r="B622" s="63" t="s">
        <v>1327</v>
      </c>
    </row>
    <row r="623" spans="1:2" x14ac:dyDescent="0.25">
      <c r="A623" s="62">
        <v>12141756</v>
      </c>
      <c r="B623" s="63" t="s">
        <v>1328</v>
      </c>
    </row>
    <row r="624" spans="1:2" x14ac:dyDescent="0.25">
      <c r="A624" s="62">
        <v>12141757</v>
      </c>
      <c r="B624" s="63" t="s">
        <v>1329</v>
      </c>
    </row>
    <row r="625" spans="1:2" x14ac:dyDescent="0.25">
      <c r="A625" s="62">
        <v>12141758</v>
      </c>
      <c r="B625" s="63" t="s">
        <v>1330</v>
      </c>
    </row>
    <row r="626" spans="1:2" x14ac:dyDescent="0.25">
      <c r="A626" s="62">
        <v>12141759</v>
      </c>
      <c r="B626" s="63" t="s">
        <v>1331</v>
      </c>
    </row>
    <row r="627" spans="1:2" x14ac:dyDescent="0.25">
      <c r="A627" s="62">
        <v>12141760</v>
      </c>
      <c r="B627" s="63" t="s">
        <v>1332</v>
      </c>
    </row>
    <row r="628" spans="1:2" x14ac:dyDescent="0.25">
      <c r="A628" s="62">
        <v>12141801</v>
      </c>
      <c r="B628" s="63" t="s">
        <v>1333</v>
      </c>
    </row>
    <row r="629" spans="1:2" x14ac:dyDescent="0.25">
      <c r="A629" s="62">
        <v>12141802</v>
      </c>
      <c r="B629" s="63" t="s">
        <v>1334</v>
      </c>
    </row>
    <row r="630" spans="1:2" x14ac:dyDescent="0.25">
      <c r="A630" s="62">
        <v>12141803</v>
      </c>
      <c r="B630" s="63" t="s">
        <v>1335</v>
      </c>
    </row>
    <row r="631" spans="1:2" x14ac:dyDescent="0.25">
      <c r="A631" s="62">
        <v>12141804</v>
      </c>
      <c r="B631" s="63" t="s">
        <v>1336</v>
      </c>
    </row>
    <row r="632" spans="1:2" x14ac:dyDescent="0.25">
      <c r="A632" s="62">
        <v>12141805</v>
      </c>
      <c r="B632" s="63" t="s">
        <v>1337</v>
      </c>
    </row>
    <row r="633" spans="1:2" x14ac:dyDescent="0.25">
      <c r="A633" s="62">
        <v>12141806</v>
      </c>
      <c r="B633" s="63" t="s">
        <v>1338</v>
      </c>
    </row>
    <row r="634" spans="1:2" x14ac:dyDescent="0.25">
      <c r="A634" s="62">
        <v>12141901</v>
      </c>
      <c r="B634" s="63" t="s">
        <v>1339</v>
      </c>
    </row>
    <row r="635" spans="1:2" x14ac:dyDescent="0.25">
      <c r="A635" s="62">
        <v>12141902</v>
      </c>
      <c r="B635" s="63" t="s">
        <v>1340</v>
      </c>
    </row>
    <row r="636" spans="1:2" x14ac:dyDescent="0.25">
      <c r="A636" s="62">
        <v>12141903</v>
      </c>
      <c r="B636" s="63" t="s">
        <v>1341</v>
      </c>
    </row>
    <row r="637" spans="1:2" x14ac:dyDescent="0.25">
      <c r="A637" s="62">
        <v>12141904</v>
      </c>
      <c r="B637" s="63" t="s">
        <v>1342</v>
      </c>
    </row>
    <row r="638" spans="1:2" x14ac:dyDescent="0.25">
      <c r="A638" s="62">
        <v>12141905</v>
      </c>
      <c r="B638" s="63" t="s">
        <v>1343</v>
      </c>
    </row>
    <row r="639" spans="1:2" x14ac:dyDescent="0.25">
      <c r="A639" s="62">
        <v>12141906</v>
      </c>
      <c r="B639" s="63" t="s">
        <v>1344</v>
      </c>
    </row>
    <row r="640" spans="1:2" x14ac:dyDescent="0.25">
      <c r="A640" s="62">
        <v>12141907</v>
      </c>
      <c r="B640" s="63" t="s">
        <v>1345</v>
      </c>
    </row>
    <row r="641" spans="1:2" x14ac:dyDescent="0.25">
      <c r="A641" s="62">
        <v>12141908</v>
      </c>
      <c r="B641" s="63" t="s">
        <v>1346</v>
      </c>
    </row>
    <row r="642" spans="1:2" x14ac:dyDescent="0.25">
      <c r="A642" s="62">
        <v>12141909</v>
      </c>
      <c r="B642" s="63" t="s">
        <v>1347</v>
      </c>
    </row>
    <row r="643" spans="1:2" x14ac:dyDescent="0.25">
      <c r="A643" s="62">
        <v>12141910</v>
      </c>
      <c r="B643" s="63" t="s">
        <v>1348</v>
      </c>
    </row>
    <row r="644" spans="1:2" x14ac:dyDescent="0.25">
      <c r="A644" s="62">
        <v>12141911</v>
      </c>
      <c r="B644" s="63" t="s">
        <v>1349</v>
      </c>
    </row>
    <row r="645" spans="1:2" x14ac:dyDescent="0.25">
      <c r="A645" s="62">
        <v>12141912</v>
      </c>
      <c r="B645" s="63" t="s">
        <v>1350</v>
      </c>
    </row>
    <row r="646" spans="1:2" x14ac:dyDescent="0.25">
      <c r="A646" s="62">
        <v>12141913</v>
      </c>
      <c r="B646" s="63" t="s">
        <v>1351</v>
      </c>
    </row>
    <row r="647" spans="1:2" x14ac:dyDescent="0.25">
      <c r="A647" s="62">
        <v>12141914</v>
      </c>
      <c r="B647" s="63" t="s">
        <v>1352</v>
      </c>
    </row>
    <row r="648" spans="1:2" x14ac:dyDescent="0.25">
      <c r="A648" s="62">
        <v>12141915</v>
      </c>
      <c r="B648" s="63" t="s">
        <v>1353</v>
      </c>
    </row>
    <row r="649" spans="1:2" x14ac:dyDescent="0.25">
      <c r="A649" s="62">
        <v>12141916</v>
      </c>
      <c r="B649" s="63" t="s">
        <v>1354</v>
      </c>
    </row>
    <row r="650" spans="1:2" x14ac:dyDescent="0.25">
      <c r="A650" s="62">
        <v>12142001</v>
      </c>
      <c r="B650" s="63" t="s">
        <v>1355</v>
      </c>
    </row>
    <row r="651" spans="1:2" x14ac:dyDescent="0.25">
      <c r="A651" s="62">
        <v>12142002</v>
      </c>
      <c r="B651" s="63" t="s">
        <v>1356</v>
      </c>
    </row>
    <row r="652" spans="1:2" x14ac:dyDescent="0.25">
      <c r="A652" s="62">
        <v>12142003</v>
      </c>
      <c r="B652" s="63" t="s">
        <v>1357</v>
      </c>
    </row>
    <row r="653" spans="1:2" x14ac:dyDescent="0.25">
      <c r="A653" s="62">
        <v>12142004</v>
      </c>
      <c r="B653" s="63" t="s">
        <v>1358</v>
      </c>
    </row>
    <row r="654" spans="1:2" x14ac:dyDescent="0.25">
      <c r="A654" s="62">
        <v>12142005</v>
      </c>
      <c r="B654" s="63" t="s">
        <v>1359</v>
      </c>
    </row>
    <row r="655" spans="1:2" x14ac:dyDescent="0.25">
      <c r="A655" s="62">
        <v>12142006</v>
      </c>
      <c r="B655" s="63" t="s">
        <v>1360</v>
      </c>
    </row>
    <row r="656" spans="1:2" x14ac:dyDescent="0.25">
      <c r="A656" s="62">
        <v>12142101</v>
      </c>
      <c r="B656" s="63" t="s">
        <v>1361</v>
      </c>
    </row>
    <row r="657" spans="1:2" x14ac:dyDescent="0.25">
      <c r="A657" s="62">
        <v>12142102</v>
      </c>
      <c r="B657" s="63" t="s">
        <v>1362</v>
      </c>
    </row>
    <row r="658" spans="1:2" x14ac:dyDescent="0.25">
      <c r="A658" s="62">
        <v>12142103</v>
      </c>
      <c r="B658" s="63" t="s">
        <v>1363</v>
      </c>
    </row>
    <row r="659" spans="1:2" x14ac:dyDescent="0.25">
      <c r="A659" s="62">
        <v>12142104</v>
      </c>
      <c r="B659" s="63" t="s">
        <v>1364</v>
      </c>
    </row>
    <row r="660" spans="1:2" x14ac:dyDescent="0.25">
      <c r="A660" s="62">
        <v>12142105</v>
      </c>
      <c r="B660" s="63" t="s">
        <v>1365</v>
      </c>
    </row>
    <row r="661" spans="1:2" x14ac:dyDescent="0.25">
      <c r="A661" s="62">
        <v>12142106</v>
      </c>
      <c r="B661" s="63" t="s">
        <v>1366</v>
      </c>
    </row>
    <row r="662" spans="1:2" x14ac:dyDescent="0.25">
      <c r="A662" s="62">
        <v>12142201</v>
      </c>
      <c r="B662" s="63" t="s">
        <v>1367</v>
      </c>
    </row>
    <row r="663" spans="1:2" x14ac:dyDescent="0.25">
      <c r="A663" s="62">
        <v>12142202</v>
      </c>
      <c r="B663" s="63" t="s">
        <v>1368</v>
      </c>
    </row>
    <row r="664" spans="1:2" x14ac:dyDescent="0.25">
      <c r="A664" s="62">
        <v>12142203</v>
      </c>
      <c r="B664" s="63" t="s">
        <v>1369</v>
      </c>
    </row>
    <row r="665" spans="1:2" x14ac:dyDescent="0.25">
      <c r="A665" s="62">
        <v>12142204</v>
      </c>
      <c r="B665" s="63" t="s">
        <v>1370</v>
      </c>
    </row>
    <row r="666" spans="1:2" x14ac:dyDescent="0.25">
      <c r="A666" s="62">
        <v>12142205</v>
      </c>
      <c r="B666" s="63" t="s">
        <v>1371</v>
      </c>
    </row>
    <row r="667" spans="1:2" x14ac:dyDescent="0.25">
      <c r="A667" s="62">
        <v>12142206</v>
      </c>
      <c r="B667" s="63" t="s">
        <v>1372</v>
      </c>
    </row>
    <row r="668" spans="1:2" x14ac:dyDescent="0.25">
      <c r="A668" s="62">
        <v>12142207</v>
      </c>
      <c r="B668" s="63" t="s">
        <v>1373</v>
      </c>
    </row>
    <row r="669" spans="1:2" x14ac:dyDescent="0.25">
      <c r="A669" s="62">
        <v>12142208</v>
      </c>
      <c r="B669" s="63" t="s">
        <v>1374</v>
      </c>
    </row>
    <row r="670" spans="1:2" x14ac:dyDescent="0.25">
      <c r="A670" s="62">
        <v>12161501</v>
      </c>
      <c r="B670" s="63" t="s">
        <v>1375</v>
      </c>
    </row>
    <row r="671" spans="1:2" x14ac:dyDescent="0.25">
      <c r="A671" s="62">
        <v>12161502</v>
      </c>
      <c r="B671" s="63" t="s">
        <v>1376</v>
      </c>
    </row>
    <row r="672" spans="1:2" x14ac:dyDescent="0.25">
      <c r="A672" s="62">
        <v>12161503</v>
      </c>
      <c r="B672" s="63" t="s">
        <v>1377</v>
      </c>
    </row>
    <row r="673" spans="1:2" x14ac:dyDescent="0.25">
      <c r="A673" s="62">
        <v>12161504</v>
      </c>
      <c r="B673" s="63" t="s">
        <v>1378</v>
      </c>
    </row>
    <row r="674" spans="1:2" x14ac:dyDescent="0.25">
      <c r="A674" s="62">
        <v>12161505</v>
      </c>
      <c r="B674" s="63" t="s">
        <v>1379</v>
      </c>
    </row>
    <row r="675" spans="1:2" x14ac:dyDescent="0.25">
      <c r="A675" s="62">
        <v>12161506</v>
      </c>
      <c r="B675" s="63" t="s">
        <v>1380</v>
      </c>
    </row>
    <row r="676" spans="1:2" x14ac:dyDescent="0.25">
      <c r="A676" s="62">
        <v>12161507</v>
      </c>
      <c r="B676" s="63" t="s">
        <v>1381</v>
      </c>
    </row>
    <row r="677" spans="1:2" x14ac:dyDescent="0.25">
      <c r="A677" s="62">
        <v>12161601</v>
      </c>
      <c r="B677" s="63" t="s">
        <v>1382</v>
      </c>
    </row>
    <row r="678" spans="1:2" x14ac:dyDescent="0.25">
      <c r="A678" s="62">
        <v>12161602</v>
      </c>
      <c r="B678" s="63" t="s">
        <v>1383</v>
      </c>
    </row>
    <row r="679" spans="1:2" x14ac:dyDescent="0.25">
      <c r="A679" s="62">
        <v>12161603</v>
      </c>
      <c r="B679" s="63" t="s">
        <v>1384</v>
      </c>
    </row>
    <row r="680" spans="1:2" x14ac:dyDescent="0.25">
      <c r="A680" s="62">
        <v>12161604</v>
      </c>
      <c r="B680" s="63" t="s">
        <v>1385</v>
      </c>
    </row>
    <row r="681" spans="1:2" x14ac:dyDescent="0.25">
      <c r="A681" s="62">
        <v>12161701</v>
      </c>
      <c r="B681" s="63" t="s">
        <v>1386</v>
      </c>
    </row>
    <row r="682" spans="1:2" x14ac:dyDescent="0.25">
      <c r="A682" s="62">
        <v>12161702</v>
      </c>
      <c r="B682" s="63" t="s">
        <v>1387</v>
      </c>
    </row>
    <row r="683" spans="1:2" x14ac:dyDescent="0.25">
      <c r="A683" s="62">
        <v>12161703</v>
      </c>
      <c r="B683" s="63" t="s">
        <v>1388</v>
      </c>
    </row>
    <row r="684" spans="1:2" x14ac:dyDescent="0.25">
      <c r="A684" s="62">
        <v>12161704</v>
      </c>
      <c r="B684" s="63" t="s">
        <v>1389</v>
      </c>
    </row>
    <row r="685" spans="1:2" x14ac:dyDescent="0.25">
      <c r="A685" s="62">
        <v>12161705</v>
      </c>
      <c r="B685" s="63" t="s">
        <v>1390</v>
      </c>
    </row>
    <row r="686" spans="1:2" x14ac:dyDescent="0.25">
      <c r="A686" s="62">
        <v>12161706</v>
      </c>
      <c r="B686" s="63" t="s">
        <v>1391</v>
      </c>
    </row>
    <row r="687" spans="1:2" x14ac:dyDescent="0.25">
      <c r="A687" s="62">
        <v>12161801</v>
      </c>
      <c r="B687" s="63" t="s">
        <v>1392</v>
      </c>
    </row>
    <row r="688" spans="1:2" x14ac:dyDescent="0.25">
      <c r="A688" s="62">
        <v>12161802</v>
      </c>
      <c r="B688" s="63" t="s">
        <v>1393</v>
      </c>
    </row>
    <row r="689" spans="1:2" x14ac:dyDescent="0.25">
      <c r="A689" s="62">
        <v>12161803</v>
      </c>
      <c r="B689" s="63" t="s">
        <v>1394</v>
      </c>
    </row>
    <row r="690" spans="1:2" x14ac:dyDescent="0.25">
      <c r="A690" s="62">
        <v>12161804</v>
      </c>
      <c r="B690" s="63" t="s">
        <v>1395</v>
      </c>
    </row>
    <row r="691" spans="1:2" x14ac:dyDescent="0.25">
      <c r="A691" s="62">
        <v>12161805</v>
      </c>
      <c r="B691" s="63" t="s">
        <v>1396</v>
      </c>
    </row>
    <row r="692" spans="1:2" x14ac:dyDescent="0.25">
      <c r="A692" s="62">
        <v>12161806</v>
      </c>
      <c r="B692" s="63" t="s">
        <v>1397</v>
      </c>
    </row>
    <row r="693" spans="1:2" x14ac:dyDescent="0.25">
      <c r="A693" s="62">
        <v>12161807</v>
      </c>
      <c r="B693" s="63" t="s">
        <v>1398</v>
      </c>
    </row>
    <row r="694" spans="1:2" x14ac:dyDescent="0.25">
      <c r="A694" s="62">
        <v>12161808</v>
      </c>
      <c r="B694" s="63" t="s">
        <v>1399</v>
      </c>
    </row>
    <row r="695" spans="1:2" x14ac:dyDescent="0.25">
      <c r="A695" s="62">
        <v>12161901</v>
      </c>
      <c r="B695" s="63" t="s">
        <v>1400</v>
      </c>
    </row>
    <row r="696" spans="1:2" x14ac:dyDescent="0.25">
      <c r="A696" s="62">
        <v>12161902</v>
      </c>
      <c r="B696" s="63" t="s">
        <v>1401</v>
      </c>
    </row>
    <row r="697" spans="1:2" x14ac:dyDescent="0.25">
      <c r="A697" s="62">
        <v>12161903</v>
      </c>
      <c r="B697" s="63" t="s">
        <v>1402</v>
      </c>
    </row>
    <row r="698" spans="1:2" x14ac:dyDescent="0.25">
      <c r="A698" s="62">
        <v>12161904</v>
      </c>
      <c r="B698" s="63" t="s">
        <v>1403</v>
      </c>
    </row>
    <row r="699" spans="1:2" x14ac:dyDescent="0.25">
      <c r="A699" s="62">
        <v>12161905</v>
      </c>
      <c r="B699" s="63" t="s">
        <v>1404</v>
      </c>
    </row>
    <row r="700" spans="1:2" x14ac:dyDescent="0.25">
      <c r="A700" s="62">
        <v>12161906</v>
      </c>
      <c r="B700" s="63" t="s">
        <v>1405</v>
      </c>
    </row>
    <row r="701" spans="1:2" x14ac:dyDescent="0.25">
      <c r="A701" s="62">
        <v>12161907</v>
      </c>
      <c r="B701" s="63" t="s">
        <v>1406</v>
      </c>
    </row>
    <row r="702" spans="1:2" x14ac:dyDescent="0.25">
      <c r="A702" s="62">
        <v>12162002</v>
      </c>
      <c r="B702" s="63" t="s">
        <v>1407</v>
      </c>
    </row>
    <row r="703" spans="1:2" x14ac:dyDescent="0.25">
      <c r="A703" s="62">
        <v>12162003</v>
      </c>
      <c r="B703" s="63" t="s">
        <v>1408</v>
      </c>
    </row>
    <row r="704" spans="1:2" x14ac:dyDescent="0.25">
      <c r="A704" s="62">
        <v>12162004</v>
      </c>
      <c r="B704" s="63" t="s">
        <v>1409</v>
      </c>
    </row>
    <row r="705" spans="1:2" x14ac:dyDescent="0.25">
      <c r="A705" s="62">
        <v>12162005</v>
      </c>
      <c r="B705" s="63" t="s">
        <v>1410</v>
      </c>
    </row>
    <row r="706" spans="1:2" x14ac:dyDescent="0.25">
      <c r="A706" s="62">
        <v>12162101</v>
      </c>
      <c r="B706" s="63" t="s">
        <v>1411</v>
      </c>
    </row>
    <row r="707" spans="1:2" x14ac:dyDescent="0.25">
      <c r="A707" s="62">
        <v>12162201</v>
      </c>
      <c r="B707" s="63" t="s">
        <v>1412</v>
      </c>
    </row>
    <row r="708" spans="1:2" x14ac:dyDescent="0.25">
      <c r="A708" s="62">
        <v>12162202</v>
      </c>
      <c r="B708" s="63" t="s">
        <v>1413</v>
      </c>
    </row>
    <row r="709" spans="1:2" x14ac:dyDescent="0.25">
      <c r="A709" s="62">
        <v>12162203</v>
      </c>
      <c r="B709" s="63" t="s">
        <v>1414</v>
      </c>
    </row>
    <row r="710" spans="1:2" x14ac:dyDescent="0.25">
      <c r="A710" s="62">
        <v>12162204</v>
      </c>
      <c r="B710" s="63" t="s">
        <v>1415</v>
      </c>
    </row>
    <row r="711" spans="1:2" x14ac:dyDescent="0.25">
      <c r="A711" s="62">
        <v>12162205</v>
      </c>
      <c r="B711" s="63" t="s">
        <v>1416</v>
      </c>
    </row>
    <row r="712" spans="1:2" x14ac:dyDescent="0.25">
      <c r="A712" s="62">
        <v>12162206</v>
      </c>
      <c r="B712" s="63" t="s">
        <v>1417</v>
      </c>
    </row>
    <row r="713" spans="1:2" x14ac:dyDescent="0.25">
      <c r="A713" s="62">
        <v>12162207</v>
      </c>
      <c r="B713" s="63" t="s">
        <v>1418</v>
      </c>
    </row>
    <row r="714" spans="1:2" x14ac:dyDescent="0.25">
      <c r="A714" s="62">
        <v>12162208</v>
      </c>
      <c r="B714" s="63" t="s">
        <v>1419</v>
      </c>
    </row>
    <row r="715" spans="1:2" x14ac:dyDescent="0.25">
      <c r="A715" s="62">
        <v>12162209</v>
      </c>
      <c r="B715" s="63" t="s">
        <v>1420</v>
      </c>
    </row>
    <row r="716" spans="1:2" x14ac:dyDescent="0.25">
      <c r="A716" s="62">
        <v>12162210</v>
      </c>
      <c r="B716" s="63" t="s">
        <v>1421</v>
      </c>
    </row>
    <row r="717" spans="1:2" x14ac:dyDescent="0.25">
      <c r="A717" s="62">
        <v>12162211</v>
      </c>
      <c r="B717" s="63" t="s">
        <v>1422</v>
      </c>
    </row>
    <row r="718" spans="1:2" x14ac:dyDescent="0.25">
      <c r="A718" s="62">
        <v>12162212</v>
      </c>
      <c r="B718" s="63" t="s">
        <v>1423</v>
      </c>
    </row>
    <row r="719" spans="1:2" x14ac:dyDescent="0.25">
      <c r="A719" s="62">
        <v>12162301</v>
      </c>
      <c r="B719" s="63" t="s">
        <v>1424</v>
      </c>
    </row>
    <row r="720" spans="1:2" x14ac:dyDescent="0.25">
      <c r="A720" s="62">
        <v>12162302</v>
      </c>
      <c r="B720" s="63" t="s">
        <v>1425</v>
      </c>
    </row>
    <row r="721" spans="1:2" x14ac:dyDescent="0.25">
      <c r="A721" s="62">
        <v>12162303</v>
      </c>
      <c r="B721" s="63" t="s">
        <v>1426</v>
      </c>
    </row>
    <row r="722" spans="1:2" x14ac:dyDescent="0.25">
      <c r="A722" s="62">
        <v>12162401</v>
      </c>
      <c r="B722" s="63" t="s">
        <v>1427</v>
      </c>
    </row>
    <row r="723" spans="1:2" x14ac:dyDescent="0.25">
      <c r="A723" s="62">
        <v>12162402</v>
      </c>
      <c r="B723" s="63" t="s">
        <v>1428</v>
      </c>
    </row>
    <row r="724" spans="1:2" x14ac:dyDescent="0.25">
      <c r="A724" s="62">
        <v>12162501</v>
      </c>
      <c r="B724" s="63" t="s">
        <v>1429</v>
      </c>
    </row>
    <row r="725" spans="1:2" x14ac:dyDescent="0.25">
      <c r="A725" s="62">
        <v>12162502</v>
      </c>
      <c r="B725" s="63" t="s">
        <v>1430</v>
      </c>
    </row>
    <row r="726" spans="1:2" x14ac:dyDescent="0.25">
      <c r="A726" s="62">
        <v>12162503</v>
      </c>
      <c r="B726" s="63" t="s">
        <v>1431</v>
      </c>
    </row>
    <row r="727" spans="1:2" x14ac:dyDescent="0.25">
      <c r="A727" s="62">
        <v>12162601</v>
      </c>
      <c r="B727" s="63" t="s">
        <v>1432</v>
      </c>
    </row>
    <row r="728" spans="1:2" x14ac:dyDescent="0.25">
      <c r="A728" s="62">
        <v>12162602</v>
      </c>
      <c r="B728" s="63" t="s">
        <v>1433</v>
      </c>
    </row>
    <row r="729" spans="1:2" x14ac:dyDescent="0.25">
      <c r="A729" s="62">
        <v>12162701</v>
      </c>
      <c r="B729" s="63" t="s">
        <v>1434</v>
      </c>
    </row>
    <row r="730" spans="1:2" x14ac:dyDescent="0.25">
      <c r="A730" s="62">
        <v>12162702</v>
      </c>
      <c r="B730" s="63" t="s">
        <v>1435</v>
      </c>
    </row>
    <row r="731" spans="1:2" x14ac:dyDescent="0.25">
      <c r="A731" s="62">
        <v>12162801</v>
      </c>
      <c r="B731" s="63" t="s">
        <v>1436</v>
      </c>
    </row>
    <row r="732" spans="1:2" x14ac:dyDescent="0.25">
      <c r="A732" s="62">
        <v>12162802</v>
      </c>
      <c r="B732" s="63" t="s">
        <v>1437</v>
      </c>
    </row>
    <row r="733" spans="1:2" x14ac:dyDescent="0.25">
      <c r="A733" s="62">
        <v>12162901</v>
      </c>
      <c r="B733" s="63" t="s">
        <v>1438</v>
      </c>
    </row>
    <row r="734" spans="1:2" x14ac:dyDescent="0.25">
      <c r="A734" s="62">
        <v>12162902</v>
      </c>
      <c r="B734" s="63" t="s">
        <v>1439</v>
      </c>
    </row>
    <row r="735" spans="1:2" x14ac:dyDescent="0.25">
      <c r="A735" s="62">
        <v>12162903</v>
      </c>
      <c r="B735" s="63" t="s">
        <v>1440</v>
      </c>
    </row>
    <row r="736" spans="1:2" x14ac:dyDescent="0.25">
      <c r="A736" s="62">
        <v>12163001</v>
      </c>
      <c r="B736" s="63" t="s">
        <v>1441</v>
      </c>
    </row>
    <row r="737" spans="1:2" x14ac:dyDescent="0.25">
      <c r="A737" s="62">
        <v>12163101</v>
      </c>
      <c r="B737" s="63" t="s">
        <v>1442</v>
      </c>
    </row>
    <row r="738" spans="1:2" x14ac:dyDescent="0.25">
      <c r="A738" s="62">
        <v>12163201</v>
      </c>
      <c r="B738" s="63" t="s">
        <v>1443</v>
      </c>
    </row>
    <row r="739" spans="1:2" x14ac:dyDescent="0.25">
      <c r="A739" s="62">
        <v>12163301</v>
      </c>
      <c r="B739" s="63" t="s">
        <v>1444</v>
      </c>
    </row>
    <row r="740" spans="1:2" x14ac:dyDescent="0.25">
      <c r="A740" s="62">
        <v>12163401</v>
      </c>
      <c r="B740" s="63" t="s">
        <v>1445</v>
      </c>
    </row>
    <row r="741" spans="1:2" x14ac:dyDescent="0.25">
      <c r="A741" s="62">
        <v>12163501</v>
      </c>
      <c r="B741" s="63" t="s">
        <v>1446</v>
      </c>
    </row>
    <row r="742" spans="1:2" x14ac:dyDescent="0.25">
      <c r="A742" s="62">
        <v>12163601</v>
      </c>
      <c r="B742" s="63" t="s">
        <v>1447</v>
      </c>
    </row>
    <row r="743" spans="1:2" x14ac:dyDescent="0.25">
      <c r="A743" s="62">
        <v>12163602</v>
      </c>
      <c r="B743" s="63" t="s">
        <v>1448</v>
      </c>
    </row>
    <row r="744" spans="1:2" x14ac:dyDescent="0.25">
      <c r="A744" s="62">
        <v>12163701</v>
      </c>
      <c r="B744" s="63" t="s">
        <v>1449</v>
      </c>
    </row>
    <row r="745" spans="1:2" x14ac:dyDescent="0.25">
      <c r="A745" s="62">
        <v>12163801</v>
      </c>
      <c r="B745" s="63" t="s">
        <v>1450</v>
      </c>
    </row>
    <row r="746" spans="1:2" x14ac:dyDescent="0.25">
      <c r="A746" s="62">
        <v>12163802</v>
      </c>
      <c r="B746" s="63" t="s">
        <v>1451</v>
      </c>
    </row>
    <row r="747" spans="1:2" x14ac:dyDescent="0.25">
      <c r="A747" s="62">
        <v>12163901</v>
      </c>
      <c r="B747" s="63" t="s">
        <v>1452</v>
      </c>
    </row>
    <row r="748" spans="1:2" x14ac:dyDescent="0.25">
      <c r="A748" s="62">
        <v>12163902</v>
      </c>
      <c r="B748" s="63" t="s">
        <v>1453</v>
      </c>
    </row>
    <row r="749" spans="1:2" x14ac:dyDescent="0.25">
      <c r="A749" s="62">
        <v>12164001</v>
      </c>
      <c r="B749" s="63" t="s">
        <v>1454</v>
      </c>
    </row>
    <row r="750" spans="1:2" x14ac:dyDescent="0.25">
      <c r="A750" s="62">
        <v>12164101</v>
      </c>
      <c r="B750" s="63" t="s">
        <v>1455</v>
      </c>
    </row>
    <row r="751" spans="1:2" x14ac:dyDescent="0.25">
      <c r="A751" s="62">
        <v>12164102</v>
      </c>
      <c r="B751" s="63" t="s">
        <v>1456</v>
      </c>
    </row>
    <row r="752" spans="1:2" x14ac:dyDescent="0.25">
      <c r="A752" s="62">
        <v>12164201</v>
      </c>
      <c r="B752" s="63" t="s">
        <v>1457</v>
      </c>
    </row>
    <row r="753" spans="1:2" x14ac:dyDescent="0.25">
      <c r="A753" s="62">
        <v>12164301</v>
      </c>
      <c r="B753" s="63" t="s">
        <v>1458</v>
      </c>
    </row>
    <row r="754" spans="1:2" x14ac:dyDescent="0.25">
      <c r="A754" s="62">
        <v>12164401</v>
      </c>
      <c r="B754" s="63" t="s">
        <v>1459</v>
      </c>
    </row>
    <row r="755" spans="1:2" x14ac:dyDescent="0.25">
      <c r="A755" s="62">
        <v>12164501</v>
      </c>
      <c r="B755" s="63" t="s">
        <v>1460</v>
      </c>
    </row>
    <row r="756" spans="1:2" x14ac:dyDescent="0.25">
      <c r="A756" s="62">
        <v>12164502</v>
      </c>
      <c r="B756" s="63" t="s">
        <v>1461</v>
      </c>
    </row>
    <row r="757" spans="1:2" x14ac:dyDescent="0.25">
      <c r="A757" s="62">
        <v>12164503</v>
      </c>
      <c r="B757" s="63" t="s">
        <v>1462</v>
      </c>
    </row>
    <row r="758" spans="1:2" x14ac:dyDescent="0.25">
      <c r="A758" s="62">
        <v>12164504</v>
      </c>
      <c r="B758" s="63" t="s">
        <v>1463</v>
      </c>
    </row>
    <row r="759" spans="1:2" x14ac:dyDescent="0.25">
      <c r="A759" s="62">
        <v>12171501</v>
      </c>
      <c r="B759" s="63" t="s">
        <v>1464</v>
      </c>
    </row>
    <row r="760" spans="1:2" x14ac:dyDescent="0.25">
      <c r="A760" s="62">
        <v>12171502</v>
      </c>
      <c r="B760" s="63" t="s">
        <v>1465</v>
      </c>
    </row>
    <row r="761" spans="1:2" x14ac:dyDescent="0.25">
      <c r="A761" s="62">
        <v>12171503</v>
      </c>
      <c r="B761" s="63" t="s">
        <v>1466</v>
      </c>
    </row>
    <row r="762" spans="1:2" x14ac:dyDescent="0.25">
      <c r="A762" s="62">
        <v>12171504</v>
      </c>
      <c r="B762" s="63" t="s">
        <v>1467</v>
      </c>
    </row>
    <row r="763" spans="1:2" x14ac:dyDescent="0.25">
      <c r="A763" s="62">
        <v>12171505</v>
      </c>
      <c r="B763" s="63" t="s">
        <v>1468</v>
      </c>
    </row>
    <row r="764" spans="1:2" x14ac:dyDescent="0.25">
      <c r="A764" s="62">
        <v>12171506</v>
      </c>
      <c r="B764" s="63" t="s">
        <v>1469</v>
      </c>
    </row>
    <row r="765" spans="1:2" x14ac:dyDescent="0.25">
      <c r="A765" s="62">
        <v>12171602</v>
      </c>
      <c r="B765" s="63" t="s">
        <v>1470</v>
      </c>
    </row>
    <row r="766" spans="1:2" x14ac:dyDescent="0.25">
      <c r="A766" s="62">
        <v>12171603</v>
      </c>
      <c r="B766" s="63" t="s">
        <v>1471</v>
      </c>
    </row>
    <row r="767" spans="1:2" x14ac:dyDescent="0.25">
      <c r="A767" s="62">
        <v>12171604</v>
      </c>
      <c r="B767" s="63" t="s">
        <v>1472</v>
      </c>
    </row>
    <row r="768" spans="1:2" x14ac:dyDescent="0.25">
      <c r="A768" s="62">
        <v>12171605</v>
      </c>
      <c r="B768" s="63" t="s">
        <v>1473</v>
      </c>
    </row>
    <row r="769" spans="1:2" x14ac:dyDescent="0.25">
      <c r="A769" s="62">
        <v>12171701</v>
      </c>
      <c r="B769" s="63" t="s">
        <v>1474</v>
      </c>
    </row>
    <row r="770" spans="1:2" x14ac:dyDescent="0.25">
      <c r="A770" s="62">
        <v>12171702</v>
      </c>
      <c r="B770" s="63" t="s">
        <v>1475</v>
      </c>
    </row>
    <row r="771" spans="1:2" x14ac:dyDescent="0.25">
      <c r="A771" s="62">
        <v>12171703</v>
      </c>
      <c r="B771" s="63" t="s">
        <v>1476</v>
      </c>
    </row>
    <row r="772" spans="1:2" x14ac:dyDescent="0.25">
      <c r="A772" s="62">
        <v>12181501</v>
      </c>
      <c r="B772" s="63" t="s">
        <v>1477</v>
      </c>
    </row>
    <row r="773" spans="1:2" x14ac:dyDescent="0.25">
      <c r="A773" s="62">
        <v>12181502</v>
      </c>
      <c r="B773" s="63" t="s">
        <v>1478</v>
      </c>
    </row>
    <row r="774" spans="1:2" x14ac:dyDescent="0.25">
      <c r="A774" s="62">
        <v>12181503</v>
      </c>
      <c r="B774" s="63" t="s">
        <v>1479</v>
      </c>
    </row>
    <row r="775" spans="1:2" x14ac:dyDescent="0.25">
      <c r="A775" s="62">
        <v>12181504</v>
      </c>
      <c r="B775" s="63" t="s">
        <v>1480</v>
      </c>
    </row>
    <row r="776" spans="1:2" x14ac:dyDescent="0.25">
      <c r="A776" s="62">
        <v>12181601</v>
      </c>
      <c r="B776" s="63" t="s">
        <v>1481</v>
      </c>
    </row>
    <row r="777" spans="1:2" x14ac:dyDescent="0.25">
      <c r="A777" s="62">
        <v>12181602</v>
      </c>
      <c r="B777" s="63" t="s">
        <v>1482</v>
      </c>
    </row>
    <row r="778" spans="1:2" x14ac:dyDescent="0.25">
      <c r="A778" s="62">
        <v>12191501</v>
      </c>
      <c r="B778" s="63" t="s">
        <v>1483</v>
      </c>
    </row>
    <row r="779" spans="1:2" x14ac:dyDescent="0.25">
      <c r="A779" s="62">
        <v>12191502</v>
      </c>
      <c r="B779" s="63" t="s">
        <v>1484</v>
      </c>
    </row>
    <row r="780" spans="1:2" x14ac:dyDescent="0.25">
      <c r="A780" s="62">
        <v>12191503</v>
      </c>
      <c r="B780" s="63" t="s">
        <v>1485</v>
      </c>
    </row>
    <row r="781" spans="1:2" x14ac:dyDescent="0.25">
      <c r="A781" s="62">
        <v>12191504</v>
      </c>
      <c r="B781" s="63" t="s">
        <v>1486</v>
      </c>
    </row>
    <row r="782" spans="1:2" x14ac:dyDescent="0.25">
      <c r="A782" s="62">
        <v>12191601</v>
      </c>
      <c r="B782" s="63" t="s">
        <v>1487</v>
      </c>
    </row>
    <row r="783" spans="1:2" x14ac:dyDescent="0.25">
      <c r="A783" s="62">
        <v>12191602</v>
      </c>
      <c r="B783" s="63" t="s">
        <v>1488</v>
      </c>
    </row>
    <row r="784" spans="1:2" x14ac:dyDescent="0.25">
      <c r="A784" s="62">
        <v>12352001</v>
      </c>
      <c r="B784" s="63" t="s">
        <v>1489</v>
      </c>
    </row>
    <row r="785" spans="1:2" x14ac:dyDescent="0.25">
      <c r="A785" s="62">
        <v>12352002</v>
      </c>
      <c r="B785" s="63" t="s">
        <v>1490</v>
      </c>
    </row>
    <row r="786" spans="1:2" x14ac:dyDescent="0.25">
      <c r="A786" s="62">
        <v>12352003</v>
      </c>
      <c r="B786" s="63" t="s">
        <v>1491</v>
      </c>
    </row>
    <row r="787" spans="1:2" x14ac:dyDescent="0.25">
      <c r="A787" s="62">
        <v>12352005</v>
      </c>
      <c r="B787" s="63" t="s">
        <v>1492</v>
      </c>
    </row>
    <row r="788" spans="1:2" x14ac:dyDescent="0.25">
      <c r="A788" s="62">
        <v>12352101</v>
      </c>
      <c r="B788" s="63" t="s">
        <v>1493</v>
      </c>
    </row>
    <row r="789" spans="1:2" x14ac:dyDescent="0.25">
      <c r="A789" s="62">
        <v>12352102</v>
      </c>
      <c r="B789" s="63" t="s">
        <v>1494</v>
      </c>
    </row>
    <row r="790" spans="1:2" x14ac:dyDescent="0.25">
      <c r="A790" s="62">
        <v>12352103</v>
      </c>
      <c r="B790" s="63" t="s">
        <v>1495</v>
      </c>
    </row>
    <row r="791" spans="1:2" x14ac:dyDescent="0.25">
      <c r="A791" s="62">
        <v>12352104</v>
      </c>
      <c r="B791" s="63" t="s">
        <v>1496</v>
      </c>
    </row>
    <row r="792" spans="1:2" x14ac:dyDescent="0.25">
      <c r="A792" s="62">
        <v>12352105</v>
      </c>
      <c r="B792" s="63" t="s">
        <v>1497</v>
      </c>
    </row>
    <row r="793" spans="1:2" x14ac:dyDescent="0.25">
      <c r="A793" s="62">
        <v>12352106</v>
      </c>
      <c r="B793" s="63" t="s">
        <v>1498</v>
      </c>
    </row>
    <row r="794" spans="1:2" x14ac:dyDescent="0.25">
      <c r="A794" s="62">
        <v>12352107</v>
      </c>
      <c r="B794" s="63" t="s">
        <v>1499</v>
      </c>
    </row>
    <row r="795" spans="1:2" x14ac:dyDescent="0.25">
      <c r="A795" s="62">
        <v>12352108</v>
      </c>
      <c r="B795" s="63" t="s">
        <v>1500</v>
      </c>
    </row>
    <row r="796" spans="1:2" x14ac:dyDescent="0.25">
      <c r="A796" s="62">
        <v>12352111</v>
      </c>
      <c r="B796" s="63" t="s">
        <v>1501</v>
      </c>
    </row>
    <row r="797" spans="1:2" x14ac:dyDescent="0.25">
      <c r="A797" s="62">
        <v>12352112</v>
      </c>
      <c r="B797" s="63" t="s">
        <v>1500</v>
      </c>
    </row>
    <row r="798" spans="1:2" x14ac:dyDescent="0.25">
      <c r="A798" s="62">
        <v>12352113</v>
      </c>
      <c r="B798" s="63" t="s">
        <v>1502</v>
      </c>
    </row>
    <row r="799" spans="1:2" x14ac:dyDescent="0.25">
      <c r="A799" s="62">
        <v>12352114</v>
      </c>
      <c r="B799" s="63" t="s">
        <v>1503</v>
      </c>
    </row>
    <row r="800" spans="1:2" x14ac:dyDescent="0.25">
      <c r="A800" s="62">
        <v>12352115</v>
      </c>
      <c r="B800" s="63" t="s">
        <v>1504</v>
      </c>
    </row>
    <row r="801" spans="1:2" x14ac:dyDescent="0.25">
      <c r="A801" s="62">
        <v>12352116</v>
      </c>
      <c r="B801" s="63" t="s">
        <v>1505</v>
      </c>
    </row>
    <row r="802" spans="1:2" x14ac:dyDescent="0.25">
      <c r="A802" s="62">
        <v>12352117</v>
      </c>
      <c r="B802" s="63" t="s">
        <v>1506</v>
      </c>
    </row>
    <row r="803" spans="1:2" x14ac:dyDescent="0.25">
      <c r="A803" s="62">
        <v>12352118</v>
      </c>
      <c r="B803" s="63" t="s">
        <v>1507</v>
      </c>
    </row>
    <row r="804" spans="1:2" x14ac:dyDescent="0.25">
      <c r="A804" s="62">
        <v>12352119</v>
      </c>
      <c r="B804" s="63" t="s">
        <v>1508</v>
      </c>
    </row>
    <row r="805" spans="1:2" x14ac:dyDescent="0.25">
      <c r="A805" s="62">
        <v>12352120</v>
      </c>
      <c r="B805" s="63" t="s">
        <v>1509</v>
      </c>
    </row>
    <row r="806" spans="1:2" x14ac:dyDescent="0.25">
      <c r="A806" s="62">
        <v>12352121</v>
      </c>
      <c r="B806" s="63" t="s">
        <v>1510</v>
      </c>
    </row>
    <row r="807" spans="1:2" x14ac:dyDescent="0.25">
      <c r="A807" s="62">
        <v>12352123</v>
      </c>
      <c r="B807" s="63" t="s">
        <v>1511</v>
      </c>
    </row>
    <row r="808" spans="1:2" x14ac:dyDescent="0.25">
      <c r="A808" s="62">
        <v>12352124</v>
      </c>
      <c r="B808" s="63" t="s">
        <v>1512</v>
      </c>
    </row>
    <row r="809" spans="1:2" x14ac:dyDescent="0.25">
      <c r="A809" s="62">
        <v>12352125</v>
      </c>
      <c r="B809" s="63" t="s">
        <v>1513</v>
      </c>
    </row>
    <row r="810" spans="1:2" x14ac:dyDescent="0.25">
      <c r="A810" s="62">
        <v>12352126</v>
      </c>
      <c r="B810" s="63" t="s">
        <v>1514</v>
      </c>
    </row>
    <row r="811" spans="1:2" x14ac:dyDescent="0.25">
      <c r="A811" s="62">
        <v>12352127</v>
      </c>
      <c r="B811" s="63" t="s">
        <v>1515</v>
      </c>
    </row>
    <row r="812" spans="1:2" x14ac:dyDescent="0.25">
      <c r="A812" s="62">
        <v>12352128</v>
      </c>
      <c r="B812" s="63" t="s">
        <v>1516</v>
      </c>
    </row>
    <row r="813" spans="1:2" x14ac:dyDescent="0.25">
      <c r="A813" s="62">
        <v>12352129</v>
      </c>
      <c r="B813" s="63" t="s">
        <v>1517</v>
      </c>
    </row>
    <row r="814" spans="1:2" x14ac:dyDescent="0.25">
      <c r="A814" s="62">
        <v>12352130</v>
      </c>
      <c r="B814" s="63" t="s">
        <v>1518</v>
      </c>
    </row>
    <row r="815" spans="1:2" x14ac:dyDescent="0.25">
      <c r="A815" s="62">
        <v>12352201</v>
      </c>
      <c r="B815" s="63" t="s">
        <v>1519</v>
      </c>
    </row>
    <row r="816" spans="1:2" x14ac:dyDescent="0.25">
      <c r="A816" s="62">
        <v>12352202</v>
      </c>
      <c r="B816" s="63" t="s">
        <v>1520</v>
      </c>
    </row>
    <row r="817" spans="1:2" x14ac:dyDescent="0.25">
      <c r="A817" s="62">
        <v>12352203</v>
      </c>
      <c r="B817" s="63" t="s">
        <v>1521</v>
      </c>
    </row>
    <row r="818" spans="1:2" x14ac:dyDescent="0.25">
      <c r="A818" s="62">
        <v>12352204</v>
      </c>
      <c r="B818" s="63" t="s">
        <v>1522</v>
      </c>
    </row>
    <row r="819" spans="1:2" x14ac:dyDescent="0.25">
      <c r="A819" s="62">
        <v>12352205</v>
      </c>
      <c r="B819" s="63" t="s">
        <v>1523</v>
      </c>
    </row>
    <row r="820" spans="1:2" x14ac:dyDescent="0.25">
      <c r="A820" s="62">
        <v>12352206</v>
      </c>
      <c r="B820" s="63" t="s">
        <v>1524</v>
      </c>
    </row>
    <row r="821" spans="1:2" x14ac:dyDescent="0.25">
      <c r="A821" s="62">
        <v>12352207</v>
      </c>
      <c r="B821" s="63" t="s">
        <v>1525</v>
      </c>
    </row>
    <row r="822" spans="1:2" x14ac:dyDescent="0.25">
      <c r="A822" s="62">
        <v>12352208</v>
      </c>
      <c r="B822" s="63" t="s">
        <v>1526</v>
      </c>
    </row>
    <row r="823" spans="1:2" x14ac:dyDescent="0.25">
      <c r="A823" s="62">
        <v>12352209</v>
      </c>
      <c r="B823" s="63" t="s">
        <v>1527</v>
      </c>
    </row>
    <row r="824" spans="1:2" x14ac:dyDescent="0.25">
      <c r="A824" s="62">
        <v>12352210</v>
      </c>
      <c r="B824" s="63" t="s">
        <v>1528</v>
      </c>
    </row>
    <row r="825" spans="1:2" x14ac:dyDescent="0.25">
      <c r="A825" s="62">
        <v>12352211</v>
      </c>
      <c r="B825" s="63" t="s">
        <v>1529</v>
      </c>
    </row>
    <row r="826" spans="1:2" x14ac:dyDescent="0.25">
      <c r="A826" s="62">
        <v>12352212</v>
      </c>
      <c r="B826" s="63" t="s">
        <v>1530</v>
      </c>
    </row>
    <row r="827" spans="1:2" x14ac:dyDescent="0.25">
      <c r="A827" s="62">
        <v>12352301</v>
      </c>
      <c r="B827" s="63" t="s">
        <v>1531</v>
      </c>
    </row>
    <row r="828" spans="1:2" x14ac:dyDescent="0.25">
      <c r="A828" s="62">
        <v>12352302</v>
      </c>
      <c r="B828" s="63" t="s">
        <v>1532</v>
      </c>
    </row>
    <row r="829" spans="1:2" x14ac:dyDescent="0.25">
      <c r="A829" s="62">
        <v>12352303</v>
      </c>
      <c r="B829" s="63" t="s">
        <v>1533</v>
      </c>
    </row>
    <row r="830" spans="1:2" x14ac:dyDescent="0.25">
      <c r="A830" s="62">
        <v>12352304</v>
      </c>
      <c r="B830" s="63" t="s">
        <v>1534</v>
      </c>
    </row>
    <row r="831" spans="1:2" x14ac:dyDescent="0.25">
      <c r="A831" s="62">
        <v>12352305</v>
      </c>
      <c r="B831" s="63" t="s">
        <v>1535</v>
      </c>
    </row>
    <row r="832" spans="1:2" x14ac:dyDescent="0.25">
      <c r="A832" s="62">
        <v>12352306</v>
      </c>
      <c r="B832" s="63" t="s">
        <v>1536</v>
      </c>
    </row>
    <row r="833" spans="1:2" x14ac:dyDescent="0.25">
      <c r="A833" s="62">
        <v>12352307</v>
      </c>
      <c r="B833" s="63" t="s">
        <v>1537</v>
      </c>
    </row>
    <row r="834" spans="1:2" x14ac:dyDescent="0.25">
      <c r="A834" s="62">
        <v>12352308</v>
      </c>
      <c r="B834" s="63" t="s">
        <v>1538</v>
      </c>
    </row>
    <row r="835" spans="1:2" x14ac:dyDescent="0.25">
      <c r="A835" s="62">
        <v>12352309</v>
      </c>
      <c r="B835" s="63" t="s">
        <v>1539</v>
      </c>
    </row>
    <row r="836" spans="1:2" x14ac:dyDescent="0.25">
      <c r="A836" s="62">
        <v>12352310</v>
      </c>
      <c r="B836" s="63" t="s">
        <v>1540</v>
      </c>
    </row>
    <row r="837" spans="1:2" x14ac:dyDescent="0.25">
      <c r="A837" s="62">
        <v>12352311</v>
      </c>
      <c r="B837" s="63" t="s">
        <v>1541</v>
      </c>
    </row>
    <row r="838" spans="1:2" x14ac:dyDescent="0.25">
      <c r="A838" s="62">
        <v>12352312</v>
      </c>
      <c r="B838" s="63" t="s">
        <v>1542</v>
      </c>
    </row>
    <row r="839" spans="1:2" x14ac:dyDescent="0.25">
      <c r="A839" s="62">
        <v>12352401</v>
      </c>
      <c r="B839" s="63" t="s">
        <v>1543</v>
      </c>
    </row>
    <row r="840" spans="1:2" x14ac:dyDescent="0.25">
      <c r="A840" s="62">
        <v>12352402</v>
      </c>
      <c r="B840" s="63" t="s">
        <v>1544</v>
      </c>
    </row>
    <row r="841" spans="1:2" x14ac:dyDescent="0.25">
      <c r="A841" s="62">
        <v>12352501</v>
      </c>
      <c r="B841" s="63" t="s">
        <v>1545</v>
      </c>
    </row>
    <row r="842" spans="1:2" x14ac:dyDescent="0.25">
      <c r="A842" s="62">
        <v>12352502</v>
      </c>
      <c r="B842" s="63" t="s">
        <v>1546</v>
      </c>
    </row>
    <row r="843" spans="1:2" x14ac:dyDescent="0.25">
      <c r="A843" s="62">
        <v>12352503</v>
      </c>
      <c r="B843" s="63" t="s">
        <v>1547</v>
      </c>
    </row>
    <row r="844" spans="1:2" x14ac:dyDescent="0.25">
      <c r="A844" s="62">
        <v>13101501</v>
      </c>
      <c r="B844" s="63" t="s">
        <v>1548</v>
      </c>
    </row>
    <row r="845" spans="1:2" x14ac:dyDescent="0.25">
      <c r="A845" s="62">
        <v>13101502</v>
      </c>
      <c r="B845" s="63" t="s">
        <v>1549</v>
      </c>
    </row>
    <row r="846" spans="1:2" x14ac:dyDescent="0.25">
      <c r="A846" s="62">
        <v>13101503</v>
      </c>
      <c r="B846" s="63" t="s">
        <v>1550</v>
      </c>
    </row>
    <row r="847" spans="1:2" x14ac:dyDescent="0.25">
      <c r="A847" s="62">
        <v>13101504</v>
      </c>
      <c r="B847" s="63" t="s">
        <v>1551</v>
      </c>
    </row>
    <row r="848" spans="1:2" x14ac:dyDescent="0.25">
      <c r="A848" s="62">
        <v>13101505</v>
      </c>
      <c r="B848" s="63" t="s">
        <v>1552</v>
      </c>
    </row>
    <row r="849" spans="1:2" x14ac:dyDescent="0.25">
      <c r="A849" s="62">
        <v>13101601</v>
      </c>
      <c r="B849" s="63" t="s">
        <v>1553</v>
      </c>
    </row>
    <row r="850" spans="1:2" x14ac:dyDescent="0.25">
      <c r="A850" s="62">
        <v>13101602</v>
      </c>
      <c r="B850" s="63" t="s">
        <v>1554</v>
      </c>
    </row>
    <row r="851" spans="1:2" x14ac:dyDescent="0.25">
      <c r="A851" s="62">
        <v>13101603</v>
      </c>
      <c r="B851" s="63" t="s">
        <v>1555</v>
      </c>
    </row>
    <row r="852" spans="1:2" x14ac:dyDescent="0.25">
      <c r="A852" s="62">
        <v>13101604</v>
      </c>
      <c r="B852" s="63" t="s">
        <v>1556</v>
      </c>
    </row>
    <row r="853" spans="1:2" x14ac:dyDescent="0.25">
      <c r="A853" s="62">
        <v>13101605</v>
      </c>
      <c r="B853" s="63" t="s">
        <v>1557</v>
      </c>
    </row>
    <row r="854" spans="1:2" x14ac:dyDescent="0.25">
      <c r="A854" s="62">
        <v>13101606</v>
      </c>
      <c r="B854" s="63" t="s">
        <v>1558</v>
      </c>
    </row>
    <row r="855" spans="1:2" x14ac:dyDescent="0.25">
      <c r="A855" s="62">
        <v>13101607</v>
      </c>
      <c r="B855" s="63" t="s">
        <v>1559</v>
      </c>
    </row>
    <row r="856" spans="1:2" x14ac:dyDescent="0.25">
      <c r="A856" s="62">
        <v>13101701</v>
      </c>
      <c r="B856" s="63" t="s">
        <v>1560</v>
      </c>
    </row>
    <row r="857" spans="1:2" x14ac:dyDescent="0.25">
      <c r="A857" s="62">
        <v>13101702</v>
      </c>
      <c r="B857" s="63" t="s">
        <v>1561</v>
      </c>
    </row>
    <row r="858" spans="1:2" x14ac:dyDescent="0.25">
      <c r="A858" s="62">
        <v>13101703</v>
      </c>
      <c r="B858" s="63" t="s">
        <v>1562</v>
      </c>
    </row>
    <row r="859" spans="1:2" x14ac:dyDescent="0.25">
      <c r="A859" s="62">
        <v>13101704</v>
      </c>
      <c r="B859" s="63" t="s">
        <v>1563</v>
      </c>
    </row>
    <row r="860" spans="1:2" x14ac:dyDescent="0.25">
      <c r="A860" s="62">
        <v>13101705</v>
      </c>
      <c r="B860" s="63" t="s">
        <v>1564</v>
      </c>
    </row>
    <row r="861" spans="1:2" x14ac:dyDescent="0.25">
      <c r="A861" s="62">
        <v>13101706</v>
      </c>
      <c r="B861" s="63" t="s">
        <v>1565</v>
      </c>
    </row>
    <row r="862" spans="1:2" x14ac:dyDescent="0.25">
      <c r="A862" s="62">
        <v>13101707</v>
      </c>
      <c r="B862" s="63" t="s">
        <v>1566</v>
      </c>
    </row>
    <row r="863" spans="1:2" x14ac:dyDescent="0.25">
      <c r="A863" s="62">
        <v>13101708</v>
      </c>
      <c r="B863" s="63" t="s">
        <v>1567</v>
      </c>
    </row>
    <row r="864" spans="1:2" x14ac:dyDescent="0.25">
      <c r="A864" s="62">
        <v>13101709</v>
      </c>
      <c r="B864" s="63" t="s">
        <v>1568</v>
      </c>
    </row>
    <row r="865" spans="1:2" x14ac:dyDescent="0.25">
      <c r="A865" s="62">
        <v>13101710</v>
      </c>
      <c r="B865" s="63" t="s">
        <v>1569</v>
      </c>
    </row>
    <row r="866" spans="1:2" x14ac:dyDescent="0.25">
      <c r="A866" s="62">
        <v>13101711</v>
      </c>
      <c r="B866" s="63" t="s">
        <v>1570</v>
      </c>
    </row>
    <row r="867" spans="1:2" x14ac:dyDescent="0.25">
      <c r="A867" s="62">
        <v>13101712</v>
      </c>
      <c r="B867" s="63" t="s">
        <v>1571</v>
      </c>
    </row>
    <row r="868" spans="1:2" x14ac:dyDescent="0.25">
      <c r="A868" s="62">
        <v>13101713</v>
      </c>
      <c r="B868" s="63" t="s">
        <v>1572</v>
      </c>
    </row>
    <row r="869" spans="1:2" x14ac:dyDescent="0.25">
      <c r="A869" s="62">
        <v>13101714</v>
      </c>
      <c r="B869" s="63" t="s">
        <v>1573</v>
      </c>
    </row>
    <row r="870" spans="1:2" x14ac:dyDescent="0.25">
      <c r="A870" s="62">
        <v>13101715</v>
      </c>
      <c r="B870" s="63" t="s">
        <v>1574</v>
      </c>
    </row>
    <row r="871" spans="1:2" x14ac:dyDescent="0.25">
      <c r="A871" s="62">
        <v>13101716</v>
      </c>
      <c r="B871" s="63" t="s">
        <v>1575</v>
      </c>
    </row>
    <row r="872" spans="1:2" x14ac:dyDescent="0.25">
      <c r="A872" s="62">
        <v>13101717</v>
      </c>
      <c r="B872" s="63" t="s">
        <v>1576</v>
      </c>
    </row>
    <row r="873" spans="1:2" x14ac:dyDescent="0.25">
      <c r="A873" s="62">
        <v>13101718</v>
      </c>
      <c r="B873" s="63" t="s">
        <v>1577</v>
      </c>
    </row>
    <row r="874" spans="1:2" x14ac:dyDescent="0.25">
      <c r="A874" s="62">
        <v>13101719</v>
      </c>
      <c r="B874" s="63" t="s">
        <v>1578</v>
      </c>
    </row>
    <row r="875" spans="1:2" x14ac:dyDescent="0.25">
      <c r="A875" s="62">
        <v>13101720</v>
      </c>
      <c r="B875" s="63" t="s">
        <v>1579</v>
      </c>
    </row>
    <row r="876" spans="1:2" x14ac:dyDescent="0.25">
      <c r="A876" s="62">
        <v>13101721</v>
      </c>
      <c r="B876" s="63" t="s">
        <v>1580</v>
      </c>
    </row>
    <row r="877" spans="1:2" x14ac:dyDescent="0.25">
      <c r="A877" s="62">
        <v>13101722</v>
      </c>
      <c r="B877" s="63" t="s">
        <v>1581</v>
      </c>
    </row>
    <row r="878" spans="1:2" x14ac:dyDescent="0.25">
      <c r="A878" s="62">
        <v>13101723</v>
      </c>
      <c r="B878" s="63" t="s">
        <v>1582</v>
      </c>
    </row>
    <row r="879" spans="1:2" x14ac:dyDescent="0.25">
      <c r="A879" s="62">
        <v>13101724</v>
      </c>
      <c r="B879" s="63" t="s">
        <v>1583</v>
      </c>
    </row>
    <row r="880" spans="1:2" x14ac:dyDescent="0.25">
      <c r="A880" s="62">
        <v>13101902</v>
      </c>
      <c r="B880" s="63" t="s">
        <v>1584</v>
      </c>
    </row>
    <row r="881" spans="1:2" x14ac:dyDescent="0.25">
      <c r="A881" s="62">
        <v>13101903</v>
      </c>
      <c r="B881" s="63" t="s">
        <v>1585</v>
      </c>
    </row>
    <row r="882" spans="1:2" x14ac:dyDescent="0.25">
      <c r="A882" s="62">
        <v>13101904</v>
      </c>
      <c r="B882" s="63" t="s">
        <v>1586</v>
      </c>
    </row>
    <row r="883" spans="1:2" x14ac:dyDescent="0.25">
      <c r="A883" s="62">
        <v>13101905</v>
      </c>
      <c r="B883" s="63" t="s">
        <v>1587</v>
      </c>
    </row>
    <row r="884" spans="1:2" x14ac:dyDescent="0.25">
      <c r="A884" s="62">
        <v>13101906</v>
      </c>
      <c r="B884" s="63" t="s">
        <v>1588</v>
      </c>
    </row>
    <row r="885" spans="1:2" x14ac:dyDescent="0.25">
      <c r="A885" s="62">
        <v>13102001</v>
      </c>
      <c r="B885" s="63" t="s">
        <v>1589</v>
      </c>
    </row>
    <row r="886" spans="1:2" x14ac:dyDescent="0.25">
      <c r="A886" s="62">
        <v>13102002</v>
      </c>
      <c r="B886" s="63" t="s">
        <v>1590</v>
      </c>
    </row>
    <row r="887" spans="1:2" x14ac:dyDescent="0.25">
      <c r="A887" s="62">
        <v>13102003</v>
      </c>
      <c r="B887" s="63" t="s">
        <v>1591</v>
      </c>
    </row>
    <row r="888" spans="1:2" x14ac:dyDescent="0.25">
      <c r="A888" s="62">
        <v>13102005</v>
      </c>
      <c r="B888" s="63" t="s">
        <v>1592</v>
      </c>
    </row>
    <row r="889" spans="1:2" x14ac:dyDescent="0.25">
      <c r="A889" s="62">
        <v>13102006</v>
      </c>
      <c r="B889" s="63" t="s">
        <v>1593</v>
      </c>
    </row>
    <row r="890" spans="1:2" x14ac:dyDescent="0.25">
      <c r="A890" s="62">
        <v>13102008</v>
      </c>
      <c r="B890" s="63" t="s">
        <v>1594</v>
      </c>
    </row>
    <row r="891" spans="1:2" x14ac:dyDescent="0.25">
      <c r="A891" s="62">
        <v>13102009</v>
      </c>
      <c r="B891" s="63" t="s">
        <v>1595</v>
      </c>
    </row>
    <row r="892" spans="1:2" x14ac:dyDescent="0.25">
      <c r="A892" s="62">
        <v>13102010</v>
      </c>
      <c r="B892" s="63" t="s">
        <v>1596</v>
      </c>
    </row>
    <row r="893" spans="1:2" x14ac:dyDescent="0.25">
      <c r="A893" s="62">
        <v>13102011</v>
      </c>
      <c r="B893" s="63" t="s">
        <v>1597</v>
      </c>
    </row>
    <row r="894" spans="1:2" x14ac:dyDescent="0.25">
      <c r="A894" s="62">
        <v>13102012</v>
      </c>
      <c r="B894" s="63" t="s">
        <v>1598</v>
      </c>
    </row>
    <row r="895" spans="1:2" x14ac:dyDescent="0.25">
      <c r="A895" s="62">
        <v>13102013</v>
      </c>
      <c r="B895" s="63" t="s">
        <v>1599</v>
      </c>
    </row>
    <row r="896" spans="1:2" x14ac:dyDescent="0.25">
      <c r="A896" s="62">
        <v>13102014</v>
      </c>
      <c r="B896" s="63" t="s">
        <v>1600</v>
      </c>
    </row>
    <row r="897" spans="1:2" x14ac:dyDescent="0.25">
      <c r="A897" s="62">
        <v>13102015</v>
      </c>
      <c r="B897" s="63" t="s">
        <v>1601</v>
      </c>
    </row>
    <row r="898" spans="1:2" x14ac:dyDescent="0.25">
      <c r="A898" s="62">
        <v>13102016</v>
      </c>
      <c r="B898" s="63" t="s">
        <v>1602</v>
      </c>
    </row>
    <row r="899" spans="1:2" x14ac:dyDescent="0.25">
      <c r="A899" s="62">
        <v>13102017</v>
      </c>
      <c r="B899" s="63" t="s">
        <v>1603</v>
      </c>
    </row>
    <row r="900" spans="1:2" x14ac:dyDescent="0.25">
      <c r="A900" s="62">
        <v>13102018</v>
      </c>
      <c r="B900" s="63" t="s">
        <v>1604</v>
      </c>
    </row>
    <row r="901" spans="1:2" x14ac:dyDescent="0.25">
      <c r="A901" s="62">
        <v>13102019</v>
      </c>
      <c r="B901" s="63" t="s">
        <v>1605</v>
      </c>
    </row>
    <row r="902" spans="1:2" x14ac:dyDescent="0.25">
      <c r="A902" s="62">
        <v>13102020</v>
      </c>
      <c r="B902" s="63" t="s">
        <v>1606</v>
      </c>
    </row>
    <row r="903" spans="1:2" x14ac:dyDescent="0.25">
      <c r="A903" s="62">
        <v>13102021</v>
      </c>
      <c r="B903" s="63" t="s">
        <v>1607</v>
      </c>
    </row>
    <row r="904" spans="1:2" x14ac:dyDescent="0.25">
      <c r="A904" s="62">
        <v>13102022</v>
      </c>
      <c r="B904" s="63" t="s">
        <v>1608</v>
      </c>
    </row>
    <row r="905" spans="1:2" x14ac:dyDescent="0.25">
      <c r="A905" s="62">
        <v>13102023</v>
      </c>
      <c r="B905" s="63" t="s">
        <v>1609</v>
      </c>
    </row>
    <row r="906" spans="1:2" x14ac:dyDescent="0.25">
      <c r="A906" s="62">
        <v>13102024</v>
      </c>
      <c r="B906" s="63" t="s">
        <v>1610</v>
      </c>
    </row>
    <row r="907" spans="1:2" x14ac:dyDescent="0.25">
      <c r="A907" s="62">
        <v>13102025</v>
      </c>
      <c r="B907" s="63" t="s">
        <v>1611</v>
      </c>
    </row>
    <row r="908" spans="1:2" x14ac:dyDescent="0.25">
      <c r="A908" s="62">
        <v>13102026</v>
      </c>
      <c r="B908" s="63" t="s">
        <v>1612</v>
      </c>
    </row>
    <row r="909" spans="1:2" x14ac:dyDescent="0.25">
      <c r="A909" s="62">
        <v>13102027</v>
      </c>
      <c r="B909" s="63" t="s">
        <v>1613</v>
      </c>
    </row>
    <row r="910" spans="1:2" x14ac:dyDescent="0.25">
      <c r="A910" s="62">
        <v>13102028</v>
      </c>
      <c r="B910" s="63" t="s">
        <v>1614</v>
      </c>
    </row>
    <row r="911" spans="1:2" x14ac:dyDescent="0.25">
      <c r="A911" s="62">
        <v>13102029</v>
      </c>
      <c r="B911" s="63" t="s">
        <v>1615</v>
      </c>
    </row>
    <row r="912" spans="1:2" x14ac:dyDescent="0.25">
      <c r="A912" s="62">
        <v>13102030</v>
      </c>
      <c r="B912" s="63" t="s">
        <v>1616</v>
      </c>
    </row>
    <row r="913" spans="1:2" x14ac:dyDescent="0.25">
      <c r="A913" s="62">
        <v>13102031</v>
      </c>
      <c r="B913" s="63" t="s">
        <v>1617</v>
      </c>
    </row>
    <row r="914" spans="1:2" x14ac:dyDescent="0.25">
      <c r="A914" s="62">
        <v>13111001</v>
      </c>
      <c r="B914" s="63" t="s">
        <v>1618</v>
      </c>
    </row>
    <row r="915" spans="1:2" x14ac:dyDescent="0.25">
      <c r="A915" s="62">
        <v>13111002</v>
      </c>
      <c r="B915" s="63" t="s">
        <v>1619</v>
      </c>
    </row>
    <row r="916" spans="1:2" x14ac:dyDescent="0.25">
      <c r="A916" s="62">
        <v>13111003</v>
      </c>
      <c r="B916" s="63" t="s">
        <v>1620</v>
      </c>
    </row>
    <row r="917" spans="1:2" x14ac:dyDescent="0.25">
      <c r="A917" s="62">
        <v>13111004</v>
      </c>
      <c r="B917" s="63" t="s">
        <v>1621</v>
      </c>
    </row>
    <row r="918" spans="1:2" x14ac:dyDescent="0.25">
      <c r="A918" s="62">
        <v>13111005</v>
      </c>
      <c r="B918" s="63" t="s">
        <v>1622</v>
      </c>
    </row>
    <row r="919" spans="1:2" x14ac:dyDescent="0.25">
      <c r="A919" s="62">
        <v>13111006</v>
      </c>
      <c r="B919" s="63" t="s">
        <v>1623</v>
      </c>
    </row>
    <row r="920" spans="1:2" x14ac:dyDescent="0.25">
      <c r="A920" s="62">
        <v>13111007</v>
      </c>
      <c r="B920" s="63" t="s">
        <v>1624</v>
      </c>
    </row>
    <row r="921" spans="1:2" x14ac:dyDescent="0.25">
      <c r="A921" s="62">
        <v>13111008</v>
      </c>
      <c r="B921" s="63" t="s">
        <v>1625</v>
      </c>
    </row>
    <row r="922" spans="1:2" x14ac:dyDescent="0.25">
      <c r="A922" s="62">
        <v>13111009</v>
      </c>
      <c r="B922" s="63" t="s">
        <v>1626</v>
      </c>
    </row>
    <row r="923" spans="1:2" x14ac:dyDescent="0.25">
      <c r="A923" s="62">
        <v>13111010</v>
      </c>
      <c r="B923" s="63" t="s">
        <v>1627</v>
      </c>
    </row>
    <row r="924" spans="1:2" x14ac:dyDescent="0.25">
      <c r="A924" s="62">
        <v>13111011</v>
      </c>
      <c r="B924" s="63" t="s">
        <v>1628</v>
      </c>
    </row>
    <row r="925" spans="1:2" x14ac:dyDescent="0.25">
      <c r="A925" s="62">
        <v>13111012</v>
      </c>
      <c r="B925" s="63" t="s">
        <v>1629</v>
      </c>
    </row>
    <row r="926" spans="1:2" x14ac:dyDescent="0.25">
      <c r="A926" s="62">
        <v>13111013</v>
      </c>
      <c r="B926" s="63" t="s">
        <v>1630</v>
      </c>
    </row>
    <row r="927" spans="1:2" x14ac:dyDescent="0.25">
      <c r="A927" s="62">
        <v>13111014</v>
      </c>
      <c r="B927" s="63" t="s">
        <v>1631</v>
      </c>
    </row>
    <row r="928" spans="1:2" x14ac:dyDescent="0.25">
      <c r="A928" s="62">
        <v>13111015</v>
      </c>
      <c r="B928" s="63" t="s">
        <v>1632</v>
      </c>
    </row>
    <row r="929" spans="1:2" x14ac:dyDescent="0.25">
      <c r="A929" s="62">
        <v>13111016</v>
      </c>
      <c r="B929" s="63" t="s">
        <v>1633</v>
      </c>
    </row>
    <row r="930" spans="1:2" x14ac:dyDescent="0.25">
      <c r="A930" s="62">
        <v>13111017</v>
      </c>
      <c r="B930" s="63" t="s">
        <v>1634</v>
      </c>
    </row>
    <row r="931" spans="1:2" x14ac:dyDescent="0.25">
      <c r="A931" s="62">
        <v>13111018</v>
      </c>
      <c r="B931" s="63" t="s">
        <v>1635</v>
      </c>
    </row>
    <row r="932" spans="1:2" x14ac:dyDescent="0.25">
      <c r="A932" s="62">
        <v>13111019</v>
      </c>
      <c r="B932" s="63" t="s">
        <v>1636</v>
      </c>
    </row>
    <row r="933" spans="1:2" x14ac:dyDescent="0.25">
      <c r="A933" s="62">
        <v>13111020</v>
      </c>
      <c r="B933" s="63" t="s">
        <v>1637</v>
      </c>
    </row>
    <row r="934" spans="1:2" x14ac:dyDescent="0.25">
      <c r="A934" s="62">
        <v>13111021</v>
      </c>
      <c r="B934" s="63" t="s">
        <v>1638</v>
      </c>
    </row>
    <row r="935" spans="1:2" x14ac:dyDescent="0.25">
      <c r="A935" s="62">
        <v>13111022</v>
      </c>
      <c r="B935" s="63" t="s">
        <v>1639</v>
      </c>
    </row>
    <row r="936" spans="1:2" x14ac:dyDescent="0.25">
      <c r="A936" s="62">
        <v>13111023</v>
      </c>
      <c r="B936" s="63" t="s">
        <v>1640</v>
      </c>
    </row>
    <row r="937" spans="1:2" x14ac:dyDescent="0.25">
      <c r="A937" s="62">
        <v>13111024</v>
      </c>
      <c r="B937" s="63" t="s">
        <v>1641</v>
      </c>
    </row>
    <row r="938" spans="1:2" x14ac:dyDescent="0.25">
      <c r="A938" s="62">
        <v>13111025</v>
      </c>
      <c r="B938" s="63" t="s">
        <v>1642</v>
      </c>
    </row>
    <row r="939" spans="1:2" x14ac:dyDescent="0.25">
      <c r="A939" s="62">
        <v>13111026</v>
      </c>
      <c r="B939" s="63" t="s">
        <v>1643</v>
      </c>
    </row>
    <row r="940" spans="1:2" x14ac:dyDescent="0.25">
      <c r="A940" s="62">
        <v>13111027</v>
      </c>
      <c r="B940" s="63" t="s">
        <v>1644</v>
      </c>
    </row>
    <row r="941" spans="1:2" x14ac:dyDescent="0.25">
      <c r="A941" s="62">
        <v>13111028</v>
      </c>
      <c r="B941" s="63" t="s">
        <v>1645</v>
      </c>
    </row>
    <row r="942" spans="1:2" x14ac:dyDescent="0.25">
      <c r="A942" s="62">
        <v>13111029</v>
      </c>
      <c r="B942" s="63" t="s">
        <v>1646</v>
      </c>
    </row>
    <row r="943" spans="1:2" x14ac:dyDescent="0.25">
      <c r="A943" s="62">
        <v>13111030</v>
      </c>
      <c r="B943" s="63" t="s">
        <v>1647</v>
      </c>
    </row>
    <row r="944" spans="1:2" x14ac:dyDescent="0.25">
      <c r="A944" s="62">
        <v>13111031</v>
      </c>
      <c r="B944" s="63" t="s">
        <v>1648</v>
      </c>
    </row>
    <row r="945" spans="1:2" x14ac:dyDescent="0.25">
      <c r="A945" s="62">
        <v>13111032</v>
      </c>
      <c r="B945" s="63" t="s">
        <v>1649</v>
      </c>
    </row>
    <row r="946" spans="1:2" x14ac:dyDescent="0.25">
      <c r="A946" s="62">
        <v>13111033</v>
      </c>
      <c r="B946" s="63" t="s">
        <v>1650</v>
      </c>
    </row>
    <row r="947" spans="1:2" x14ac:dyDescent="0.25">
      <c r="A947" s="62">
        <v>13111034</v>
      </c>
      <c r="B947" s="63" t="s">
        <v>1651</v>
      </c>
    </row>
    <row r="948" spans="1:2" x14ac:dyDescent="0.25">
      <c r="A948" s="62">
        <v>13111035</v>
      </c>
      <c r="B948" s="63" t="s">
        <v>1652</v>
      </c>
    </row>
    <row r="949" spans="1:2" x14ac:dyDescent="0.25">
      <c r="A949" s="62">
        <v>13111036</v>
      </c>
      <c r="B949" s="63" t="s">
        <v>1653</v>
      </c>
    </row>
    <row r="950" spans="1:2" x14ac:dyDescent="0.25">
      <c r="A950" s="62">
        <v>13111037</v>
      </c>
      <c r="B950" s="63" t="s">
        <v>1654</v>
      </c>
    </row>
    <row r="951" spans="1:2" x14ac:dyDescent="0.25">
      <c r="A951" s="62">
        <v>13111038</v>
      </c>
      <c r="B951" s="63" t="s">
        <v>1655</v>
      </c>
    </row>
    <row r="952" spans="1:2" x14ac:dyDescent="0.25">
      <c r="A952" s="62">
        <v>13111039</v>
      </c>
      <c r="B952" s="63" t="s">
        <v>1656</v>
      </c>
    </row>
    <row r="953" spans="1:2" x14ac:dyDescent="0.25">
      <c r="A953" s="62">
        <v>13111040</v>
      </c>
      <c r="B953" s="63" t="s">
        <v>1657</v>
      </c>
    </row>
    <row r="954" spans="1:2" x14ac:dyDescent="0.25">
      <c r="A954" s="62">
        <v>13111041</v>
      </c>
      <c r="B954" s="63" t="s">
        <v>1658</v>
      </c>
    </row>
    <row r="955" spans="1:2" x14ac:dyDescent="0.25">
      <c r="A955" s="62">
        <v>13111042</v>
      </c>
      <c r="B955" s="63" t="s">
        <v>1659</v>
      </c>
    </row>
    <row r="956" spans="1:2" x14ac:dyDescent="0.25">
      <c r="A956" s="62">
        <v>13111043</v>
      </c>
      <c r="B956" s="63" t="s">
        <v>1660</v>
      </c>
    </row>
    <row r="957" spans="1:2" x14ac:dyDescent="0.25">
      <c r="A957" s="62">
        <v>13111044</v>
      </c>
      <c r="B957" s="63" t="s">
        <v>1661</v>
      </c>
    </row>
    <row r="958" spans="1:2" x14ac:dyDescent="0.25">
      <c r="A958" s="62">
        <v>13111045</v>
      </c>
      <c r="B958" s="63" t="s">
        <v>1662</v>
      </c>
    </row>
    <row r="959" spans="1:2" x14ac:dyDescent="0.25">
      <c r="A959" s="62">
        <v>13111046</v>
      </c>
      <c r="B959" s="63" t="s">
        <v>1663</v>
      </c>
    </row>
    <row r="960" spans="1:2" x14ac:dyDescent="0.25">
      <c r="A960" s="62">
        <v>13111047</v>
      </c>
      <c r="B960" s="63" t="s">
        <v>1664</v>
      </c>
    </row>
    <row r="961" spans="1:2" x14ac:dyDescent="0.25">
      <c r="A961" s="62">
        <v>13111048</v>
      </c>
      <c r="B961" s="63" t="s">
        <v>1665</v>
      </c>
    </row>
    <row r="962" spans="1:2" x14ac:dyDescent="0.25">
      <c r="A962" s="62">
        <v>13111049</v>
      </c>
      <c r="B962" s="63" t="s">
        <v>1666</v>
      </c>
    </row>
    <row r="963" spans="1:2" x14ac:dyDescent="0.25">
      <c r="A963" s="62">
        <v>13111050</v>
      </c>
      <c r="B963" s="63" t="s">
        <v>1667</v>
      </c>
    </row>
    <row r="964" spans="1:2" x14ac:dyDescent="0.25">
      <c r="A964" s="62">
        <v>13111051</v>
      </c>
      <c r="B964" s="63" t="s">
        <v>1668</v>
      </c>
    </row>
    <row r="965" spans="1:2" x14ac:dyDescent="0.25">
      <c r="A965" s="62">
        <v>13111052</v>
      </c>
      <c r="B965" s="63" t="s">
        <v>1669</v>
      </c>
    </row>
    <row r="966" spans="1:2" x14ac:dyDescent="0.25">
      <c r="A966" s="62">
        <v>13111053</v>
      </c>
      <c r="B966" s="63" t="s">
        <v>1670</v>
      </c>
    </row>
    <row r="967" spans="1:2" x14ac:dyDescent="0.25">
      <c r="A967" s="62">
        <v>13111054</v>
      </c>
      <c r="B967" s="63" t="s">
        <v>1671</v>
      </c>
    </row>
    <row r="968" spans="1:2" x14ac:dyDescent="0.25">
      <c r="A968" s="62">
        <v>13111055</v>
      </c>
      <c r="B968" s="63" t="s">
        <v>1672</v>
      </c>
    </row>
    <row r="969" spans="1:2" x14ac:dyDescent="0.25">
      <c r="A969" s="62">
        <v>13111056</v>
      </c>
      <c r="B969" s="63" t="s">
        <v>1673</v>
      </c>
    </row>
    <row r="970" spans="1:2" x14ac:dyDescent="0.25">
      <c r="A970" s="62">
        <v>13111057</v>
      </c>
      <c r="B970" s="63" t="s">
        <v>1674</v>
      </c>
    </row>
    <row r="971" spans="1:2" x14ac:dyDescent="0.25">
      <c r="A971" s="62">
        <v>13111058</v>
      </c>
      <c r="B971" s="63" t="s">
        <v>1675</v>
      </c>
    </row>
    <row r="972" spans="1:2" x14ac:dyDescent="0.25">
      <c r="A972" s="62">
        <v>13111059</v>
      </c>
      <c r="B972" s="63" t="s">
        <v>1676</v>
      </c>
    </row>
    <row r="973" spans="1:2" x14ac:dyDescent="0.25">
      <c r="A973" s="62">
        <v>13111060</v>
      </c>
      <c r="B973" s="63" t="s">
        <v>1677</v>
      </c>
    </row>
    <row r="974" spans="1:2" x14ac:dyDescent="0.25">
      <c r="A974" s="62">
        <v>13111061</v>
      </c>
      <c r="B974" s="63" t="s">
        <v>1678</v>
      </c>
    </row>
    <row r="975" spans="1:2" x14ac:dyDescent="0.25">
      <c r="A975" s="62">
        <v>13111062</v>
      </c>
      <c r="B975" s="63" t="s">
        <v>1679</v>
      </c>
    </row>
    <row r="976" spans="1:2" x14ac:dyDescent="0.25">
      <c r="A976" s="62">
        <v>13111063</v>
      </c>
      <c r="B976" s="63" t="s">
        <v>1680</v>
      </c>
    </row>
    <row r="977" spans="1:2" x14ac:dyDescent="0.25">
      <c r="A977" s="62">
        <v>13111064</v>
      </c>
      <c r="B977" s="63" t="s">
        <v>1681</v>
      </c>
    </row>
    <row r="978" spans="1:2" x14ac:dyDescent="0.25">
      <c r="A978" s="62">
        <v>13111065</v>
      </c>
      <c r="B978" s="63" t="s">
        <v>1682</v>
      </c>
    </row>
    <row r="979" spans="1:2" x14ac:dyDescent="0.25">
      <c r="A979" s="62">
        <v>13111066</v>
      </c>
      <c r="B979" s="63" t="s">
        <v>1683</v>
      </c>
    </row>
    <row r="980" spans="1:2" x14ac:dyDescent="0.25">
      <c r="A980" s="62">
        <v>13111101</v>
      </c>
      <c r="B980" s="63" t="s">
        <v>1684</v>
      </c>
    </row>
    <row r="981" spans="1:2" x14ac:dyDescent="0.25">
      <c r="A981" s="62">
        <v>13111102</v>
      </c>
      <c r="B981" s="63" t="s">
        <v>1685</v>
      </c>
    </row>
    <row r="982" spans="1:2" x14ac:dyDescent="0.25">
      <c r="A982" s="62">
        <v>13111103</v>
      </c>
      <c r="B982" s="63" t="s">
        <v>1686</v>
      </c>
    </row>
    <row r="983" spans="1:2" x14ac:dyDescent="0.25">
      <c r="A983" s="62">
        <v>13111201</v>
      </c>
      <c r="B983" s="63" t="s">
        <v>1687</v>
      </c>
    </row>
    <row r="984" spans="1:2" x14ac:dyDescent="0.25">
      <c r="A984" s="62">
        <v>13111202</v>
      </c>
      <c r="B984" s="63" t="s">
        <v>1688</v>
      </c>
    </row>
    <row r="985" spans="1:2" x14ac:dyDescent="0.25">
      <c r="A985" s="62">
        <v>13111203</v>
      </c>
      <c r="B985" s="63" t="s">
        <v>1689</v>
      </c>
    </row>
    <row r="986" spans="1:2" x14ac:dyDescent="0.25">
      <c r="A986" s="62">
        <v>13111204</v>
      </c>
      <c r="B986" s="63" t="s">
        <v>1690</v>
      </c>
    </row>
    <row r="987" spans="1:2" x14ac:dyDescent="0.25">
      <c r="A987" s="62">
        <v>13111205</v>
      </c>
      <c r="B987" s="63" t="s">
        <v>1691</v>
      </c>
    </row>
    <row r="988" spans="1:2" x14ac:dyDescent="0.25">
      <c r="A988" s="62">
        <v>13111206</v>
      </c>
      <c r="B988" s="63" t="s">
        <v>1692</v>
      </c>
    </row>
    <row r="989" spans="1:2" x14ac:dyDescent="0.25">
      <c r="A989" s="62">
        <v>13111207</v>
      </c>
      <c r="B989" s="63" t="s">
        <v>1693</v>
      </c>
    </row>
    <row r="990" spans="1:2" x14ac:dyDescent="0.25">
      <c r="A990" s="62">
        <v>13111208</v>
      </c>
      <c r="B990" s="63" t="s">
        <v>1694</v>
      </c>
    </row>
    <row r="991" spans="1:2" x14ac:dyDescent="0.25">
      <c r="A991" s="62">
        <v>13111209</v>
      </c>
      <c r="B991" s="63" t="s">
        <v>1695</v>
      </c>
    </row>
    <row r="992" spans="1:2" x14ac:dyDescent="0.25">
      <c r="A992" s="62">
        <v>13111210</v>
      </c>
      <c r="B992" s="63" t="s">
        <v>1696</v>
      </c>
    </row>
    <row r="993" spans="1:2" x14ac:dyDescent="0.25">
      <c r="A993" s="62">
        <v>13111211</v>
      </c>
      <c r="B993" s="63" t="s">
        <v>1697</v>
      </c>
    </row>
    <row r="994" spans="1:2" x14ac:dyDescent="0.25">
      <c r="A994" s="62">
        <v>13111212</v>
      </c>
      <c r="B994" s="63" t="s">
        <v>1698</v>
      </c>
    </row>
    <row r="995" spans="1:2" x14ac:dyDescent="0.25">
      <c r="A995" s="62">
        <v>13111213</v>
      </c>
      <c r="B995" s="63" t="s">
        <v>1699</v>
      </c>
    </row>
    <row r="996" spans="1:2" x14ac:dyDescent="0.25">
      <c r="A996" s="62">
        <v>13111214</v>
      </c>
      <c r="B996" s="63" t="s">
        <v>1700</v>
      </c>
    </row>
    <row r="997" spans="1:2" x14ac:dyDescent="0.25">
      <c r="A997" s="62">
        <v>13111215</v>
      </c>
      <c r="B997" s="63" t="s">
        <v>1701</v>
      </c>
    </row>
    <row r="998" spans="1:2" x14ac:dyDescent="0.25">
      <c r="A998" s="62">
        <v>13111216</v>
      </c>
      <c r="B998" s="63" t="s">
        <v>1702</v>
      </c>
    </row>
    <row r="999" spans="1:2" x14ac:dyDescent="0.25">
      <c r="A999" s="62">
        <v>13111217</v>
      </c>
      <c r="B999" s="63" t="s">
        <v>1703</v>
      </c>
    </row>
    <row r="1000" spans="1:2" x14ac:dyDescent="0.25">
      <c r="A1000" s="62">
        <v>13111218</v>
      </c>
      <c r="B1000" s="63" t="s">
        <v>1704</v>
      </c>
    </row>
    <row r="1001" spans="1:2" x14ac:dyDescent="0.25">
      <c r="A1001" s="62">
        <v>13111219</v>
      </c>
      <c r="B1001" s="63" t="s">
        <v>1705</v>
      </c>
    </row>
    <row r="1002" spans="1:2" x14ac:dyDescent="0.25">
      <c r="A1002" s="62">
        <v>13111220</v>
      </c>
      <c r="B1002" s="63" t="s">
        <v>1706</v>
      </c>
    </row>
    <row r="1003" spans="1:2" x14ac:dyDescent="0.25">
      <c r="A1003" s="62">
        <v>13111301</v>
      </c>
      <c r="B1003" s="63" t="s">
        <v>1707</v>
      </c>
    </row>
    <row r="1004" spans="1:2" x14ac:dyDescent="0.25">
      <c r="A1004" s="62">
        <v>13111302</v>
      </c>
      <c r="B1004" s="63" t="s">
        <v>1708</v>
      </c>
    </row>
    <row r="1005" spans="1:2" x14ac:dyDescent="0.25">
      <c r="A1005" s="62">
        <v>13111303</v>
      </c>
      <c r="B1005" s="63" t="s">
        <v>1709</v>
      </c>
    </row>
    <row r="1006" spans="1:2" x14ac:dyDescent="0.25">
      <c r="A1006" s="62">
        <v>13111304</v>
      </c>
      <c r="B1006" s="63" t="s">
        <v>1710</v>
      </c>
    </row>
    <row r="1007" spans="1:2" x14ac:dyDescent="0.25">
      <c r="A1007" s="62">
        <v>13111305</v>
      </c>
      <c r="B1007" s="63" t="s">
        <v>1711</v>
      </c>
    </row>
    <row r="1008" spans="1:2" x14ac:dyDescent="0.25">
      <c r="A1008" s="62">
        <v>13111306</v>
      </c>
      <c r="B1008" s="63" t="s">
        <v>1712</v>
      </c>
    </row>
    <row r="1009" spans="1:2" x14ac:dyDescent="0.25">
      <c r="A1009" s="62">
        <v>13111307</v>
      </c>
      <c r="B1009" s="63" t="s">
        <v>1713</v>
      </c>
    </row>
    <row r="1010" spans="1:2" x14ac:dyDescent="0.25">
      <c r="A1010" s="62">
        <v>13111308</v>
      </c>
      <c r="B1010" s="63" t="s">
        <v>1714</v>
      </c>
    </row>
    <row r="1011" spans="1:2" x14ac:dyDescent="0.25">
      <c r="A1011" s="62">
        <v>14101501</v>
      </c>
      <c r="B1011" s="63" t="s">
        <v>1715</v>
      </c>
    </row>
    <row r="1012" spans="1:2" x14ac:dyDescent="0.25">
      <c r="A1012" s="62">
        <v>14111501</v>
      </c>
      <c r="B1012" s="63" t="s">
        <v>1716</v>
      </c>
    </row>
    <row r="1013" spans="1:2" x14ac:dyDescent="0.25">
      <c r="A1013" s="62">
        <v>14111502</v>
      </c>
      <c r="B1013" s="63" t="s">
        <v>1717</v>
      </c>
    </row>
    <row r="1014" spans="1:2" x14ac:dyDescent="0.25">
      <c r="A1014" s="62">
        <v>14111503</v>
      </c>
      <c r="B1014" s="63" t="s">
        <v>1718</v>
      </c>
    </row>
    <row r="1015" spans="1:2" x14ac:dyDescent="0.25">
      <c r="A1015" s="62">
        <v>14111504</v>
      </c>
      <c r="B1015" s="63" t="s">
        <v>1719</v>
      </c>
    </row>
    <row r="1016" spans="1:2" x14ac:dyDescent="0.25">
      <c r="A1016" s="62">
        <v>14111505</v>
      </c>
      <c r="B1016" s="63" t="s">
        <v>1720</v>
      </c>
    </row>
    <row r="1017" spans="1:2" x14ac:dyDescent="0.25">
      <c r="A1017" s="62">
        <v>14111506</v>
      </c>
      <c r="B1017" s="63" t="s">
        <v>1721</v>
      </c>
    </row>
    <row r="1018" spans="1:2" x14ac:dyDescent="0.25">
      <c r="A1018" s="62">
        <v>14111507</v>
      </c>
      <c r="B1018" s="63" t="s">
        <v>1722</v>
      </c>
    </row>
    <row r="1019" spans="1:2" x14ac:dyDescent="0.25">
      <c r="A1019" s="62">
        <v>14111508</v>
      </c>
      <c r="B1019" s="63" t="s">
        <v>1723</v>
      </c>
    </row>
    <row r="1020" spans="1:2" x14ac:dyDescent="0.25">
      <c r="A1020" s="62">
        <v>14111509</v>
      </c>
      <c r="B1020" s="63" t="s">
        <v>1724</v>
      </c>
    </row>
    <row r="1021" spans="1:2" x14ac:dyDescent="0.25">
      <c r="A1021" s="62">
        <v>14111510</v>
      </c>
      <c r="B1021" s="63" t="s">
        <v>1725</v>
      </c>
    </row>
    <row r="1022" spans="1:2" x14ac:dyDescent="0.25">
      <c r="A1022" s="62">
        <v>14111511</v>
      </c>
      <c r="B1022" s="63" t="s">
        <v>1726</v>
      </c>
    </row>
    <row r="1023" spans="1:2" x14ac:dyDescent="0.25">
      <c r="A1023" s="62">
        <v>14111512</v>
      </c>
      <c r="B1023" s="63" t="s">
        <v>1727</v>
      </c>
    </row>
    <row r="1024" spans="1:2" x14ac:dyDescent="0.25">
      <c r="A1024" s="62">
        <v>14111513</v>
      </c>
      <c r="B1024" s="63" t="s">
        <v>1728</v>
      </c>
    </row>
    <row r="1025" spans="1:2" x14ac:dyDescent="0.25">
      <c r="A1025" s="62">
        <v>14111514</v>
      </c>
      <c r="B1025" s="63" t="s">
        <v>1729</v>
      </c>
    </row>
    <row r="1026" spans="1:2" x14ac:dyDescent="0.25">
      <c r="A1026" s="62">
        <v>14111515</v>
      </c>
      <c r="B1026" s="63" t="s">
        <v>1730</v>
      </c>
    </row>
    <row r="1027" spans="1:2" x14ac:dyDescent="0.25">
      <c r="A1027" s="62">
        <v>14111516</v>
      </c>
      <c r="B1027" s="63" t="s">
        <v>1731</v>
      </c>
    </row>
    <row r="1028" spans="1:2" x14ac:dyDescent="0.25">
      <c r="A1028" s="62">
        <v>14111518</v>
      </c>
      <c r="B1028" s="63" t="s">
        <v>1732</v>
      </c>
    </row>
    <row r="1029" spans="1:2" x14ac:dyDescent="0.25">
      <c r="A1029" s="62">
        <v>14111519</v>
      </c>
      <c r="B1029" s="63" t="s">
        <v>1733</v>
      </c>
    </row>
    <row r="1030" spans="1:2" x14ac:dyDescent="0.25">
      <c r="A1030" s="62">
        <v>14111520</v>
      </c>
      <c r="B1030" s="63" t="s">
        <v>1734</v>
      </c>
    </row>
    <row r="1031" spans="1:2" x14ac:dyDescent="0.25">
      <c r="A1031" s="62">
        <v>14111523</v>
      </c>
      <c r="B1031" s="63" t="s">
        <v>1735</v>
      </c>
    </row>
    <row r="1032" spans="1:2" x14ac:dyDescent="0.25">
      <c r="A1032" s="62">
        <v>14111524</v>
      </c>
      <c r="B1032" s="63" t="s">
        <v>1736</v>
      </c>
    </row>
    <row r="1033" spans="1:2" x14ac:dyDescent="0.25">
      <c r="A1033" s="62">
        <v>14111525</v>
      </c>
      <c r="B1033" s="63" t="s">
        <v>1737</v>
      </c>
    </row>
    <row r="1034" spans="1:2" x14ac:dyDescent="0.25">
      <c r="A1034" s="62">
        <v>14111526</v>
      </c>
      <c r="B1034" s="63" t="s">
        <v>1738</v>
      </c>
    </row>
    <row r="1035" spans="1:2" x14ac:dyDescent="0.25">
      <c r="A1035" s="62">
        <v>14111527</v>
      </c>
      <c r="B1035" s="63" t="s">
        <v>1739</v>
      </c>
    </row>
    <row r="1036" spans="1:2" x14ac:dyDescent="0.25">
      <c r="A1036" s="62">
        <v>14111528</v>
      </c>
      <c r="B1036" s="63" t="s">
        <v>1740</v>
      </c>
    </row>
    <row r="1037" spans="1:2" x14ac:dyDescent="0.25">
      <c r="A1037" s="62">
        <v>14111529</v>
      </c>
      <c r="B1037" s="63" t="s">
        <v>1741</v>
      </c>
    </row>
    <row r="1038" spans="1:2" x14ac:dyDescent="0.25">
      <c r="A1038" s="62">
        <v>14111530</v>
      </c>
      <c r="B1038" s="63" t="s">
        <v>1742</v>
      </c>
    </row>
    <row r="1039" spans="1:2" x14ac:dyDescent="0.25">
      <c r="A1039" s="62">
        <v>14111531</v>
      </c>
      <c r="B1039" s="63" t="s">
        <v>1743</v>
      </c>
    </row>
    <row r="1040" spans="1:2" x14ac:dyDescent="0.25">
      <c r="A1040" s="62">
        <v>14111532</v>
      </c>
      <c r="B1040" s="63" t="s">
        <v>1744</v>
      </c>
    </row>
    <row r="1041" spans="1:2" x14ac:dyDescent="0.25">
      <c r="A1041" s="62">
        <v>14111533</v>
      </c>
      <c r="B1041" s="63" t="s">
        <v>1745</v>
      </c>
    </row>
    <row r="1042" spans="1:2" x14ac:dyDescent="0.25">
      <c r="A1042" s="62">
        <v>14111534</v>
      </c>
      <c r="B1042" s="63" t="s">
        <v>1746</v>
      </c>
    </row>
    <row r="1043" spans="1:2" x14ac:dyDescent="0.25">
      <c r="A1043" s="62">
        <v>14111535</v>
      </c>
      <c r="B1043" s="63" t="s">
        <v>1747</v>
      </c>
    </row>
    <row r="1044" spans="1:2" x14ac:dyDescent="0.25">
      <c r="A1044" s="62">
        <v>14111536</v>
      </c>
      <c r="B1044" s="63" t="s">
        <v>1748</v>
      </c>
    </row>
    <row r="1045" spans="1:2" x14ac:dyDescent="0.25">
      <c r="A1045" s="62">
        <v>14111537</v>
      </c>
      <c r="B1045" s="63" t="s">
        <v>1749</v>
      </c>
    </row>
    <row r="1046" spans="1:2" x14ac:dyDescent="0.25">
      <c r="A1046" s="62">
        <v>14111601</v>
      </c>
      <c r="B1046" s="63" t="s">
        <v>1750</v>
      </c>
    </row>
    <row r="1047" spans="1:2" x14ac:dyDescent="0.25">
      <c r="A1047" s="62">
        <v>14111604</v>
      </c>
      <c r="B1047" s="63" t="s">
        <v>1751</v>
      </c>
    </row>
    <row r="1048" spans="1:2" x14ac:dyDescent="0.25">
      <c r="A1048" s="62">
        <v>14111605</v>
      </c>
      <c r="B1048" s="63" t="s">
        <v>1752</v>
      </c>
    </row>
    <row r="1049" spans="1:2" x14ac:dyDescent="0.25">
      <c r="A1049" s="62">
        <v>14111606</v>
      </c>
      <c r="B1049" s="63" t="s">
        <v>1753</v>
      </c>
    </row>
    <row r="1050" spans="1:2" x14ac:dyDescent="0.25">
      <c r="A1050" s="62">
        <v>14111607</v>
      </c>
      <c r="B1050" s="63" t="s">
        <v>1754</v>
      </c>
    </row>
    <row r="1051" spans="1:2" x14ac:dyDescent="0.25">
      <c r="A1051" s="62">
        <v>14111608</v>
      </c>
      <c r="B1051" s="63" t="s">
        <v>1755</v>
      </c>
    </row>
    <row r="1052" spans="1:2" x14ac:dyDescent="0.25">
      <c r="A1052" s="62">
        <v>14111609</v>
      </c>
      <c r="B1052" s="63" t="s">
        <v>1756</v>
      </c>
    </row>
    <row r="1053" spans="1:2" x14ac:dyDescent="0.25">
      <c r="A1053" s="62">
        <v>14111610</v>
      </c>
      <c r="B1053" s="63" t="s">
        <v>1757</v>
      </c>
    </row>
    <row r="1054" spans="1:2" x14ac:dyDescent="0.25">
      <c r="A1054" s="62">
        <v>14111611</v>
      </c>
      <c r="B1054" s="63" t="s">
        <v>1758</v>
      </c>
    </row>
    <row r="1055" spans="1:2" x14ac:dyDescent="0.25">
      <c r="A1055" s="62">
        <v>14111613</v>
      </c>
      <c r="B1055" s="63" t="s">
        <v>1759</v>
      </c>
    </row>
    <row r="1056" spans="1:2" x14ac:dyDescent="0.25">
      <c r="A1056" s="62">
        <v>14111614</v>
      </c>
      <c r="B1056" s="63" t="s">
        <v>1760</v>
      </c>
    </row>
    <row r="1057" spans="1:2" x14ac:dyDescent="0.25">
      <c r="A1057" s="62">
        <v>14111615</v>
      </c>
      <c r="B1057" s="63" t="s">
        <v>1761</v>
      </c>
    </row>
    <row r="1058" spans="1:2" x14ac:dyDescent="0.25">
      <c r="A1058" s="62">
        <v>14111616</v>
      </c>
      <c r="B1058" s="63" t="s">
        <v>1762</v>
      </c>
    </row>
    <row r="1059" spans="1:2" x14ac:dyDescent="0.25">
      <c r="A1059" s="62">
        <v>14111701</v>
      </c>
      <c r="B1059" s="63" t="s">
        <v>1763</v>
      </c>
    </row>
    <row r="1060" spans="1:2" x14ac:dyDescent="0.25">
      <c r="A1060" s="62">
        <v>14111702</v>
      </c>
      <c r="B1060" s="63" t="s">
        <v>1764</v>
      </c>
    </row>
    <row r="1061" spans="1:2" x14ac:dyDescent="0.25">
      <c r="A1061" s="62">
        <v>14111703</v>
      </c>
      <c r="B1061" s="63" t="s">
        <v>1765</v>
      </c>
    </row>
    <row r="1062" spans="1:2" x14ac:dyDescent="0.25">
      <c r="A1062" s="62">
        <v>14111704</v>
      </c>
      <c r="B1062" s="63" t="s">
        <v>1766</v>
      </c>
    </row>
    <row r="1063" spans="1:2" x14ac:dyDescent="0.25">
      <c r="A1063" s="62">
        <v>14111705</v>
      </c>
      <c r="B1063" s="63" t="s">
        <v>1767</v>
      </c>
    </row>
    <row r="1064" spans="1:2" x14ac:dyDescent="0.25">
      <c r="A1064" s="62">
        <v>14111706</v>
      </c>
      <c r="B1064" s="63" t="s">
        <v>1768</v>
      </c>
    </row>
    <row r="1065" spans="1:2" x14ac:dyDescent="0.25">
      <c r="A1065" s="62">
        <v>14111801</v>
      </c>
      <c r="B1065" s="63" t="s">
        <v>1769</v>
      </c>
    </row>
    <row r="1066" spans="1:2" x14ac:dyDescent="0.25">
      <c r="A1066" s="62">
        <v>14111802</v>
      </c>
      <c r="B1066" s="63" t="s">
        <v>1770</v>
      </c>
    </row>
    <row r="1067" spans="1:2" x14ac:dyDescent="0.25">
      <c r="A1067" s="62">
        <v>14111803</v>
      </c>
      <c r="B1067" s="63" t="s">
        <v>1771</v>
      </c>
    </row>
    <row r="1068" spans="1:2" x14ac:dyDescent="0.25">
      <c r="A1068" s="62">
        <v>14111804</v>
      </c>
      <c r="B1068" s="63" t="s">
        <v>1772</v>
      </c>
    </row>
    <row r="1069" spans="1:2" x14ac:dyDescent="0.25">
      <c r="A1069" s="62">
        <v>14111805</v>
      </c>
      <c r="B1069" s="63" t="s">
        <v>1773</v>
      </c>
    </row>
    <row r="1070" spans="1:2" x14ac:dyDescent="0.25">
      <c r="A1070" s="62">
        <v>14111806</v>
      </c>
      <c r="B1070" s="63" t="s">
        <v>1774</v>
      </c>
    </row>
    <row r="1071" spans="1:2" x14ac:dyDescent="0.25">
      <c r="A1071" s="62">
        <v>14111807</v>
      </c>
      <c r="B1071" s="63" t="s">
        <v>1775</v>
      </c>
    </row>
    <row r="1072" spans="1:2" x14ac:dyDescent="0.25">
      <c r="A1072" s="62">
        <v>14111808</v>
      </c>
      <c r="B1072" s="63" t="s">
        <v>1776</v>
      </c>
    </row>
    <row r="1073" spans="1:2" x14ac:dyDescent="0.25">
      <c r="A1073" s="62">
        <v>14111809</v>
      </c>
      <c r="B1073" s="63" t="s">
        <v>1777</v>
      </c>
    </row>
    <row r="1074" spans="1:2" x14ac:dyDescent="0.25">
      <c r="A1074" s="62">
        <v>14111810</v>
      </c>
      <c r="B1074" s="63" t="s">
        <v>1778</v>
      </c>
    </row>
    <row r="1075" spans="1:2" x14ac:dyDescent="0.25">
      <c r="A1075" s="62">
        <v>14111811</v>
      </c>
      <c r="B1075" s="63" t="s">
        <v>1779</v>
      </c>
    </row>
    <row r="1076" spans="1:2" x14ac:dyDescent="0.25">
      <c r="A1076" s="62">
        <v>14111812</v>
      </c>
      <c r="B1076" s="63" t="s">
        <v>1780</v>
      </c>
    </row>
    <row r="1077" spans="1:2" x14ac:dyDescent="0.25">
      <c r="A1077" s="62">
        <v>14111813</v>
      </c>
      <c r="B1077" s="63" t="s">
        <v>1781</v>
      </c>
    </row>
    <row r="1078" spans="1:2" x14ac:dyDescent="0.25">
      <c r="A1078" s="62">
        <v>14111814</v>
      </c>
      <c r="B1078" s="63" t="s">
        <v>1782</v>
      </c>
    </row>
    <row r="1079" spans="1:2" x14ac:dyDescent="0.25">
      <c r="A1079" s="62">
        <v>14111815</v>
      </c>
      <c r="B1079" s="63" t="s">
        <v>1783</v>
      </c>
    </row>
    <row r="1080" spans="1:2" x14ac:dyDescent="0.25">
      <c r="A1080" s="62">
        <v>14111816</v>
      </c>
      <c r="B1080" s="63" t="s">
        <v>1784</v>
      </c>
    </row>
    <row r="1081" spans="1:2" x14ac:dyDescent="0.25">
      <c r="A1081" s="62">
        <v>14111817</v>
      </c>
      <c r="B1081" s="63" t="s">
        <v>1785</v>
      </c>
    </row>
    <row r="1082" spans="1:2" x14ac:dyDescent="0.25">
      <c r="A1082" s="62">
        <v>14121501</v>
      </c>
      <c r="B1082" s="63" t="s">
        <v>1786</v>
      </c>
    </row>
    <row r="1083" spans="1:2" x14ac:dyDescent="0.25">
      <c r="A1083" s="62">
        <v>14121502</v>
      </c>
      <c r="B1083" s="63" t="s">
        <v>1787</v>
      </c>
    </row>
    <row r="1084" spans="1:2" x14ac:dyDescent="0.25">
      <c r="A1084" s="62">
        <v>14121503</v>
      </c>
      <c r="B1084" s="63" t="s">
        <v>1788</v>
      </c>
    </row>
    <row r="1085" spans="1:2" x14ac:dyDescent="0.25">
      <c r="A1085" s="62">
        <v>14121504</v>
      </c>
      <c r="B1085" s="63" t="s">
        <v>1789</v>
      </c>
    </row>
    <row r="1086" spans="1:2" x14ac:dyDescent="0.25">
      <c r="A1086" s="62">
        <v>14121505</v>
      </c>
      <c r="B1086" s="63" t="s">
        <v>1790</v>
      </c>
    </row>
    <row r="1087" spans="1:2" x14ac:dyDescent="0.25">
      <c r="A1087" s="62">
        <v>14121601</v>
      </c>
      <c r="B1087" s="63" t="s">
        <v>1791</v>
      </c>
    </row>
    <row r="1088" spans="1:2" x14ac:dyDescent="0.25">
      <c r="A1088" s="62">
        <v>14121602</v>
      </c>
      <c r="B1088" s="63" t="s">
        <v>1792</v>
      </c>
    </row>
    <row r="1089" spans="1:2" x14ac:dyDescent="0.25">
      <c r="A1089" s="62">
        <v>14121603</v>
      </c>
      <c r="B1089" s="63" t="s">
        <v>1793</v>
      </c>
    </row>
    <row r="1090" spans="1:2" x14ac:dyDescent="0.25">
      <c r="A1090" s="62">
        <v>14121604</v>
      </c>
      <c r="B1090" s="63" t="s">
        <v>1794</v>
      </c>
    </row>
    <row r="1091" spans="1:2" x14ac:dyDescent="0.25">
      <c r="A1091" s="62">
        <v>14121605</v>
      </c>
      <c r="B1091" s="63" t="s">
        <v>1795</v>
      </c>
    </row>
    <row r="1092" spans="1:2" x14ac:dyDescent="0.25">
      <c r="A1092" s="62">
        <v>14121701</v>
      </c>
      <c r="B1092" s="63" t="s">
        <v>1796</v>
      </c>
    </row>
    <row r="1093" spans="1:2" x14ac:dyDescent="0.25">
      <c r="A1093" s="62">
        <v>14121702</v>
      </c>
      <c r="B1093" s="63" t="s">
        <v>1797</v>
      </c>
    </row>
    <row r="1094" spans="1:2" x14ac:dyDescent="0.25">
      <c r="A1094" s="62">
        <v>14121801</v>
      </c>
      <c r="B1094" s="63" t="s">
        <v>1798</v>
      </c>
    </row>
    <row r="1095" spans="1:2" x14ac:dyDescent="0.25">
      <c r="A1095" s="62">
        <v>14121802</v>
      </c>
      <c r="B1095" s="63" t="s">
        <v>1799</v>
      </c>
    </row>
    <row r="1096" spans="1:2" x14ac:dyDescent="0.25">
      <c r="A1096" s="62">
        <v>14121803</v>
      </c>
      <c r="B1096" s="63" t="s">
        <v>1800</v>
      </c>
    </row>
    <row r="1097" spans="1:2" x14ac:dyDescent="0.25">
      <c r="A1097" s="62">
        <v>14121804</v>
      </c>
      <c r="B1097" s="63" t="s">
        <v>1801</v>
      </c>
    </row>
    <row r="1098" spans="1:2" x14ac:dyDescent="0.25">
      <c r="A1098" s="62">
        <v>14121805</v>
      </c>
      <c r="B1098" s="63" t="s">
        <v>1802</v>
      </c>
    </row>
    <row r="1099" spans="1:2" x14ac:dyDescent="0.25">
      <c r="A1099" s="62">
        <v>14121806</v>
      </c>
      <c r="B1099" s="63" t="s">
        <v>1803</v>
      </c>
    </row>
    <row r="1100" spans="1:2" x14ac:dyDescent="0.25">
      <c r="A1100" s="62">
        <v>14121807</v>
      </c>
      <c r="B1100" s="63" t="s">
        <v>1804</v>
      </c>
    </row>
    <row r="1101" spans="1:2" x14ac:dyDescent="0.25">
      <c r="A1101" s="62">
        <v>14121808</v>
      </c>
      <c r="B1101" s="63" t="s">
        <v>1805</v>
      </c>
    </row>
    <row r="1102" spans="1:2" x14ac:dyDescent="0.25">
      <c r="A1102" s="62">
        <v>14121809</v>
      </c>
      <c r="B1102" s="63" t="s">
        <v>1806</v>
      </c>
    </row>
    <row r="1103" spans="1:2" x14ac:dyDescent="0.25">
      <c r="A1103" s="62">
        <v>14121810</v>
      </c>
      <c r="B1103" s="63" t="s">
        <v>1807</v>
      </c>
    </row>
    <row r="1104" spans="1:2" x14ac:dyDescent="0.25">
      <c r="A1104" s="62">
        <v>14121811</v>
      </c>
      <c r="B1104" s="63" t="s">
        <v>1808</v>
      </c>
    </row>
    <row r="1105" spans="1:2" x14ac:dyDescent="0.25">
      <c r="A1105" s="62">
        <v>14121812</v>
      </c>
      <c r="B1105" s="63" t="s">
        <v>1809</v>
      </c>
    </row>
    <row r="1106" spans="1:2" x14ac:dyDescent="0.25">
      <c r="A1106" s="62">
        <v>14121901</v>
      </c>
      <c r="B1106" s="63" t="s">
        <v>1810</v>
      </c>
    </row>
    <row r="1107" spans="1:2" x14ac:dyDescent="0.25">
      <c r="A1107" s="62">
        <v>14121902</v>
      </c>
      <c r="B1107" s="63" t="s">
        <v>1811</v>
      </c>
    </row>
    <row r="1108" spans="1:2" x14ac:dyDescent="0.25">
      <c r="A1108" s="62">
        <v>14121903</v>
      </c>
      <c r="B1108" s="63" t="s">
        <v>1812</v>
      </c>
    </row>
    <row r="1109" spans="1:2" x14ac:dyDescent="0.25">
      <c r="A1109" s="62">
        <v>14121904</v>
      </c>
      <c r="B1109" s="63" t="s">
        <v>1813</v>
      </c>
    </row>
    <row r="1110" spans="1:2" x14ac:dyDescent="0.25">
      <c r="A1110" s="62">
        <v>14121905</v>
      </c>
      <c r="B1110" s="63" t="s">
        <v>1814</v>
      </c>
    </row>
    <row r="1111" spans="1:2" x14ac:dyDescent="0.25">
      <c r="A1111" s="62">
        <v>14122101</v>
      </c>
      <c r="B1111" s="63" t="s">
        <v>1815</v>
      </c>
    </row>
    <row r="1112" spans="1:2" x14ac:dyDescent="0.25">
      <c r="A1112" s="62">
        <v>14122102</v>
      </c>
      <c r="B1112" s="63" t="s">
        <v>1816</v>
      </c>
    </row>
    <row r="1113" spans="1:2" x14ac:dyDescent="0.25">
      <c r="A1113" s="62">
        <v>14122103</v>
      </c>
      <c r="B1113" s="63" t="s">
        <v>1817</v>
      </c>
    </row>
    <row r="1114" spans="1:2" x14ac:dyDescent="0.25">
      <c r="A1114" s="62">
        <v>14122104</v>
      </c>
      <c r="B1114" s="63" t="s">
        <v>1818</v>
      </c>
    </row>
    <row r="1115" spans="1:2" x14ac:dyDescent="0.25">
      <c r="A1115" s="62">
        <v>14122105</v>
      </c>
      <c r="B1115" s="63" t="s">
        <v>1819</v>
      </c>
    </row>
    <row r="1116" spans="1:2" x14ac:dyDescent="0.25">
      <c r="A1116" s="62">
        <v>14122106</v>
      </c>
      <c r="B1116" s="63" t="s">
        <v>1820</v>
      </c>
    </row>
    <row r="1117" spans="1:2" x14ac:dyDescent="0.25">
      <c r="A1117" s="62">
        <v>14122201</v>
      </c>
      <c r="B1117" s="63" t="s">
        <v>1821</v>
      </c>
    </row>
    <row r="1118" spans="1:2" x14ac:dyDescent="0.25">
      <c r="A1118" s="62">
        <v>15101502</v>
      </c>
      <c r="B1118" s="63" t="s">
        <v>1822</v>
      </c>
    </row>
    <row r="1119" spans="1:2" x14ac:dyDescent="0.25">
      <c r="A1119" s="62">
        <v>15101503</v>
      </c>
      <c r="B1119" s="63" t="s">
        <v>1823</v>
      </c>
    </row>
    <row r="1120" spans="1:2" x14ac:dyDescent="0.25">
      <c r="A1120" s="62">
        <v>15101504</v>
      </c>
      <c r="B1120" s="63" t="s">
        <v>1824</v>
      </c>
    </row>
    <row r="1121" spans="1:2" x14ac:dyDescent="0.25">
      <c r="A1121" s="62">
        <v>15101505</v>
      </c>
      <c r="B1121" s="63" t="s">
        <v>1825</v>
      </c>
    </row>
    <row r="1122" spans="1:2" x14ac:dyDescent="0.25">
      <c r="A1122" s="62">
        <v>15101506</v>
      </c>
      <c r="B1122" s="63" t="s">
        <v>256</v>
      </c>
    </row>
    <row r="1123" spans="1:2" x14ac:dyDescent="0.25">
      <c r="A1123" s="62">
        <v>15101507</v>
      </c>
      <c r="B1123" s="63" t="s">
        <v>1826</v>
      </c>
    </row>
    <row r="1124" spans="1:2" x14ac:dyDescent="0.25">
      <c r="A1124" s="62">
        <v>15101508</v>
      </c>
      <c r="B1124" s="63" t="s">
        <v>1827</v>
      </c>
    </row>
    <row r="1125" spans="1:2" x14ac:dyDescent="0.25">
      <c r="A1125" s="62">
        <v>15101509</v>
      </c>
      <c r="B1125" s="63" t="s">
        <v>1828</v>
      </c>
    </row>
    <row r="1126" spans="1:2" x14ac:dyDescent="0.25">
      <c r="A1126" s="62">
        <v>15101510</v>
      </c>
      <c r="B1126" s="63" t="s">
        <v>1829</v>
      </c>
    </row>
    <row r="1127" spans="1:2" x14ac:dyDescent="0.25">
      <c r="A1127" s="62">
        <v>15101601</v>
      </c>
      <c r="B1127" s="63" t="s">
        <v>1830</v>
      </c>
    </row>
    <row r="1128" spans="1:2" x14ac:dyDescent="0.25">
      <c r="A1128" s="62">
        <v>15101602</v>
      </c>
      <c r="B1128" s="63" t="s">
        <v>1831</v>
      </c>
    </row>
    <row r="1129" spans="1:2" x14ac:dyDescent="0.25">
      <c r="A1129" s="62">
        <v>15101603</v>
      </c>
      <c r="B1129" s="63" t="s">
        <v>1832</v>
      </c>
    </row>
    <row r="1130" spans="1:2" x14ac:dyDescent="0.25">
      <c r="A1130" s="62">
        <v>15101604</v>
      </c>
      <c r="B1130" s="63" t="s">
        <v>1833</v>
      </c>
    </row>
    <row r="1131" spans="1:2" x14ac:dyDescent="0.25">
      <c r="A1131" s="62">
        <v>15101605</v>
      </c>
      <c r="B1131" s="63" t="s">
        <v>1834</v>
      </c>
    </row>
    <row r="1132" spans="1:2" x14ac:dyDescent="0.25">
      <c r="A1132" s="62">
        <v>15101606</v>
      </c>
      <c r="B1132" s="63" t="s">
        <v>1835</v>
      </c>
    </row>
    <row r="1133" spans="1:2" x14ac:dyDescent="0.25">
      <c r="A1133" s="62">
        <v>15101607</v>
      </c>
      <c r="B1133" s="63" t="s">
        <v>1836</v>
      </c>
    </row>
    <row r="1134" spans="1:2" x14ac:dyDescent="0.25">
      <c r="A1134" s="62">
        <v>15101608</v>
      </c>
      <c r="B1134" s="63" t="s">
        <v>1837</v>
      </c>
    </row>
    <row r="1135" spans="1:2" x14ac:dyDescent="0.25">
      <c r="A1135" s="62">
        <v>15101701</v>
      </c>
      <c r="B1135" s="63" t="s">
        <v>1838</v>
      </c>
    </row>
    <row r="1136" spans="1:2" x14ac:dyDescent="0.25">
      <c r="A1136" s="62">
        <v>15101702</v>
      </c>
      <c r="B1136" s="63" t="s">
        <v>1839</v>
      </c>
    </row>
    <row r="1137" spans="1:2" x14ac:dyDescent="0.25">
      <c r="A1137" s="62">
        <v>15111501</v>
      </c>
      <c r="B1137" s="63" t="s">
        <v>1840</v>
      </c>
    </row>
    <row r="1138" spans="1:2" x14ac:dyDescent="0.25">
      <c r="A1138" s="62">
        <v>15111502</v>
      </c>
      <c r="B1138" s="63" t="s">
        <v>1841</v>
      </c>
    </row>
    <row r="1139" spans="1:2" x14ac:dyDescent="0.25">
      <c r="A1139" s="62">
        <v>15111503</v>
      </c>
      <c r="B1139" s="63" t="s">
        <v>1842</v>
      </c>
    </row>
    <row r="1140" spans="1:2" x14ac:dyDescent="0.25">
      <c r="A1140" s="62">
        <v>15111504</v>
      </c>
      <c r="B1140" s="63" t="s">
        <v>1843</v>
      </c>
    </row>
    <row r="1141" spans="1:2" x14ac:dyDescent="0.25">
      <c r="A1141" s="62">
        <v>15111505</v>
      </c>
      <c r="B1141" s="63" t="s">
        <v>1844</v>
      </c>
    </row>
    <row r="1142" spans="1:2" x14ac:dyDescent="0.25">
      <c r="A1142" s="62">
        <v>15111506</v>
      </c>
      <c r="B1142" s="63" t="s">
        <v>1845</v>
      </c>
    </row>
    <row r="1143" spans="1:2" x14ac:dyDescent="0.25">
      <c r="A1143" s="62">
        <v>15111507</v>
      </c>
      <c r="B1143" s="63" t="s">
        <v>1846</v>
      </c>
    </row>
    <row r="1144" spans="1:2" x14ac:dyDescent="0.25">
      <c r="A1144" s="62">
        <v>15111508</v>
      </c>
      <c r="B1144" s="63" t="s">
        <v>1847</v>
      </c>
    </row>
    <row r="1145" spans="1:2" x14ac:dyDescent="0.25">
      <c r="A1145" s="62">
        <v>15111509</v>
      </c>
      <c r="B1145" s="63" t="s">
        <v>1848</v>
      </c>
    </row>
    <row r="1146" spans="1:2" x14ac:dyDescent="0.25">
      <c r="A1146" s="62">
        <v>15111510</v>
      </c>
      <c r="B1146" s="63" t="s">
        <v>261</v>
      </c>
    </row>
    <row r="1147" spans="1:2" x14ac:dyDescent="0.25">
      <c r="A1147" s="62">
        <v>15111701</v>
      </c>
      <c r="B1147" s="63" t="s">
        <v>1849</v>
      </c>
    </row>
    <row r="1148" spans="1:2" x14ac:dyDescent="0.25">
      <c r="A1148" s="62">
        <v>15111702</v>
      </c>
      <c r="B1148" s="63" t="s">
        <v>1850</v>
      </c>
    </row>
    <row r="1149" spans="1:2" x14ac:dyDescent="0.25">
      <c r="A1149" s="62">
        <v>15121501</v>
      </c>
      <c r="B1149" s="63" t="s">
        <v>263</v>
      </c>
    </row>
    <row r="1150" spans="1:2" x14ac:dyDescent="0.25">
      <c r="A1150" s="62">
        <v>15121502</v>
      </c>
      <c r="B1150" s="63" t="s">
        <v>1851</v>
      </c>
    </row>
    <row r="1151" spans="1:2" x14ac:dyDescent="0.25">
      <c r="A1151" s="62">
        <v>15121503</v>
      </c>
      <c r="B1151" s="63" t="s">
        <v>1852</v>
      </c>
    </row>
    <row r="1152" spans="1:2" x14ac:dyDescent="0.25">
      <c r="A1152" s="62">
        <v>15121504</v>
      </c>
      <c r="B1152" s="63" t="s">
        <v>1853</v>
      </c>
    </row>
    <row r="1153" spans="1:2" x14ac:dyDescent="0.25">
      <c r="A1153" s="62">
        <v>15121505</v>
      </c>
      <c r="B1153" s="63" t="s">
        <v>1854</v>
      </c>
    </row>
    <row r="1154" spans="1:2" x14ac:dyDescent="0.25">
      <c r="A1154" s="62">
        <v>15121508</v>
      </c>
      <c r="B1154" s="63" t="s">
        <v>1855</v>
      </c>
    </row>
    <row r="1155" spans="1:2" x14ac:dyDescent="0.25">
      <c r="A1155" s="62">
        <v>15121509</v>
      </c>
      <c r="B1155" s="63" t="s">
        <v>1856</v>
      </c>
    </row>
    <row r="1156" spans="1:2" x14ac:dyDescent="0.25">
      <c r="A1156" s="62">
        <v>15121510</v>
      </c>
      <c r="B1156" s="63" t="s">
        <v>1857</v>
      </c>
    </row>
    <row r="1157" spans="1:2" x14ac:dyDescent="0.25">
      <c r="A1157" s="62">
        <v>15121511</v>
      </c>
      <c r="B1157" s="63" t="s">
        <v>1858</v>
      </c>
    </row>
    <row r="1158" spans="1:2" x14ac:dyDescent="0.25">
      <c r="A1158" s="62">
        <v>15121512</v>
      </c>
      <c r="B1158" s="63" t="s">
        <v>1859</v>
      </c>
    </row>
    <row r="1159" spans="1:2" x14ac:dyDescent="0.25">
      <c r="A1159" s="62">
        <v>15121513</v>
      </c>
      <c r="B1159" s="63" t="s">
        <v>1860</v>
      </c>
    </row>
    <row r="1160" spans="1:2" x14ac:dyDescent="0.25">
      <c r="A1160" s="62">
        <v>15121514</v>
      </c>
      <c r="B1160" s="63" t="s">
        <v>1861</v>
      </c>
    </row>
    <row r="1161" spans="1:2" x14ac:dyDescent="0.25">
      <c r="A1161" s="62">
        <v>15121515</v>
      </c>
      <c r="B1161" s="63" t="s">
        <v>1862</v>
      </c>
    </row>
    <row r="1162" spans="1:2" x14ac:dyDescent="0.25">
      <c r="A1162" s="62">
        <v>15121516</v>
      </c>
      <c r="B1162" s="63" t="s">
        <v>1863</v>
      </c>
    </row>
    <row r="1163" spans="1:2" x14ac:dyDescent="0.25">
      <c r="A1163" s="62">
        <v>15121517</v>
      </c>
      <c r="B1163" s="63" t="s">
        <v>1864</v>
      </c>
    </row>
    <row r="1164" spans="1:2" x14ac:dyDescent="0.25">
      <c r="A1164" s="62">
        <v>15121518</v>
      </c>
      <c r="B1164" s="63" t="s">
        <v>1865</v>
      </c>
    </row>
    <row r="1165" spans="1:2" x14ac:dyDescent="0.25">
      <c r="A1165" s="62">
        <v>15121519</v>
      </c>
      <c r="B1165" s="63" t="s">
        <v>1866</v>
      </c>
    </row>
    <row r="1166" spans="1:2" x14ac:dyDescent="0.25">
      <c r="A1166" s="62">
        <v>15121520</v>
      </c>
      <c r="B1166" s="63" t="s">
        <v>1867</v>
      </c>
    </row>
    <row r="1167" spans="1:2" x14ac:dyDescent="0.25">
      <c r="A1167" s="62">
        <v>15121521</v>
      </c>
      <c r="B1167" s="63" t="s">
        <v>1868</v>
      </c>
    </row>
    <row r="1168" spans="1:2" x14ac:dyDescent="0.25">
      <c r="A1168" s="62">
        <v>15121522</v>
      </c>
      <c r="B1168" s="63" t="s">
        <v>1869</v>
      </c>
    </row>
    <row r="1169" spans="1:2" x14ac:dyDescent="0.25">
      <c r="A1169" s="62">
        <v>15121523</v>
      </c>
      <c r="B1169" s="63" t="s">
        <v>1870</v>
      </c>
    </row>
    <row r="1170" spans="1:2" x14ac:dyDescent="0.25">
      <c r="A1170" s="62">
        <v>15121524</v>
      </c>
      <c r="B1170" s="63" t="s">
        <v>1871</v>
      </c>
    </row>
    <row r="1171" spans="1:2" x14ac:dyDescent="0.25">
      <c r="A1171" s="62">
        <v>15121525</v>
      </c>
      <c r="B1171" s="63" t="s">
        <v>1872</v>
      </c>
    </row>
    <row r="1172" spans="1:2" x14ac:dyDescent="0.25">
      <c r="A1172" s="62">
        <v>15121526</v>
      </c>
      <c r="B1172" s="63" t="s">
        <v>1873</v>
      </c>
    </row>
    <row r="1173" spans="1:2" x14ac:dyDescent="0.25">
      <c r="A1173" s="62">
        <v>15121527</v>
      </c>
      <c r="B1173" s="63" t="s">
        <v>1874</v>
      </c>
    </row>
    <row r="1174" spans="1:2" x14ac:dyDescent="0.25">
      <c r="A1174" s="62">
        <v>15121801</v>
      </c>
      <c r="B1174" s="63" t="s">
        <v>1875</v>
      </c>
    </row>
    <row r="1175" spans="1:2" x14ac:dyDescent="0.25">
      <c r="A1175" s="62">
        <v>15121802</v>
      </c>
      <c r="B1175" s="63" t="s">
        <v>1876</v>
      </c>
    </row>
    <row r="1176" spans="1:2" x14ac:dyDescent="0.25">
      <c r="A1176" s="62">
        <v>15121803</v>
      </c>
      <c r="B1176" s="63" t="s">
        <v>1877</v>
      </c>
    </row>
    <row r="1177" spans="1:2" x14ac:dyDescent="0.25">
      <c r="A1177" s="62">
        <v>15121804</v>
      </c>
      <c r="B1177" s="63" t="s">
        <v>1878</v>
      </c>
    </row>
    <row r="1178" spans="1:2" x14ac:dyDescent="0.25">
      <c r="A1178" s="62">
        <v>15121805</v>
      </c>
      <c r="B1178" s="63" t="s">
        <v>1879</v>
      </c>
    </row>
    <row r="1179" spans="1:2" x14ac:dyDescent="0.25">
      <c r="A1179" s="62">
        <v>15121806</v>
      </c>
      <c r="B1179" s="63" t="s">
        <v>1880</v>
      </c>
    </row>
    <row r="1180" spans="1:2" x14ac:dyDescent="0.25">
      <c r="A1180" s="62">
        <v>15121901</v>
      </c>
      <c r="B1180" s="63" t="s">
        <v>1881</v>
      </c>
    </row>
    <row r="1181" spans="1:2" x14ac:dyDescent="0.25">
      <c r="A1181" s="62">
        <v>15121902</v>
      </c>
      <c r="B1181" s="63" t="s">
        <v>1882</v>
      </c>
    </row>
    <row r="1182" spans="1:2" x14ac:dyDescent="0.25">
      <c r="A1182" s="62">
        <v>15121903</v>
      </c>
      <c r="B1182" s="63" t="s">
        <v>1883</v>
      </c>
    </row>
    <row r="1183" spans="1:2" x14ac:dyDescent="0.25">
      <c r="A1183" s="62">
        <v>15121904</v>
      </c>
      <c r="B1183" s="63" t="s">
        <v>1884</v>
      </c>
    </row>
    <row r="1184" spans="1:2" x14ac:dyDescent="0.25">
      <c r="A1184" s="62">
        <v>15131502</v>
      </c>
      <c r="B1184" s="63" t="s">
        <v>1885</v>
      </c>
    </row>
    <row r="1185" spans="1:2" x14ac:dyDescent="0.25">
      <c r="A1185" s="62">
        <v>15131503</v>
      </c>
      <c r="B1185" s="63" t="s">
        <v>1886</v>
      </c>
    </row>
    <row r="1186" spans="1:2" x14ac:dyDescent="0.25">
      <c r="A1186" s="62">
        <v>15131504</v>
      </c>
      <c r="B1186" s="63" t="s">
        <v>1887</v>
      </c>
    </row>
    <row r="1187" spans="1:2" x14ac:dyDescent="0.25">
      <c r="A1187" s="62">
        <v>15131505</v>
      </c>
      <c r="B1187" s="63" t="s">
        <v>1888</v>
      </c>
    </row>
    <row r="1188" spans="1:2" x14ac:dyDescent="0.25">
      <c r="A1188" s="62">
        <v>15131506</v>
      </c>
      <c r="B1188" s="63" t="s">
        <v>1889</v>
      </c>
    </row>
    <row r="1189" spans="1:2" x14ac:dyDescent="0.25">
      <c r="A1189" s="62">
        <v>15131601</v>
      </c>
      <c r="B1189" s="63" t="s">
        <v>1890</v>
      </c>
    </row>
    <row r="1190" spans="1:2" x14ac:dyDescent="0.25">
      <c r="A1190" s="62">
        <v>20101501</v>
      </c>
      <c r="B1190" s="63" t="s">
        <v>1891</v>
      </c>
    </row>
    <row r="1191" spans="1:2" x14ac:dyDescent="0.25">
      <c r="A1191" s="62">
        <v>20101502</v>
      </c>
      <c r="B1191" s="63" t="s">
        <v>1892</v>
      </c>
    </row>
    <row r="1192" spans="1:2" x14ac:dyDescent="0.25">
      <c r="A1192" s="62">
        <v>20101503</v>
      </c>
      <c r="B1192" s="63" t="s">
        <v>1893</v>
      </c>
    </row>
    <row r="1193" spans="1:2" x14ac:dyDescent="0.25">
      <c r="A1193" s="62">
        <v>20101504</v>
      </c>
      <c r="B1193" s="63" t="s">
        <v>1894</v>
      </c>
    </row>
    <row r="1194" spans="1:2" x14ac:dyDescent="0.25">
      <c r="A1194" s="62">
        <v>20101601</v>
      </c>
      <c r="B1194" s="63" t="s">
        <v>1895</v>
      </c>
    </row>
    <row r="1195" spans="1:2" x14ac:dyDescent="0.25">
      <c r="A1195" s="62">
        <v>20101602</v>
      </c>
      <c r="B1195" s="63" t="s">
        <v>1896</v>
      </c>
    </row>
    <row r="1196" spans="1:2" x14ac:dyDescent="0.25">
      <c r="A1196" s="62">
        <v>20101603</v>
      </c>
      <c r="B1196" s="63" t="s">
        <v>1897</v>
      </c>
    </row>
    <row r="1197" spans="1:2" x14ac:dyDescent="0.25">
      <c r="A1197" s="62">
        <v>20101701</v>
      </c>
      <c r="B1197" s="63" t="s">
        <v>1898</v>
      </c>
    </row>
    <row r="1198" spans="1:2" x14ac:dyDescent="0.25">
      <c r="A1198" s="62">
        <v>20101702</v>
      </c>
      <c r="B1198" s="63" t="s">
        <v>1899</v>
      </c>
    </row>
    <row r="1199" spans="1:2" x14ac:dyDescent="0.25">
      <c r="A1199" s="62">
        <v>20101703</v>
      </c>
      <c r="B1199" s="63" t="s">
        <v>1900</v>
      </c>
    </row>
    <row r="1200" spans="1:2" x14ac:dyDescent="0.25">
      <c r="A1200" s="62">
        <v>20101704</v>
      </c>
      <c r="B1200" s="63" t="s">
        <v>1901</v>
      </c>
    </row>
    <row r="1201" spans="1:2" x14ac:dyDescent="0.25">
      <c r="A1201" s="62">
        <v>20101705</v>
      </c>
      <c r="B1201" s="63" t="s">
        <v>1902</v>
      </c>
    </row>
    <row r="1202" spans="1:2" x14ac:dyDescent="0.25">
      <c r="A1202" s="62">
        <v>20101706</v>
      </c>
      <c r="B1202" s="63" t="s">
        <v>1903</v>
      </c>
    </row>
    <row r="1203" spans="1:2" x14ac:dyDescent="0.25">
      <c r="A1203" s="62">
        <v>20101707</v>
      </c>
      <c r="B1203" s="63" t="s">
        <v>1904</v>
      </c>
    </row>
    <row r="1204" spans="1:2" x14ac:dyDescent="0.25">
      <c r="A1204" s="62">
        <v>20101708</v>
      </c>
      <c r="B1204" s="63" t="s">
        <v>1905</v>
      </c>
    </row>
    <row r="1205" spans="1:2" x14ac:dyDescent="0.25">
      <c r="A1205" s="62">
        <v>20101709</v>
      </c>
      <c r="B1205" s="63" t="s">
        <v>1906</v>
      </c>
    </row>
    <row r="1206" spans="1:2" x14ac:dyDescent="0.25">
      <c r="A1206" s="62">
        <v>20101710</v>
      </c>
      <c r="B1206" s="63" t="s">
        <v>1907</v>
      </c>
    </row>
    <row r="1207" spans="1:2" x14ac:dyDescent="0.25">
      <c r="A1207" s="62">
        <v>20101711</v>
      </c>
      <c r="B1207" s="63" t="s">
        <v>1908</v>
      </c>
    </row>
    <row r="1208" spans="1:2" x14ac:dyDescent="0.25">
      <c r="A1208" s="62">
        <v>20101712</v>
      </c>
      <c r="B1208" s="63" t="s">
        <v>1909</v>
      </c>
    </row>
    <row r="1209" spans="1:2" x14ac:dyDescent="0.25">
      <c r="A1209" s="62">
        <v>20101713</v>
      </c>
      <c r="B1209" s="63" t="s">
        <v>1910</v>
      </c>
    </row>
    <row r="1210" spans="1:2" x14ac:dyDescent="0.25">
      <c r="A1210" s="62">
        <v>20101714</v>
      </c>
      <c r="B1210" s="63" t="s">
        <v>1911</v>
      </c>
    </row>
    <row r="1211" spans="1:2" x14ac:dyDescent="0.25">
      <c r="A1211" s="62">
        <v>20101801</v>
      </c>
      <c r="B1211" s="63" t="s">
        <v>1912</v>
      </c>
    </row>
    <row r="1212" spans="1:2" x14ac:dyDescent="0.25">
      <c r="A1212" s="62">
        <v>20101802</v>
      </c>
      <c r="B1212" s="63" t="s">
        <v>1913</v>
      </c>
    </row>
    <row r="1213" spans="1:2" x14ac:dyDescent="0.25">
      <c r="A1213" s="62">
        <v>20101803</v>
      </c>
      <c r="B1213" s="63" t="s">
        <v>1914</v>
      </c>
    </row>
    <row r="1214" spans="1:2" x14ac:dyDescent="0.25">
      <c r="A1214" s="62">
        <v>20101804</v>
      </c>
      <c r="B1214" s="63" t="s">
        <v>1915</v>
      </c>
    </row>
    <row r="1215" spans="1:2" x14ac:dyDescent="0.25">
      <c r="A1215" s="62">
        <v>20101805</v>
      </c>
      <c r="B1215" s="63" t="s">
        <v>1916</v>
      </c>
    </row>
    <row r="1216" spans="1:2" x14ac:dyDescent="0.25">
      <c r="A1216" s="62">
        <v>20101901</v>
      </c>
      <c r="B1216" s="63" t="s">
        <v>1917</v>
      </c>
    </row>
    <row r="1217" spans="1:2" x14ac:dyDescent="0.25">
      <c r="A1217" s="62">
        <v>20101902</v>
      </c>
      <c r="B1217" s="63" t="s">
        <v>1918</v>
      </c>
    </row>
    <row r="1218" spans="1:2" x14ac:dyDescent="0.25">
      <c r="A1218" s="62">
        <v>20101903</v>
      </c>
      <c r="B1218" s="63" t="s">
        <v>1919</v>
      </c>
    </row>
    <row r="1219" spans="1:2" x14ac:dyDescent="0.25">
      <c r="A1219" s="62">
        <v>20102001</v>
      </c>
      <c r="B1219" s="63" t="s">
        <v>1920</v>
      </c>
    </row>
    <row r="1220" spans="1:2" x14ac:dyDescent="0.25">
      <c r="A1220" s="62">
        <v>20102002</v>
      </c>
      <c r="B1220" s="63" t="s">
        <v>1921</v>
      </c>
    </row>
    <row r="1221" spans="1:2" x14ac:dyDescent="0.25">
      <c r="A1221" s="62">
        <v>20102003</v>
      </c>
      <c r="B1221" s="63" t="s">
        <v>1922</v>
      </c>
    </row>
    <row r="1222" spans="1:2" x14ac:dyDescent="0.25">
      <c r="A1222" s="62">
        <v>20102004</v>
      </c>
      <c r="B1222" s="63" t="s">
        <v>1923</v>
      </c>
    </row>
    <row r="1223" spans="1:2" x14ac:dyDescent="0.25">
      <c r="A1223" s="62">
        <v>20102005</v>
      </c>
      <c r="B1223" s="63" t="s">
        <v>1924</v>
      </c>
    </row>
    <row r="1224" spans="1:2" x14ac:dyDescent="0.25">
      <c r="A1224" s="62">
        <v>20102006</v>
      </c>
      <c r="B1224" s="63" t="s">
        <v>1925</v>
      </c>
    </row>
    <row r="1225" spans="1:2" x14ac:dyDescent="0.25">
      <c r="A1225" s="62">
        <v>20102007</v>
      </c>
      <c r="B1225" s="63" t="s">
        <v>1926</v>
      </c>
    </row>
    <row r="1226" spans="1:2" x14ac:dyDescent="0.25">
      <c r="A1226" s="62">
        <v>20102008</v>
      </c>
      <c r="B1226" s="63" t="s">
        <v>1927</v>
      </c>
    </row>
    <row r="1227" spans="1:2" x14ac:dyDescent="0.25">
      <c r="A1227" s="62">
        <v>20102101</v>
      </c>
      <c r="B1227" s="63" t="s">
        <v>1928</v>
      </c>
    </row>
    <row r="1228" spans="1:2" x14ac:dyDescent="0.25">
      <c r="A1228" s="62">
        <v>20102102</v>
      </c>
      <c r="B1228" s="63" t="s">
        <v>1929</v>
      </c>
    </row>
    <row r="1229" spans="1:2" x14ac:dyDescent="0.25">
      <c r="A1229" s="62">
        <v>20102103</v>
      </c>
      <c r="B1229" s="63" t="s">
        <v>1930</v>
      </c>
    </row>
    <row r="1230" spans="1:2" x14ac:dyDescent="0.25">
      <c r="A1230" s="62">
        <v>20102104</v>
      </c>
      <c r="B1230" s="63" t="s">
        <v>1931</v>
      </c>
    </row>
    <row r="1231" spans="1:2" x14ac:dyDescent="0.25">
      <c r="A1231" s="62">
        <v>20102201</v>
      </c>
      <c r="B1231" s="63" t="s">
        <v>1932</v>
      </c>
    </row>
    <row r="1232" spans="1:2" x14ac:dyDescent="0.25">
      <c r="A1232" s="62">
        <v>20102202</v>
      </c>
      <c r="B1232" s="63" t="s">
        <v>1933</v>
      </c>
    </row>
    <row r="1233" spans="1:2" x14ac:dyDescent="0.25">
      <c r="A1233" s="62">
        <v>20102203</v>
      </c>
      <c r="B1233" s="63" t="s">
        <v>1934</v>
      </c>
    </row>
    <row r="1234" spans="1:2" x14ac:dyDescent="0.25">
      <c r="A1234" s="62">
        <v>20102301</v>
      </c>
      <c r="B1234" s="63" t="s">
        <v>1935</v>
      </c>
    </row>
    <row r="1235" spans="1:2" x14ac:dyDescent="0.25">
      <c r="A1235" s="62">
        <v>20102302</v>
      </c>
      <c r="B1235" s="63" t="s">
        <v>1936</v>
      </c>
    </row>
    <row r="1236" spans="1:2" x14ac:dyDescent="0.25">
      <c r="A1236" s="62">
        <v>20102303</v>
      </c>
      <c r="B1236" s="63" t="s">
        <v>1937</v>
      </c>
    </row>
    <row r="1237" spans="1:2" x14ac:dyDescent="0.25">
      <c r="A1237" s="62">
        <v>20102304</v>
      </c>
      <c r="B1237" s="63" t="s">
        <v>1938</v>
      </c>
    </row>
    <row r="1238" spans="1:2" x14ac:dyDescent="0.25">
      <c r="A1238" s="62">
        <v>20102305</v>
      </c>
      <c r="B1238" s="63" t="s">
        <v>1939</v>
      </c>
    </row>
    <row r="1239" spans="1:2" x14ac:dyDescent="0.25">
      <c r="A1239" s="62">
        <v>20102306</v>
      </c>
      <c r="B1239" s="63" t="s">
        <v>1940</v>
      </c>
    </row>
    <row r="1240" spans="1:2" x14ac:dyDescent="0.25">
      <c r="A1240" s="62">
        <v>20102307</v>
      </c>
      <c r="B1240" s="63" t="s">
        <v>1941</v>
      </c>
    </row>
    <row r="1241" spans="1:2" x14ac:dyDescent="0.25">
      <c r="A1241" s="62">
        <v>20111504</v>
      </c>
      <c r="B1241" s="63" t="s">
        <v>1942</v>
      </c>
    </row>
    <row r="1242" spans="1:2" x14ac:dyDescent="0.25">
      <c r="A1242" s="62">
        <v>20111505</v>
      </c>
      <c r="B1242" s="63" t="s">
        <v>1943</v>
      </c>
    </row>
    <row r="1243" spans="1:2" x14ac:dyDescent="0.25">
      <c r="A1243" s="62">
        <v>20111601</v>
      </c>
      <c r="B1243" s="63" t="s">
        <v>1944</v>
      </c>
    </row>
    <row r="1244" spans="1:2" x14ac:dyDescent="0.25">
      <c r="A1244" s="62">
        <v>20111602</v>
      </c>
      <c r="B1244" s="63" t="s">
        <v>1945</v>
      </c>
    </row>
    <row r="1245" spans="1:2" x14ac:dyDescent="0.25">
      <c r="A1245" s="62">
        <v>20111603</v>
      </c>
      <c r="B1245" s="63" t="s">
        <v>1946</v>
      </c>
    </row>
    <row r="1246" spans="1:2" x14ac:dyDescent="0.25">
      <c r="A1246" s="62">
        <v>20111604</v>
      </c>
      <c r="B1246" s="63" t="s">
        <v>1947</v>
      </c>
    </row>
    <row r="1247" spans="1:2" x14ac:dyDescent="0.25">
      <c r="A1247" s="62">
        <v>20111606</v>
      </c>
      <c r="B1247" s="63" t="s">
        <v>1948</v>
      </c>
    </row>
    <row r="1248" spans="1:2" x14ac:dyDescent="0.25">
      <c r="A1248" s="62">
        <v>20111607</v>
      </c>
      <c r="B1248" s="63" t="s">
        <v>1949</v>
      </c>
    </row>
    <row r="1249" spans="1:2" x14ac:dyDescent="0.25">
      <c r="A1249" s="62">
        <v>20111608</v>
      </c>
      <c r="B1249" s="63" t="s">
        <v>1950</v>
      </c>
    </row>
    <row r="1250" spans="1:2" x14ac:dyDescent="0.25">
      <c r="A1250" s="62">
        <v>20111609</v>
      </c>
      <c r="B1250" s="63" t="s">
        <v>1951</v>
      </c>
    </row>
    <row r="1251" spans="1:2" x14ac:dyDescent="0.25">
      <c r="A1251" s="62">
        <v>20111610</v>
      </c>
      <c r="B1251" s="63" t="s">
        <v>1952</v>
      </c>
    </row>
    <row r="1252" spans="1:2" x14ac:dyDescent="0.25">
      <c r="A1252" s="62">
        <v>20111611</v>
      </c>
      <c r="B1252" s="63" t="s">
        <v>1953</v>
      </c>
    </row>
    <row r="1253" spans="1:2" x14ac:dyDescent="0.25">
      <c r="A1253" s="62">
        <v>20111612</v>
      </c>
      <c r="B1253" s="63" t="s">
        <v>1954</v>
      </c>
    </row>
    <row r="1254" spans="1:2" x14ac:dyDescent="0.25">
      <c r="A1254" s="62">
        <v>20111613</v>
      </c>
      <c r="B1254" s="63" t="s">
        <v>1955</v>
      </c>
    </row>
    <row r="1255" spans="1:2" x14ac:dyDescent="0.25">
      <c r="A1255" s="62">
        <v>20111614</v>
      </c>
      <c r="B1255" s="63" t="s">
        <v>1956</v>
      </c>
    </row>
    <row r="1256" spans="1:2" x14ac:dyDescent="0.25">
      <c r="A1256" s="62">
        <v>20111615</v>
      </c>
      <c r="B1256" s="63" t="s">
        <v>1957</v>
      </c>
    </row>
    <row r="1257" spans="1:2" x14ac:dyDescent="0.25">
      <c r="A1257" s="62">
        <v>20111616</v>
      </c>
      <c r="B1257" s="63" t="s">
        <v>1958</v>
      </c>
    </row>
    <row r="1258" spans="1:2" x14ac:dyDescent="0.25">
      <c r="A1258" s="62">
        <v>20111617</v>
      </c>
      <c r="B1258" s="63" t="s">
        <v>1959</v>
      </c>
    </row>
    <row r="1259" spans="1:2" x14ac:dyDescent="0.25">
      <c r="A1259" s="62">
        <v>20111618</v>
      </c>
      <c r="B1259" s="63" t="s">
        <v>1960</v>
      </c>
    </row>
    <row r="1260" spans="1:2" x14ac:dyDescent="0.25">
      <c r="A1260" s="62">
        <v>20111619</v>
      </c>
      <c r="B1260" s="63" t="s">
        <v>1961</v>
      </c>
    </row>
    <row r="1261" spans="1:2" x14ac:dyDescent="0.25">
      <c r="A1261" s="62">
        <v>20111701</v>
      </c>
      <c r="B1261" s="63" t="s">
        <v>1962</v>
      </c>
    </row>
    <row r="1262" spans="1:2" x14ac:dyDescent="0.25">
      <c r="A1262" s="62">
        <v>20111702</v>
      </c>
      <c r="B1262" s="63" t="s">
        <v>1963</v>
      </c>
    </row>
    <row r="1263" spans="1:2" x14ac:dyDescent="0.25">
      <c r="A1263" s="62">
        <v>20111703</v>
      </c>
      <c r="B1263" s="63" t="s">
        <v>1964</v>
      </c>
    </row>
    <row r="1264" spans="1:2" x14ac:dyDescent="0.25">
      <c r="A1264" s="62">
        <v>20111704</v>
      </c>
      <c r="B1264" s="63" t="s">
        <v>1965</v>
      </c>
    </row>
    <row r="1265" spans="1:2" x14ac:dyDescent="0.25">
      <c r="A1265" s="62">
        <v>20111705</v>
      </c>
      <c r="B1265" s="63" t="s">
        <v>1966</v>
      </c>
    </row>
    <row r="1266" spans="1:2" x14ac:dyDescent="0.25">
      <c r="A1266" s="62">
        <v>20111706</v>
      </c>
      <c r="B1266" s="63" t="s">
        <v>1967</v>
      </c>
    </row>
    <row r="1267" spans="1:2" x14ac:dyDescent="0.25">
      <c r="A1267" s="62">
        <v>20111707</v>
      </c>
      <c r="B1267" s="63" t="s">
        <v>1968</v>
      </c>
    </row>
    <row r="1268" spans="1:2" x14ac:dyDescent="0.25">
      <c r="A1268" s="62">
        <v>20111708</v>
      </c>
      <c r="B1268" s="63" t="s">
        <v>1969</v>
      </c>
    </row>
    <row r="1269" spans="1:2" x14ac:dyDescent="0.25">
      <c r="A1269" s="62">
        <v>20111709</v>
      </c>
      <c r="B1269" s="63" t="s">
        <v>1970</v>
      </c>
    </row>
    <row r="1270" spans="1:2" x14ac:dyDescent="0.25">
      <c r="A1270" s="62">
        <v>20121001</v>
      </c>
      <c r="B1270" s="63" t="s">
        <v>1971</v>
      </c>
    </row>
    <row r="1271" spans="1:2" x14ac:dyDescent="0.25">
      <c r="A1271" s="62">
        <v>20121002</v>
      </c>
      <c r="B1271" s="63" t="s">
        <v>1972</v>
      </c>
    </row>
    <row r="1272" spans="1:2" x14ac:dyDescent="0.25">
      <c r="A1272" s="62">
        <v>20121003</v>
      </c>
      <c r="B1272" s="63" t="s">
        <v>1973</v>
      </c>
    </row>
    <row r="1273" spans="1:2" x14ac:dyDescent="0.25">
      <c r="A1273" s="62">
        <v>20121004</v>
      </c>
      <c r="B1273" s="63" t="s">
        <v>1974</v>
      </c>
    </row>
    <row r="1274" spans="1:2" x14ac:dyDescent="0.25">
      <c r="A1274" s="62">
        <v>20121005</v>
      </c>
      <c r="B1274" s="63" t="s">
        <v>1975</v>
      </c>
    </row>
    <row r="1275" spans="1:2" x14ac:dyDescent="0.25">
      <c r="A1275" s="62">
        <v>20121006</v>
      </c>
      <c r="B1275" s="63" t="s">
        <v>1976</v>
      </c>
    </row>
    <row r="1276" spans="1:2" x14ac:dyDescent="0.25">
      <c r="A1276" s="62">
        <v>20121007</v>
      </c>
      <c r="B1276" s="63" t="s">
        <v>1977</v>
      </c>
    </row>
    <row r="1277" spans="1:2" x14ac:dyDescent="0.25">
      <c r="A1277" s="62">
        <v>20121008</v>
      </c>
      <c r="B1277" s="63" t="s">
        <v>1978</v>
      </c>
    </row>
    <row r="1278" spans="1:2" x14ac:dyDescent="0.25">
      <c r="A1278" s="62">
        <v>20121009</v>
      </c>
      <c r="B1278" s="63" t="s">
        <v>1979</v>
      </c>
    </row>
    <row r="1279" spans="1:2" x14ac:dyDescent="0.25">
      <c r="A1279" s="62">
        <v>20121010</v>
      </c>
      <c r="B1279" s="63" t="s">
        <v>1980</v>
      </c>
    </row>
    <row r="1280" spans="1:2" x14ac:dyDescent="0.25">
      <c r="A1280" s="62">
        <v>20121011</v>
      </c>
      <c r="B1280" s="63" t="s">
        <v>1981</v>
      </c>
    </row>
    <row r="1281" spans="1:2" x14ac:dyDescent="0.25">
      <c r="A1281" s="62">
        <v>20121012</v>
      </c>
      <c r="B1281" s="63" t="s">
        <v>1982</v>
      </c>
    </row>
    <row r="1282" spans="1:2" x14ac:dyDescent="0.25">
      <c r="A1282" s="62">
        <v>20121013</v>
      </c>
      <c r="B1282" s="63" t="s">
        <v>1983</v>
      </c>
    </row>
    <row r="1283" spans="1:2" x14ac:dyDescent="0.25">
      <c r="A1283" s="62">
        <v>20121014</v>
      </c>
      <c r="B1283" s="63" t="s">
        <v>1984</v>
      </c>
    </row>
    <row r="1284" spans="1:2" x14ac:dyDescent="0.25">
      <c r="A1284" s="62">
        <v>20121015</v>
      </c>
      <c r="B1284" s="63" t="s">
        <v>1985</v>
      </c>
    </row>
    <row r="1285" spans="1:2" x14ac:dyDescent="0.25">
      <c r="A1285" s="62">
        <v>20121016</v>
      </c>
      <c r="B1285" s="63" t="s">
        <v>1986</v>
      </c>
    </row>
    <row r="1286" spans="1:2" x14ac:dyDescent="0.25">
      <c r="A1286" s="62">
        <v>20121101</v>
      </c>
      <c r="B1286" s="63" t="s">
        <v>1987</v>
      </c>
    </row>
    <row r="1287" spans="1:2" x14ac:dyDescent="0.25">
      <c r="A1287" s="62">
        <v>20121102</v>
      </c>
      <c r="B1287" s="63" t="s">
        <v>1988</v>
      </c>
    </row>
    <row r="1288" spans="1:2" x14ac:dyDescent="0.25">
      <c r="A1288" s="62">
        <v>20121103</v>
      </c>
      <c r="B1288" s="63" t="s">
        <v>1989</v>
      </c>
    </row>
    <row r="1289" spans="1:2" x14ac:dyDescent="0.25">
      <c r="A1289" s="62">
        <v>20121104</v>
      </c>
      <c r="B1289" s="63" t="s">
        <v>1990</v>
      </c>
    </row>
    <row r="1290" spans="1:2" x14ac:dyDescent="0.25">
      <c r="A1290" s="62">
        <v>20121105</v>
      </c>
      <c r="B1290" s="63" t="s">
        <v>1991</v>
      </c>
    </row>
    <row r="1291" spans="1:2" x14ac:dyDescent="0.25">
      <c r="A1291" s="62">
        <v>20121106</v>
      </c>
      <c r="B1291" s="63" t="s">
        <v>1992</v>
      </c>
    </row>
    <row r="1292" spans="1:2" x14ac:dyDescent="0.25">
      <c r="A1292" s="62">
        <v>20121107</v>
      </c>
      <c r="B1292" s="63" t="s">
        <v>1993</v>
      </c>
    </row>
    <row r="1293" spans="1:2" x14ac:dyDescent="0.25">
      <c r="A1293" s="62">
        <v>20121108</v>
      </c>
      <c r="B1293" s="63" t="s">
        <v>1994</v>
      </c>
    </row>
    <row r="1294" spans="1:2" x14ac:dyDescent="0.25">
      <c r="A1294" s="62">
        <v>20121109</v>
      </c>
      <c r="B1294" s="63" t="s">
        <v>1995</v>
      </c>
    </row>
    <row r="1295" spans="1:2" x14ac:dyDescent="0.25">
      <c r="A1295" s="62">
        <v>20121110</v>
      </c>
      <c r="B1295" s="63" t="s">
        <v>1996</v>
      </c>
    </row>
    <row r="1296" spans="1:2" x14ac:dyDescent="0.25">
      <c r="A1296" s="62">
        <v>20121111</v>
      </c>
      <c r="B1296" s="63" t="s">
        <v>1997</v>
      </c>
    </row>
    <row r="1297" spans="1:2" x14ac:dyDescent="0.25">
      <c r="A1297" s="62">
        <v>20121112</v>
      </c>
      <c r="B1297" s="63" t="s">
        <v>1998</v>
      </c>
    </row>
    <row r="1298" spans="1:2" x14ac:dyDescent="0.25">
      <c r="A1298" s="62">
        <v>20121113</v>
      </c>
      <c r="B1298" s="63" t="s">
        <v>1999</v>
      </c>
    </row>
    <row r="1299" spans="1:2" x14ac:dyDescent="0.25">
      <c r="A1299" s="62">
        <v>20121114</v>
      </c>
      <c r="B1299" s="63" t="s">
        <v>2000</v>
      </c>
    </row>
    <row r="1300" spans="1:2" x14ac:dyDescent="0.25">
      <c r="A1300" s="62">
        <v>20121115</v>
      </c>
      <c r="B1300" s="63" t="s">
        <v>2001</v>
      </c>
    </row>
    <row r="1301" spans="1:2" x14ac:dyDescent="0.25">
      <c r="A1301" s="62">
        <v>20121116</v>
      </c>
      <c r="B1301" s="63" t="s">
        <v>2002</v>
      </c>
    </row>
    <row r="1302" spans="1:2" x14ac:dyDescent="0.25">
      <c r="A1302" s="62">
        <v>20121117</v>
      </c>
      <c r="B1302" s="63" t="s">
        <v>2003</v>
      </c>
    </row>
    <row r="1303" spans="1:2" x14ac:dyDescent="0.25">
      <c r="A1303" s="62">
        <v>20121118</v>
      </c>
      <c r="B1303" s="63" t="s">
        <v>2004</v>
      </c>
    </row>
    <row r="1304" spans="1:2" x14ac:dyDescent="0.25">
      <c r="A1304" s="62">
        <v>20121119</v>
      </c>
      <c r="B1304" s="63" t="s">
        <v>2005</v>
      </c>
    </row>
    <row r="1305" spans="1:2" x14ac:dyDescent="0.25">
      <c r="A1305" s="62">
        <v>20121201</v>
      </c>
      <c r="B1305" s="63" t="s">
        <v>2006</v>
      </c>
    </row>
    <row r="1306" spans="1:2" x14ac:dyDescent="0.25">
      <c r="A1306" s="62">
        <v>20121202</v>
      </c>
      <c r="B1306" s="63" t="s">
        <v>2007</v>
      </c>
    </row>
    <row r="1307" spans="1:2" x14ac:dyDescent="0.25">
      <c r="A1307" s="62">
        <v>20121203</v>
      </c>
      <c r="B1307" s="63" t="s">
        <v>2008</v>
      </c>
    </row>
    <row r="1308" spans="1:2" x14ac:dyDescent="0.25">
      <c r="A1308" s="62">
        <v>20121204</v>
      </c>
      <c r="B1308" s="63" t="s">
        <v>2009</v>
      </c>
    </row>
    <row r="1309" spans="1:2" x14ac:dyDescent="0.25">
      <c r="A1309" s="62">
        <v>20121205</v>
      </c>
      <c r="B1309" s="63" t="s">
        <v>2010</v>
      </c>
    </row>
    <row r="1310" spans="1:2" x14ac:dyDescent="0.25">
      <c r="A1310" s="62">
        <v>20121206</v>
      </c>
      <c r="B1310" s="63" t="s">
        <v>2011</v>
      </c>
    </row>
    <row r="1311" spans="1:2" x14ac:dyDescent="0.25">
      <c r="A1311" s="62">
        <v>20121207</v>
      </c>
      <c r="B1311" s="63" t="s">
        <v>2012</v>
      </c>
    </row>
    <row r="1312" spans="1:2" x14ac:dyDescent="0.25">
      <c r="A1312" s="62">
        <v>20121208</v>
      </c>
      <c r="B1312" s="63" t="s">
        <v>2013</v>
      </c>
    </row>
    <row r="1313" spans="1:2" x14ac:dyDescent="0.25">
      <c r="A1313" s="62">
        <v>20121209</v>
      </c>
      <c r="B1313" s="63" t="s">
        <v>2014</v>
      </c>
    </row>
    <row r="1314" spans="1:2" x14ac:dyDescent="0.25">
      <c r="A1314" s="62">
        <v>20121210</v>
      </c>
      <c r="B1314" s="63" t="s">
        <v>2015</v>
      </c>
    </row>
    <row r="1315" spans="1:2" x14ac:dyDescent="0.25">
      <c r="A1315" s="62">
        <v>20121211</v>
      </c>
      <c r="B1315" s="63" t="s">
        <v>2016</v>
      </c>
    </row>
    <row r="1316" spans="1:2" x14ac:dyDescent="0.25">
      <c r="A1316" s="62">
        <v>20121212</v>
      </c>
      <c r="B1316" s="63" t="s">
        <v>2017</v>
      </c>
    </row>
    <row r="1317" spans="1:2" x14ac:dyDescent="0.25">
      <c r="A1317" s="62">
        <v>20121213</v>
      </c>
      <c r="B1317" s="63" t="s">
        <v>2018</v>
      </c>
    </row>
    <row r="1318" spans="1:2" x14ac:dyDescent="0.25">
      <c r="A1318" s="62">
        <v>20121301</v>
      </c>
      <c r="B1318" s="63" t="s">
        <v>2019</v>
      </c>
    </row>
    <row r="1319" spans="1:2" x14ac:dyDescent="0.25">
      <c r="A1319" s="62">
        <v>20121302</v>
      </c>
      <c r="B1319" s="63" t="s">
        <v>2020</v>
      </c>
    </row>
    <row r="1320" spans="1:2" x14ac:dyDescent="0.25">
      <c r="A1320" s="62">
        <v>20121303</v>
      </c>
      <c r="B1320" s="63" t="s">
        <v>2021</v>
      </c>
    </row>
    <row r="1321" spans="1:2" x14ac:dyDescent="0.25">
      <c r="A1321" s="62">
        <v>20121304</v>
      </c>
      <c r="B1321" s="63" t="s">
        <v>2022</v>
      </c>
    </row>
    <row r="1322" spans="1:2" x14ac:dyDescent="0.25">
      <c r="A1322" s="62">
        <v>20121305</v>
      </c>
      <c r="B1322" s="63" t="s">
        <v>2023</v>
      </c>
    </row>
    <row r="1323" spans="1:2" x14ac:dyDescent="0.25">
      <c r="A1323" s="62">
        <v>20121306</v>
      </c>
      <c r="B1323" s="63" t="s">
        <v>2024</v>
      </c>
    </row>
    <row r="1324" spans="1:2" x14ac:dyDescent="0.25">
      <c r="A1324" s="62">
        <v>20121307</v>
      </c>
      <c r="B1324" s="63" t="s">
        <v>2025</v>
      </c>
    </row>
    <row r="1325" spans="1:2" x14ac:dyDescent="0.25">
      <c r="A1325" s="62">
        <v>20121308</v>
      </c>
      <c r="B1325" s="63" t="s">
        <v>2026</v>
      </c>
    </row>
    <row r="1326" spans="1:2" x14ac:dyDescent="0.25">
      <c r="A1326" s="62">
        <v>20121309</v>
      </c>
      <c r="B1326" s="63" t="s">
        <v>2027</v>
      </c>
    </row>
    <row r="1327" spans="1:2" x14ac:dyDescent="0.25">
      <c r="A1327" s="62">
        <v>20121310</v>
      </c>
      <c r="B1327" s="63" t="s">
        <v>2028</v>
      </c>
    </row>
    <row r="1328" spans="1:2" x14ac:dyDescent="0.25">
      <c r="A1328" s="62">
        <v>20121311</v>
      </c>
      <c r="B1328" s="63" t="s">
        <v>2029</v>
      </c>
    </row>
    <row r="1329" spans="1:2" x14ac:dyDescent="0.25">
      <c r="A1329" s="62">
        <v>20121312</v>
      </c>
      <c r="B1329" s="63" t="s">
        <v>2030</v>
      </c>
    </row>
    <row r="1330" spans="1:2" x14ac:dyDescent="0.25">
      <c r="A1330" s="62">
        <v>20121313</v>
      </c>
      <c r="B1330" s="63" t="s">
        <v>2031</v>
      </c>
    </row>
    <row r="1331" spans="1:2" x14ac:dyDescent="0.25">
      <c r="A1331" s="62">
        <v>20121314</v>
      </c>
      <c r="B1331" s="63" t="s">
        <v>2032</v>
      </c>
    </row>
    <row r="1332" spans="1:2" x14ac:dyDescent="0.25">
      <c r="A1332" s="62">
        <v>20121315</v>
      </c>
      <c r="B1332" s="63" t="s">
        <v>2033</v>
      </c>
    </row>
    <row r="1333" spans="1:2" x14ac:dyDescent="0.25">
      <c r="A1333" s="62">
        <v>20121316</v>
      </c>
      <c r="B1333" s="63" t="s">
        <v>2034</v>
      </c>
    </row>
    <row r="1334" spans="1:2" x14ac:dyDescent="0.25">
      <c r="A1334" s="62">
        <v>20121317</v>
      </c>
      <c r="B1334" s="63" t="s">
        <v>2035</v>
      </c>
    </row>
    <row r="1335" spans="1:2" x14ac:dyDescent="0.25">
      <c r="A1335" s="62">
        <v>20121318</v>
      </c>
      <c r="B1335" s="63" t="s">
        <v>2036</v>
      </c>
    </row>
    <row r="1336" spans="1:2" x14ac:dyDescent="0.25">
      <c r="A1336" s="62">
        <v>20121319</v>
      </c>
      <c r="B1336" s="63" t="s">
        <v>2037</v>
      </c>
    </row>
    <row r="1337" spans="1:2" x14ac:dyDescent="0.25">
      <c r="A1337" s="62">
        <v>20121320</v>
      </c>
      <c r="B1337" s="63" t="s">
        <v>2038</v>
      </c>
    </row>
    <row r="1338" spans="1:2" x14ac:dyDescent="0.25">
      <c r="A1338" s="62">
        <v>20121321</v>
      </c>
      <c r="B1338" s="63" t="s">
        <v>2039</v>
      </c>
    </row>
    <row r="1339" spans="1:2" x14ac:dyDescent="0.25">
      <c r="A1339" s="62">
        <v>20121322</v>
      </c>
      <c r="B1339" s="63" t="s">
        <v>2040</v>
      </c>
    </row>
    <row r="1340" spans="1:2" x14ac:dyDescent="0.25">
      <c r="A1340" s="62">
        <v>20121323</v>
      </c>
      <c r="B1340" s="63" t="s">
        <v>2041</v>
      </c>
    </row>
    <row r="1341" spans="1:2" x14ac:dyDescent="0.25">
      <c r="A1341" s="62">
        <v>20121401</v>
      </c>
      <c r="B1341" s="63" t="s">
        <v>2042</v>
      </c>
    </row>
    <row r="1342" spans="1:2" x14ac:dyDescent="0.25">
      <c r="A1342" s="62">
        <v>20121402</v>
      </c>
      <c r="B1342" s="63" t="s">
        <v>2043</v>
      </c>
    </row>
    <row r="1343" spans="1:2" x14ac:dyDescent="0.25">
      <c r="A1343" s="62">
        <v>20121403</v>
      </c>
      <c r="B1343" s="63" t="s">
        <v>2044</v>
      </c>
    </row>
    <row r="1344" spans="1:2" x14ac:dyDescent="0.25">
      <c r="A1344" s="62">
        <v>20121404</v>
      </c>
      <c r="B1344" s="63" t="s">
        <v>2045</v>
      </c>
    </row>
    <row r="1345" spans="1:2" x14ac:dyDescent="0.25">
      <c r="A1345" s="62">
        <v>20121405</v>
      </c>
      <c r="B1345" s="63" t="s">
        <v>2046</v>
      </c>
    </row>
    <row r="1346" spans="1:2" x14ac:dyDescent="0.25">
      <c r="A1346" s="62">
        <v>20121406</v>
      </c>
      <c r="B1346" s="63" t="s">
        <v>2047</v>
      </c>
    </row>
    <row r="1347" spans="1:2" x14ac:dyDescent="0.25">
      <c r="A1347" s="62">
        <v>20121407</v>
      </c>
      <c r="B1347" s="63" t="s">
        <v>2048</v>
      </c>
    </row>
    <row r="1348" spans="1:2" x14ac:dyDescent="0.25">
      <c r="A1348" s="62">
        <v>20121408</v>
      </c>
      <c r="B1348" s="63" t="s">
        <v>2049</v>
      </c>
    </row>
    <row r="1349" spans="1:2" x14ac:dyDescent="0.25">
      <c r="A1349" s="62">
        <v>20121409</v>
      </c>
      <c r="B1349" s="63" t="s">
        <v>2050</v>
      </c>
    </row>
    <row r="1350" spans="1:2" x14ac:dyDescent="0.25">
      <c r="A1350" s="62">
        <v>20121410</v>
      </c>
      <c r="B1350" s="63" t="s">
        <v>2051</v>
      </c>
    </row>
    <row r="1351" spans="1:2" x14ac:dyDescent="0.25">
      <c r="A1351" s="62">
        <v>20121411</v>
      </c>
      <c r="B1351" s="63" t="s">
        <v>2052</v>
      </c>
    </row>
    <row r="1352" spans="1:2" x14ac:dyDescent="0.25">
      <c r="A1352" s="62">
        <v>20121412</v>
      </c>
      <c r="B1352" s="63" t="s">
        <v>2053</v>
      </c>
    </row>
    <row r="1353" spans="1:2" x14ac:dyDescent="0.25">
      <c r="A1353" s="62">
        <v>20121413</v>
      </c>
      <c r="B1353" s="63" t="s">
        <v>2054</v>
      </c>
    </row>
    <row r="1354" spans="1:2" x14ac:dyDescent="0.25">
      <c r="A1354" s="62">
        <v>20121414</v>
      </c>
      <c r="B1354" s="63" t="s">
        <v>2055</v>
      </c>
    </row>
    <row r="1355" spans="1:2" x14ac:dyDescent="0.25">
      <c r="A1355" s="62">
        <v>20121415</v>
      </c>
      <c r="B1355" s="63" t="s">
        <v>2056</v>
      </c>
    </row>
    <row r="1356" spans="1:2" x14ac:dyDescent="0.25">
      <c r="A1356" s="62">
        <v>20121416</v>
      </c>
      <c r="B1356" s="63" t="s">
        <v>2057</v>
      </c>
    </row>
    <row r="1357" spans="1:2" x14ac:dyDescent="0.25">
      <c r="A1357" s="62">
        <v>20121417</v>
      </c>
      <c r="B1357" s="63" t="s">
        <v>2058</v>
      </c>
    </row>
    <row r="1358" spans="1:2" x14ac:dyDescent="0.25">
      <c r="A1358" s="62">
        <v>20121418</v>
      </c>
      <c r="B1358" s="63" t="s">
        <v>2059</v>
      </c>
    </row>
    <row r="1359" spans="1:2" x14ac:dyDescent="0.25">
      <c r="A1359" s="62">
        <v>20121419</v>
      </c>
      <c r="B1359" s="63" t="s">
        <v>2060</v>
      </c>
    </row>
    <row r="1360" spans="1:2" x14ac:dyDescent="0.25">
      <c r="A1360" s="62">
        <v>20121420</v>
      </c>
      <c r="B1360" s="63" t="s">
        <v>2061</v>
      </c>
    </row>
    <row r="1361" spans="1:2" x14ac:dyDescent="0.25">
      <c r="A1361" s="62">
        <v>20121421</v>
      </c>
      <c r="B1361" s="63" t="s">
        <v>2062</v>
      </c>
    </row>
    <row r="1362" spans="1:2" x14ac:dyDescent="0.25">
      <c r="A1362" s="62">
        <v>20121422</v>
      </c>
      <c r="B1362" s="63" t="s">
        <v>2063</v>
      </c>
    </row>
    <row r="1363" spans="1:2" x14ac:dyDescent="0.25">
      <c r="A1363" s="62">
        <v>20121423</v>
      </c>
      <c r="B1363" s="63" t="s">
        <v>2064</v>
      </c>
    </row>
    <row r="1364" spans="1:2" x14ac:dyDescent="0.25">
      <c r="A1364" s="62">
        <v>20121424</v>
      </c>
      <c r="B1364" s="63" t="s">
        <v>2065</v>
      </c>
    </row>
    <row r="1365" spans="1:2" x14ac:dyDescent="0.25">
      <c r="A1365" s="62">
        <v>20121425</v>
      </c>
      <c r="B1365" s="63" t="s">
        <v>2066</v>
      </c>
    </row>
    <row r="1366" spans="1:2" x14ac:dyDescent="0.25">
      <c r="A1366" s="62">
        <v>20121427</v>
      </c>
      <c r="B1366" s="63" t="s">
        <v>2067</v>
      </c>
    </row>
    <row r="1367" spans="1:2" x14ac:dyDescent="0.25">
      <c r="A1367" s="62">
        <v>20121428</v>
      </c>
      <c r="B1367" s="63" t="s">
        <v>2068</v>
      </c>
    </row>
    <row r="1368" spans="1:2" x14ac:dyDescent="0.25">
      <c r="A1368" s="62">
        <v>20121429</v>
      </c>
      <c r="B1368" s="63" t="s">
        <v>2069</v>
      </c>
    </row>
    <row r="1369" spans="1:2" x14ac:dyDescent="0.25">
      <c r="A1369" s="62">
        <v>20121430</v>
      </c>
      <c r="B1369" s="63" t="s">
        <v>2070</v>
      </c>
    </row>
    <row r="1370" spans="1:2" x14ac:dyDescent="0.25">
      <c r="A1370" s="62">
        <v>20121501</v>
      </c>
      <c r="B1370" s="63" t="s">
        <v>2071</v>
      </c>
    </row>
    <row r="1371" spans="1:2" x14ac:dyDescent="0.25">
      <c r="A1371" s="62">
        <v>20121502</v>
      </c>
      <c r="B1371" s="63" t="s">
        <v>2072</v>
      </c>
    </row>
    <row r="1372" spans="1:2" x14ac:dyDescent="0.25">
      <c r="A1372" s="62">
        <v>20121503</v>
      </c>
      <c r="B1372" s="63" t="s">
        <v>2073</v>
      </c>
    </row>
    <row r="1373" spans="1:2" x14ac:dyDescent="0.25">
      <c r="A1373" s="62">
        <v>20121504</v>
      </c>
      <c r="B1373" s="63" t="s">
        <v>2074</v>
      </c>
    </row>
    <row r="1374" spans="1:2" x14ac:dyDescent="0.25">
      <c r="A1374" s="62">
        <v>20121505</v>
      </c>
      <c r="B1374" s="63" t="s">
        <v>2075</v>
      </c>
    </row>
    <row r="1375" spans="1:2" x14ac:dyDescent="0.25">
      <c r="A1375" s="62">
        <v>20121506</v>
      </c>
      <c r="B1375" s="63" t="s">
        <v>2076</v>
      </c>
    </row>
    <row r="1376" spans="1:2" x14ac:dyDescent="0.25">
      <c r="A1376" s="62">
        <v>20121507</v>
      </c>
      <c r="B1376" s="63" t="s">
        <v>2077</v>
      </c>
    </row>
    <row r="1377" spans="1:2" x14ac:dyDescent="0.25">
      <c r="A1377" s="62">
        <v>20121508</v>
      </c>
      <c r="B1377" s="63" t="s">
        <v>2078</v>
      </c>
    </row>
    <row r="1378" spans="1:2" x14ac:dyDescent="0.25">
      <c r="A1378" s="62">
        <v>20121509</v>
      </c>
      <c r="B1378" s="63" t="s">
        <v>2079</v>
      </c>
    </row>
    <row r="1379" spans="1:2" x14ac:dyDescent="0.25">
      <c r="A1379" s="62">
        <v>20121510</v>
      </c>
      <c r="B1379" s="63" t="s">
        <v>2080</v>
      </c>
    </row>
    <row r="1380" spans="1:2" x14ac:dyDescent="0.25">
      <c r="A1380" s="62">
        <v>20121511</v>
      </c>
      <c r="B1380" s="63" t="s">
        <v>2081</v>
      </c>
    </row>
    <row r="1381" spans="1:2" x14ac:dyDescent="0.25">
      <c r="A1381" s="62">
        <v>20121512</v>
      </c>
      <c r="B1381" s="63" t="s">
        <v>2082</v>
      </c>
    </row>
    <row r="1382" spans="1:2" x14ac:dyDescent="0.25">
      <c r="A1382" s="62">
        <v>20121513</v>
      </c>
      <c r="B1382" s="63" t="s">
        <v>2083</v>
      </c>
    </row>
    <row r="1383" spans="1:2" x14ac:dyDescent="0.25">
      <c r="A1383" s="62">
        <v>20121514</v>
      </c>
      <c r="B1383" s="63" t="s">
        <v>2084</v>
      </c>
    </row>
    <row r="1384" spans="1:2" x14ac:dyDescent="0.25">
      <c r="A1384" s="62">
        <v>20121515</v>
      </c>
      <c r="B1384" s="63" t="s">
        <v>2085</v>
      </c>
    </row>
    <row r="1385" spans="1:2" x14ac:dyDescent="0.25">
      <c r="A1385" s="62">
        <v>20121516</v>
      </c>
      <c r="B1385" s="63" t="s">
        <v>2086</v>
      </c>
    </row>
    <row r="1386" spans="1:2" x14ac:dyDescent="0.25">
      <c r="A1386" s="62">
        <v>20121601</v>
      </c>
      <c r="B1386" s="63" t="s">
        <v>2087</v>
      </c>
    </row>
    <row r="1387" spans="1:2" x14ac:dyDescent="0.25">
      <c r="A1387" s="62">
        <v>20121602</v>
      </c>
      <c r="B1387" s="63" t="s">
        <v>2088</v>
      </c>
    </row>
    <row r="1388" spans="1:2" x14ac:dyDescent="0.25">
      <c r="A1388" s="62">
        <v>20121603</v>
      </c>
      <c r="B1388" s="63" t="s">
        <v>2089</v>
      </c>
    </row>
    <row r="1389" spans="1:2" x14ac:dyDescent="0.25">
      <c r="A1389" s="62">
        <v>20121604</v>
      </c>
      <c r="B1389" s="63" t="s">
        <v>2090</v>
      </c>
    </row>
    <row r="1390" spans="1:2" x14ac:dyDescent="0.25">
      <c r="A1390" s="62">
        <v>20121605</v>
      </c>
      <c r="B1390" s="63" t="s">
        <v>2091</v>
      </c>
    </row>
    <row r="1391" spans="1:2" x14ac:dyDescent="0.25">
      <c r="A1391" s="62">
        <v>20121606</v>
      </c>
      <c r="B1391" s="63" t="s">
        <v>2092</v>
      </c>
    </row>
    <row r="1392" spans="1:2" x14ac:dyDescent="0.25">
      <c r="A1392" s="62">
        <v>20121607</v>
      </c>
      <c r="B1392" s="63" t="s">
        <v>2093</v>
      </c>
    </row>
    <row r="1393" spans="1:2" x14ac:dyDescent="0.25">
      <c r="A1393" s="62">
        <v>20121701</v>
      </c>
      <c r="B1393" s="63" t="s">
        <v>2094</v>
      </c>
    </row>
    <row r="1394" spans="1:2" x14ac:dyDescent="0.25">
      <c r="A1394" s="62">
        <v>20121702</v>
      </c>
      <c r="B1394" s="63" t="s">
        <v>2095</v>
      </c>
    </row>
    <row r="1395" spans="1:2" x14ac:dyDescent="0.25">
      <c r="A1395" s="62">
        <v>20121703</v>
      </c>
      <c r="B1395" s="63" t="s">
        <v>2096</v>
      </c>
    </row>
    <row r="1396" spans="1:2" x14ac:dyDescent="0.25">
      <c r="A1396" s="62">
        <v>20121704</v>
      </c>
      <c r="B1396" s="63" t="s">
        <v>2097</v>
      </c>
    </row>
    <row r="1397" spans="1:2" x14ac:dyDescent="0.25">
      <c r="A1397" s="62">
        <v>20121705</v>
      </c>
      <c r="B1397" s="63" t="s">
        <v>2098</v>
      </c>
    </row>
    <row r="1398" spans="1:2" x14ac:dyDescent="0.25">
      <c r="A1398" s="62">
        <v>20121706</v>
      </c>
      <c r="B1398" s="63" t="s">
        <v>2099</v>
      </c>
    </row>
    <row r="1399" spans="1:2" x14ac:dyDescent="0.25">
      <c r="A1399" s="62">
        <v>20121707</v>
      </c>
      <c r="B1399" s="63" t="s">
        <v>2100</v>
      </c>
    </row>
    <row r="1400" spans="1:2" x14ac:dyDescent="0.25">
      <c r="A1400" s="62">
        <v>20121708</v>
      </c>
      <c r="B1400" s="63" t="s">
        <v>2101</v>
      </c>
    </row>
    <row r="1401" spans="1:2" x14ac:dyDescent="0.25">
      <c r="A1401" s="62">
        <v>20121801</v>
      </c>
      <c r="B1401" s="63" t="s">
        <v>2102</v>
      </c>
    </row>
    <row r="1402" spans="1:2" x14ac:dyDescent="0.25">
      <c r="A1402" s="62">
        <v>20121802</v>
      </c>
      <c r="B1402" s="63" t="s">
        <v>2103</v>
      </c>
    </row>
    <row r="1403" spans="1:2" x14ac:dyDescent="0.25">
      <c r="A1403" s="62">
        <v>20121803</v>
      </c>
      <c r="B1403" s="63" t="s">
        <v>2104</v>
      </c>
    </row>
    <row r="1404" spans="1:2" x14ac:dyDescent="0.25">
      <c r="A1404" s="62">
        <v>20121804</v>
      </c>
      <c r="B1404" s="63" t="s">
        <v>2105</v>
      </c>
    </row>
    <row r="1405" spans="1:2" x14ac:dyDescent="0.25">
      <c r="A1405" s="62">
        <v>20121805</v>
      </c>
      <c r="B1405" s="63" t="s">
        <v>2106</v>
      </c>
    </row>
    <row r="1406" spans="1:2" x14ac:dyDescent="0.25">
      <c r="A1406" s="62">
        <v>20121901</v>
      </c>
      <c r="B1406" s="63" t="s">
        <v>2107</v>
      </c>
    </row>
    <row r="1407" spans="1:2" x14ac:dyDescent="0.25">
      <c r="A1407" s="62">
        <v>20121902</v>
      </c>
      <c r="B1407" s="63" t="s">
        <v>2108</v>
      </c>
    </row>
    <row r="1408" spans="1:2" x14ac:dyDescent="0.25">
      <c r="A1408" s="62">
        <v>20121903</v>
      </c>
      <c r="B1408" s="63" t="s">
        <v>2109</v>
      </c>
    </row>
    <row r="1409" spans="1:2" x14ac:dyDescent="0.25">
      <c r="A1409" s="62">
        <v>20121904</v>
      </c>
      <c r="B1409" s="63" t="s">
        <v>2110</v>
      </c>
    </row>
    <row r="1410" spans="1:2" x14ac:dyDescent="0.25">
      <c r="A1410" s="62">
        <v>20121905</v>
      </c>
      <c r="B1410" s="63" t="s">
        <v>2111</v>
      </c>
    </row>
    <row r="1411" spans="1:2" x14ac:dyDescent="0.25">
      <c r="A1411" s="62">
        <v>20121906</v>
      </c>
      <c r="B1411" s="63" t="s">
        <v>2112</v>
      </c>
    </row>
    <row r="1412" spans="1:2" x14ac:dyDescent="0.25">
      <c r="A1412" s="62">
        <v>20121907</v>
      </c>
      <c r="B1412" s="63" t="s">
        <v>2113</v>
      </c>
    </row>
    <row r="1413" spans="1:2" x14ac:dyDescent="0.25">
      <c r="A1413" s="62">
        <v>20121908</v>
      </c>
      <c r="B1413" s="63" t="s">
        <v>2114</v>
      </c>
    </row>
    <row r="1414" spans="1:2" x14ac:dyDescent="0.25">
      <c r="A1414" s="62">
        <v>20121909</v>
      </c>
      <c r="B1414" s="63" t="s">
        <v>2115</v>
      </c>
    </row>
    <row r="1415" spans="1:2" x14ac:dyDescent="0.25">
      <c r="A1415" s="62">
        <v>20121910</v>
      </c>
      <c r="B1415" s="63" t="s">
        <v>2116</v>
      </c>
    </row>
    <row r="1416" spans="1:2" x14ac:dyDescent="0.25">
      <c r="A1416" s="62">
        <v>20121911</v>
      </c>
      <c r="B1416" s="63" t="s">
        <v>2117</v>
      </c>
    </row>
    <row r="1417" spans="1:2" x14ac:dyDescent="0.25">
      <c r="A1417" s="62">
        <v>20121912</v>
      </c>
      <c r="B1417" s="63" t="s">
        <v>2118</v>
      </c>
    </row>
    <row r="1418" spans="1:2" x14ac:dyDescent="0.25">
      <c r="A1418" s="62">
        <v>20121913</v>
      </c>
      <c r="B1418" s="63" t="s">
        <v>2119</v>
      </c>
    </row>
    <row r="1419" spans="1:2" x14ac:dyDescent="0.25">
      <c r="A1419" s="62">
        <v>20121914</v>
      </c>
      <c r="B1419" s="63" t="s">
        <v>2120</v>
      </c>
    </row>
    <row r="1420" spans="1:2" x14ac:dyDescent="0.25">
      <c r="A1420" s="62">
        <v>20122001</v>
      </c>
      <c r="B1420" s="63" t="s">
        <v>2121</v>
      </c>
    </row>
    <row r="1421" spans="1:2" x14ac:dyDescent="0.25">
      <c r="A1421" s="62">
        <v>20122002</v>
      </c>
      <c r="B1421" s="63" t="s">
        <v>2122</v>
      </c>
    </row>
    <row r="1422" spans="1:2" x14ac:dyDescent="0.25">
      <c r="A1422" s="62">
        <v>20122003</v>
      </c>
      <c r="B1422" s="63" t="s">
        <v>2123</v>
      </c>
    </row>
    <row r="1423" spans="1:2" x14ac:dyDescent="0.25">
      <c r="A1423" s="62">
        <v>20122004</v>
      </c>
      <c r="B1423" s="63" t="s">
        <v>2124</v>
      </c>
    </row>
    <row r="1424" spans="1:2" x14ac:dyDescent="0.25">
      <c r="A1424" s="62">
        <v>20122005</v>
      </c>
      <c r="B1424" s="63" t="s">
        <v>2125</v>
      </c>
    </row>
    <row r="1425" spans="1:2" x14ac:dyDescent="0.25">
      <c r="A1425" s="62">
        <v>20122006</v>
      </c>
      <c r="B1425" s="63" t="s">
        <v>2126</v>
      </c>
    </row>
    <row r="1426" spans="1:2" x14ac:dyDescent="0.25">
      <c r="A1426" s="62">
        <v>20122101</v>
      </c>
      <c r="B1426" s="63" t="s">
        <v>2127</v>
      </c>
    </row>
    <row r="1427" spans="1:2" x14ac:dyDescent="0.25">
      <c r="A1427" s="62">
        <v>20122102</v>
      </c>
      <c r="B1427" s="63" t="s">
        <v>2128</v>
      </c>
    </row>
    <row r="1428" spans="1:2" x14ac:dyDescent="0.25">
      <c r="A1428" s="62">
        <v>20122103</v>
      </c>
      <c r="B1428" s="63" t="s">
        <v>2129</v>
      </c>
    </row>
    <row r="1429" spans="1:2" x14ac:dyDescent="0.25">
      <c r="A1429" s="62">
        <v>20122104</v>
      </c>
      <c r="B1429" s="63" t="s">
        <v>2130</v>
      </c>
    </row>
    <row r="1430" spans="1:2" x14ac:dyDescent="0.25">
      <c r="A1430" s="62">
        <v>20122105</v>
      </c>
      <c r="B1430" s="63" t="s">
        <v>2131</v>
      </c>
    </row>
    <row r="1431" spans="1:2" x14ac:dyDescent="0.25">
      <c r="A1431" s="62">
        <v>20122106</v>
      </c>
      <c r="B1431" s="63" t="s">
        <v>2132</v>
      </c>
    </row>
    <row r="1432" spans="1:2" x14ac:dyDescent="0.25">
      <c r="A1432" s="62">
        <v>20122107</v>
      </c>
      <c r="B1432" s="63" t="s">
        <v>2133</v>
      </c>
    </row>
    <row r="1433" spans="1:2" x14ac:dyDescent="0.25">
      <c r="A1433" s="62">
        <v>20122108</v>
      </c>
      <c r="B1433" s="63" t="s">
        <v>2134</v>
      </c>
    </row>
    <row r="1434" spans="1:2" x14ac:dyDescent="0.25">
      <c r="A1434" s="62">
        <v>20122109</v>
      </c>
      <c r="B1434" s="63" t="s">
        <v>2135</v>
      </c>
    </row>
    <row r="1435" spans="1:2" x14ac:dyDescent="0.25">
      <c r="A1435" s="62">
        <v>20122110</v>
      </c>
      <c r="B1435" s="63" t="s">
        <v>2136</v>
      </c>
    </row>
    <row r="1436" spans="1:2" x14ac:dyDescent="0.25">
      <c r="A1436" s="62">
        <v>20122111</v>
      </c>
      <c r="B1436" s="63" t="s">
        <v>2137</v>
      </c>
    </row>
    <row r="1437" spans="1:2" x14ac:dyDescent="0.25">
      <c r="A1437" s="62">
        <v>20122112</v>
      </c>
      <c r="B1437" s="63" t="s">
        <v>2138</v>
      </c>
    </row>
    <row r="1438" spans="1:2" x14ac:dyDescent="0.25">
      <c r="A1438" s="62">
        <v>20122113</v>
      </c>
      <c r="B1438" s="63" t="s">
        <v>2139</v>
      </c>
    </row>
    <row r="1439" spans="1:2" x14ac:dyDescent="0.25">
      <c r="A1439" s="62">
        <v>20122114</v>
      </c>
      <c r="B1439" s="63" t="s">
        <v>2140</v>
      </c>
    </row>
    <row r="1440" spans="1:2" x14ac:dyDescent="0.25">
      <c r="A1440" s="62">
        <v>20122115</v>
      </c>
      <c r="B1440" s="63" t="s">
        <v>2141</v>
      </c>
    </row>
    <row r="1441" spans="1:2" x14ac:dyDescent="0.25">
      <c r="A1441" s="62">
        <v>20122201</v>
      </c>
      <c r="B1441" s="63" t="s">
        <v>2142</v>
      </c>
    </row>
    <row r="1442" spans="1:2" x14ac:dyDescent="0.25">
      <c r="A1442" s="62">
        <v>20122202</v>
      </c>
      <c r="B1442" s="63" t="s">
        <v>2143</v>
      </c>
    </row>
    <row r="1443" spans="1:2" x14ac:dyDescent="0.25">
      <c r="A1443" s="62">
        <v>20122203</v>
      </c>
      <c r="B1443" s="63" t="s">
        <v>2144</v>
      </c>
    </row>
    <row r="1444" spans="1:2" x14ac:dyDescent="0.25">
      <c r="A1444" s="62">
        <v>20122204</v>
      </c>
      <c r="B1444" s="63" t="s">
        <v>2145</v>
      </c>
    </row>
    <row r="1445" spans="1:2" x14ac:dyDescent="0.25">
      <c r="A1445" s="62">
        <v>20122205</v>
      </c>
      <c r="B1445" s="63" t="s">
        <v>2146</v>
      </c>
    </row>
    <row r="1446" spans="1:2" x14ac:dyDescent="0.25">
      <c r="A1446" s="62">
        <v>20122206</v>
      </c>
      <c r="B1446" s="63" t="s">
        <v>2147</v>
      </c>
    </row>
    <row r="1447" spans="1:2" x14ac:dyDescent="0.25">
      <c r="A1447" s="62">
        <v>20122207</v>
      </c>
      <c r="B1447" s="63" t="s">
        <v>2148</v>
      </c>
    </row>
    <row r="1448" spans="1:2" x14ac:dyDescent="0.25">
      <c r="A1448" s="62">
        <v>20122208</v>
      </c>
      <c r="B1448" s="63" t="s">
        <v>2149</v>
      </c>
    </row>
    <row r="1449" spans="1:2" x14ac:dyDescent="0.25">
      <c r="A1449" s="62">
        <v>20122209</v>
      </c>
      <c r="B1449" s="63" t="s">
        <v>2150</v>
      </c>
    </row>
    <row r="1450" spans="1:2" x14ac:dyDescent="0.25">
      <c r="A1450" s="62">
        <v>20122210</v>
      </c>
      <c r="B1450" s="63" t="s">
        <v>2151</v>
      </c>
    </row>
    <row r="1451" spans="1:2" x14ac:dyDescent="0.25">
      <c r="A1451" s="62">
        <v>20122211</v>
      </c>
      <c r="B1451" s="63" t="s">
        <v>2152</v>
      </c>
    </row>
    <row r="1452" spans="1:2" x14ac:dyDescent="0.25">
      <c r="A1452" s="62">
        <v>20122212</v>
      </c>
      <c r="B1452" s="63" t="s">
        <v>2153</v>
      </c>
    </row>
    <row r="1453" spans="1:2" x14ac:dyDescent="0.25">
      <c r="A1453" s="62">
        <v>20122213</v>
      </c>
      <c r="B1453" s="63" t="s">
        <v>2154</v>
      </c>
    </row>
    <row r="1454" spans="1:2" x14ac:dyDescent="0.25">
      <c r="A1454" s="62">
        <v>20122214</v>
      </c>
      <c r="B1454" s="63" t="s">
        <v>2155</v>
      </c>
    </row>
    <row r="1455" spans="1:2" x14ac:dyDescent="0.25">
      <c r="A1455" s="62">
        <v>20122215</v>
      </c>
      <c r="B1455" s="63" t="s">
        <v>2156</v>
      </c>
    </row>
    <row r="1456" spans="1:2" x14ac:dyDescent="0.25">
      <c r="A1456" s="62">
        <v>20122216</v>
      </c>
      <c r="B1456" s="63" t="s">
        <v>2157</v>
      </c>
    </row>
    <row r="1457" spans="1:2" x14ac:dyDescent="0.25">
      <c r="A1457" s="62">
        <v>20122301</v>
      </c>
      <c r="B1457" s="63" t="s">
        <v>2158</v>
      </c>
    </row>
    <row r="1458" spans="1:2" x14ac:dyDescent="0.25">
      <c r="A1458" s="62">
        <v>20122302</v>
      </c>
      <c r="B1458" s="63" t="s">
        <v>2159</v>
      </c>
    </row>
    <row r="1459" spans="1:2" x14ac:dyDescent="0.25">
      <c r="A1459" s="62">
        <v>20122303</v>
      </c>
      <c r="B1459" s="63" t="s">
        <v>2160</v>
      </c>
    </row>
    <row r="1460" spans="1:2" x14ac:dyDescent="0.25">
      <c r="A1460" s="62">
        <v>20122304</v>
      </c>
      <c r="B1460" s="63" t="s">
        <v>2161</v>
      </c>
    </row>
    <row r="1461" spans="1:2" x14ac:dyDescent="0.25">
      <c r="A1461" s="62">
        <v>20122305</v>
      </c>
      <c r="B1461" s="63" t="s">
        <v>2162</v>
      </c>
    </row>
    <row r="1462" spans="1:2" x14ac:dyDescent="0.25">
      <c r="A1462" s="62">
        <v>20122306</v>
      </c>
      <c r="B1462" s="63" t="s">
        <v>2163</v>
      </c>
    </row>
    <row r="1463" spans="1:2" x14ac:dyDescent="0.25">
      <c r="A1463" s="62">
        <v>20122307</v>
      </c>
      <c r="B1463" s="63" t="s">
        <v>2164</v>
      </c>
    </row>
    <row r="1464" spans="1:2" x14ac:dyDescent="0.25">
      <c r="A1464" s="62">
        <v>20122308</v>
      </c>
      <c r="B1464" s="63" t="s">
        <v>2165</v>
      </c>
    </row>
    <row r="1465" spans="1:2" x14ac:dyDescent="0.25">
      <c r="A1465" s="62">
        <v>20122309</v>
      </c>
      <c r="B1465" s="63" t="s">
        <v>2166</v>
      </c>
    </row>
    <row r="1466" spans="1:2" x14ac:dyDescent="0.25">
      <c r="A1466" s="62">
        <v>20122310</v>
      </c>
      <c r="B1466" s="63" t="s">
        <v>2167</v>
      </c>
    </row>
    <row r="1467" spans="1:2" x14ac:dyDescent="0.25">
      <c r="A1467" s="62">
        <v>20122311</v>
      </c>
      <c r="B1467" s="63" t="s">
        <v>2168</v>
      </c>
    </row>
    <row r="1468" spans="1:2" x14ac:dyDescent="0.25">
      <c r="A1468" s="62">
        <v>20122312</v>
      </c>
      <c r="B1468" s="63" t="s">
        <v>2169</v>
      </c>
    </row>
    <row r="1469" spans="1:2" x14ac:dyDescent="0.25">
      <c r="A1469" s="62">
        <v>20122313</v>
      </c>
      <c r="B1469" s="63" t="s">
        <v>2170</v>
      </c>
    </row>
    <row r="1470" spans="1:2" x14ac:dyDescent="0.25">
      <c r="A1470" s="62">
        <v>20122314</v>
      </c>
      <c r="B1470" s="63" t="s">
        <v>2171</v>
      </c>
    </row>
    <row r="1471" spans="1:2" x14ac:dyDescent="0.25">
      <c r="A1471" s="62">
        <v>20122315</v>
      </c>
      <c r="B1471" s="63" t="s">
        <v>2172</v>
      </c>
    </row>
    <row r="1472" spans="1:2" x14ac:dyDescent="0.25">
      <c r="A1472" s="62">
        <v>20122316</v>
      </c>
      <c r="B1472" s="63" t="s">
        <v>2173</v>
      </c>
    </row>
    <row r="1473" spans="1:2" x14ac:dyDescent="0.25">
      <c r="A1473" s="62">
        <v>20122317</v>
      </c>
      <c r="B1473" s="63" t="s">
        <v>2174</v>
      </c>
    </row>
    <row r="1474" spans="1:2" x14ac:dyDescent="0.25">
      <c r="A1474" s="62">
        <v>20122318</v>
      </c>
      <c r="B1474" s="63" t="s">
        <v>2175</v>
      </c>
    </row>
    <row r="1475" spans="1:2" x14ac:dyDescent="0.25">
      <c r="A1475" s="62">
        <v>20122319</v>
      </c>
      <c r="B1475" s="63" t="s">
        <v>2176</v>
      </c>
    </row>
    <row r="1476" spans="1:2" x14ac:dyDescent="0.25">
      <c r="A1476" s="62">
        <v>20122320</v>
      </c>
      <c r="B1476" s="63" t="s">
        <v>2177</v>
      </c>
    </row>
    <row r="1477" spans="1:2" x14ac:dyDescent="0.25">
      <c r="A1477" s="62">
        <v>20122321</v>
      </c>
      <c r="B1477" s="63" t="s">
        <v>2178</v>
      </c>
    </row>
    <row r="1478" spans="1:2" x14ac:dyDescent="0.25">
      <c r="A1478" s="62">
        <v>20122322</v>
      </c>
      <c r="B1478" s="63" t="s">
        <v>2179</v>
      </c>
    </row>
    <row r="1479" spans="1:2" x14ac:dyDescent="0.25">
      <c r="A1479" s="62">
        <v>20122323</v>
      </c>
      <c r="B1479" s="63" t="s">
        <v>2180</v>
      </c>
    </row>
    <row r="1480" spans="1:2" x14ac:dyDescent="0.25">
      <c r="A1480" s="62">
        <v>20122324</v>
      </c>
      <c r="B1480" s="63" t="s">
        <v>2181</v>
      </c>
    </row>
    <row r="1481" spans="1:2" x14ac:dyDescent="0.25">
      <c r="A1481" s="62">
        <v>20122325</v>
      </c>
      <c r="B1481" s="63" t="s">
        <v>2182</v>
      </c>
    </row>
    <row r="1482" spans="1:2" x14ac:dyDescent="0.25">
      <c r="A1482" s="62">
        <v>20122326</v>
      </c>
      <c r="B1482" s="63" t="s">
        <v>2183</v>
      </c>
    </row>
    <row r="1483" spans="1:2" x14ac:dyDescent="0.25">
      <c r="A1483" s="62">
        <v>20122327</v>
      </c>
      <c r="B1483" s="63" t="s">
        <v>2184</v>
      </c>
    </row>
    <row r="1484" spans="1:2" x14ac:dyDescent="0.25">
      <c r="A1484" s="62">
        <v>20122328</v>
      </c>
      <c r="B1484" s="63" t="s">
        <v>2185</v>
      </c>
    </row>
    <row r="1485" spans="1:2" x14ac:dyDescent="0.25">
      <c r="A1485" s="62">
        <v>20122329</v>
      </c>
      <c r="B1485" s="63" t="s">
        <v>2186</v>
      </c>
    </row>
    <row r="1486" spans="1:2" x14ac:dyDescent="0.25">
      <c r="A1486" s="62">
        <v>20122330</v>
      </c>
      <c r="B1486" s="63" t="s">
        <v>2187</v>
      </c>
    </row>
    <row r="1487" spans="1:2" x14ac:dyDescent="0.25">
      <c r="A1487" s="62">
        <v>20122331</v>
      </c>
      <c r="B1487" s="63" t="s">
        <v>2188</v>
      </c>
    </row>
    <row r="1488" spans="1:2" x14ac:dyDescent="0.25">
      <c r="A1488" s="62">
        <v>20122332</v>
      </c>
      <c r="B1488" s="63" t="s">
        <v>2189</v>
      </c>
    </row>
    <row r="1489" spans="1:2" x14ac:dyDescent="0.25">
      <c r="A1489" s="62">
        <v>20122333</v>
      </c>
      <c r="B1489" s="63" t="s">
        <v>2190</v>
      </c>
    </row>
    <row r="1490" spans="1:2" x14ac:dyDescent="0.25">
      <c r="A1490" s="62">
        <v>20122334</v>
      </c>
      <c r="B1490" s="63" t="s">
        <v>2191</v>
      </c>
    </row>
    <row r="1491" spans="1:2" x14ac:dyDescent="0.25">
      <c r="A1491" s="62">
        <v>20122335</v>
      </c>
      <c r="B1491" s="63" t="s">
        <v>2192</v>
      </c>
    </row>
    <row r="1492" spans="1:2" x14ac:dyDescent="0.25">
      <c r="A1492" s="62">
        <v>20122336</v>
      </c>
      <c r="B1492" s="63" t="s">
        <v>2193</v>
      </c>
    </row>
    <row r="1493" spans="1:2" x14ac:dyDescent="0.25">
      <c r="A1493" s="62">
        <v>20122338</v>
      </c>
      <c r="B1493" s="63" t="s">
        <v>2194</v>
      </c>
    </row>
    <row r="1494" spans="1:2" x14ac:dyDescent="0.25">
      <c r="A1494" s="62">
        <v>20122339</v>
      </c>
      <c r="B1494" s="63" t="s">
        <v>2195</v>
      </c>
    </row>
    <row r="1495" spans="1:2" x14ac:dyDescent="0.25">
      <c r="A1495" s="62">
        <v>20122340</v>
      </c>
      <c r="B1495" s="63" t="s">
        <v>2196</v>
      </c>
    </row>
    <row r="1496" spans="1:2" x14ac:dyDescent="0.25">
      <c r="A1496" s="62">
        <v>20122341</v>
      </c>
      <c r="B1496" s="63" t="s">
        <v>2197</v>
      </c>
    </row>
    <row r="1497" spans="1:2" x14ac:dyDescent="0.25">
      <c r="A1497" s="62">
        <v>20122342</v>
      </c>
      <c r="B1497" s="63" t="s">
        <v>2198</v>
      </c>
    </row>
    <row r="1498" spans="1:2" x14ac:dyDescent="0.25">
      <c r="A1498" s="62">
        <v>20122343</v>
      </c>
      <c r="B1498" s="63" t="s">
        <v>2199</v>
      </c>
    </row>
    <row r="1499" spans="1:2" x14ac:dyDescent="0.25">
      <c r="A1499" s="62">
        <v>20122344</v>
      </c>
      <c r="B1499" s="63" t="s">
        <v>2200</v>
      </c>
    </row>
    <row r="1500" spans="1:2" x14ac:dyDescent="0.25">
      <c r="A1500" s="62">
        <v>20122345</v>
      </c>
      <c r="B1500" s="63" t="s">
        <v>2201</v>
      </c>
    </row>
    <row r="1501" spans="1:2" x14ac:dyDescent="0.25">
      <c r="A1501" s="62">
        <v>20122346</v>
      </c>
      <c r="B1501" s="63" t="s">
        <v>2202</v>
      </c>
    </row>
    <row r="1502" spans="1:2" x14ac:dyDescent="0.25">
      <c r="A1502" s="62">
        <v>20122347</v>
      </c>
      <c r="B1502" s="63" t="s">
        <v>2203</v>
      </c>
    </row>
    <row r="1503" spans="1:2" x14ac:dyDescent="0.25">
      <c r="A1503" s="62">
        <v>20122348</v>
      </c>
      <c r="B1503" s="63" t="s">
        <v>2204</v>
      </c>
    </row>
    <row r="1504" spans="1:2" x14ac:dyDescent="0.25">
      <c r="A1504" s="62">
        <v>20122349</v>
      </c>
      <c r="B1504" s="63" t="s">
        <v>2205</v>
      </c>
    </row>
    <row r="1505" spans="1:2" x14ac:dyDescent="0.25">
      <c r="A1505" s="62">
        <v>20122350</v>
      </c>
      <c r="B1505" s="63" t="s">
        <v>2206</v>
      </c>
    </row>
    <row r="1506" spans="1:2" x14ac:dyDescent="0.25">
      <c r="A1506" s="62">
        <v>20122351</v>
      </c>
      <c r="B1506" s="63" t="s">
        <v>2207</v>
      </c>
    </row>
    <row r="1507" spans="1:2" x14ac:dyDescent="0.25">
      <c r="A1507" s="62">
        <v>20122352</v>
      </c>
      <c r="B1507" s="63" t="s">
        <v>2208</v>
      </c>
    </row>
    <row r="1508" spans="1:2" x14ac:dyDescent="0.25">
      <c r="A1508" s="62">
        <v>20122353</v>
      </c>
      <c r="B1508" s="63" t="s">
        <v>2209</v>
      </c>
    </row>
    <row r="1509" spans="1:2" x14ac:dyDescent="0.25">
      <c r="A1509" s="62">
        <v>20122354</v>
      </c>
      <c r="B1509" s="63" t="s">
        <v>2210</v>
      </c>
    </row>
    <row r="1510" spans="1:2" x14ac:dyDescent="0.25">
      <c r="A1510" s="62">
        <v>20122356</v>
      </c>
      <c r="B1510" s="63" t="s">
        <v>2211</v>
      </c>
    </row>
    <row r="1511" spans="1:2" x14ac:dyDescent="0.25">
      <c r="A1511" s="62">
        <v>20122357</v>
      </c>
      <c r="B1511" s="63" t="s">
        <v>2212</v>
      </c>
    </row>
    <row r="1512" spans="1:2" x14ac:dyDescent="0.25">
      <c r="A1512" s="62">
        <v>20122401</v>
      </c>
      <c r="B1512" s="63" t="s">
        <v>2213</v>
      </c>
    </row>
    <row r="1513" spans="1:2" x14ac:dyDescent="0.25">
      <c r="A1513" s="62">
        <v>20122402</v>
      </c>
      <c r="B1513" s="63" t="s">
        <v>2214</v>
      </c>
    </row>
    <row r="1514" spans="1:2" x14ac:dyDescent="0.25">
      <c r="A1514" s="62">
        <v>20122403</v>
      </c>
      <c r="B1514" s="63" t="s">
        <v>2215</v>
      </c>
    </row>
    <row r="1515" spans="1:2" x14ac:dyDescent="0.25">
      <c r="A1515" s="62">
        <v>20122404</v>
      </c>
      <c r="B1515" s="63" t="s">
        <v>2216</v>
      </c>
    </row>
    <row r="1516" spans="1:2" x14ac:dyDescent="0.25">
      <c r="A1516" s="62">
        <v>20122405</v>
      </c>
      <c r="B1516" s="63" t="s">
        <v>2217</v>
      </c>
    </row>
    <row r="1517" spans="1:2" x14ac:dyDescent="0.25">
      <c r="A1517" s="62">
        <v>20122406</v>
      </c>
      <c r="B1517" s="63" t="s">
        <v>2218</v>
      </c>
    </row>
    <row r="1518" spans="1:2" x14ac:dyDescent="0.25">
      <c r="A1518" s="62">
        <v>20122407</v>
      </c>
      <c r="B1518" s="63" t="s">
        <v>2219</v>
      </c>
    </row>
    <row r="1519" spans="1:2" x14ac:dyDescent="0.25">
      <c r="A1519" s="62">
        <v>20122408</v>
      </c>
      <c r="B1519" s="63" t="s">
        <v>2220</v>
      </c>
    </row>
    <row r="1520" spans="1:2" x14ac:dyDescent="0.25">
      <c r="A1520" s="62">
        <v>20122409</v>
      </c>
      <c r="B1520" s="63" t="s">
        <v>2221</v>
      </c>
    </row>
    <row r="1521" spans="1:2" x14ac:dyDescent="0.25">
      <c r="A1521" s="62">
        <v>20122410</v>
      </c>
      <c r="B1521" s="63" t="s">
        <v>2222</v>
      </c>
    </row>
    <row r="1522" spans="1:2" x14ac:dyDescent="0.25">
      <c r="A1522" s="62">
        <v>20122501</v>
      </c>
      <c r="B1522" s="63" t="s">
        <v>2223</v>
      </c>
    </row>
    <row r="1523" spans="1:2" x14ac:dyDescent="0.25">
      <c r="A1523" s="62">
        <v>20122502</v>
      </c>
      <c r="B1523" s="63" t="s">
        <v>2224</v>
      </c>
    </row>
    <row r="1524" spans="1:2" x14ac:dyDescent="0.25">
      <c r="A1524" s="62">
        <v>20122503</v>
      </c>
      <c r="B1524" s="63" t="s">
        <v>2225</v>
      </c>
    </row>
    <row r="1525" spans="1:2" x14ac:dyDescent="0.25">
      <c r="A1525" s="62">
        <v>20122504</v>
      </c>
      <c r="B1525" s="63" t="s">
        <v>2226</v>
      </c>
    </row>
    <row r="1526" spans="1:2" x14ac:dyDescent="0.25">
      <c r="A1526" s="62">
        <v>20122505</v>
      </c>
      <c r="B1526" s="63" t="s">
        <v>2227</v>
      </c>
    </row>
    <row r="1527" spans="1:2" x14ac:dyDescent="0.25">
      <c r="A1527" s="62">
        <v>20122506</v>
      </c>
      <c r="B1527" s="63" t="s">
        <v>2228</v>
      </c>
    </row>
    <row r="1528" spans="1:2" x14ac:dyDescent="0.25">
      <c r="A1528" s="62">
        <v>20122507</v>
      </c>
      <c r="B1528" s="63" t="s">
        <v>2229</v>
      </c>
    </row>
    <row r="1529" spans="1:2" x14ac:dyDescent="0.25">
      <c r="A1529" s="62">
        <v>20122508</v>
      </c>
      <c r="B1529" s="63" t="s">
        <v>2230</v>
      </c>
    </row>
    <row r="1530" spans="1:2" x14ac:dyDescent="0.25">
      <c r="A1530" s="62">
        <v>20122509</v>
      </c>
      <c r="B1530" s="63" t="s">
        <v>2231</v>
      </c>
    </row>
    <row r="1531" spans="1:2" x14ac:dyDescent="0.25">
      <c r="A1531" s="62">
        <v>20122510</v>
      </c>
      <c r="B1531" s="63" t="s">
        <v>2232</v>
      </c>
    </row>
    <row r="1532" spans="1:2" x14ac:dyDescent="0.25">
      <c r="A1532" s="62">
        <v>20122511</v>
      </c>
      <c r="B1532" s="63" t="s">
        <v>2233</v>
      </c>
    </row>
    <row r="1533" spans="1:2" x14ac:dyDescent="0.25">
      <c r="A1533" s="62">
        <v>20122512</v>
      </c>
      <c r="B1533" s="63" t="s">
        <v>2234</v>
      </c>
    </row>
    <row r="1534" spans="1:2" x14ac:dyDescent="0.25">
      <c r="A1534" s="62">
        <v>20122513</v>
      </c>
      <c r="B1534" s="63" t="s">
        <v>2235</v>
      </c>
    </row>
    <row r="1535" spans="1:2" x14ac:dyDescent="0.25">
      <c r="A1535" s="62">
        <v>20122514</v>
      </c>
      <c r="B1535" s="63" t="s">
        <v>2236</v>
      </c>
    </row>
    <row r="1536" spans="1:2" x14ac:dyDescent="0.25">
      <c r="A1536" s="62">
        <v>20122515</v>
      </c>
      <c r="B1536" s="63" t="s">
        <v>2237</v>
      </c>
    </row>
    <row r="1537" spans="1:2" x14ac:dyDescent="0.25">
      <c r="A1537" s="62">
        <v>20122601</v>
      </c>
      <c r="B1537" s="63" t="s">
        <v>2238</v>
      </c>
    </row>
    <row r="1538" spans="1:2" x14ac:dyDescent="0.25">
      <c r="A1538" s="62">
        <v>20122602</v>
      </c>
      <c r="B1538" s="63" t="s">
        <v>2239</v>
      </c>
    </row>
    <row r="1539" spans="1:2" x14ac:dyDescent="0.25">
      <c r="A1539" s="62">
        <v>20122603</v>
      </c>
      <c r="B1539" s="63" t="s">
        <v>2240</v>
      </c>
    </row>
    <row r="1540" spans="1:2" x14ac:dyDescent="0.25">
      <c r="A1540" s="62">
        <v>20122604</v>
      </c>
      <c r="B1540" s="63" t="s">
        <v>2241</v>
      </c>
    </row>
    <row r="1541" spans="1:2" x14ac:dyDescent="0.25">
      <c r="A1541" s="62">
        <v>20122605</v>
      </c>
      <c r="B1541" s="63" t="s">
        <v>2242</v>
      </c>
    </row>
    <row r="1542" spans="1:2" x14ac:dyDescent="0.25">
      <c r="A1542" s="62">
        <v>20122606</v>
      </c>
      <c r="B1542" s="63" t="s">
        <v>2243</v>
      </c>
    </row>
    <row r="1543" spans="1:2" x14ac:dyDescent="0.25">
      <c r="A1543" s="62">
        <v>20122607</v>
      </c>
      <c r="B1543" s="63" t="s">
        <v>2244</v>
      </c>
    </row>
    <row r="1544" spans="1:2" x14ac:dyDescent="0.25">
      <c r="A1544" s="62">
        <v>20122608</v>
      </c>
      <c r="B1544" s="63" t="s">
        <v>2245</v>
      </c>
    </row>
    <row r="1545" spans="1:2" x14ac:dyDescent="0.25">
      <c r="A1545" s="62">
        <v>20122609</v>
      </c>
      <c r="B1545" s="63" t="s">
        <v>2246</v>
      </c>
    </row>
    <row r="1546" spans="1:2" x14ac:dyDescent="0.25">
      <c r="A1546" s="62">
        <v>20122610</v>
      </c>
      <c r="B1546" s="63" t="s">
        <v>2247</v>
      </c>
    </row>
    <row r="1547" spans="1:2" x14ac:dyDescent="0.25">
      <c r="A1547" s="62">
        <v>20122611</v>
      </c>
      <c r="B1547" s="63" t="s">
        <v>2248</v>
      </c>
    </row>
    <row r="1548" spans="1:2" x14ac:dyDescent="0.25">
      <c r="A1548" s="62">
        <v>20122612</v>
      </c>
      <c r="B1548" s="63" t="s">
        <v>2249</v>
      </c>
    </row>
    <row r="1549" spans="1:2" x14ac:dyDescent="0.25">
      <c r="A1549" s="62">
        <v>20122613</v>
      </c>
      <c r="B1549" s="63" t="s">
        <v>2250</v>
      </c>
    </row>
    <row r="1550" spans="1:2" x14ac:dyDescent="0.25">
      <c r="A1550" s="62">
        <v>20122614</v>
      </c>
      <c r="B1550" s="63" t="s">
        <v>2251</v>
      </c>
    </row>
    <row r="1551" spans="1:2" x14ac:dyDescent="0.25">
      <c r="A1551" s="62">
        <v>20122615</v>
      </c>
      <c r="B1551" s="63" t="s">
        <v>2252</v>
      </c>
    </row>
    <row r="1552" spans="1:2" x14ac:dyDescent="0.25">
      <c r="A1552" s="62">
        <v>20122616</v>
      </c>
      <c r="B1552" s="63" t="s">
        <v>2253</v>
      </c>
    </row>
    <row r="1553" spans="1:2" x14ac:dyDescent="0.25">
      <c r="A1553" s="62">
        <v>20122617</v>
      </c>
      <c r="B1553" s="63" t="s">
        <v>2254</v>
      </c>
    </row>
    <row r="1554" spans="1:2" x14ac:dyDescent="0.25">
      <c r="A1554" s="62">
        <v>20122618</v>
      </c>
      <c r="B1554" s="63" t="s">
        <v>2255</v>
      </c>
    </row>
    <row r="1555" spans="1:2" x14ac:dyDescent="0.25">
      <c r="A1555" s="62">
        <v>20122619</v>
      </c>
      <c r="B1555" s="63" t="s">
        <v>2256</v>
      </c>
    </row>
    <row r="1556" spans="1:2" x14ac:dyDescent="0.25">
      <c r="A1556" s="62">
        <v>20122620</v>
      </c>
      <c r="B1556" s="63" t="s">
        <v>2257</v>
      </c>
    </row>
    <row r="1557" spans="1:2" x14ac:dyDescent="0.25">
      <c r="A1557" s="62">
        <v>20122621</v>
      </c>
      <c r="B1557" s="63" t="s">
        <v>2258</v>
      </c>
    </row>
    <row r="1558" spans="1:2" x14ac:dyDescent="0.25">
      <c r="A1558" s="62">
        <v>20122622</v>
      </c>
      <c r="B1558" s="63" t="s">
        <v>2259</v>
      </c>
    </row>
    <row r="1559" spans="1:2" x14ac:dyDescent="0.25">
      <c r="A1559" s="62">
        <v>20122623</v>
      </c>
      <c r="B1559" s="63" t="s">
        <v>2260</v>
      </c>
    </row>
    <row r="1560" spans="1:2" x14ac:dyDescent="0.25">
      <c r="A1560" s="62">
        <v>20122701</v>
      </c>
      <c r="B1560" s="63" t="s">
        <v>2261</v>
      </c>
    </row>
    <row r="1561" spans="1:2" x14ac:dyDescent="0.25">
      <c r="A1561" s="62">
        <v>20122702</v>
      </c>
      <c r="B1561" s="63" t="s">
        <v>2262</v>
      </c>
    </row>
    <row r="1562" spans="1:2" x14ac:dyDescent="0.25">
      <c r="A1562" s="62">
        <v>20122703</v>
      </c>
      <c r="B1562" s="63" t="s">
        <v>2263</v>
      </c>
    </row>
    <row r="1563" spans="1:2" x14ac:dyDescent="0.25">
      <c r="A1563" s="62">
        <v>20122704</v>
      </c>
      <c r="B1563" s="63" t="s">
        <v>2264</v>
      </c>
    </row>
    <row r="1564" spans="1:2" x14ac:dyDescent="0.25">
      <c r="A1564" s="62">
        <v>20122705</v>
      </c>
      <c r="B1564" s="63" t="s">
        <v>2265</v>
      </c>
    </row>
    <row r="1565" spans="1:2" x14ac:dyDescent="0.25">
      <c r="A1565" s="62">
        <v>20122706</v>
      </c>
      <c r="B1565" s="63" t="s">
        <v>2266</v>
      </c>
    </row>
    <row r="1566" spans="1:2" x14ac:dyDescent="0.25">
      <c r="A1566" s="62">
        <v>20122707</v>
      </c>
      <c r="B1566" s="63" t="s">
        <v>2267</v>
      </c>
    </row>
    <row r="1567" spans="1:2" x14ac:dyDescent="0.25">
      <c r="A1567" s="62">
        <v>20122708</v>
      </c>
      <c r="B1567" s="63" t="s">
        <v>2268</v>
      </c>
    </row>
    <row r="1568" spans="1:2" x14ac:dyDescent="0.25">
      <c r="A1568" s="62">
        <v>20122709</v>
      </c>
      <c r="B1568" s="63" t="s">
        <v>2269</v>
      </c>
    </row>
    <row r="1569" spans="1:2" x14ac:dyDescent="0.25">
      <c r="A1569" s="62">
        <v>20122801</v>
      </c>
      <c r="B1569" s="63" t="s">
        <v>2270</v>
      </c>
    </row>
    <row r="1570" spans="1:2" x14ac:dyDescent="0.25">
      <c r="A1570" s="62">
        <v>20122802</v>
      </c>
      <c r="B1570" s="63" t="s">
        <v>2271</v>
      </c>
    </row>
    <row r="1571" spans="1:2" x14ac:dyDescent="0.25">
      <c r="A1571" s="62">
        <v>20122803</v>
      </c>
      <c r="B1571" s="63" t="s">
        <v>2272</v>
      </c>
    </row>
    <row r="1572" spans="1:2" x14ac:dyDescent="0.25">
      <c r="A1572" s="62">
        <v>20122804</v>
      </c>
      <c r="B1572" s="63" t="s">
        <v>2273</v>
      </c>
    </row>
    <row r="1573" spans="1:2" x14ac:dyDescent="0.25">
      <c r="A1573" s="62">
        <v>20122806</v>
      </c>
      <c r="B1573" s="63" t="s">
        <v>2274</v>
      </c>
    </row>
    <row r="1574" spans="1:2" x14ac:dyDescent="0.25">
      <c r="A1574" s="62">
        <v>20122807</v>
      </c>
      <c r="B1574" s="63" t="s">
        <v>2275</v>
      </c>
    </row>
    <row r="1575" spans="1:2" x14ac:dyDescent="0.25">
      <c r="A1575" s="62">
        <v>20122808</v>
      </c>
      <c r="B1575" s="63" t="s">
        <v>2276</v>
      </c>
    </row>
    <row r="1576" spans="1:2" x14ac:dyDescent="0.25">
      <c r="A1576" s="62">
        <v>20122809</v>
      </c>
      <c r="B1576" s="63" t="s">
        <v>2277</v>
      </c>
    </row>
    <row r="1577" spans="1:2" x14ac:dyDescent="0.25">
      <c r="A1577" s="62">
        <v>20122810</v>
      </c>
      <c r="B1577" s="63" t="s">
        <v>2278</v>
      </c>
    </row>
    <row r="1578" spans="1:2" x14ac:dyDescent="0.25">
      <c r="A1578" s="62">
        <v>20122811</v>
      </c>
      <c r="B1578" s="63" t="s">
        <v>2279</v>
      </c>
    </row>
    <row r="1579" spans="1:2" x14ac:dyDescent="0.25">
      <c r="A1579" s="62">
        <v>20122812</v>
      </c>
      <c r="B1579" s="63" t="s">
        <v>2280</v>
      </c>
    </row>
    <row r="1580" spans="1:2" x14ac:dyDescent="0.25">
      <c r="A1580" s="62">
        <v>20122813</v>
      </c>
      <c r="B1580" s="63" t="s">
        <v>2281</v>
      </c>
    </row>
    <row r="1581" spans="1:2" x14ac:dyDescent="0.25">
      <c r="A1581" s="62">
        <v>20122814</v>
      </c>
      <c r="B1581" s="63" t="s">
        <v>2282</v>
      </c>
    </row>
    <row r="1582" spans="1:2" x14ac:dyDescent="0.25">
      <c r="A1582" s="62">
        <v>20122815</v>
      </c>
      <c r="B1582" s="63" t="s">
        <v>2283</v>
      </c>
    </row>
    <row r="1583" spans="1:2" x14ac:dyDescent="0.25">
      <c r="A1583" s="62">
        <v>20122816</v>
      </c>
      <c r="B1583" s="63" t="s">
        <v>2284</v>
      </c>
    </row>
    <row r="1584" spans="1:2" x14ac:dyDescent="0.25">
      <c r="A1584" s="62">
        <v>20122817</v>
      </c>
      <c r="B1584" s="63" t="s">
        <v>2285</v>
      </c>
    </row>
    <row r="1585" spans="1:2" x14ac:dyDescent="0.25">
      <c r="A1585" s="62">
        <v>20122818</v>
      </c>
      <c r="B1585" s="63" t="s">
        <v>2286</v>
      </c>
    </row>
    <row r="1586" spans="1:2" x14ac:dyDescent="0.25">
      <c r="A1586" s="62">
        <v>20122819</v>
      </c>
      <c r="B1586" s="63" t="s">
        <v>2287</v>
      </c>
    </row>
    <row r="1587" spans="1:2" x14ac:dyDescent="0.25">
      <c r="A1587" s="62">
        <v>20122820</v>
      </c>
      <c r="B1587" s="63" t="s">
        <v>2288</v>
      </c>
    </row>
    <row r="1588" spans="1:2" x14ac:dyDescent="0.25">
      <c r="A1588" s="62">
        <v>20122821</v>
      </c>
      <c r="B1588" s="63" t="s">
        <v>2289</v>
      </c>
    </row>
    <row r="1589" spans="1:2" x14ac:dyDescent="0.25">
      <c r="A1589" s="62">
        <v>20122822</v>
      </c>
      <c r="B1589" s="63" t="s">
        <v>2290</v>
      </c>
    </row>
    <row r="1590" spans="1:2" x14ac:dyDescent="0.25">
      <c r="A1590" s="62">
        <v>20122823</v>
      </c>
      <c r="B1590" s="63" t="s">
        <v>2291</v>
      </c>
    </row>
    <row r="1591" spans="1:2" x14ac:dyDescent="0.25">
      <c r="A1591" s="62">
        <v>20122824</v>
      </c>
      <c r="B1591" s="63" t="s">
        <v>2292</v>
      </c>
    </row>
    <row r="1592" spans="1:2" x14ac:dyDescent="0.25">
      <c r="A1592" s="62">
        <v>20122825</v>
      </c>
      <c r="B1592" s="63" t="s">
        <v>2293</v>
      </c>
    </row>
    <row r="1593" spans="1:2" x14ac:dyDescent="0.25">
      <c r="A1593" s="62">
        <v>20122826</v>
      </c>
      <c r="B1593" s="63" t="s">
        <v>2294</v>
      </c>
    </row>
    <row r="1594" spans="1:2" x14ac:dyDescent="0.25">
      <c r="A1594" s="62">
        <v>20122827</v>
      </c>
      <c r="B1594" s="63" t="s">
        <v>2295</v>
      </c>
    </row>
    <row r="1595" spans="1:2" x14ac:dyDescent="0.25">
      <c r="A1595" s="62">
        <v>20122828</v>
      </c>
      <c r="B1595" s="63" t="s">
        <v>2296</v>
      </c>
    </row>
    <row r="1596" spans="1:2" x14ac:dyDescent="0.25">
      <c r="A1596" s="62">
        <v>20122829</v>
      </c>
      <c r="B1596" s="63" t="s">
        <v>2297</v>
      </c>
    </row>
    <row r="1597" spans="1:2" x14ac:dyDescent="0.25">
      <c r="A1597" s="62">
        <v>20122830</v>
      </c>
      <c r="B1597" s="63" t="s">
        <v>2298</v>
      </c>
    </row>
    <row r="1598" spans="1:2" x14ac:dyDescent="0.25">
      <c r="A1598" s="62">
        <v>20122831</v>
      </c>
      <c r="B1598" s="63" t="s">
        <v>2299</v>
      </c>
    </row>
    <row r="1599" spans="1:2" x14ac:dyDescent="0.25">
      <c r="A1599" s="62">
        <v>20122832</v>
      </c>
      <c r="B1599" s="63" t="s">
        <v>2300</v>
      </c>
    </row>
    <row r="1600" spans="1:2" x14ac:dyDescent="0.25">
      <c r="A1600" s="62">
        <v>20122833</v>
      </c>
      <c r="B1600" s="63" t="s">
        <v>2301</v>
      </c>
    </row>
    <row r="1601" spans="1:2" x14ac:dyDescent="0.25">
      <c r="A1601" s="62">
        <v>20122834</v>
      </c>
      <c r="B1601" s="63" t="s">
        <v>2302</v>
      </c>
    </row>
    <row r="1602" spans="1:2" x14ac:dyDescent="0.25">
      <c r="A1602" s="62">
        <v>20122835</v>
      </c>
      <c r="B1602" s="63" t="s">
        <v>2303</v>
      </c>
    </row>
    <row r="1603" spans="1:2" x14ac:dyDescent="0.25">
      <c r="A1603" s="62">
        <v>20122836</v>
      </c>
      <c r="B1603" s="63" t="s">
        <v>2304</v>
      </c>
    </row>
    <row r="1604" spans="1:2" x14ac:dyDescent="0.25">
      <c r="A1604" s="62">
        <v>20122837</v>
      </c>
      <c r="B1604" s="63" t="s">
        <v>2305</v>
      </c>
    </row>
    <row r="1605" spans="1:2" x14ac:dyDescent="0.25">
      <c r="A1605" s="62">
        <v>20122838</v>
      </c>
      <c r="B1605" s="63" t="s">
        <v>2306</v>
      </c>
    </row>
    <row r="1606" spans="1:2" x14ac:dyDescent="0.25">
      <c r="A1606" s="62">
        <v>20122839</v>
      </c>
      <c r="B1606" s="63" t="s">
        <v>2307</v>
      </c>
    </row>
    <row r="1607" spans="1:2" x14ac:dyDescent="0.25">
      <c r="A1607" s="62">
        <v>20122840</v>
      </c>
      <c r="B1607" s="63" t="s">
        <v>2308</v>
      </c>
    </row>
    <row r="1608" spans="1:2" x14ac:dyDescent="0.25">
      <c r="A1608" s="62">
        <v>20122841</v>
      </c>
      <c r="B1608" s="63" t="s">
        <v>2309</v>
      </c>
    </row>
    <row r="1609" spans="1:2" x14ac:dyDescent="0.25">
      <c r="A1609" s="62">
        <v>20122842</v>
      </c>
      <c r="B1609" s="63" t="s">
        <v>2310</v>
      </c>
    </row>
    <row r="1610" spans="1:2" x14ac:dyDescent="0.25">
      <c r="A1610" s="62">
        <v>20122843</v>
      </c>
      <c r="B1610" s="63" t="s">
        <v>2311</v>
      </c>
    </row>
    <row r="1611" spans="1:2" x14ac:dyDescent="0.25">
      <c r="A1611" s="62">
        <v>20122901</v>
      </c>
      <c r="B1611" s="63" t="s">
        <v>2312</v>
      </c>
    </row>
    <row r="1612" spans="1:2" x14ac:dyDescent="0.25">
      <c r="A1612" s="62">
        <v>20122902</v>
      </c>
      <c r="B1612" s="63" t="s">
        <v>2313</v>
      </c>
    </row>
    <row r="1613" spans="1:2" x14ac:dyDescent="0.25">
      <c r="A1613" s="62">
        <v>20122903</v>
      </c>
      <c r="B1613" s="63" t="s">
        <v>2314</v>
      </c>
    </row>
    <row r="1614" spans="1:2" x14ac:dyDescent="0.25">
      <c r="A1614" s="62">
        <v>20123001</v>
      </c>
      <c r="B1614" s="63" t="s">
        <v>2315</v>
      </c>
    </row>
    <row r="1615" spans="1:2" x14ac:dyDescent="0.25">
      <c r="A1615" s="62">
        <v>20123002</v>
      </c>
      <c r="B1615" s="63" t="s">
        <v>2316</v>
      </c>
    </row>
    <row r="1616" spans="1:2" x14ac:dyDescent="0.25">
      <c r="A1616" s="62">
        <v>20123003</v>
      </c>
      <c r="B1616" s="63" t="s">
        <v>2317</v>
      </c>
    </row>
    <row r="1617" spans="1:2" x14ac:dyDescent="0.25">
      <c r="A1617" s="62">
        <v>20131001</v>
      </c>
      <c r="B1617" s="63" t="s">
        <v>2318</v>
      </c>
    </row>
    <row r="1618" spans="1:2" x14ac:dyDescent="0.25">
      <c r="A1618" s="62">
        <v>20131002</v>
      </c>
      <c r="B1618" s="63" t="s">
        <v>2319</v>
      </c>
    </row>
    <row r="1619" spans="1:2" x14ac:dyDescent="0.25">
      <c r="A1619" s="62">
        <v>20131003</v>
      </c>
      <c r="B1619" s="63" t="s">
        <v>2320</v>
      </c>
    </row>
    <row r="1620" spans="1:2" x14ac:dyDescent="0.25">
      <c r="A1620" s="62">
        <v>20131004</v>
      </c>
      <c r="B1620" s="63" t="s">
        <v>2321</v>
      </c>
    </row>
    <row r="1621" spans="1:2" x14ac:dyDescent="0.25">
      <c r="A1621" s="62">
        <v>20131005</v>
      </c>
      <c r="B1621" s="63" t="s">
        <v>2322</v>
      </c>
    </row>
    <row r="1622" spans="1:2" x14ac:dyDescent="0.25">
      <c r="A1622" s="62">
        <v>20131006</v>
      </c>
      <c r="B1622" s="63" t="s">
        <v>2323</v>
      </c>
    </row>
    <row r="1623" spans="1:2" x14ac:dyDescent="0.25">
      <c r="A1623" s="62">
        <v>20131007</v>
      </c>
      <c r="B1623" s="63" t="s">
        <v>2324</v>
      </c>
    </row>
    <row r="1624" spans="1:2" x14ac:dyDescent="0.25">
      <c r="A1624" s="62">
        <v>20131008</v>
      </c>
      <c r="B1624" s="63" t="s">
        <v>2325</v>
      </c>
    </row>
    <row r="1625" spans="1:2" x14ac:dyDescent="0.25">
      <c r="A1625" s="62">
        <v>20131009</v>
      </c>
      <c r="B1625" s="63" t="s">
        <v>2326</v>
      </c>
    </row>
    <row r="1626" spans="1:2" x14ac:dyDescent="0.25">
      <c r="A1626" s="62">
        <v>20131010</v>
      </c>
      <c r="B1626" s="63" t="s">
        <v>2327</v>
      </c>
    </row>
    <row r="1627" spans="1:2" x14ac:dyDescent="0.25">
      <c r="A1627" s="62">
        <v>20131101</v>
      </c>
      <c r="B1627" s="63" t="s">
        <v>2328</v>
      </c>
    </row>
    <row r="1628" spans="1:2" x14ac:dyDescent="0.25">
      <c r="A1628" s="62">
        <v>20131102</v>
      </c>
      <c r="B1628" s="63" t="s">
        <v>2329</v>
      </c>
    </row>
    <row r="1629" spans="1:2" x14ac:dyDescent="0.25">
      <c r="A1629" s="62">
        <v>20131103</v>
      </c>
      <c r="B1629" s="63" t="s">
        <v>2330</v>
      </c>
    </row>
    <row r="1630" spans="1:2" x14ac:dyDescent="0.25">
      <c r="A1630" s="62">
        <v>20131104</v>
      </c>
      <c r="B1630" s="63" t="s">
        <v>2331</v>
      </c>
    </row>
    <row r="1631" spans="1:2" x14ac:dyDescent="0.25">
      <c r="A1631" s="62">
        <v>20131105</v>
      </c>
      <c r="B1631" s="63" t="s">
        <v>2332</v>
      </c>
    </row>
    <row r="1632" spans="1:2" x14ac:dyDescent="0.25">
      <c r="A1632" s="62">
        <v>20131106</v>
      </c>
      <c r="B1632" s="63" t="s">
        <v>2333</v>
      </c>
    </row>
    <row r="1633" spans="1:2" x14ac:dyDescent="0.25">
      <c r="A1633" s="62">
        <v>20131201</v>
      </c>
      <c r="B1633" s="63" t="s">
        <v>2334</v>
      </c>
    </row>
    <row r="1634" spans="1:2" x14ac:dyDescent="0.25">
      <c r="A1634" s="62">
        <v>20131202</v>
      </c>
      <c r="B1634" s="63" t="s">
        <v>2335</v>
      </c>
    </row>
    <row r="1635" spans="1:2" x14ac:dyDescent="0.25">
      <c r="A1635" s="62">
        <v>20131301</v>
      </c>
      <c r="B1635" s="63" t="s">
        <v>2336</v>
      </c>
    </row>
    <row r="1636" spans="1:2" x14ac:dyDescent="0.25">
      <c r="A1636" s="62">
        <v>20131302</v>
      </c>
      <c r="B1636" s="63" t="s">
        <v>2337</v>
      </c>
    </row>
    <row r="1637" spans="1:2" x14ac:dyDescent="0.25">
      <c r="A1637" s="62">
        <v>20131303</v>
      </c>
      <c r="B1637" s="63" t="s">
        <v>2338</v>
      </c>
    </row>
    <row r="1638" spans="1:2" x14ac:dyDescent="0.25">
      <c r="A1638" s="62">
        <v>20131304</v>
      </c>
      <c r="B1638" s="63" t="s">
        <v>2339</v>
      </c>
    </row>
    <row r="1639" spans="1:2" x14ac:dyDescent="0.25">
      <c r="A1639" s="62">
        <v>20131305</v>
      </c>
      <c r="B1639" s="63" t="s">
        <v>2340</v>
      </c>
    </row>
    <row r="1640" spans="1:2" x14ac:dyDescent="0.25">
      <c r="A1640" s="62">
        <v>20131306</v>
      </c>
      <c r="B1640" s="63" t="s">
        <v>2341</v>
      </c>
    </row>
    <row r="1641" spans="1:2" x14ac:dyDescent="0.25">
      <c r="A1641" s="62">
        <v>20131307</v>
      </c>
      <c r="B1641" s="63" t="s">
        <v>2342</v>
      </c>
    </row>
    <row r="1642" spans="1:2" x14ac:dyDescent="0.25">
      <c r="A1642" s="62">
        <v>20131308</v>
      </c>
      <c r="B1642" s="63" t="s">
        <v>2343</v>
      </c>
    </row>
    <row r="1643" spans="1:2" x14ac:dyDescent="0.25">
      <c r="A1643" s="62">
        <v>20141001</v>
      </c>
      <c r="B1643" s="63" t="s">
        <v>2344</v>
      </c>
    </row>
    <row r="1644" spans="1:2" x14ac:dyDescent="0.25">
      <c r="A1644" s="62">
        <v>20141002</v>
      </c>
      <c r="B1644" s="63" t="s">
        <v>2345</v>
      </c>
    </row>
    <row r="1645" spans="1:2" x14ac:dyDescent="0.25">
      <c r="A1645" s="62">
        <v>20141003</v>
      </c>
      <c r="B1645" s="63" t="s">
        <v>2346</v>
      </c>
    </row>
    <row r="1646" spans="1:2" x14ac:dyDescent="0.25">
      <c r="A1646" s="62">
        <v>20141004</v>
      </c>
      <c r="B1646" s="63" t="s">
        <v>2347</v>
      </c>
    </row>
    <row r="1647" spans="1:2" x14ac:dyDescent="0.25">
      <c r="A1647" s="62">
        <v>20141005</v>
      </c>
      <c r="B1647" s="63" t="s">
        <v>2348</v>
      </c>
    </row>
    <row r="1648" spans="1:2" x14ac:dyDescent="0.25">
      <c r="A1648" s="62">
        <v>20141006</v>
      </c>
      <c r="B1648" s="63" t="s">
        <v>2349</v>
      </c>
    </row>
    <row r="1649" spans="1:2" x14ac:dyDescent="0.25">
      <c r="A1649" s="62">
        <v>20141007</v>
      </c>
      <c r="B1649" s="63" t="s">
        <v>2350</v>
      </c>
    </row>
    <row r="1650" spans="1:2" x14ac:dyDescent="0.25">
      <c r="A1650" s="62">
        <v>20141008</v>
      </c>
      <c r="B1650" s="63" t="s">
        <v>2351</v>
      </c>
    </row>
    <row r="1651" spans="1:2" x14ac:dyDescent="0.25">
      <c r="A1651" s="62">
        <v>20141011</v>
      </c>
      <c r="B1651" s="63" t="s">
        <v>2352</v>
      </c>
    </row>
    <row r="1652" spans="1:2" x14ac:dyDescent="0.25">
      <c r="A1652" s="62">
        <v>20141012</v>
      </c>
      <c r="B1652" s="63" t="s">
        <v>2353</v>
      </c>
    </row>
    <row r="1653" spans="1:2" x14ac:dyDescent="0.25">
      <c r="A1653" s="62">
        <v>20141013</v>
      </c>
      <c r="B1653" s="63" t="s">
        <v>2354</v>
      </c>
    </row>
    <row r="1654" spans="1:2" x14ac:dyDescent="0.25">
      <c r="A1654" s="62">
        <v>20141014</v>
      </c>
      <c r="B1654" s="63" t="s">
        <v>2355</v>
      </c>
    </row>
    <row r="1655" spans="1:2" x14ac:dyDescent="0.25">
      <c r="A1655" s="62">
        <v>20141015</v>
      </c>
      <c r="B1655" s="63" t="s">
        <v>2356</v>
      </c>
    </row>
    <row r="1656" spans="1:2" x14ac:dyDescent="0.25">
      <c r="A1656" s="62">
        <v>20141101</v>
      </c>
      <c r="B1656" s="63" t="s">
        <v>2357</v>
      </c>
    </row>
    <row r="1657" spans="1:2" x14ac:dyDescent="0.25">
      <c r="A1657" s="62">
        <v>20141201</v>
      </c>
      <c r="B1657" s="63" t="s">
        <v>2358</v>
      </c>
    </row>
    <row r="1658" spans="1:2" x14ac:dyDescent="0.25">
      <c r="A1658" s="62">
        <v>20141301</v>
      </c>
      <c r="B1658" s="63" t="s">
        <v>2359</v>
      </c>
    </row>
    <row r="1659" spans="1:2" x14ac:dyDescent="0.25">
      <c r="A1659" s="62">
        <v>20141401</v>
      </c>
      <c r="B1659" s="63" t="s">
        <v>2360</v>
      </c>
    </row>
    <row r="1660" spans="1:2" x14ac:dyDescent="0.25">
      <c r="A1660" s="62">
        <v>20141501</v>
      </c>
      <c r="B1660" s="63" t="s">
        <v>2361</v>
      </c>
    </row>
    <row r="1661" spans="1:2" x14ac:dyDescent="0.25">
      <c r="A1661" s="62">
        <v>20141601</v>
      </c>
      <c r="B1661" s="63" t="s">
        <v>2362</v>
      </c>
    </row>
    <row r="1662" spans="1:2" x14ac:dyDescent="0.25">
      <c r="A1662" s="62">
        <v>20141701</v>
      </c>
      <c r="B1662" s="63" t="s">
        <v>2363</v>
      </c>
    </row>
    <row r="1663" spans="1:2" x14ac:dyDescent="0.25">
      <c r="A1663" s="62">
        <v>20141702</v>
      </c>
      <c r="B1663" s="63" t="s">
        <v>2364</v>
      </c>
    </row>
    <row r="1664" spans="1:2" x14ac:dyDescent="0.25">
      <c r="A1664" s="62">
        <v>20141703</v>
      </c>
      <c r="B1664" s="63" t="s">
        <v>2365</v>
      </c>
    </row>
    <row r="1665" spans="1:2" x14ac:dyDescent="0.25">
      <c r="A1665" s="62">
        <v>20141704</v>
      </c>
      <c r="B1665" s="63" t="s">
        <v>2366</v>
      </c>
    </row>
    <row r="1666" spans="1:2" x14ac:dyDescent="0.25">
      <c r="A1666" s="62">
        <v>20141705</v>
      </c>
      <c r="B1666" s="63" t="s">
        <v>2367</v>
      </c>
    </row>
    <row r="1667" spans="1:2" x14ac:dyDescent="0.25">
      <c r="A1667" s="62">
        <v>20141801</v>
      </c>
      <c r="B1667" s="63" t="s">
        <v>2368</v>
      </c>
    </row>
    <row r="1668" spans="1:2" x14ac:dyDescent="0.25">
      <c r="A1668" s="62">
        <v>20141901</v>
      </c>
      <c r="B1668" s="63" t="s">
        <v>2369</v>
      </c>
    </row>
    <row r="1669" spans="1:2" x14ac:dyDescent="0.25">
      <c r="A1669" s="62">
        <v>20142001</v>
      </c>
      <c r="B1669" s="63" t="s">
        <v>2370</v>
      </c>
    </row>
    <row r="1670" spans="1:2" x14ac:dyDescent="0.25">
      <c r="A1670" s="62">
        <v>20142101</v>
      </c>
      <c r="B1670" s="63" t="s">
        <v>2371</v>
      </c>
    </row>
    <row r="1671" spans="1:2" x14ac:dyDescent="0.25">
      <c r="A1671" s="62">
        <v>20142201</v>
      </c>
      <c r="B1671" s="63" t="s">
        <v>2372</v>
      </c>
    </row>
    <row r="1672" spans="1:2" x14ac:dyDescent="0.25">
      <c r="A1672" s="62">
        <v>20142301</v>
      </c>
      <c r="B1672" s="63" t="s">
        <v>2373</v>
      </c>
    </row>
    <row r="1673" spans="1:2" x14ac:dyDescent="0.25">
      <c r="A1673" s="62">
        <v>20142401</v>
      </c>
      <c r="B1673" s="63" t="s">
        <v>2374</v>
      </c>
    </row>
    <row r="1674" spans="1:2" x14ac:dyDescent="0.25">
      <c r="A1674" s="62">
        <v>20142402</v>
      </c>
      <c r="B1674" s="63" t="s">
        <v>2375</v>
      </c>
    </row>
    <row r="1675" spans="1:2" x14ac:dyDescent="0.25">
      <c r="A1675" s="62">
        <v>20142403</v>
      </c>
      <c r="B1675" s="63" t="s">
        <v>2376</v>
      </c>
    </row>
    <row r="1676" spans="1:2" x14ac:dyDescent="0.25">
      <c r="A1676" s="62">
        <v>20142404</v>
      </c>
      <c r="B1676" s="63" t="s">
        <v>2377</v>
      </c>
    </row>
    <row r="1677" spans="1:2" x14ac:dyDescent="0.25">
      <c r="A1677" s="62">
        <v>20142405</v>
      </c>
      <c r="B1677" s="63" t="s">
        <v>2378</v>
      </c>
    </row>
    <row r="1678" spans="1:2" x14ac:dyDescent="0.25">
      <c r="A1678" s="62">
        <v>20142501</v>
      </c>
      <c r="B1678" s="63" t="s">
        <v>2379</v>
      </c>
    </row>
    <row r="1679" spans="1:2" x14ac:dyDescent="0.25">
      <c r="A1679" s="62">
        <v>20142601</v>
      </c>
      <c r="B1679" s="63" t="s">
        <v>2380</v>
      </c>
    </row>
    <row r="1680" spans="1:2" x14ac:dyDescent="0.25">
      <c r="A1680" s="62">
        <v>20142701</v>
      </c>
      <c r="B1680" s="63" t="s">
        <v>2381</v>
      </c>
    </row>
    <row r="1681" spans="1:2" x14ac:dyDescent="0.25">
      <c r="A1681" s="62">
        <v>20142702</v>
      </c>
      <c r="B1681" s="63" t="s">
        <v>2382</v>
      </c>
    </row>
    <row r="1682" spans="1:2" x14ac:dyDescent="0.25">
      <c r="A1682" s="62">
        <v>20142703</v>
      </c>
      <c r="B1682" s="63" t="s">
        <v>2383</v>
      </c>
    </row>
    <row r="1683" spans="1:2" x14ac:dyDescent="0.25">
      <c r="A1683" s="62">
        <v>20142801</v>
      </c>
      <c r="B1683" s="63" t="s">
        <v>2384</v>
      </c>
    </row>
    <row r="1684" spans="1:2" x14ac:dyDescent="0.25">
      <c r="A1684" s="62">
        <v>20142901</v>
      </c>
      <c r="B1684" s="63" t="s">
        <v>2385</v>
      </c>
    </row>
    <row r="1685" spans="1:2" x14ac:dyDescent="0.25">
      <c r="A1685" s="62">
        <v>20143001</v>
      </c>
      <c r="B1685" s="63" t="s">
        <v>2386</v>
      </c>
    </row>
    <row r="1686" spans="1:2" x14ac:dyDescent="0.25">
      <c r="A1686" s="62">
        <v>20143002</v>
      </c>
      <c r="B1686" s="63" t="s">
        <v>2387</v>
      </c>
    </row>
    <row r="1687" spans="1:2" x14ac:dyDescent="0.25">
      <c r="A1687" s="62">
        <v>21101501</v>
      </c>
      <c r="B1687" s="63" t="s">
        <v>2388</v>
      </c>
    </row>
    <row r="1688" spans="1:2" x14ac:dyDescent="0.25">
      <c r="A1688" s="62">
        <v>21101502</v>
      </c>
      <c r="B1688" s="63" t="s">
        <v>2389</v>
      </c>
    </row>
    <row r="1689" spans="1:2" x14ac:dyDescent="0.25">
      <c r="A1689" s="62">
        <v>21101503</v>
      </c>
      <c r="B1689" s="63" t="s">
        <v>2390</v>
      </c>
    </row>
    <row r="1690" spans="1:2" x14ac:dyDescent="0.25">
      <c r="A1690" s="62">
        <v>21101504</v>
      </c>
      <c r="B1690" s="63" t="s">
        <v>2391</v>
      </c>
    </row>
    <row r="1691" spans="1:2" x14ac:dyDescent="0.25">
      <c r="A1691" s="62">
        <v>21101505</v>
      </c>
      <c r="B1691" s="63" t="s">
        <v>2392</v>
      </c>
    </row>
    <row r="1692" spans="1:2" x14ac:dyDescent="0.25">
      <c r="A1692" s="62">
        <v>21101506</v>
      </c>
      <c r="B1692" s="63" t="s">
        <v>2393</v>
      </c>
    </row>
    <row r="1693" spans="1:2" x14ac:dyDescent="0.25">
      <c r="A1693" s="62">
        <v>21101507</v>
      </c>
      <c r="B1693" s="63" t="s">
        <v>2394</v>
      </c>
    </row>
    <row r="1694" spans="1:2" x14ac:dyDescent="0.25">
      <c r="A1694" s="62">
        <v>21101508</v>
      </c>
      <c r="B1694" s="63" t="s">
        <v>2395</v>
      </c>
    </row>
    <row r="1695" spans="1:2" x14ac:dyDescent="0.25">
      <c r="A1695" s="62">
        <v>21101509</v>
      </c>
      <c r="B1695" s="63" t="s">
        <v>2396</v>
      </c>
    </row>
    <row r="1696" spans="1:2" x14ac:dyDescent="0.25">
      <c r="A1696" s="62">
        <v>21101510</v>
      </c>
      <c r="B1696" s="63" t="s">
        <v>2397</v>
      </c>
    </row>
    <row r="1697" spans="1:2" x14ac:dyDescent="0.25">
      <c r="A1697" s="62">
        <v>21101511</v>
      </c>
      <c r="B1697" s="63" t="s">
        <v>2398</v>
      </c>
    </row>
    <row r="1698" spans="1:2" x14ac:dyDescent="0.25">
      <c r="A1698" s="62">
        <v>21101512</v>
      </c>
      <c r="B1698" s="63" t="s">
        <v>2399</v>
      </c>
    </row>
    <row r="1699" spans="1:2" x14ac:dyDescent="0.25">
      <c r="A1699" s="62">
        <v>21101513</v>
      </c>
      <c r="B1699" s="63" t="s">
        <v>2400</v>
      </c>
    </row>
    <row r="1700" spans="1:2" x14ac:dyDescent="0.25">
      <c r="A1700" s="62">
        <v>21101514</v>
      </c>
      <c r="B1700" s="63" t="s">
        <v>2401</v>
      </c>
    </row>
    <row r="1701" spans="1:2" x14ac:dyDescent="0.25">
      <c r="A1701" s="62">
        <v>21101516</v>
      </c>
      <c r="B1701" s="63" t="s">
        <v>2402</v>
      </c>
    </row>
    <row r="1702" spans="1:2" x14ac:dyDescent="0.25">
      <c r="A1702" s="62">
        <v>21101601</v>
      </c>
      <c r="B1702" s="63" t="s">
        <v>2403</v>
      </c>
    </row>
    <row r="1703" spans="1:2" x14ac:dyDescent="0.25">
      <c r="A1703" s="62">
        <v>21101602</v>
      </c>
      <c r="B1703" s="63" t="s">
        <v>2404</v>
      </c>
    </row>
    <row r="1704" spans="1:2" x14ac:dyDescent="0.25">
      <c r="A1704" s="62">
        <v>21101603</v>
      </c>
      <c r="B1704" s="63" t="s">
        <v>2405</v>
      </c>
    </row>
    <row r="1705" spans="1:2" x14ac:dyDescent="0.25">
      <c r="A1705" s="62">
        <v>21101604</v>
      </c>
      <c r="B1705" s="63" t="s">
        <v>2406</v>
      </c>
    </row>
    <row r="1706" spans="1:2" x14ac:dyDescent="0.25">
      <c r="A1706" s="62">
        <v>21101605</v>
      </c>
      <c r="B1706" s="63" t="s">
        <v>2407</v>
      </c>
    </row>
    <row r="1707" spans="1:2" x14ac:dyDescent="0.25">
      <c r="A1707" s="62">
        <v>21101606</v>
      </c>
      <c r="B1707" s="63" t="s">
        <v>2408</v>
      </c>
    </row>
    <row r="1708" spans="1:2" x14ac:dyDescent="0.25">
      <c r="A1708" s="62">
        <v>21101607</v>
      </c>
      <c r="B1708" s="63" t="s">
        <v>2409</v>
      </c>
    </row>
    <row r="1709" spans="1:2" x14ac:dyDescent="0.25">
      <c r="A1709" s="62">
        <v>21101701</v>
      </c>
      <c r="B1709" s="63" t="s">
        <v>2410</v>
      </c>
    </row>
    <row r="1710" spans="1:2" x14ac:dyDescent="0.25">
      <c r="A1710" s="62">
        <v>21101702</v>
      </c>
      <c r="B1710" s="63" t="s">
        <v>2411</v>
      </c>
    </row>
    <row r="1711" spans="1:2" x14ac:dyDescent="0.25">
      <c r="A1711" s="62">
        <v>21101703</v>
      </c>
      <c r="B1711" s="63" t="s">
        <v>2412</v>
      </c>
    </row>
    <row r="1712" spans="1:2" x14ac:dyDescent="0.25">
      <c r="A1712" s="62">
        <v>21101704</v>
      </c>
      <c r="B1712" s="63" t="s">
        <v>2413</v>
      </c>
    </row>
    <row r="1713" spans="1:2" x14ac:dyDescent="0.25">
      <c r="A1713" s="62">
        <v>21101705</v>
      </c>
      <c r="B1713" s="63" t="s">
        <v>2414</v>
      </c>
    </row>
    <row r="1714" spans="1:2" x14ac:dyDescent="0.25">
      <c r="A1714" s="62">
        <v>21101706</v>
      </c>
      <c r="B1714" s="63" t="s">
        <v>2415</v>
      </c>
    </row>
    <row r="1715" spans="1:2" x14ac:dyDescent="0.25">
      <c r="A1715" s="62">
        <v>21101707</v>
      </c>
      <c r="B1715" s="63" t="s">
        <v>2416</v>
      </c>
    </row>
    <row r="1716" spans="1:2" x14ac:dyDescent="0.25">
      <c r="A1716" s="62">
        <v>21101708</v>
      </c>
      <c r="B1716" s="63" t="s">
        <v>2417</v>
      </c>
    </row>
    <row r="1717" spans="1:2" x14ac:dyDescent="0.25">
      <c r="A1717" s="62">
        <v>21101801</v>
      </c>
      <c r="B1717" s="63" t="s">
        <v>2418</v>
      </c>
    </row>
    <row r="1718" spans="1:2" x14ac:dyDescent="0.25">
      <c r="A1718" s="62">
        <v>21101802</v>
      </c>
      <c r="B1718" s="63" t="s">
        <v>2419</v>
      </c>
    </row>
    <row r="1719" spans="1:2" x14ac:dyDescent="0.25">
      <c r="A1719" s="62">
        <v>21101803</v>
      </c>
      <c r="B1719" s="63" t="s">
        <v>2420</v>
      </c>
    </row>
    <row r="1720" spans="1:2" x14ac:dyDescent="0.25">
      <c r="A1720" s="62">
        <v>21101804</v>
      </c>
      <c r="B1720" s="63" t="s">
        <v>2421</v>
      </c>
    </row>
    <row r="1721" spans="1:2" x14ac:dyDescent="0.25">
      <c r="A1721" s="62">
        <v>21101805</v>
      </c>
      <c r="B1721" s="63" t="s">
        <v>2422</v>
      </c>
    </row>
    <row r="1722" spans="1:2" x14ac:dyDescent="0.25">
      <c r="A1722" s="62">
        <v>21101806</v>
      </c>
      <c r="B1722" s="63" t="s">
        <v>2423</v>
      </c>
    </row>
    <row r="1723" spans="1:2" x14ac:dyDescent="0.25">
      <c r="A1723" s="62">
        <v>21101807</v>
      </c>
      <c r="B1723" s="63" t="s">
        <v>2424</v>
      </c>
    </row>
    <row r="1724" spans="1:2" x14ac:dyDescent="0.25">
      <c r="A1724" s="62">
        <v>21101808</v>
      </c>
      <c r="B1724" s="63" t="s">
        <v>2425</v>
      </c>
    </row>
    <row r="1725" spans="1:2" x14ac:dyDescent="0.25">
      <c r="A1725" s="62">
        <v>21101901</v>
      </c>
      <c r="B1725" s="63" t="s">
        <v>2426</v>
      </c>
    </row>
    <row r="1726" spans="1:2" x14ac:dyDescent="0.25">
      <c r="A1726" s="62">
        <v>21101902</v>
      </c>
      <c r="B1726" s="63" t="s">
        <v>2427</v>
      </c>
    </row>
    <row r="1727" spans="1:2" x14ac:dyDescent="0.25">
      <c r="A1727" s="62">
        <v>21101903</v>
      </c>
      <c r="B1727" s="63" t="s">
        <v>2428</v>
      </c>
    </row>
    <row r="1728" spans="1:2" x14ac:dyDescent="0.25">
      <c r="A1728" s="62">
        <v>21101904</v>
      </c>
      <c r="B1728" s="63" t="s">
        <v>2429</v>
      </c>
    </row>
    <row r="1729" spans="1:2" x14ac:dyDescent="0.25">
      <c r="A1729" s="62">
        <v>21101905</v>
      </c>
      <c r="B1729" s="63" t="s">
        <v>2430</v>
      </c>
    </row>
    <row r="1730" spans="1:2" x14ac:dyDescent="0.25">
      <c r="A1730" s="62">
        <v>21101906</v>
      </c>
      <c r="B1730" s="63" t="s">
        <v>2431</v>
      </c>
    </row>
    <row r="1731" spans="1:2" x14ac:dyDescent="0.25">
      <c r="A1731" s="62">
        <v>21101907</v>
      </c>
      <c r="B1731" s="63" t="s">
        <v>2432</v>
      </c>
    </row>
    <row r="1732" spans="1:2" x14ac:dyDescent="0.25">
      <c r="A1732" s="62">
        <v>21101908</v>
      </c>
      <c r="B1732" s="63" t="s">
        <v>2433</v>
      </c>
    </row>
    <row r="1733" spans="1:2" x14ac:dyDescent="0.25">
      <c r="A1733" s="62">
        <v>21101909</v>
      </c>
      <c r="B1733" s="63" t="s">
        <v>2434</v>
      </c>
    </row>
    <row r="1734" spans="1:2" x14ac:dyDescent="0.25">
      <c r="A1734" s="62">
        <v>21102001</v>
      </c>
      <c r="B1734" s="63" t="s">
        <v>2435</v>
      </c>
    </row>
    <row r="1735" spans="1:2" x14ac:dyDescent="0.25">
      <c r="A1735" s="62">
        <v>21102002</v>
      </c>
      <c r="B1735" s="63" t="s">
        <v>2436</v>
      </c>
    </row>
    <row r="1736" spans="1:2" x14ac:dyDescent="0.25">
      <c r="A1736" s="62">
        <v>21102003</v>
      </c>
      <c r="B1736" s="63" t="s">
        <v>2437</v>
      </c>
    </row>
    <row r="1737" spans="1:2" x14ac:dyDescent="0.25">
      <c r="A1737" s="62">
        <v>21102004</v>
      </c>
      <c r="B1737" s="63" t="s">
        <v>2438</v>
      </c>
    </row>
    <row r="1738" spans="1:2" x14ac:dyDescent="0.25">
      <c r="A1738" s="62">
        <v>21102005</v>
      </c>
      <c r="B1738" s="63" t="s">
        <v>2439</v>
      </c>
    </row>
    <row r="1739" spans="1:2" x14ac:dyDescent="0.25">
      <c r="A1739" s="62">
        <v>21102006</v>
      </c>
      <c r="B1739" s="63" t="s">
        <v>2440</v>
      </c>
    </row>
    <row r="1740" spans="1:2" x14ac:dyDescent="0.25">
      <c r="A1740" s="62">
        <v>21102101</v>
      </c>
      <c r="B1740" s="63" t="s">
        <v>2441</v>
      </c>
    </row>
    <row r="1741" spans="1:2" x14ac:dyDescent="0.25">
      <c r="A1741" s="62">
        <v>21102201</v>
      </c>
      <c r="B1741" s="63" t="s">
        <v>2442</v>
      </c>
    </row>
    <row r="1742" spans="1:2" x14ac:dyDescent="0.25">
      <c r="A1742" s="62">
        <v>21102202</v>
      </c>
      <c r="B1742" s="63" t="s">
        <v>2443</v>
      </c>
    </row>
    <row r="1743" spans="1:2" x14ac:dyDescent="0.25">
      <c r="A1743" s="62">
        <v>21102203</v>
      </c>
      <c r="B1743" s="63" t="s">
        <v>2444</v>
      </c>
    </row>
    <row r="1744" spans="1:2" x14ac:dyDescent="0.25">
      <c r="A1744" s="62">
        <v>21102204</v>
      </c>
      <c r="B1744" s="63" t="s">
        <v>2445</v>
      </c>
    </row>
    <row r="1745" spans="1:2" x14ac:dyDescent="0.25">
      <c r="A1745" s="62">
        <v>21102205</v>
      </c>
      <c r="B1745" s="63" t="s">
        <v>2446</v>
      </c>
    </row>
    <row r="1746" spans="1:2" x14ac:dyDescent="0.25">
      <c r="A1746" s="62">
        <v>21102206</v>
      </c>
      <c r="B1746" s="63" t="s">
        <v>2447</v>
      </c>
    </row>
    <row r="1747" spans="1:2" x14ac:dyDescent="0.25">
      <c r="A1747" s="62">
        <v>21102207</v>
      </c>
      <c r="B1747" s="63" t="s">
        <v>2448</v>
      </c>
    </row>
    <row r="1748" spans="1:2" x14ac:dyDescent="0.25">
      <c r="A1748" s="62">
        <v>21102301</v>
      </c>
      <c r="B1748" s="63" t="s">
        <v>2449</v>
      </c>
    </row>
    <row r="1749" spans="1:2" x14ac:dyDescent="0.25">
      <c r="A1749" s="62">
        <v>21102302</v>
      </c>
      <c r="B1749" s="63" t="s">
        <v>2450</v>
      </c>
    </row>
    <row r="1750" spans="1:2" x14ac:dyDescent="0.25">
      <c r="A1750" s="62">
        <v>21102303</v>
      </c>
      <c r="B1750" s="63" t="s">
        <v>2451</v>
      </c>
    </row>
    <row r="1751" spans="1:2" x14ac:dyDescent="0.25">
      <c r="A1751" s="62">
        <v>21102304</v>
      </c>
      <c r="B1751" s="63" t="s">
        <v>2452</v>
      </c>
    </row>
    <row r="1752" spans="1:2" x14ac:dyDescent="0.25">
      <c r="A1752" s="62">
        <v>21102401</v>
      </c>
      <c r="B1752" s="63" t="s">
        <v>2453</v>
      </c>
    </row>
    <row r="1753" spans="1:2" x14ac:dyDescent="0.25">
      <c r="A1753" s="62">
        <v>21102402</v>
      </c>
      <c r="B1753" s="63" t="s">
        <v>2454</v>
      </c>
    </row>
    <row r="1754" spans="1:2" x14ac:dyDescent="0.25">
      <c r="A1754" s="62">
        <v>21102403</v>
      </c>
      <c r="B1754" s="63" t="s">
        <v>2455</v>
      </c>
    </row>
    <row r="1755" spans="1:2" x14ac:dyDescent="0.25">
      <c r="A1755" s="62">
        <v>21102404</v>
      </c>
      <c r="B1755" s="63" t="s">
        <v>2456</v>
      </c>
    </row>
    <row r="1756" spans="1:2" x14ac:dyDescent="0.25">
      <c r="A1756" s="62">
        <v>21111501</v>
      </c>
      <c r="B1756" s="63" t="s">
        <v>2457</v>
      </c>
    </row>
    <row r="1757" spans="1:2" x14ac:dyDescent="0.25">
      <c r="A1757" s="62">
        <v>21111502</v>
      </c>
      <c r="B1757" s="63" t="s">
        <v>2458</v>
      </c>
    </row>
    <row r="1758" spans="1:2" x14ac:dyDescent="0.25">
      <c r="A1758" s="62">
        <v>21111503</v>
      </c>
      <c r="B1758" s="63" t="s">
        <v>2459</v>
      </c>
    </row>
    <row r="1759" spans="1:2" x14ac:dyDescent="0.25">
      <c r="A1759" s="62">
        <v>21111504</v>
      </c>
      <c r="B1759" s="63" t="s">
        <v>2460</v>
      </c>
    </row>
    <row r="1760" spans="1:2" x14ac:dyDescent="0.25">
      <c r="A1760" s="62">
        <v>21111506</v>
      </c>
      <c r="B1760" s="63" t="s">
        <v>2461</v>
      </c>
    </row>
    <row r="1761" spans="1:2" x14ac:dyDescent="0.25">
      <c r="A1761" s="62">
        <v>21111507</v>
      </c>
      <c r="B1761" s="63" t="s">
        <v>2462</v>
      </c>
    </row>
    <row r="1762" spans="1:2" x14ac:dyDescent="0.25">
      <c r="A1762" s="62">
        <v>21111508</v>
      </c>
      <c r="B1762" s="63" t="s">
        <v>2463</v>
      </c>
    </row>
    <row r="1763" spans="1:2" x14ac:dyDescent="0.25">
      <c r="A1763" s="62">
        <v>21111601</v>
      </c>
      <c r="B1763" s="63" t="s">
        <v>2464</v>
      </c>
    </row>
    <row r="1764" spans="1:2" x14ac:dyDescent="0.25">
      <c r="A1764" s="62">
        <v>21111602</v>
      </c>
      <c r="B1764" s="63" t="s">
        <v>2465</v>
      </c>
    </row>
    <row r="1765" spans="1:2" x14ac:dyDescent="0.25">
      <c r="A1765" s="62">
        <v>22101501</v>
      </c>
      <c r="B1765" s="63" t="s">
        <v>2466</v>
      </c>
    </row>
    <row r="1766" spans="1:2" x14ac:dyDescent="0.25">
      <c r="A1766" s="62">
        <v>22101502</v>
      </c>
      <c r="B1766" s="63" t="s">
        <v>2467</v>
      </c>
    </row>
    <row r="1767" spans="1:2" x14ac:dyDescent="0.25">
      <c r="A1767" s="62">
        <v>22101504</v>
      </c>
      <c r="B1767" s="63" t="s">
        <v>2468</v>
      </c>
    </row>
    <row r="1768" spans="1:2" x14ac:dyDescent="0.25">
      <c r="A1768" s="62">
        <v>22101505</v>
      </c>
      <c r="B1768" s="63" t="s">
        <v>2469</v>
      </c>
    </row>
    <row r="1769" spans="1:2" x14ac:dyDescent="0.25">
      <c r="A1769" s="62">
        <v>22101507</v>
      </c>
      <c r="B1769" s="63" t="s">
        <v>2470</v>
      </c>
    </row>
    <row r="1770" spans="1:2" x14ac:dyDescent="0.25">
      <c r="A1770" s="62">
        <v>22101508</v>
      </c>
      <c r="B1770" s="63" t="s">
        <v>2471</v>
      </c>
    </row>
    <row r="1771" spans="1:2" x14ac:dyDescent="0.25">
      <c r="A1771" s="62">
        <v>22101509</v>
      </c>
      <c r="B1771" s="63" t="s">
        <v>2472</v>
      </c>
    </row>
    <row r="1772" spans="1:2" x14ac:dyDescent="0.25">
      <c r="A1772" s="62">
        <v>22101511</v>
      </c>
      <c r="B1772" s="63" t="s">
        <v>2473</v>
      </c>
    </row>
    <row r="1773" spans="1:2" x14ac:dyDescent="0.25">
      <c r="A1773" s="62">
        <v>22101513</v>
      </c>
      <c r="B1773" s="63" t="s">
        <v>2474</v>
      </c>
    </row>
    <row r="1774" spans="1:2" x14ac:dyDescent="0.25">
      <c r="A1774" s="62">
        <v>22101514</v>
      </c>
      <c r="B1774" s="63" t="s">
        <v>2475</v>
      </c>
    </row>
    <row r="1775" spans="1:2" x14ac:dyDescent="0.25">
      <c r="A1775" s="62">
        <v>22101516</v>
      </c>
      <c r="B1775" s="63" t="s">
        <v>2476</v>
      </c>
    </row>
    <row r="1776" spans="1:2" x14ac:dyDescent="0.25">
      <c r="A1776" s="62">
        <v>22101518</v>
      </c>
      <c r="B1776" s="63" t="s">
        <v>2477</v>
      </c>
    </row>
    <row r="1777" spans="1:2" x14ac:dyDescent="0.25">
      <c r="A1777" s="62">
        <v>22101519</v>
      </c>
      <c r="B1777" s="63" t="s">
        <v>2478</v>
      </c>
    </row>
    <row r="1778" spans="1:2" x14ac:dyDescent="0.25">
      <c r="A1778" s="62">
        <v>22101520</v>
      </c>
      <c r="B1778" s="63" t="s">
        <v>2479</v>
      </c>
    </row>
    <row r="1779" spans="1:2" x14ac:dyDescent="0.25">
      <c r="A1779" s="62">
        <v>22101521</v>
      </c>
      <c r="B1779" s="63" t="s">
        <v>2480</v>
      </c>
    </row>
    <row r="1780" spans="1:2" x14ac:dyDescent="0.25">
      <c r="A1780" s="62">
        <v>22101522</v>
      </c>
      <c r="B1780" s="63" t="s">
        <v>2481</v>
      </c>
    </row>
    <row r="1781" spans="1:2" x14ac:dyDescent="0.25">
      <c r="A1781" s="62">
        <v>22101523</v>
      </c>
      <c r="B1781" s="63" t="s">
        <v>2482</v>
      </c>
    </row>
    <row r="1782" spans="1:2" x14ac:dyDescent="0.25">
      <c r="A1782" s="62">
        <v>22101524</v>
      </c>
      <c r="B1782" s="63" t="s">
        <v>2483</v>
      </c>
    </row>
    <row r="1783" spans="1:2" x14ac:dyDescent="0.25">
      <c r="A1783" s="62">
        <v>22101525</v>
      </c>
      <c r="B1783" s="63" t="s">
        <v>2484</v>
      </c>
    </row>
    <row r="1784" spans="1:2" x14ac:dyDescent="0.25">
      <c r="A1784" s="62">
        <v>22101526</v>
      </c>
      <c r="B1784" s="63" t="s">
        <v>2485</v>
      </c>
    </row>
    <row r="1785" spans="1:2" x14ac:dyDescent="0.25">
      <c r="A1785" s="62">
        <v>22101527</v>
      </c>
      <c r="B1785" s="63" t="s">
        <v>2486</v>
      </c>
    </row>
    <row r="1786" spans="1:2" x14ac:dyDescent="0.25">
      <c r="A1786" s="62">
        <v>22101528</v>
      </c>
      <c r="B1786" s="63" t="s">
        <v>2487</v>
      </c>
    </row>
    <row r="1787" spans="1:2" x14ac:dyDescent="0.25">
      <c r="A1787" s="62">
        <v>22101529</v>
      </c>
      <c r="B1787" s="63" t="s">
        <v>2488</v>
      </c>
    </row>
    <row r="1788" spans="1:2" x14ac:dyDescent="0.25">
      <c r="A1788" s="62">
        <v>22101530</v>
      </c>
      <c r="B1788" s="63" t="s">
        <v>2489</v>
      </c>
    </row>
    <row r="1789" spans="1:2" x14ac:dyDescent="0.25">
      <c r="A1789" s="62">
        <v>22101531</v>
      </c>
      <c r="B1789" s="63" t="s">
        <v>2490</v>
      </c>
    </row>
    <row r="1790" spans="1:2" x14ac:dyDescent="0.25">
      <c r="A1790" s="62">
        <v>22101532</v>
      </c>
      <c r="B1790" s="63" t="s">
        <v>2491</v>
      </c>
    </row>
    <row r="1791" spans="1:2" x14ac:dyDescent="0.25">
      <c r="A1791" s="62">
        <v>22101533</v>
      </c>
      <c r="B1791" s="63" t="s">
        <v>2492</v>
      </c>
    </row>
    <row r="1792" spans="1:2" x14ac:dyDescent="0.25">
      <c r="A1792" s="62">
        <v>22101534</v>
      </c>
      <c r="B1792" s="63" t="s">
        <v>2493</v>
      </c>
    </row>
    <row r="1793" spans="1:2" x14ac:dyDescent="0.25">
      <c r="A1793" s="62">
        <v>22101602</v>
      </c>
      <c r="B1793" s="63" t="s">
        <v>2494</v>
      </c>
    </row>
    <row r="1794" spans="1:2" x14ac:dyDescent="0.25">
      <c r="A1794" s="62">
        <v>22101603</v>
      </c>
      <c r="B1794" s="63" t="s">
        <v>2495</v>
      </c>
    </row>
    <row r="1795" spans="1:2" x14ac:dyDescent="0.25">
      <c r="A1795" s="62">
        <v>22101604</v>
      </c>
      <c r="B1795" s="63" t="s">
        <v>2496</v>
      </c>
    </row>
    <row r="1796" spans="1:2" x14ac:dyDescent="0.25">
      <c r="A1796" s="62">
        <v>22101605</v>
      </c>
      <c r="B1796" s="63" t="s">
        <v>2497</v>
      </c>
    </row>
    <row r="1797" spans="1:2" x14ac:dyDescent="0.25">
      <c r="A1797" s="62">
        <v>22101606</v>
      </c>
      <c r="B1797" s="63" t="s">
        <v>2498</v>
      </c>
    </row>
    <row r="1798" spans="1:2" x14ac:dyDescent="0.25">
      <c r="A1798" s="62">
        <v>22101607</v>
      </c>
      <c r="B1798" s="63" t="s">
        <v>2499</v>
      </c>
    </row>
    <row r="1799" spans="1:2" x14ac:dyDescent="0.25">
      <c r="A1799" s="62">
        <v>22101608</v>
      </c>
      <c r="B1799" s="63" t="s">
        <v>2500</v>
      </c>
    </row>
    <row r="1800" spans="1:2" x14ac:dyDescent="0.25">
      <c r="A1800" s="62">
        <v>22101609</v>
      </c>
      <c r="B1800" s="63" t="s">
        <v>2501</v>
      </c>
    </row>
    <row r="1801" spans="1:2" x14ac:dyDescent="0.25">
      <c r="A1801" s="62">
        <v>22101610</v>
      </c>
      <c r="B1801" s="63" t="s">
        <v>2502</v>
      </c>
    </row>
    <row r="1802" spans="1:2" x14ac:dyDescent="0.25">
      <c r="A1802" s="62">
        <v>22101611</v>
      </c>
      <c r="B1802" s="63" t="s">
        <v>2503</v>
      </c>
    </row>
    <row r="1803" spans="1:2" x14ac:dyDescent="0.25">
      <c r="A1803" s="62">
        <v>22101612</v>
      </c>
      <c r="B1803" s="63" t="s">
        <v>2504</v>
      </c>
    </row>
    <row r="1804" spans="1:2" x14ac:dyDescent="0.25">
      <c r="A1804" s="62">
        <v>22101613</v>
      </c>
      <c r="B1804" s="63" t="s">
        <v>2505</v>
      </c>
    </row>
    <row r="1805" spans="1:2" x14ac:dyDescent="0.25">
      <c r="A1805" s="62">
        <v>22101614</v>
      </c>
      <c r="B1805" s="63" t="s">
        <v>2506</v>
      </c>
    </row>
    <row r="1806" spans="1:2" x14ac:dyDescent="0.25">
      <c r="A1806" s="62">
        <v>22101615</v>
      </c>
      <c r="B1806" s="63" t="s">
        <v>2507</v>
      </c>
    </row>
    <row r="1807" spans="1:2" x14ac:dyDescent="0.25">
      <c r="A1807" s="62">
        <v>22101616</v>
      </c>
      <c r="B1807" s="63" t="s">
        <v>2508</v>
      </c>
    </row>
    <row r="1808" spans="1:2" x14ac:dyDescent="0.25">
      <c r="A1808" s="62">
        <v>22101617</v>
      </c>
      <c r="B1808" s="63" t="s">
        <v>2509</v>
      </c>
    </row>
    <row r="1809" spans="1:2" x14ac:dyDescent="0.25">
      <c r="A1809" s="62">
        <v>22101618</v>
      </c>
      <c r="B1809" s="63" t="s">
        <v>2510</v>
      </c>
    </row>
    <row r="1810" spans="1:2" x14ac:dyDescent="0.25">
      <c r="A1810" s="62">
        <v>22101619</v>
      </c>
      <c r="B1810" s="63" t="s">
        <v>2511</v>
      </c>
    </row>
    <row r="1811" spans="1:2" x14ac:dyDescent="0.25">
      <c r="A1811" s="62">
        <v>22101620</v>
      </c>
      <c r="B1811" s="63" t="s">
        <v>2512</v>
      </c>
    </row>
    <row r="1812" spans="1:2" x14ac:dyDescent="0.25">
      <c r="A1812" s="62">
        <v>22101701</v>
      </c>
      <c r="B1812" s="63" t="s">
        <v>2513</v>
      </c>
    </row>
    <row r="1813" spans="1:2" x14ac:dyDescent="0.25">
      <c r="A1813" s="62">
        <v>22101702</v>
      </c>
      <c r="B1813" s="63" t="s">
        <v>2514</v>
      </c>
    </row>
    <row r="1814" spans="1:2" x14ac:dyDescent="0.25">
      <c r="A1814" s="62">
        <v>22101703</v>
      </c>
      <c r="B1814" s="63" t="s">
        <v>2515</v>
      </c>
    </row>
    <row r="1815" spans="1:2" x14ac:dyDescent="0.25">
      <c r="A1815" s="62">
        <v>22101704</v>
      </c>
      <c r="B1815" s="63" t="s">
        <v>2516</v>
      </c>
    </row>
    <row r="1816" spans="1:2" x14ac:dyDescent="0.25">
      <c r="A1816" s="62">
        <v>22101705</v>
      </c>
      <c r="B1816" s="63" t="s">
        <v>2517</v>
      </c>
    </row>
    <row r="1817" spans="1:2" x14ac:dyDescent="0.25">
      <c r="A1817" s="62">
        <v>22101706</v>
      </c>
      <c r="B1817" s="63" t="s">
        <v>2518</v>
      </c>
    </row>
    <row r="1818" spans="1:2" x14ac:dyDescent="0.25">
      <c r="A1818" s="62">
        <v>22101707</v>
      </c>
      <c r="B1818" s="63" t="s">
        <v>2519</v>
      </c>
    </row>
    <row r="1819" spans="1:2" x14ac:dyDescent="0.25">
      <c r="A1819" s="62">
        <v>22101708</v>
      </c>
      <c r="B1819" s="63" t="s">
        <v>2520</v>
      </c>
    </row>
    <row r="1820" spans="1:2" x14ac:dyDescent="0.25">
      <c r="A1820" s="62">
        <v>22101709</v>
      </c>
      <c r="B1820" s="63" t="s">
        <v>2521</v>
      </c>
    </row>
    <row r="1821" spans="1:2" x14ac:dyDescent="0.25">
      <c r="A1821" s="62">
        <v>22101710</v>
      </c>
      <c r="B1821" s="63" t="s">
        <v>2522</v>
      </c>
    </row>
    <row r="1822" spans="1:2" x14ac:dyDescent="0.25">
      <c r="A1822" s="62">
        <v>22101711</v>
      </c>
      <c r="B1822" s="63" t="s">
        <v>2523</v>
      </c>
    </row>
    <row r="1823" spans="1:2" x14ac:dyDescent="0.25">
      <c r="A1823" s="62">
        <v>22101712</v>
      </c>
      <c r="B1823" s="63" t="s">
        <v>2524</v>
      </c>
    </row>
    <row r="1824" spans="1:2" x14ac:dyDescent="0.25">
      <c r="A1824" s="62">
        <v>22101713</v>
      </c>
      <c r="B1824" s="63" t="s">
        <v>2525</v>
      </c>
    </row>
    <row r="1825" spans="1:2" x14ac:dyDescent="0.25">
      <c r="A1825" s="62">
        <v>22101714</v>
      </c>
      <c r="B1825" s="63" t="s">
        <v>2526</v>
      </c>
    </row>
    <row r="1826" spans="1:2" x14ac:dyDescent="0.25">
      <c r="A1826" s="62">
        <v>22101715</v>
      </c>
      <c r="B1826" s="63" t="s">
        <v>2527</v>
      </c>
    </row>
    <row r="1827" spans="1:2" x14ac:dyDescent="0.25">
      <c r="A1827" s="62">
        <v>22101716</v>
      </c>
      <c r="B1827" s="63" t="s">
        <v>2528</v>
      </c>
    </row>
    <row r="1828" spans="1:2" x14ac:dyDescent="0.25">
      <c r="A1828" s="62">
        <v>22101717</v>
      </c>
      <c r="B1828" s="63" t="s">
        <v>2529</v>
      </c>
    </row>
    <row r="1829" spans="1:2" x14ac:dyDescent="0.25">
      <c r="A1829" s="62">
        <v>22101718</v>
      </c>
      <c r="B1829" s="63" t="s">
        <v>2530</v>
      </c>
    </row>
    <row r="1830" spans="1:2" x14ac:dyDescent="0.25">
      <c r="A1830" s="62">
        <v>22101719</v>
      </c>
      <c r="B1830" s="63" t="s">
        <v>2531</v>
      </c>
    </row>
    <row r="1831" spans="1:2" x14ac:dyDescent="0.25">
      <c r="A1831" s="62">
        <v>22101720</v>
      </c>
      <c r="B1831" s="63" t="s">
        <v>2532</v>
      </c>
    </row>
    <row r="1832" spans="1:2" x14ac:dyDescent="0.25">
      <c r="A1832" s="62">
        <v>22101801</v>
      </c>
      <c r="B1832" s="63" t="s">
        <v>2533</v>
      </c>
    </row>
    <row r="1833" spans="1:2" x14ac:dyDescent="0.25">
      <c r="A1833" s="62">
        <v>22101802</v>
      </c>
      <c r="B1833" s="63" t="s">
        <v>2534</v>
      </c>
    </row>
    <row r="1834" spans="1:2" x14ac:dyDescent="0.25">
      <c r="A1834" s="62">
        <v>22101803</v>
      </c>
      <c r="B1834" s="63" t="s">
        <v>2535</v>
      </c>
    </row>
    <row r="1835" spans="1:2" x14ac:dyDescent="0.25">
      <c r="A1835" s="62">
        <v>22101804</v>
      </c>
      <c r="B1835" s="63" t="s">
        <v>2536</v>
      </c>
    </row>
    <row r="1836" spans="1:2" x14ac:dyDescent="0.25">
      <c r="A1836" s="62">
        <v>22101901</v>
      </c>
      <c r="B1836" s="63" t="s">
        <v>2537</v>
      </c>
    </row>
    <row r="1837" spans="1:2" x14ac:dyDescent="0.25">
      <c r="A1837" s="62">
        <v>22101902</v>
      </c>
      <c r="B1837" s="63" t="s">
        <v>2538</v>
      </c>
    </row>
    <row r="1838" spans="1:2" x14ac:dyDescent="0.25">
      <c r="A1838" s="62">
        <v>22101903</v>
      </c>
      <c r="B1838" s="63" t="s">
        <v>2539</v>
      </c>
    </row>
    <row r="1839" spans="1:2" x14ac:dyDescent="0.25">
      <c r="A1839" s="62">
        <v>22101904</v>
      </c>
      <c r="B1839" s="63" t="s">
        <v>2540</v>
      </c>
    </row>
    <row r="1840" spans="1:2" x14ac:dyDescent="0.25">
      <c r="A1840" s="62">
        <v>22101905</v>
      </c>
      <c r="B1840" s="63" t="s">
        <v>2541</v>
      </c>
    </row>
    <row r="1841" spans="1:2" x14ac:dyDescent="0.25">
      <c r="A1841" s="62">
        <v>22101906</v>
      </c>
      <c r="B1841" s="63" t="s">
        <v>2542</v>
      </c>
    </row>
    <row r="1842" spans="1:2" x14ac:dyDescent="0.25">
      <c r="A1842" s="62">
        <v>22101907</v>
      </c>
      <c r="B1842" s="63" t="s">
        <v>2543</v>
      </c>
    </row>
    <row r="1843" spans="1:2" x14ac:dyDescent="0.25">
      <c r="A1843" s="62">
        <v>22102001</v>
      </c>
      <c r="B1843" s="63" t="s">
        <v>2544</v>
      </c>
    </row>
    <row r="1844" spans="1:2" x14ac:dyDescent="0.25">
      <c r="A1844" s="62">
        <v>23101501</v>
      </c>
      <c r="B1844" s="63" t="s">
        <v>2545</v>
      </c>
    </row>
    <row r="1845" spans="1:2" x14ac:dyDescent="0.25">
      <c r="A1845" s="62">
        <v>23101502</v>
      </c>
      <c r="B1845" s="63" t="s">
        <v>2546</v>
      </c>
    </row>
    <row r="1846" spans="1:2" x14ac:dyDescent="0.25">
      <c r="A1846" s="62">
        <v>23101503</v>
      </c>
      <c r="B1846" s="63" t="s">
        <v>2547</v>
      </c>
    </row>
    <row r="1847" spans="1:2" x14ac:dyDescent="0.25">
      <c r="A1847" s="62">
        <v>23101504</v>
      </c>
      <c r="B1847" s="63" t="s">
        <v>2548</v>
      </c>
    </row>
    <row r="1848" spans="1:2" x14ac:dyDescent="0.25">
      <c r="A1848" s="62">
        <v>23101505</v>
      </c>
      <c r="B1848" s="63" t="s">
        <v>2549</v>
      </c>
    </row>
    <row r="1849" spans="1:2" x14ac:dyDescent="0.25">
      <c r="A1849" s="62">
        <v>23101506</v>
      </c>
      <c r="B1849" s="63" t="s">
        <v>2550</v>
      </c>
    </row>
    <row r="1850" spans="1:2" x14ac:dyDescent="0.25">
      <c r="A1850" s="62">
        <v>23101507</v>
      </c>
      <c r="B1850" s="63" t="s">
        <v>2551</v>
      </c>
    </row>
    <row r="1851" spans="1:2" x14ac:dyDescent="0.25">
      <c r="A1851" s="62">
        <v>23101508</v>
      </c>
      <c r="B1851" s="63" t="s">
        <v>2552</v>
      </c>
    </row>
    <row r="1852" spans="1:2" x14ac:dyDescent="0.25">
      <c r="A1852" s="62">
        <v>23101509</v>
      </c>
      <c r="B1852" s="63" t="s">
        <v>2553</v>
      </c>
    </row>
    <row r="1853" spans="1:2" x14ac:dyDescent="0.25">
      <c r="A1853" s="62">
        <v>23101510</v>
      </c>
      <c r="B1853" s="63" t="s">
        <v>2554</v>
      </c>
    </row>
    <row r="1854" spans="1:2" x14ac:dyDescent="0.25">
      <c r="A1854" s="62">
        <v>23101511</v>
      </c>
      <c r="B1854" s="63" t="s">
        <v>2555</v>
      </c>
    </row>
    <row r="1855" spans="1:2" x14ac:dyDescent="0.25">
      <c r="A1855" s="62">
        <v>23101512</v>
      </c>
      <c r="B1855" s="63" t="s">
        <v>2556</v>
      </c>
    </row>
    <row r="1856" spans="1:2" x14ac:dyDescent="0.25">
      <c r="A1856" s="62">
        <v>23101513</v>
      </c>
      <c r="B1856" s="63" t="s">
        <v>2557</v>
      </c>
    </row>
    <row r="1857" spans="1:2" x14ac:dyDescent="0.25">
      <c r="A1857" s="62">
        <v>23101514</v>
      </c>
      <c r="B1857" s="63" t="s">
        <v>2558</v>
      </c>
    </row>
    <row r="1858" spans="1:2" x14ac:dyDescent="0.25">
      <c r="A1858" s="62">
        <v>23101515</v>
      </c>
      <c r="B1858" s="63" t="s">
        <v>2559</v>
      </c>
    </row>
    <row r="1859" spans="1:2" x14ac:dyDescent="0.25">
      <c r="A1859" s="62">
        <v>23101516</v>
      </c>
      <c r="B1859" s="63" t="s">
        <v>2560</v>
      </c>
    </row>
    <row r="1860" spans="1:2" x14ac:dyDescent="0.25">
      <c r="A1860" s="62">
        <v>23101517</v>
      </c>
      <c r="B1860" s="63" t="s">
        <v>2561</v>
      </c>
    </row>
    <row r="1861" spans="1:2" x14ac:dyDescent="0.25">
      <c r="A1861" s="62">
        <v>23101518</v>
      </c>
      <c r="B1861" s="63" t="s">
        <v>2562</v>
      </c>
    </row>
    <row r="1862" spans="1:2" x14ac:dyDescent="0.25">
      <c r="A1862" s="62">
        <v>23101519</v>
      </c>
      <c r="B1862" s="63" t="s">
        <v>2563</v>
      </c>
    </row>
    <row r="1863" spans="1:2" x14ac:dyDescent="0.25">
      <c r="A1863" s="62">
        <v>23101520</v>
      </c>
      <c r="B1863" s="63" t="s">
        <v>2564</v>
      </c>
    </row>
    <row r="1864" spans="1:2" x14ac:dyDescent="0.25">
      <c r="A1864" s="62">
        <v>23101521</v>
      </c>
      <c r="B1864" s="63" t="s">
        <v>2565</v>
      </c>
    </row>
    <row r="1865" spans="1:2" x14ac:dyDescent="0.25">
      <c r="A1865" s="62">
        <v>23101522</v>
      </c>
      <c r="B1865" s="63" t="s">
        <v>2566</v>
      </c>
    </row>
    <row r="1866" spans="1:2" x14ac:dyDescent="0.25">
      <c r="A1866" s="62">
        <v>23111501</v>
      </c>
      <c r="B1866" s="63" t="s">
        <v>2567</v>
      </c>
    </row>
    <row r="1867" spans="1:2" x14ac:dyDescent="0.25">
      <c r="A1867" s="62">
        <v>23111502</v>
      </c>
      <c r="B1867" s="63" t="s">
        <v>2568</v>
      </c>
    </row>
    <row r="1868" spans="1:2" x14ac:dyDescent="0.25">
      <c r="A1868" s="62">
        <v>23111503</v>
      </c>
      <c r="B1868" s="63" t="s">
        <v>2569</v>
      </c>
    </row>
    <row r="1869" spans="1:2" x14ac:dyDescent="0.25">
      <c r="A1869" s="62">
        <v>23111504</v>
      </c>
      <c r="B1869" s="63" t="s">
        <v>2570</v>
      </c>
    </row>
    <row r="1870" spans="1:2" x14ac:dyDescent="0.25">
      <c r="A1870" s="62">
        <v>23111505</v>
      </c>
      <c r="B1870" s="63" t="s">
        <v>2571</v>
      </c>
    </row>
    <row r="1871" spans="1:2" x14ac:dyDescent="0.25">
      <c r="A1871" s="62">
        <v>23111506</v>
      </c>
      <c r="B1871" s="63" t="s">
        <v>2572</v>
      </c>
    </row>
    <row r="1872" spans="1:2" x14ac:dyDescent="0.25">
      <c r="A1872" s="62">
        <v>23111507</v>
      </c>
      <c r="B1872" s="63" t="s">
        <v>2573</v>
      </c>
    </row>
    <row r="1873" spans="1:2" x14ac:dyDescent="0.25">
      <c r="A1873" s="62">
        <v>23111601</v>
      </c>
      <c r="B1873" s="63" t="s">
        <v>2574</v>
      </c>
    </row>
    <row r="1874" spans="1:2" x14ac:dyDescent="0.25">
      <c r="A1874" s="62">
        <v>23111602</v>
      </c>
      <c r="B1874" s="63" t="s">
        <v>2575</v>
      </c>
    </row>
    <row r="1875" spans="1:2" x14ac:dyDescent="0.25">
      <c r="A1875" s="62">
        <v>23111603</v>
      </c>
      <c r="B1875" s="63" t="s">
        <v>2576</v>
      </c>
    </row>
    <row r="1876" spans="1:2" x14ac:dyDescent="0.25">
      <c r="A1876" s="62">
        <v>23111604</v>
      </c>
      <c r="B1876" s="63" t="s">
        <v>2577</v>
      </c>
    </row>
    <row r="1877" spans="1:2" x14ac:dyDescent="0.25">
      <c r="A1877" s="62">
        <v>23111605</v>
      </c>
      <c r="B1877" s="63" t="s">
        <v>2578</v>
      </c>
    </row>
    <row r="1878" spans="1:2" x14ac:dyDescent="0.25">
      <c r="A1878" s="62">
        <v>23111606</v>
      </c>
      <c r="B1878" s="63" t="s">
        <v>2579</v>
      </c>
    </row>
    <row r="1879" spans="1:2" x14ac:dyDescent="0.25">
      <c r="A1879" s="62">
        <v>23121501</v>
      </c>
      <c r="B1879" s="63" t="s">
        <v>2580</v>
      </c>
    </row>
    <row r="1880" spans="1:2" x14ac:dyDescent="0.25">
      <c r="A1880" s="62">
        <v>23121502</v>
      </c>
      <c r="B1880" s="63" t="s">
        <v>2581</v>
      </c>
    </row>
    <row r="1881" spans="1:2" x14ac:dyDescent="0.25">
      <c r="A1881" s="62">
        <v>23121503</v>
      </c>
      <c r="B1881" s="63" t="s">
        <v>2582</v>
      </c>
    </row>
    <row r="1882" spans="1:2" x14ac:dyDescent="0.25">
      <c r="A1882" s="62">
        <v>23121504</v>
      </c>
      <c r="B1882" s="63" t="s">
        <v>2583</v>
      </c>
    </row>
    <row r="1883" spans="1:2" x14ac:dyDescent="0.25">
      <c r="A1883" s="62">
        <v>23121505</v>
      </c>
      <c r="B1883" s="63" t="s">
        <v>2584</v>
      </c>
    </row>
    <row r="1884" spans="1:2" x14ac:dyDescent="0.25">
      <c r="A1884" s="62">
        <v>23121506</v>
      </c>
      <c r="B1884" s="63" t="s">
        <v>2585</v>
      </c>
    </row>
    <row r="1885" spans="1:2" x14ac:dyDescent="0.25">
      <c r="A1885" s="62">
        <v>23121507</v>
      </c>
      <c r="B1885" s="63" t="s">
        <v>2586</v>
      </c>
    </row>
    <row r="1886" spans="1:2" x14ac:dyDescent="0.25">
      <c r="A1886" s="62">
        <v>23121508</v>
      </c>
      <c r="B1886" s="63" t="s">
        <v>2587</v>
      </c>
    </row>
    <row r="1887" spans="1:2" x14ac:dyDescent="0.25">
      <c r="A1887" s="62">
        <v>23121509</v>
      </c>
      <c r="B1887" s="63" t="s">
        <v>2588</v>
      </c>
    </row>
    <row r="1888" spans="1:2" x14ac:dyDescent="0.25">
      <c r="A1888" s="62">
        <v>23121510</v>
      </c>
      <c r="B1888" s="63" t="s">
        <v>2589</v>
      </c>
    </row>
    <row r="1889" spans="1:2" x14ac:dyDescent="0.25">
      <c r="A1889" s="62">
        <v>23121601</v>
      </c>
      <c r="B1889" s="63" t="s">
        <v>2590</v>
      </c>
    </row>
    <row r="1890" spans="1:2" x14ac:dyDescent="0.25">
      <c r="A1890" s="62">
        <v>23121602</v>
      </c>
      <c r="B1890" s="63" t="s">
        <v>2591</v>
      </c>
    </row>
    <row r="1891" spans="1:2" x14ac:dyDescent="0.25">
      <c r="A1891" s="62">
        <v>23121603</v>
      </c>
      <c r="B1891" s="63" t="s">
        <v>2592</v>
      </c>
    </row>
    <row r="1892" spans="1:2" x14ac:dyDescent="0.25">
      <c r="A1892" s="62">
        <v>23121604</v>
      </c>
      <c r="B1892" s="63" t="s">
        <v>2593</v>
      </c>
    </row>
    <row r="1893" spans="1:2" x14ac:dyDescent="0.25">
      <c r="A1893" s="62">
        <v>23121605</v>
      </c>
      <c r="B1893" s="63" t="s">
        <v>2594</v>
      </c>
    </row>
    <row r="1894" spans="1:2" x14ac:dyDescent="0.25">
      <c r="A1894" s="62">
        <v>23121606</v>
      </c>
      <c r="B1894" s="63" t="s">
        <v>2595</v>
      </c>
    </row>
    <row r="1895" spans="1:2" x14ac:dyDescent="0.25">
      <c r="A1895" s="62">
        <v>23121607</v>
      </c>
      <c r="B1895" s="63" t="s">
        <v>2596</v>
      </c>
    </row>
    <row r="1896" spans="1:2" x14ac:dyDescent="0.25">
      <c r="A1896" s="62">
        <v>23121608</v>
      </c>
      <c r="B1896" s="63" t="s">
        <v>2597</v>
      </c>
    </row>
    <row r="1897" spans="1:2" x14ac:dyDescent="0.25">
      <c r="A1897" s="62">
        <v>23121609</v>
      </c>
      <c r="B1897" s="63" t="s">
        <v>2598</v>
      </c>
    </row>
    <row r="1898" spans="1:2" x14ac:dyDescent="0.25">
      <c r="A1898" s="62">
        <v>23121610</v>
      </c>
      <c r="B1898" s="63" t="s">
        <v>2599</v>
      </c>
    </row>
    <row r="1899" spans="1:2" x14ac:dyDescent="0.25">
      <c r="A1899" s="62">
        <v>23121611</v>
      </c>
      <c r="B1899" s="63" t="s">
        <v>2600</v>
      </c>
    </row>
    <row r="1900" spans="1:2" x14ac:dyDescent="0.25">
      <c r="A1900" s="62">
        <v>23121612</v>
      </c>
      <c r="B1900" s="63" t="s">
        <v>2601</v>
      </c>
    </row>
    <row r="1901" spans="1:2" x14ac:dyDescent="0.25">
      <c r="A1901" s="62">
        <v>23121613</v>
      </c>
      <c r="B1901" s="63" t="s">
        <v>2602</v>
      </c>
    </row>
    <row r="1902" spans="1:2" x14ac:dyDescent="0.25">
      <c r="A1902" s="62">
        <v>23121614</v>
      </c>
      <c r="B1902" s="63" t="s">
        <v>2603</v>
      </c>
    </row>
    <row r="1903" spans="1:2" x14ac:dyDescent="0.25">
      <c r="A1903" s="62">
        <v>23121615</v>
      </c>
      <c r="B1903" s="63" t="s">
        <v>2604</v>
      </c>
    </row>
    <row r="1904" spans="1:2" x14ac:dyDescent="0.25">
      <c r="A1904" s="62">
        <v>23131501</v>
      </c>
      <c r="B1904" s="63" t="s">
        <v>2605</v>
      </c>
    </row>
    <row r="1905" spans="1:2" x14ac:dyDescent="0.25">
      <c r="A1905" s="62">
        <v>23131502</v>
      </c>
      <c r="B1905" s="63" t="s">
        <v>2606</v>
      </c>
    </row>
    <row r="1906" spans="1:2" x14ac:dyDescent="0.25">
      <c r="A1906" s="62">
        <v>23131503</v>
      </c>
      <c r="B1906" s="63" t="s">
        <v>2607</v>
      </c>
    </row>
    <row r="1907" spans="1:2" x14ac:dyDescent="0.25">
      <c r="A1907" s="62">
        <v>23131504</v>
      </c>
      <c r="B1907" s="63" t="s">
        <v>2608</v>
      </c>
    </row>
    <row r="1908" spans="1:2" x14ac:dyDescent="0.25">
      <c r="A1908" s="62">
        <v>23131505</v>
      </c>
      <c r="B1908" s="63" t="s">
        <v>2609</v>
      </c>
    </row>
    <row r="1909" spans="1:2" x14ac:dyDescent="0.25">
      <c r="A1909" s="62">
        <v>23131506</v>
      </c>
      <c r="B1909" s="63" t="s">
        <v>2610</v>
      </c>
    </row>
    <row r="1910" spans="1:2" x14ac:dyDescent="0.25">
      <c r="A1910" s="62">
        <v>23131507</v>
      </c>
      <c r="B1910" s="63" t="s">
        <v>2611</v>
      </c>
    </row>
    <row r="1911" spans="1:2" x14ac:dyDescent="0.25">
      <c r="A1911" s="62">
        <v>23131508</v>
      </c>
      <c r="B1911" s="63" t="s">
        <v>2612</v>
      </c>
    </row>
    <row r="1912" spans="1:2" x14ac:dyDescent="0.25">
      <c r="A1912" s="62">
        <v>23131509</v>
      </c>
      <c r="B1912" s="63" t="s">
        <v>2613</v>
      </c>
    </row>
    <row r="1913" spans="1:2" x14ac:dyDescent="0.25">
      <c r="A1913" s="62">
        <v>23131510</v>
      </c>
      <c r="B1913" s="63" t="s">
        <v>2614</v>
      </c>
    </row>
    <row r="1914" spans="1:2" x14ac:dyDescent="0.25">
      <c r="A1914" s="62">
        <v>23131511</v>
      </c>
      <c r="B1914" s="63" t="s">
        <v>2615</v>
      </c>
    </row>
    <row r="1915" spans="1:2" x14ac:dyDescent="0.25">
      <c r="A1915" s="62">
        <v>23131512</v>
      </c>
      <c r="B1915" s="63" t="s">
        <v>2616</v>
      </c>
    </row>
    <row r="1916" spans="1:2" x14ac:dyDescent="0.25">
      <c r="A1916" s="62">
        <v>23131513</v>
      </c>
      <c r="B1916" s="63" t="s">
        <v>2617</v>
      </c>
    </row>
    <row r="1917" spans="1:2" x14ac:dyDescent="0.25">
      <c r="A1917" s="62">
        <v>23131514</v>
      </c>
      <c r="B1917" s="63" t="s">
        <v>2618</v>
      </c>
    </row>
    <row r="1918" spans="1:2" x14ac:dyDescent="0.25">
      <c r="A1918" s="62">
        <v>23131515</v>
      </c>
      <c r="B1918" s="63" t="s">
        <v>2619</v>
      </c>
    </row>
    <row r="1919" spans="1:2" x14ac:dyDescent="0.25">
      <c r="A1919" s="62">
        <v>23131601</v>
      </c>
      <c r="B1919" s="63" t="s">
        <v>2620</v>
      </c>
    </row>
    <row r="1920" spans="1:2" x14ac:dyDescent="0.25">
      <c r="A1920" s="62">
        <v>23131602</v>
      </c>
      <c r="B1920" s="63" t="s">
        <v>2621</v>
      </c>
    </row>
    <row r="1921" spans="1:2" x14ac:dyDescent="0.25">
      <c r="A1921" s="62">
        <v>23131603</v>
      </c>
      <c r="B1921" s="63" t="s">
        <v>2622</v>
      </c>
    </row>
    <row r="1922" spans="1:2" x14ac:dyDescent="0.25">
      <c r="A1922" s="62">
        <v>23131604</v>
      </c>
      <c r="B1922" s="63" t="s">
        <v>2623</v>
      </c>
    </row>
    <row r="1923" spans="1:2" x14ac:dyDescent="0.25">
      <c r="A1923" s="62">
        <v>23131701</v>
      </c>
      <c r="B1923" s="63" t="s">
        <v>2624</v>
      </c>
    </row>
    <row r="1924" spans="1:2" x14ac:dyDescent="0.25">
      <c r="A1924" s="62">
        <v>23131702</v>
      </c>
      <c r="B1924" s="63" t="s">
        <v>2625</v>
      </c>
    </row>
    <row r="1925" spans="1:2" x14ac:dyDescent="0.25">
      <c r="A1925" s="62">
        <v>23131703</v>
      </c>
      <c r="B1925" s="63" t="s">
        <v>2626</v>
      </c>
    </row>
    <row r="1926" spans="1:2" x14ac:dyDescent="0.25">
      <c r="A1926" s="62">
        <v>23131704</v>
      </c>
      <c r="B1926" s="63" t="s">
        <v>2627</v>
      </c>
    </row>
    <row r="1927" spans="1:2" x14ac:dyDescent="0.25">
      <c r="A1927" s="62">
        <v>23141601</v>
      </c>
      <c r="B1927" s="63" t="s">
        <v>2628</v>
      </c>
    </row>
    <row r="1928" spans="1:2" x14ac:dyDescent="0.25">
      <c r="A1928" s="62">
        <v>23141602</v>
      </c>
      <c r="B1928" s="63" t="s">
        <v>2629</v>
      </c>
    </row>
    <row r="1929" spans="1:2" x14ac:dyDescent="0.25">
      <c r="A1929" s="62">
        <v>23141603</v>
      </c>
      <c r="B1929" s="63" t="s">
        <v>2630</v>
      </c>
    </row>
    <row r="1930" spans="1:2" x14ac:dyDescent="0.25">
      <c r="A1930" s="62">
        <v>23141604</v>
      </c>
      <c r="B1930" s="63" t="s">
        <v>2631</v>
      </c>
    </row>
    <row r="1931" spans="1:2" x14ac:dyDescent="0.25">
      <c r="A1931" s="62">
        <v>23141605</v>
      </c>
      <c r="B1931" s="63" t="s">
        <v>2632</v>
      </c>
    </row>
    <row r="1932" spans="1:2" x14ac:dyDescent="0.25">
      <c r="A1932" s="62">
        <v>23141701</v>
      </c>
      <c r="B1932" s="63" t="s">
        <v>2633</v>
      </c>
    </row>
    <row r="1933" spans="1:2" x14ac:dyDescent="0.25">
      <c r="A1933" s="62">
        <v>23141702</v>
      </c>
      <c r="B1933" s="63" t="s">
        <v>2634</v>
      </c>
    </row>
    <row r="1934" spans="1:2" x14ac:dyDescent="0.25">
      <c r="A1934" s="62">
        <v>23141703</v>
      </c>
      <c r="B1934" s="63" t="s">
        <v>2635</v>
      </c>
    </row>
    <row r="1935" spans="1:2" x14ac:dyDescent="0.25">
      <c r="A1935" s="62">
        <v>23141704</v>
      </c>
      <c r="B1935" s="63" t="s">
        <v>2636</v>
      </c>
    </row>
    <row r="1936" spans="1:2" x14ac:dyDescent="0.25">
      <c r="A1936" s="62">
        <v>23151501</v>
      </c>
      <c r="B1936" s="63" t="s">
        <v>2637</v>
      </c>
    </row>
    <row r="1937" spans="1:2" x14ac:dyDescent="0.25">
      <c r="A1937" s="62">
        <v>23151502</v>
      </c>
      <c r="B1937" s="63" t="s">
        <v>2638</v>
      </c>
    </row>
    <row r="1938" spans="1:2" x14ac:dyDescent="0.25">
      <c r="A1938" s="62">
        <v>23151503</v>
      </c>
      <c r="B1938" s="63" t="s">
        <v>2639</v>
      </c>
    </row>
    <row r="1939" spans="1:2" x14ac:dyDescent="0.25">
      <c r="A1939" s="62">
        <v>23151504</v>
      </c>
      <c r="B1939" s="63" t="s">
        <v>2640</v>
      </c>
    </row>
    <row r="1940" spans="1:2" x14ac:dyDescent="0.25">
      <c r="A1940" s="62">
        <v>23151506</v>
      </c>
      <c r="B1940" s="63" t="s">
        <v>2641</v>
      </c>
    </row>
    <row r="1941" spans="1:2" x14ac:dyDescent="0.25">
      <c r="A1941" s="62">
        <v>23151507</v>
      </c>
      <c r="B1941" s="63" t="s">
        <v>2642</v>
      </c>
    </row>
    <row r="1942" spans="1:2" x14ac:dyDescent="0.25">
      <c r="A1942" s="62">
        <v>23151508</v>
      </c>
      <c r="B1942" s="63" t="s">
        <v>2643</v>
      </c>
    </row>
    <row r="1943" spans="1:2" x14ac:dyDescent="0.25">
      <c r="A1943" s="62">
        <v>23151509</v>
      </c>
      <c r="B1943" s="63" t="s">
        <v>2644</v>
      </c>
    </row>
    <row r="1944" spans="1:2" x14ac:dyDescent="0.25">
      <c r="A1944" s="62">
        <v>23151510</v>
      </c>
      <c r="B1944" s="63" t="s">
        <v>2645</v>
      </c>
    </row>
    <row r="1945" spans="1:2" x14ac:dyDescent="0.25">
      <c r="A1945" s="62">
        <v>23151511</v>
      </c>
      <c r="B1945" s="63" t="s">
        <v>2646</v>
      </c>
    </row>
    <row r="1946" spans="1:2" x14ac:dyDescent="0.25">
      <c r="A1946" s="62">
        <v>23151512</v>
      </c>
      <c r="B1946" s="63" t="s">
        <v>2647</v>
      </c>
    </row>
    <row r="1947" spans="1:2" x14ac:dyDescent="0.25">
      <c r="A1947" s="62">
        <v>23151513</v>
      </c>
      <c r="B1947" s="63" t="s">
        <v>2648</v>
      </c>
    </row>
    <row r="1948" spans="1:2" x14ac:dyDescent="0.25">
      <c r="A1948" s="62">
        <v>23151514</v>
      </c>
      <c r="B1948" s="63" t="s">
        <v>2649</v>
      </c>
    </row>
    <row r="1949" spans="1:2" x14ac:dyDescent="0.25">
      <c r="A1949" s="62">
        <v>23151515</v>
      </c>
      <c r="B1949" s="63" t="s">
        <v>2650</v>
      </c>
    </row>
    <row r="1950" spans="1:2" x14ac:dyDescent="0.25">
      <c r="A1950" s="62">
        <v>23151516</v>
      </c>
      <c r="B1950" s="63" t="s">
        <v>2651</v>
      </c>
    </row>
    <row r="1951" spans="1:2" x14ac:dyDescent="0.25">
      <c r="A1951" s="62">
        <v>23151601</v>
      </c>
      <c r="B1951" s="63" t="s">
        <v>2652</v>
      </c>
    </row>
    <row r="1952" spans="1:2" x14ac:dyDescent="0.25">
      <c r="A1952" s="62">
        <v>23151602</v>
      </c>
      <c r="B1952" s="63" t="s">
        <v>2653</v>
      </c>
    </row>
    <row r="1953" spans="1:2" x14ac:dyDescent="0.25">
      <c r="A1953" s="62">
        <v>23151603</v>
      </c>
      <c r="B1953" s="63" t="s">
        <v>2654</v>
      </c>
    </row>
    <row r="1954" spans="1:2" x14ac:dyDescent="0.25">
      <c r="A1954" s="62">
        <v>23151604</v>
      </c>
      <c r="B1954" s="63" t="s">
        <v>2655</v>
      </c>
    </row>
    <row r="1955" spans="1:2" x14ac:dyDescent="0.25">
      <c r="A1955" s="62">
        <v>23151606</v>
      </c>
      <c r="B1955" s="63" t="s">
        <v>2656</v>
      </c>
    </row>
    <row r="1956" spans="1:2" x14ac:dyDescent="0.25">
      <c r="A1956" s="62">
        <v>23151607</v>
      </c>
      <c r="B1956" s="63" t="s">
        <v>2657</v>
      </c>
    </row>
    <row r="1957" spans="1:2" x14ac:dyDescent="0.25">
      <c r="A1957" s="62">
        <v>23151608</v>
      </c>
      <c r="B1957" s="63" t="s">
        <v>2658</v>
      </c>
    </row>
    <row r="1958" spans="1:2" x14ac:dyDescent="0.25">
      <c r="A1958" s="62">
        <v>23151701</v>
      </c>
      <c r="B1958" s="63" t="s">
        <v>2659</v>
      </c>
    </row>
    <row r="1959" spans="1:2" x14ac:dyDescent="0.25">
      <c r="A1959" s="62">
        <v>23151702</v>
      </c>
      <c r="B1959" s="63" t="s">
        <v>2660</v>
      </c>
    </row>
    <row r="1960" spans="1:2" x14ac:dyDescent="0.25">
      <c r="A1960" s="62">
        <v>23151703</v>
      </c>
      <c r="B1960" s="63" t="s">
        <v>2661</v>
      </c>
    </row>
    <row r="1961" spans="1:2" x14ac:dyDescent="0.25">
      <c r="A1961" s="62">
        <v>23151704</v>
      </c>
      <c r="B1961" s="63" t="s">
        <v>2662</v>
      </c>
    </row>
    <row r="1962" spans="1:2" x14ac:dyDescent="0.25">
      <c r="A1962" s="62">
        <v>23151705</v>
      </c>
      <c r="B1962" s="63" t="s">
        <v>2663</v>
      </c>
    </row>
    <row r="1963" spans="1:2" x14ac:dyDescent="0.25">
      <c r="A1963" s="62">
        <v>23151801</v>
      </c>
      <c r="B1963" s="63" t="s">
        <v>2664</v>
      </c>
    </row>
    <row r="1964" spans="1:2" x14ac:dyDescent="0.25">
      <c r="A1964" s="62">
        <v>23151802</v>
      </c>
      <c r="B1964" s="63" t="s">
        <v>2665</v>
      </c>
    </row>
    <row r="1965" spans="1:2" x14ac:dyDescent="0.25">
      <c r="A1965" s="62">
        <v>23151803</v>
      </c>
      <c r="B1965" s="63" t="s">
        <v>2666</v>
      </c>
    </row>
    <row r="1966" spans="1:2" x14ac:dyDescent="0.25">
      <c r="A1966" s="62">
        <v>23151804</v>
      </c>
      <c r="B1966" s="63" t="s">
        <v>2667</v>
      </c>
    </row>
    <row r="1967" spans="1:2" x14ac:dyDescent="0.25">
      <c r="A1967" s="62">
        <v>23151805</v>
      </c>
      <c r="B1967" s="63" t="s">
        <v>2668</v>
      </c>
    </row>
    <row r="1968" spans="1:2" x14ac:dyDescent="0.25">
      <c r="A1968" s="62">
        <v>23151806</v>
      </c>
      <c r="B1968" s="63" t="s">
        <v>2669</v>
      </c>
    </row>
    <row r="1969" spans="1:2" x14ac:dyDescent="0.25">
      <c r="A1969" s="62">
        <v>23151807</v>
      </c>
      <c r="B1969" s="63" t="s">
        <v>2670</v>
      </c>
    </row>
    <row r="1970" spans="1:2" x14ac:dyDescent="0.25">
      <c r="A1970" s="62">
        <v>23151808</v>
      </c>
      <c r="B1970" s="63" t="s">
        <v>2671</v>
      </c>
    </row>
    <row r="1971" spans="1:2" x14ac:dyDescent="0.25">
      <c r="A1971" s="62">
        <v>23151809</v>
      </c>
      <c r="B1971" s="63" t="s">
        <v>2672</v>
      </c>
    </row>
    <row r="1972" spans="1:2" x14ac:dyDescent="0.25">
      <c r="A1972" s="62">
        <v>23151810</v>
      </c>
      <c r="B1972" s="63" t="s">
        <v>2673</v>
      </c>
    </row>
    <row r="1973" spans="1:2" x14ac:dyDescent="0.25">
      <c r="A1973" s="62">
        <v>23151811</v>
      </c>
      <c r="B1973" s="63" t="s">
        <v>2674</v>
      </c>
    </row>
    <row r="1974" spans="1:2" x14ac:dyDescent="0.25">
      <c r="A1974" s="62">
        <v>23151812</v>
      </c>
      <c r="B1974" s="63" t="s">
        <v>2675</v>
      </c>
    </row>
    <row r="1975" spans="1:2" x14ac:dyDescent="0.25">
      <c r="A1975" s="62">
        <v>23151813</v>
      </c>
      <c r="B1975" s="63" t="s">
        <v>2676</v>
      </c>
    </row>
    <row r="1976" spans="1:2" x14ac:dyDescent="0.25">
      <c r="A1976" s="62">
        <v>23151814</v>
      </c>
      <c r="B1976" s="63" t="s">
        <v>2677</v>
      </c>
    </row>
    <row r="1977" spans="1:2" x14ac:dyDescent="0.25">
      <c r="A1977" s="62">
        <v>23151816</v>
      </c>
      <c r="B1977" s="63" t="s">
        <v>2678</v>
      </c>
    </row>
    <row r="1978" spans="1:2" x14ac:dyDescent="0.25">
      <c r="A1978" s="62">
        <v>23151817</v>
      </c>
      <c r="B1978" s="63" t="s">
        <v>2679</v>
      </c>
    </row>
    <row r="1979" spans="1:2" x14ac:dyDescent="0.25">
      <c r="A1979" s="62">
        <v>23151818</v>
      </c>
      <c r="B1979" s="63" t="s">
        <v>2680</v>
      </c>
    </row>
    <row r="1980" spans="1:2" x14ac:dyDescent="0.25">
      <c r="A1980" s="62">
        <v>23151819</v>
      </c>
      <c r="B1980" s="63" t="s">
        <v>2681</v>
      </c>
    </row>
    <row r="1981" spans="1:2" x14ac:dyDescent="0.25">
      <c r="A1981" s="62">
        <v>23151820</v>
      </c>
      <c r="B1981" s="63" t="s">
        <v>2682</v>
      </c>
    </row>
    <row r="1982" spans="1:2" x14ac:dyDescent="0.25">
      <c r="A1982" s="62">
        <v>23151821</v>
      </c>
      <c r="B1982" s="63" t="s">
        <v>2683</v>
      </c>
    </row>
    <row r="1983" spans="1:2" x14ac:dyDescent="0.25">
      <c r="A1983" s="62">
        <v>23151822</v>
      </c>
      <c r="B1983" s="63" t="s">
        <v>2684</v>
      </c>
    </row>
    <row r="1984" spans="1:2" x14ac:dyDescent="0.25">
      <c r="A1984" s="62">
        <v>23151823</v>
      </c>
      <c r="B1984" s="63" t="s">
        <v>2685</v>
      </c>
    </row>
    <row r="1985" spans="1:2" x14ac:dyDescent="0.25">
      <c r="A1985" s="62">
        <v>23151901</v>
      </c>
      <c r="B1985" s="63" t="s">
        <v>2686</v>
      </c>
    </row>
    <row r="1986" spans="1:2" x14ac:dyDescent="0.25">
      <c r="A1986" s="62">
        <v>23151902</v>
      </c>
      <c r="B1986" s="63" t="s">
        <v>2687</v>
      </c>
    </row>
    <row r="1987" spans="1:2" x14ac:dyDescent="0.25">
      <c r="A1987" s="62">
        <v>23151903</v>
      </c>
      <c r="B1987" s="63" t="s">
        <v>2688</v>
      </c>
    </row>
    <row r="1988" spans="1:2" x14ac:dyDescent="0.25">
      <c r="A1988" s="62">
        <v>23151904</v>
      </c>
      <c r="B1988" s="63" t="s">
        <v>2689</v>
      </c>
    </row>
    <row r="1989" spans="1:2" x14ac:dyDescent="0.25">
      <c r="A1989" s="62">
        <v>23151905</v>
      </c>
      <c r="B1989" s="63" t="s">
        <v>2690</v>
      </c>
    </row>
    <row r="1990" spans="1:2" x14ac:dyDescent="0.25">
      <c r="A1990" s="62">
        <v>23151906</v>
      </c>
      <c r="B1990" s="63" t="s">
        <v>2691</v>
      </c>
    </row>
    <row r="1991" spans="1:2" x14ac:dyDescent="0.25">
      <c r="A1991" s="62">
        <v>23152001</v>
      </c>
      <c r="B1991" s="63" t="s">
        <v>2692</v>
      </c>
    </row>
    <row r="1992" spans="1:2" x14ac:dyDescent="0.25">
      <c r="A1992" s="62">
        <v>23152002</v>
      </c>
      <c r="B1992" s="63" t="s">
        <v>2693</v>
      </c>
    </row>
    <row r="1993" spans="1:2" x14ac:dyDescent="0.25">
      <c r="A1993" s="62">
        <v>23152101</v>
      </c>
      <c r="B1993" s="63" t="s">
        <v>2694</v>
      </c>
    </row>
    <row r="1994" spans="1:2" x14ac:dyDescent="0.25">
      <c r="A1994" s="62">
        <v>23152102</v>
      </c>
      <c r="B1994" s="63" t="s">
        <v>2695</v>
      </c>
    </row>
    <row r="1995" spans="1:2" x14ac:dyDescent="0.25">
      <c r="A1995" s="62">
        <v>23152103</v>
      </c>
      <c r="B1995" s="63" t="s">
        <v>2696</v>
      </c>
    </row>
    <row r="1996" spans="1:2" x14ac:dyDescent="0.25">
      <c r="A1996" s="62">
        <v>23152104</v>
      </c>
      <c r="B1996" s="63" t="s">
        <v>2697</v>
      </c>
    </row>
    <row r="1997" spans="1:2" x14ac:dyDescent="0.25">
      <c r="A1997" s="62">
        <v>23152201</v>
      </c>
      <c r="B1997" s="63" t="s">
        <v>2698</v>
      </c>
    </row>
    <row r="1998" spans="1:2" x14ac:dyDescent="0.25">
      <c r="A1998" s="62">
        <v>23152202</v>
      </c>
      <c r="B1998" s="63" t="s">
        <v>2699</v>
      </c>
    </row>
    <row r="1999" spans="1:2" x14ac:dyDescent="0.25">
      <c r="A1999" s="62">
        <v>23152203</v>
      </c>
      <c r="B1999" s="63" t="s">
        <v>2700</v>
      </c>
    </row>
    <row r="2000" spans="1:2" x14ac:dyDescent="0.25">
      <c r="A2000" s="62">
        <v>23152204</v>
      </c>
      <c r="B2000" s="63" t="s">
        <v>2701</v>
      </c>
    </row>
    <row r="2001" spans="1:2" x14ac:dyDescent="0.25">
      <c r="A2001" s="62">
        <v>23152205</v>
      </c>
      <c r="B2001" s="63" t="s">
        <v>2702</v>
      </c>
    </row>
    <row r="2002" spans="1:2" x14ac:dyDescent="0.25">
      <c r="A2002" s="62">
        <v>23152206</v>
      </c>
      <c r="B2002" s="63" t="s">
        <v>2703</v>
      </c>
    </row>
    <row r="2003" spans="1:2" x14ac:dyDescent="0.25">
      <c r="A2003" s="62">
        <v>23152901</v>
      </c>
      <c r="B2003" s="63" t="s">
        <v>2704</v>
      </c>
    </row>
    <row r="2004" spans="1:2" x14ac:dyDescent="0.25">
      <c r="A2004" s="62">
        <v>23152902</v>
      </c>
      <c r="B2004" s="63" t="s">
        <v>2705</v>
      </c>
    </row>
    <row r="2005" spans="1:2" x14ac:dyDescent="0.25">
      <c r="A2005" s="62">
        <v>23152903</v>
      </c>
      <c r="B2005" s="63" t="s">
        <v>2706</v>
      </c>
    </row>
    <row r="2006" spans="1:2" x14ac:dyDescent="0.25">
      <c r="A2006" s="62">
        <v>23152904</v>
      </c>
      <c r="B2006" s="63" t="s">
        <v>2707</v>
      </c>
    </row>
    <row r="2007" spans="1:2" x14ac:dyDescent="0.25">
      <c r="A2007" s="62">
        <v>23152905</v>
      </c>
      <c r="B2007" s="63" t="s">
        <v>2708</v>
      </c>
    </row>
    <row r="2008" spans="1:2" x14ac:dyDescent="0.25">
      <c r="A2008" s="62">
        <v>23152906</v>
      </c>
      <c r="B2008" s="63" t="s">
        <v>2709</v>
      </c>
    </row>
    <row r="2009" spans="1:2" x14ac:dyDescent="0.25">
      <c r="A2009" s="62">
        <v>23153001</v>
      </c>
      <c r="B2009" s="63" t="s">
        <v>2710</v>
      </c>
    </row>
    <row r="2010" spans="1:2" x14ac:dyDescent="0.25">
      <c r="A2010" s="62">
        <v>23153002</v>
      </c>
      <c r="B2010" s="63" t="s">
        <v>2711</v>
      </c>
    </row>
    <row r="2011" spans="1:2" x14ac:dyDescent="0.25">
      <c r="A2011" s="62">
        <v>23153003</v>
      </c>
      <c r="B2011" s="63" t="s">
        <v>2712</v>
      </c>
    </row>
    <row r="2012" spans="1:2" x14ac:dyDescent="0.25">
      <c r="A2012" s="62">
        <v>23153004</v>
      </c>
      <c r="B2012" s="63" t="s">
        <v>2713</v>
      </c>
    </row>
    <row r="2013" spans="1:2" x14ac:dyDescent="0.25">
      <c r="A2013" s="62">
        <v>23153005</v>
      </c>
      <c r="B2013" s="63" t="s">
        <v>2714</v>
      </c>
    </row>
    <row r="2014" spans="1:2" x14ac:dyDescent="0.25">
      <c r="A2014" s="62">
        <v>23153006</v>
      </c>
      <c r="B2014" s="63" t="s">
        <v>2715</v>
      </c>
    </row>
    <row r="2015" spans="1:2" x14ac:dyDescent="0.25">
      <c r="A2015" s="62">
        <v>23153007</v>
      </c>
      <c r="B2015" s="63" t="s">
        <v>2716</v>
      </c>
    </row>
    <row r="2016" spans="1:2" x14ac:dyDescent="0.25">
      <c r="A2016" s="62">
        <v>23153008</v>
      </c>
      <c r="B2016" s="63" t="s">
        <v>2717</v>
      </c>
    </row>
    <row r="2017" spans="1:2" x14ac:dyDescent="0.25">
      <c r="A2017" s="62">
        <v>23153009</v>
      </c>
      <c r="B2017" s="63" t="s">
        <v>2718</v>
      </c>
    </row>
    <row r="2018" spans="1:2" x14ac:dyDescent="0.25">
      <c r="A2018" s="62">
        <v>23153010</v>
      </c>
      <c r="B2018" s="63" t="s">
        <v>2719</v>
      </c>
    </row>
    <row r="2019" spans="1:2" x14ac:dyDescent="0.25">
      <c r="A2019" s="62">
        <v>23153011</v>
      </c>
      <c r="B2019" s="63" t="s">
        <v>2720</v>
      </c>
    </row>
    <row r="2020" spans="1:2" x14ac:dyDescent="0.25">
      <c r="A2020" s="62">
        <v>23153012</v>
      </c>
      <c r="B2020" s="63" t="s">
        <v>2721</v>
      </c>
    </row>
    <row r="2021" spans="1:2" x14ac:dyDescent="0.25">
      <c r="A2021" s="62">
        <v>23153013</v>
      </c>
      <c r="B2021" s="63" t="s">
        <v>2722</v>
      </c>
    </row>
    <row r="2022" spans="1:2" x14ac:dyDescent="0.25">
      <c r="A2022" s="62">
        <v>23153014</v>
      </c>
      <c r="B2022" s="63" t="s">
        <v>2723</v>
      </c>
    </row>
    <row r="2023" spans="1:2" x14ac:dyDescent="0.25">
      <c r="A2023" s="62">
        <v>23153015</v>
      </c>
      <c r="B2023" s="63" t="s">
        <v>2724</v>
      </c>
    </row>
    <row r="2024" spans="1:2" x14ac:dyDescent="0.25">
      <c r="A2024" s="62">
        <v>23153016</v>
      </c>
      <c r="B2024" s="63" t="s">
        <v>2725</v>
      </c>
    </row>
    <row r="2025" spans="1:2" x14ac:dyDescent="0.25">
      <c r="A2025" s="62">
        <v>23153017</v>
      </c>
      <c r="B2025" s="63" t="s">
        <v>2726</v>
      </c>
    </row>
    <row r="2026" spans="1:2" x14ac:dyDescent="0.25">
      <c r="A2026" s="62">
        <v>23153018</v>
      </c>
      <c r="B2026" s="63" t="s">
        <v>2727</v>
      </c>
    </row>
    <row r="2027" spans="1:2" x14ac:dyDescent="0.25">
      <c r="A2027" s="62">
        <v>23153019</v>
      </c>
      <c r="B2027" s="63" t="s">
        <v>2728</v>
      </c>
    </row>
    <row r="2028" spans="1:2" x14ac:dyDescent="0.25">
      <c r="A2028" s="62">
        <v>23153020</v>
      </c>
      <c r="B2028" s="63" t="s">
        <v>2729</v>
      </c>
    </row>
    <row r="2029" spans="1:2" x14ac:dyDescent="0.25">
      <c r="A2029" s="62">
        <v>23153021</v>
      </c>
      <c r="B2029" s="63" t="s">
        <v>2730</v>
      </c>
    </row>
    <row r="2030" spans="1:2" x14ac:dyDescent="0.25">
      <c r="A2030" s="62">
        <v>23153022</v>
      </c>
      <c r="B2030" s="63" t="s">
        <v>2731</v>
      </c>
    </row>
    <row r="2031" spans="1:2" x14ac:dyDescent="0.25">
      <c r="A2031" s="62">
        <v>23153023</v>
      </c>
      <c r="B2031" s="63" t="s">
        <v>2732</v>
      </c>
    </row>
    <row r="2032" spans="1:2" x14ac:dyDescent="0.25">
      <c r="A2032" s="62">
        <v>23153024</v>
      </c>
      <c r="B2032" s="63" t="s">
        <v>2733</v>
      </c>
    </row>
    <row r="2033" spans="1:2" x14ac:dyDescent="0.25">
      <c r="A2033" s="62">
        <v>23153025</v>
      </c>
      <c r="B2033" s="63" t="s">
        <v>2734</v>
      </c>
    </row>
    <row r="2034" spans="1:2" x14ac:dyDescent="0.25">
      <c r="A2034" s="62">
        <v>23153026</v>
      </c>
      <c r="B2034" s="63" t="s">
        <v>2735</v>
      </c>
    </row>
    <row r="2035" spans="1:2" x14ac:dyDescent="0.25">
      <c r="A2035" s="62">
        <v>23153027</v>
      </c>
      <c r="B2035" s="63" t="s">
        <v>2736</v>
      </c>
    </row>
    <row r="2036" spans="1:2" x14ac:dyDescent="0.25">
      <c r="A2036" s="62">
        <v>23153028</v>
      </c>
      <c r="B2036" s="63" t="s">
        <v>2737</v>
      </c>
    </row>
    <row r="2037" spans="1:2" x14ac:dyDescent="0.25">
      <c r="A2037" s="62">
        <v>23153029</v>
      </c>
      <c r="B2037" s="63" t="s">
        <v>2738</v>
      </c>
    </row>
    <row r="2038" spans="1:2" x14ac:dyDescent="0.25">
      <c r="A2038" s="62">
        <v>23153030</v>
      </c>
      <c r="B2038" s="63" t="s">
        <v>2739</v>
      </c>
    </row>
    <row r="2039" spans="1:2" x14ac:dyDescent="0.25">
      <c r="A2039" s="62">
        <v>23153031</v>
      </c>
      <c r="B2039" s="63" t="s">
        <v>2740</v>
      </c>
    </row>
    <row r="2040" spans="1:2" x14ac:dyDescent="0.25">
      <c r="A2040" s="62">
        <v>23153032</v>
      </c>
      <c r="B2040" s="63" t="s">
        <v>2741</v>
      </c>
    </row>
    <row r="2041" spans="1:2" x14ac:dyDescent="0.25">
      <c r="A2041" s="62">
        <v>23153033</v>
      </c>
      <c r="B2041" s="63" t="s">
        <v>2742</v>
      </c>
    </row>
    <row r="2042" spans="1:2" x14ac:dyDescent="0.25">
      <c r="A2042" s="62">
        <v>23153034</v>
      </c>
      <c r="B2042" s="63" t="s">
        <v>2743</v>
      </c>
    </row>
    <row r="2043" spans="1:2" x14ac:dyDescent="0.25">
      <c r="A2043" s="62">
        <v>23153035</v>
      </c>
      <c r="B2043" s="63" t="s">
        <v>2744</v>
      </c>
    </row>
    <row r="2044" spans="1:2" x14ac:dyDescent="0.25">
      <c r="A2044" s="62">
        <v>23153036</v>
      </c>
      <c r="B2044" s="63" t="s">
        <v>2745</v>
      </c>
    </row>
    <row r="2045" spans="1:2" x14ac:dyDescent="0.25">
      <c r="A2045" s="62">
        <v>23153037</v>
      </c>
      <c r="B2045" s="63" t="s">
        <v>2746</v>
      </c>
    </row>
    <row r="2046" spans="1:2" x14ac:dyDescent="0.25">
      <c r="A2046" s="62">
        <v>23153101</v>
      </c>
      <c r="B2046" s="63" t="s">
        <v>2747</v>
      </c>
    </row>
    <row r="2047" spans="1:2" x14ac:dyDescent="0.25">
      <c r="A2047" s="62">
        <v>23153102</v>
      </c>
      <c r="B2047" s="63" t="s">
        <v>2748</v>
      </c>
    </row>
    <row r="2048" spans="1:2" x14ac:dyDescent="0.25">
      <c r="A2048" s="62">
        <v>23153103</v>
      </c>
      <c r="B2048" s="63" t="s">
        <v>2749</v>
      </c>
    </row>
    <row r="2049" spans="1:2" x14ac:dyDescent="0.25">
      <c r="A2049" s="62">
        <v>23153129</v>
      </c>
      <c r="B2049" s="63" t="s">
        <v>2750</v>
      </c>
    </row>
    <row r="2050" spans="1:2" x14ac:dyDescent="0.25">
      <c r="A2050" s="62">
        <v>23153130</v>
      </c>
      <c r="B2050" s="63" t="s">
        <v>2751</v>
      </c>
    </row>
    <row r="2051" spans="1:2" x14ac:dyDescent="0.25">
      <c r="A2051" s="62">
        <v>23153131</v>
      </c>
      <c r="B2051" s="63" t="s">
        <v>2752</v>
      </c>
    </row>
    <row r="2052" spans="1:2" x14ac:dyDescent="0.25">
      <c r="A2052" s="62">
        <v>23153132</v>
      </c>
      <c r="B2052" s="63" t="s">
        <v>2753</v>
      </c>
    </row>
    <row r="2053" spans="1:2" x14ac:dyDescent="0.25">
      <c r="A2053" s="62">
        <v>23153133</v>
      </c>
      <c r="B2053" s="63" t="s">
        <v>2754</v>
      </c>
    </row>
    <row r="2054" spans="1:2" x14ac:dyDescent="0.25">
      <c r="A2054" s="62">
        <v>23153134</v>
      </c>
      <c r="B2054" s="63" t="s">
        <v>2755</v>
      </c>
    </row>
    <row r="2055" spans="1:2" x14ac:dyDescent="0.25">
      <c r="A2055" s="62">
        <v>23153135</v>
      </c>
      <c r="B2055" s="63" t="s">
        <v>2756</v>
      </c>
    </row>
    <row r="2056" spans="1:2" x14ac:dyDescent="0.25">
      <c r="A2056" s="62">
        <v>23153136</v>
      </c>
      <c r="B2056" s="63" t="s">
        <v>2757</v>
      </c>
    </row>
    <row r="2057" spans="1:2" x14ac:dyDescent="0.25">
      <c r="A2057" s="62">
        <v>23153137</v>
      </c>
      <c r="B2057" s="63" t="s">
        <v>2758</v>
      </c>
    </row>
    <row r="2058" spans="1:2" x14ac:dyDescent="0.25">
      <c r="A2058" s="62">
        <v>23153138</v>
      </c>
      <c r="B2058" s="63" t="s">
        <v>2759</v>
      </c>
    </row>
    <row r="2059" spans="1:2" x14ac:dyDescent="0.25">
      <c r="A2059" s="62">
        <v>23153139</v>
      </c>
      <c r="B2059" s="63" t="s">
        <v>2760</v>
      </c>
    </row>
    <row r="2060" spans="1:2" x14ac:dyDescent="0.25">
      <c r="A2060" s="62">
        <v>23153140</v>
      </c>
      <c r="B2060" s="63" t="s">
        <v>2761</v>
      </c>
    </row>
    <row r="2061" spans="1:2" x14ac:dyDescent="0.25">
      <c r="A2061" s="62">
        <v>23153201</v>
      </c>
      <c r="B2061" s="63" t="s">
        <v>2762</v>
      </c>
    </row>
    <row r="2062" spans="1:2" x14ac:dyDescent="0.25">
      <c r="A2062" s="62">
        <v>23153202</v>
      </c>
      <c r="B2062" s="63" t="s">
        <v>2763</v>
      </c>
    </row>
    <row r="2063" spans="1:2" x14ac:dyDescent="0.25">
      <c r="A2063" s="62">
        <v>23153203</v>
      </c>
      <c r="B2063" s="63" t="s">
        <v>2764</v>
      </c>
    </row>
    <row r="2064" spans="1:2" x14ac:dyDescent="0.25">
      <c r="A2064" s="62">
        <v>23153204</v>
      </c>
      <c r="B2064" s="63" t="s">
        <v>2765</v>
      </c>
    </row>
    <row r="2065" spans="1:2" x14ac:dyDescent="0.25">
      <c r="A2065" s="62">
        <v>23153301</v>
      </c>
      <c r="B2065" s="63" t="s">
        <v>2766</v>
      </c>
    </row>
    <row r="2066" spans="1:2" x14ac:dyDescent="0.25">
      <c r="A2066" s="62">
        <v>23153302</v>
      </c>
      <c r="B2066" s="63" t="s">
        <v>2767</v>
      </c>
    </row>
    <row r="2067" spans="1:2" x14ac:dyDescent="0.25">
      <c r="A2067" s="62">
        <v>23153303</v>
      </c>
      <c r="B2067" s="63" t="s">
        <v>2768</v>
      </c>
    </row>
    <row r="2068" spans="1:2" x14ac:dyDescent="0.25">
      <c r="A2068" s="62">
        <v>23153305</v>
      </c>
      <c r="B2068" s="63" t="s">
        <v>2769</v>
      </c>
    </row>
    <row r="2069" spans="1:2" x14ac:dyDescent="0.25">
      <c r="A2069" s="62">
        <v>23153306</v>
      </c>
      <c r="B2069" s="63" t="s">
        <v>2770</v>
      </c>
    </row>
    <row r="2070" spans="1:2" x14ac:dyDescent="0.25">
      <c r="A2070" s="62">
        <v>23153307</v>
      </c>
      <c r="B2070" s="63" t="s">
        <v>2771</v>
      </c>
    </row>
    <row r="2071" spans="1:2" x14ac:dyDescent="0.25">
      <c r="A2071" s="62">
        <v>23153308</v>
      </c>
      <c r="B2071" s="63" t="s">
        <v>2772</v>
      </c>
    </row>
    <row r="2072" spans="1:2" x14ac:dyDescent="0.25">
      <c r="A2072" s="62">
        <v>23153309</v>
      </c>
      <c r="B2072" s="63" t="s">
        <v>2773</v>
      </c>
    </row>
    <row r="2073" spans="1:2" x14ac:dyDescent="0.25">
      <c r="A2073" s="62">
        <v>23153310</v>
      </c>
      <c r="B2073" s="63" t="s">
        <v>2774</v>
      </c>
    </row>
    <row r="2074" spans="1:2" x14ac:dyDescent="0.25">
      <c r="A2074" s="62">
        <v>23153311</v>
      </c>
      <c r="B2074" s="63" t="s">
        <v>2775</v>
      </c>
    </row>
    <row r="2075" spans="1:2" x14ac:dyDescent="0.25">
      <c r="A2075" s="62">
        <v>23153312</v>
      </c>
      <c r="B2075" s="63" t="s">
        <v>2776</v>
      </c>
    </row>
    <row r="2076" spans="1:2" x14ac:dyDescent="0.25">
      <c r="A2076" s="62">
        <v>23153313</v>
      </c>
      <c r="B2076" s="63" t="s">
        <v>2777</v>
      </c>
    </row>
    <row r="2077" spans="1:2" x14ac:dyDescent="0.25">
      <c r="A2077" s="62">
        <v>23153401</v>
      </c>
      <c r="B2077" s="63" t="s">
        <v>2778</v>
      </c>
    </row>
    <row r="2078" spans="1:2" x14ac:dyDescent="0.25">
      <c r="A2078" s="62">
        <v>23153402</v>
      </c>
      <c r="B2078" s="63" t="s">
        <v>2779</v>
      </c>
    </row>
    <row r="2079" spans="1:2" x14ac:dyDescent="0.25">
      <c r="A2079" s="62">
        <v>23153403</v>
      </c>
      <c r="B2079" s="63" t="s">
        <v>2780</v>
      </c>
    </row>
    <row r="2080" spans="1:2" x14ac:dyDescent="0.25">
      <c r="A2080" s="62">
        <v>23153404</v>
      </c>
      <c r="B2080" s="63" t="s">
        <v>2781</v>
      </c>
    </row>
    <row r="2081" spans="1:2" x14ac:dyDescent="0.25">
      <c r="A2081" s="62">
        <v>23153405</v>
      </c>
      <c r="B2081" s="63" t="s">
        <v>2782</v>
      </c>
    </row>
    <row r="2082" spans="1:2" x14ac:dyDescent="0.25">
      <c r="A2082" s="62">
        <v>23153406</v>
      </c>
      <c r="B2082" s="63" t="s">
        <v>2783</v>
      </c>
    </row>
    <row r="2083" spans="1:2" x14ac:dyDescent="0.25">
      <c r="A2083" s="62">
        <v>23153407</v>
      </c>
      <c r="B2083" s="63" t="s">
        <v>2784</v>
      </c>
    </row>
    <row r="2084" spans="1:2" x14ac:dyDescent="0.25">
      <c r="A2084" s="62">
        <v>23153408</v>
      </c>
      <c r="B2084" s="63" t="s">
        <v>2785</v>
      </c>
    </row>
    <row r="2085" spans="1:2" x14ac:dyDescent="0.25">
      <c r="A2085" s="62">
        <v>23153409</v>
      </c>
      <c r="B2085" s="63" t="s">
        <v>2786</v>
      </c>
    </row>
    <row r="2086" spans="1:2" x14ac:dyDescent="0.25">
      <c r="A2086" s="62">
        <v>23153410</v>
      </c>
      <c r="B2086" s="63" t="s">
        <v>2787</v>
      </c>
    </row>
    <row r="2087" spans="1:2" x14ac:dyDescent="0.25">
      <c r="A2087" s="62">
        <v>23153411</v>
      </c>
      <c r="B2087" s="63" t="s">
        <v>2788</v>
      </c>
    </row>
    <row r="2088" spans="1:2" x14ac:dyDescent="0.25">
      <c r="A2088" s="62">
        <v>23153412</v>
      </c>
      <c r="B2088" s="63" t="s">
        <v>2789</v>
      </c>
    </row>
    <row r="2089" spans="1:2" x14ac:dyDescent="0.25">
      <c r="A2089" s="62">
        <v>23153413</v>
      </c>
      <c r="B2089" s="63" t="s">
        <v>2790</v>
      </c>
    </row>
    <row r="2090" spans="1:2" x14ac:dyDescent="0.25">
      <c r="A2090" s="62">
        <v>23153414</v>
      </c>
      <c r="B2090" s="63" t="s">
        <v>2791</v>
      </c>
    </row>
    <row r="2091" spans="1:2" x14ac:dyDescent="0.25">
      <c r="A2091" s="62">
        <v>23153415</v>
      </c>
      <c r="B2091" s="63" t="s">
        <v>2792</v>
      </c>
    </row>
    <row r="2092" spans="1:2" x14ac:dyDescent="0.25">
      <c r="A2092" s="62">
        <v>23153416</v>
      </c>
      <c r="B2092" s="63" t="s">
        <v>2793</v>
      </c>
    </row>
    <row r="2093" spans="1:2" x14ac:dyDescent="0.25">
      <c r="A2093" s="62">
        <v>23153417</v>
      </c>
      <c r="B2093" s="63" t="s">
        <v>2794</v>
      </c>
    </row>
    <row r="2094" spans="1:2" x14ac:dyDescent="0.25">
      <c r="A2094" s="62">
        <v>23153501</v>
      </c>
      <c r="B2094" s="63" t="s">
        <v>2795</v>
      </c>
    </row>
    <row r="2095" spans="1:2" x14ac:dyDescent="0.25">
      <c r="A2095" s="62">
        <v>23153502</v>
      </c>
      <c r="B2095" s="63" t="s">
        <v>2796</v>
      </c>
    </row>
    <row r="2096" spans="1:2" x14ac:dyDescent="0.25">
      <c r="A2096" s="62">
        <v>23153503</v>
      </c>
      <c r="B2096" s="63" t="s">
        <v>2797</v>
      </c>
    </row>
    <row r="2097" spans="1:2" x14ac:dyDescent="0.25">
      <c r="A2097" s="62">
        <v>23153504</v>
      </c>
      <c r="B2097" s="63" t="s">
        <v>2798</v>
      </c>
    </row>
    <row r="2098" spans="1:2" x14ac:dyDescent="0.25">
      <c r="A2098" s="62">
        <v>23153505</v>
      </c>
      <c r="B2098" s="63" t="s">
        <v>2799</v>
      </c>
    </row>
    <row r="2099" spans="1:2" x14ac:dyDescent="0.25">
      <c r="A2099" s="62">
        <v>23153506</v>
      </c>
      <c r="B2099" s="63" t="s">
        <v>2800</v>
      </c>
    </row>
    <row r="2100" spans="1:2" x14ac:dyDescent="0.25">
      <c r="A2100" s="62">
        <v>23153507</v>
      </c>
      <c r="B2100" s="63" t="s">
        <v>2801</v>
      </c>
    </row>
    <row r="2101" spans="1:2" x14ac:dyDescent="0.25">
      <c r="A2101" s="62">
        <v>23153508</v>
      </c>
      <c r="B2101" s="63" t="s">
        <v>2802</v>
      </c>
    </row>
    <row r="2102" spans="1:2" x14ac:dyDescent="0.25">
      <c r="A2102" s="62">
        <v>23161501</v>
      </c>
      <c r="B2102" s="63" t="s">
        <v>2803</v>
      </c>
    </row>
    <row r="2103" spans="1:2" x14ac:dyDescent="0.25">
      <c r="A2103" s="62">
        <v>23161502</v>
      </c>
      <c r="B2103" s="63" t="s">
        <v>2804</v>
      </c>
    </row>
    <row r="2104" spans="1:2" x14ac:dyDescent="0.25">
      <c r="A2104" s="62">
        <v>23161503</v>
      </c>
      <c r="B2104" s="63" t="s">
        <v>2805</v>
      </c>
    </row>
    <row r="2105" spans="1:2" x14ac:dyDescent="0.25">
      <c r="A2105" s="62">
        <v>23161504</v>
      </c>
      <c r="B2105" s="63" t="s">
        <v>2806</v>
      </c>
    </row>
    <row r="2106" spans="1:2" x14ac:dyDescent="0.25">
      <c r="A2106" s="62">
        <v>23161506</v>
      </c>
      <c r="B2106" s="63" t="s">
        <v>2807</v>
      </c>
    </row>
    <row r="2107" spans="1:2" x14ac:dyDescent="0.25">
      <c r="A2107" s="62">
        <v>23161507</v>
      </c>
      <c r="B2107" s="63" t="s">
        <v>2808</v>
      </c>
    </row>
    <row r="2108" spans="1:2" x14ac:dyDescent="0.25">
      <c r="A2108" s="62">
        <v>23161508</v>
      </c>
      <c r="B2108" s="63" t="s">
        <v>2809</v>
      </c>
    </row>
    <row r="2109" spans="1:2" x14ac:dyDescent="0.25">
      <c r="A2109" s="62">
        <v>23161509</v>
      </c>
      <c r="B2109" s="63" t="s">
        <v>2810</v>
      </c>
    </row>
    <row r="2110" spans="1:2" x14ac:dyDescent="0.25">
      <c r="A2110" s="62">
        <v>23161510</v>
      </c>
      <c r="B2110" s="63" t="s">
        <v>2811</v>
      </c>
    </row>
    <row r="2111" spans="1:2" x14ac:dyDescent="0.25">
      <c r="A2111" s="62">
        <v>23161511</v>
      </c>
      <c r="B2111" s="63" t="s">
        <v>2812</v>
      </c>
    </row>
    <row r="2112" spans="1:2" x14ac:dyDescent="0.25">
      <c r="A2112" s="62">
        <v>23161512</v>
      </c>
      <c r="B2112" s="63" t="s">
        <v>2813</v>
      </c>
    </row>
    <row r="2113" spans="1:2" x14ac:dyDescent="0.25">
      <c r="A2113" s="62">
        <v>23161513</v>
      </c>
      <c r="B2113" s="63" t="s">
        <v>2814</v>
      </c>
    </row>
    <row r="2114" spans="1:2" x14ac:dyDescent="0.25">
      <c r="A2114" s="62">
        <v>23161514</v>
      </c>
      <c r="B2114" s="63" t="s">
        <v>2815</v>
      </c>
    </row>
    <row r="2115" spans="1:2" x14ac:dyDescent="0.25">
      <c r="A2115" s="62">
        <v>23161515</v>
      </c>
      <c r="B2115" s="63" t="s">
        <v>2816</v>
      </c>
    </row>
    <row r="2116" spans="1:2" x14ac:dyDescent="0.25">
      <c r="A2116" s="62">
        <v>23161601</v>
      </c>
      <c r="B2116" s="63" t="s">
        <v>2803</v>
      </c>
    </row>
    <row r="2117" spans="1:2" x14ac:dyDescent="0.25">
      <c r="A2117" s="62">
        <v>23161602</v>
      </c>
      <c r="B2117" s="63" t="s">
        <v>2817</v>
      </c>
    </row>
    <row r="2118" spans="1:2" x14ac:dyDescent="0.25">
      <c r="A2118" s="62">
        <v>23161603</v>
      </c>
      <c r="B2118" s="63" t="s">
        <v>2818</v>
      </c>
    </row>
    <row r="2119" spans="1:2" x14ac:dyDescent="0.25">
      <c r="A2119" s="62">
        <v>23161605</v>
      </c>
      <c r="B2119" s="63" t="s">
        <v>2819</v>
      </c>
    </row>
    <row r="2120" spans="1:2" x14ac:dyDescent="0.25">
      <c r="A2120" s="62">
        <v>23161606</v>
      </c>
      <c r="B2120" s="63" t="s">
        <v>2820</v>
      </c>
    </row>
    <row r="2121" spans="1:2" x14ac:dyDescent="0.25">
      <c r="A2121" s="62">
        <v>23161607</v>
      </c>
      <c r="B2121" s="63" t="s">
        <v>2821</v>
      </c>
    </row>
    <row r="2122" spans="1:2" x14ac:dyDescent="0.25">
      <c r="A2122" s="62">
        <v>23161608</v>
      </c>
      <c r="B2122" s="63" t="s">
        <v>2822</v>
      </c>
    </row>
    <row r="2123" spans="1:2" x14ac:dyDescent="0.25">
      <c r="A2123" s="62">
        <v>23171501</v>
      </c>
      <c r="B2123" s="63" t="s">
        <v>2823</v>
      </c>
    </row>
    <row r="2124" spans="1:2" x14ac:dyDescent="0.25">
      <c r="A2124" s="62">
        <v>23171502</v>
      </c>
      <c r="B2124" s="63" t="s">
        <v>2824</v>
      </c>
    </row>
    <row r="2125" spans="1:2" x14ac:dyDescent="0.25">
      <c r="A2125" s="62">
        <v>23171504</v>
      </c>
      <c r="B2125" s="63" t="s">
        <v>2825</v>
      </c>
    </row>
    <row r="2126" spans="1:2" x14ac:dyDescent="0.25">
      <c r="A2126" s="62">
        <v>23171505</v>
      </c>
      <c r="B2126" s="63" t="s">
        <v>2826</v>
      </c>
    </row>
    <row r="2127" spans="1:2" x14ac:dyDescent="0.25">
      <c r="A2127" s="62">
        <v>23171506</v>
      </c>
      <c r="B2127" s="63" t="s">
        <v>2827</v>
      </c>
    </row>
    <row r="2128" spans="1:2" x14ac:dyDescent="0.25">
      <c r="A2128" s="62">
        <v>23171507</v>
      </c>
      <c r="B2128" s="63" t="s">
        <v>2828</v>
      </c>
    </row>
    <row r="2129" spans="1:2" x14ac:dyDescent="0.25">
      <c r="A2129" s="62">
        <v>23171508</v>
      </c>
      <c r="B2129" s="63" t="s">
        <v>2829</v>
      </c>
    </row>
    <row r="2130" spans="1:2" x14ac:dyDescent="0.25">
      <c r="A2130" s="62">
        <v>23171509</v>
      </c>
      <c r="B2130" s="63" t="s">
        <v>2830</v>
      </c>
    </row>
    <row r="2131" spans="1:2" x14ac:dyDescent="0.25">
      <c r="A2131" s="62">
        <v>23171510</v>
      </c>
      <c r="B2131" s="63" t="s">
        <v>2831</v>
      </c>
    </row>
    <row r="2132" spans="1:2" x14ac:dyDescent="0.25">
      <c r="A2132" s="62">
        <v>23171511</v>
      </c>
      <c r="B2132" s="63" t="s">
        <v>2832</v>
      </c>
    </row>
    <row r="2133" spans="1:2" x14ac:dyDescent="0.25">
      <c r="A2133" s="62">
        <v>23171512</v>
      </c>
      <c r="B2133" s="63" t="s">
        <v>2833</v>
      </c>
    </row>
    <row r="2134" spans="1:2" x14ac:dyDescent="0.25">
      <c r="A2134" s="62">
        <v>23171513</v>
      </c>
      <c r="B2134" s="63" t="s">
        <v>2834</v>
      </c>
    </row>
    <row r="2135" spans="1:2" x14ac:dyDescent="0.25">
      <c r="A2135" s="62">
        <v>23171514</v>
      </c>
      <c r="B2135" s="63" t="s">
        <v>2835</v>
      </c>
    </row>
    <row r="2136" spans="1:2" x14ac:dyDescent="0.25">
      <c r="A2136" s="62">
        <v>23171515</v>
      </c>
      <c r="B2136" s="63" t="s">
        <v>2836</v>
      </c>
    </row>
    <row r="2137" spans="1:2" x14ac:dyDescent="0.25">
      <c r="A2137" s="62">
        <v>23171517</v>
      </c>
      <c r="B2137" s="63" t="s">
        <v>2825</v>
      </c>
    </row>
    <row r="2138" spans="1:2" x14ac:dyDescent="0.25">
      <c r="A2138" s="62">
        <v>23171518</v>
      </c>
      <c r="B2138" s="63" t="s">
        <v>2837</v>
      </c>
    </row>
    <row r="2139" spans="1:2" x14ac:dyDescent="0.25">
      <c r="A2139" s="62">
        <v>23171519</v>
      </c>
      <c r="B2139" s="63" t="s">
        <v>2838</v>
      </c>
    </row>
    <row r="2140" spans="1:2" x14ac:dyDescent="0.25">
      <c r="A2140" s="62">
        <v>23171520</v>
      </c>
      <c r="B2140" s="63" t="s">
        <v>2839</v>
      </c>
    </row>
    <row r="2141" spans="1:2" x14ac:dyDescent="0.25">
      <c r="A2141" s="62">
        <v>23171521</v>
      </c>
      <c r="B2141" s="63" t="s">
        <v>2840</v>
      </c>
    </row>
    <row r="2142" spans="1:2" x14ac:dyDescent="0.25">
      <c r="A2142" s="62">
        <v>23171522</v>
      </c>
      <c r="B2142" s="63" t="s">
        <v>2841</v>
      </c>
    </row>
    <row r="2143" spans="1:2" x14ac:dyDescent="0.25">
      <c r="A2143" s="62">
        <v>23171523</v>
      </c>
      <c r="B2143" s="63" t="s">
        <v>2842</v>
      </c>
    </row>
    <row r="2144" spans="1:2" x14ac:dyDescent="0.25">
      <c r="A2144" s="62">
        <v>23171524</v>
      </c>
      <c r="B2144" s="63" t="s">
        <v>2843</v>
      </c>
    </row>
    <row r="2145" spans="1:2" x14ac:dyDescent="0.25">
      <c r="A2145" s="62">
        <v>23171525</v>
      </c>
      <c r="B2145" s="63" t="s">
        <v>2844</v>
      </c>
    </row>
    <row r="2146" spans="1:2" x14ac:dyDescent="0.25">
      <c r="A2146" s="62">
        <v>23171526</v>
      </c>
      <c r="B2146" s="63" t="s">
        <v>2845</v>
      </c>
    </row>
    <row r="2147" spans="1:2" x14ac:dyDescent="0.25">
      <c r="A2147" s="62">
        <v>23171527</v>
      </c>
      <c r="B2147" s="63" t="s">
        <v>2846</v>
      </c>
    </row>
    <row r="2148" spans="1:2" x14ac:dyDescent="0.25">
      <c r="A2148" s="62">
        <v>23171528</v>
      </c>
      <c r="B2148" s="63" t="s">
        <v>2847</v>
      </c>
    </row>
    <row r="2149" spans="1:2" x14ac:dyDescent="0.25">
      <c r="A2149" s="62">
        <v>23171529</v>
      </c>
      <c r="B2149" s="63" t="s">
        <v>2848</v>
      </c>
    </row>
    <row r="2150" spans="1:2" x14ac:dyDescent="0.25">
      <c r="A2150" s="62">
        <v>23171530</v>
      </c>
      <c r="B2150" s="63" t="s">
        <v>2849</v>
      </c>
    </row>
    <row r="2151" spans="1:2" x14ac:dyDescent="0.25">
      <c r="A2151" s="62">
        <v>23171531</v>
      </c>
      <c r="B2151" s="63" t="s">
        <v>2850</v>
      </c>
    </row>
    <row r="2152" spans="1:2" x14ac:dyDescent="0.25">
      <c r="A2152" s="62">
        <v>23171532</v>
      </c>
      <c r="B2152" s="63" t="s">
        <v>2851</v>
      </c>
    </row>
    <row r="2153" spans="1:2" x14ac:dyDescent="0.25">
      <c r="A2153" s="62">
        <v>23171533</v>
      </c>
      <c r="B2153" s="63" t="s">
        <v>2852</v>
      </c>
    </row>
    <row r="2154" spans="1:2" x14ac:dyDescent="0.25">
      <c r="A2154" s="62">
        <v>23171534</v>
      </c>
      <c r="B2154" s="63" t="s">
        <v>2853</v>
      </c>
    </row>
    <row r="2155" spans="1:2" x14ac:dyDescent="0.25">
      <c r="A2155" s="62">
        <v>23171535</v>
      </c>
      <c r="B2155" s="63" t="s">
        <v>2854</v>
      </c>
    </row>
    <row r="2156" spans="1:2" x14ac:dyDescent="0.25">
      <c r="A2156" s="62">
        <v>23171536</v>
      </c>
      <c r="B2156" s="63" t="s">
        <v>2855</v>
      </c>
    </row>
    <row r="2157" spans="1:2" x14ac:dyDescent="0.25">
      <c r="A2157" s="62">
        <v>23171537</v>
      </c>
      <c r="B2157" s="63" t="s">
        <v>2856</v>
      </c>
    </row>
    <row r="2158" spans="1:2" x14ac:dyDescent="0.25">
      <c r="A2158" s="62">
        <v>23171538</v>
      </c>
      <c r="B2158" s="63" t="s">
        <v>2857</v>
      </c>
    </row>
    <row r="2159" spans="1:2" x14ac:dyDescent="0.25">
      <c r="A2159" s="62">
        <v>23171539</v>
      </c>
      <c r="B2159" s="63" t="s">
        <v>2858</v>
      </c>
    </row>
    <row r="2160" spans="1:2" x14ac:dyDescent="0.25">
      <c r="A2160" s="62">
        <v>23171540</v>
      </c>
      <c r="B2160" s="63" t="s">
        <v>2859</v>
      </c>
    </row>
    <row r="2161" spans="1:2" x14ac:dyDescent="0.25">
      <c r="A2161" s="62">
        <v>23171541</v>
      </c>
      <c r="B2161" s="63" t="s">
        <v>2860</v>
      </c>
    </row>
    <row r="2162" spans="1:2" x14ac:dyDescent="0.25">
      <c r="A2162" s="62">
        <v>23171602</v>
      </c>
      <c r="B2162" s="63" t="s">
        <v>2861</v>
      </c>
    </row>
    <row r="2163" spans="1:2" x14ac:dyDescent="0.25">
      <c r="A2163" s="62">
        <v>23171603</v>
      </c>
      <c r="B2163" s="63" t="s">
        <v>2862</v>
      </c>
    </row>
    <row r="2164" spans="1:2" x14ac:dyDescent="0.25">
      <c r="A2164" s="62">
        <v>23171604</v>
      </c>
      <c r="B2164" s="63" t="s">
        <v>2863</v>
      </c>
    </row>
    <row r="2165" spans="1:2" x14ac:dyDescent="0.25">
      <c r="A2165" s="62">
        <v>23171605</v>
      </c>
      <c r="B2165" s="63" t="s">
        <v>2864</v>
      </c>
    </row>
    <row r="2166" spans="1:2" x14ac:dyDescent="0.25">
      <c r="A2166" s="62">
        <v>23171606</v>
      </c>
      <c r="B2166" s="63" t="s">
        <v>2865</v>
      </c>
    </row>
    <row r="2167" spans="1:2" x14ac:dyDescent="0.25">
      <c r="A2167" s="62">
        <v>23171607</v>
      </c>
      <c r="B2167" s="63" t="s">
        <v>2866</v>
      </c>
    </row>
    <row r="2168" spans="1:2" x14ac:dyDescent="0.25">
      <c r="A2168" s="62">
        <v>23171608</v>
      </c>
      <c r="B2168" s="63" t="s">
        <v>2867</v>
      </c>
    </row>
    <row r="2169" spans="1:2" x14ac:dyDescent="0.25">
      <c r="A2169" s="62">
        <v>23171609</v>
      </c>
      <c r="B2169" s="63" t="s">
        <v>2868</v>
      </c>
    </row>
    <row r="2170" spans="1:2" x14ac:dyDescent="0.25">
      <c r="A2170" s="62">
        <v>23171610</v>
      </c>
      <c r="B2170" s="63" t="s">
        <v>2869</v>
      </c>
    </row>
    <row r="2171" spans="1:2" x14ac:dyDescent="0.25">
      <c r="A2171" s="62">
        <v>23171611</v>
      </c>
      <c r="B2171" s="63" t="s">
        <v>2870</v>
      </c>
    </row>
    <row r="2172" spans="1:2" x14ac:dyDescent="0.25">
      <c r="A2172" s="62">
        <v>23171612</v>
      </c>
      <c r="B2172" s="63" t="s">
        <v>2871</v>
      </c>
    </row>
    <row r="2173" spans="1:2" x14ac:dyDescent="0.25">
      <c r="A2173" s="62">
        <v>23171613</v>
      </c>
      <c r="B2173" s="63" t="s">
        <v>2872</v>
      </c>
    </row>
    <row r="2174" spans="1:2" x14ac:dyDescent="0.25">
      <c r="A2174" s="62">
        <v>23171614</v>
      </c>
      <c r="B2174" s="63" t="s">
        <v>2873</v>
      </c>
    </row>
    <row r="2175" spans="1:2" x14ac:dyDescent="0.25">
      <c r="A2175" s="62">
        <v>23171615</v>
      </c>
      <c r="B2175" s="63" t="s">
        <v>2874</v>
      </c>
    </row>
    <row r="2176" spans="1:2" x14ac:dyDescent="0.25">
      <c r="A2176" s="62">
        <v>23171616</v>
      </c>
      <c r="B2176" s="63" t="s">
        <v>2875</v>
      </c>
    </row>
    <row r="2177" spans="1:2" x14ac:dyDescent="0.25">
      <c r="A2177" s="62">
        <v>23171617</v>
      </c>
      <c r="B2177" s="63" t="s">
        <v>2876</v>
      </c>
    </row>
    <row r="2178" spans="1:2" x14ac:dyDescent="0.25">
      <c r="A2178" s="62">
        <v>23171618</v>
      </c>
      <c r="B2178" s="63" t="s">
        <v>2877</v>
      </c>
    </row>
    <row r="2179" spans="1:2" x14ac:dyDescent="0.25">
      <c r="A2179" s="62">
        <v>23171619</v>
      </c>
      <c r="B2179" s="63" t="s">
        <v>2878</v>
      </c>
    </row>
    <row r="2180" spans="1:2" x14ac:dyDescent="0.25">
      <c r="A2180" s="62">
        <v>23171620</v>
      </c>
      <c r="B2180" s="63" t="s">
        <v>2879</v>
      </c>
    </row>
    <row r="2181" spans="1:2" x14ac:dyDescent="0.25">
      <c r="A2181" s="62">
        <v>23171621</v>
      </c>
      <c r="B2181" s="63" t="s">
        <v>2880</v>
      </c>
    </row>
    <row r="2182" spans="1:2" x14ac:dyDescent="0.25">
      <c r="A2182" s="62">
        <v>23171622</v>
      </c>
      <c r="B2182" s="63" t="s">
        <v>2881</v>
      </c>
    </row>
    <row r="2183" spans="1:2" x14ac:dyDescent="0.25">
      <c r="A2183" s="62">
        <v>23171623</v>
      </c>
      <c r="B2183" s="63" t="s">
        <v>2882</v>
      </c>
    </row>
    <row r="2184" spans="1:2" x14ac:dyDescent="0.25">
      <c r="A2184" s="62">
        <v>23171701</v>
      </c>
      <c r="B2184" s="63" t="s">
        <v>2883</v>
      </c>
    </row>
    <row r="2185" spans="1:2" x14ac:dyDescent="0.25">
      <c r="A2185" s="62">
        <v>23171702</v>
      </c>
      <c r="B2185" s="63" t="s">
        <v>2884</v>
      </c>
    </row>
    <row r="2186" spans="1:2" x14ac:dyDescent="0.25">
      <c r="A2186" s="62">
        <v>23171703</v>
      </c>
      <c r="B2186" s="63" t="s">
        <v>2885</v>
      </c>
    </row>
    <row r="2187" spans="1:2" x14ac:dyDescent="0.25">
      <c r="A2187" s="62">
        <v>23171704</v>
      </c>
      <c r="B2187" s="63" t="s">
        <v>2886</v>
      </c>
    </row>
    <row r="2188" spans="1:2" x14ac:dyDescent="0.25">
      <c r="A2188" s="62">
        <v>23171705</v>
      </c>
      <c r="B2188" s="63" t="s">
        <v>2887</v>
      </c>
    </row>
    <row r="2189" spans="1:2" x14ac:dyDescent="0.25">
      <c r="A2189" s="62">
        <v>23171706</v>
      </c>
      <c r="B2189" s="63" t="s">
        <v>2888</v>
      </c>
    </row>
    <row r="2190" spans="1:2" x14ac:dyDescent="0.25">
      <c r="A2190" s="62">
        <v>23171707</v>
      </c>
      <c r="B2190" s="63" t="s">
        <v>2889</v>
      </c>
    </row>
    <row r="2191" spans="1:2" x14ac:dyDescent="0.25">
      <c r="A2191" s="62">
        <v>23171708</v>
      </c>
      <c r="B2191" s="63" t="s">
        <v>2890</v>
      </c>
    </row>
    <row r="2192" spans="1:2" x14ac:dyDescent="0.25">
      <c r="A2192" s="62">
        <v>23171801</v>
      </c>
      <c r="B2192" s="63" t="s">
        <v>2891</v>
      </c>
    </row>
    <row r="2193" spans="1:2" x14ac:dyDescent="0.25">
      <c r="A2193" s="62">
        <v>23171802</v>
      </c>
      <c r="B2193" s="63" t="s">
        <v>2892</v>
      </c>
    </row>
    <row r="2194" spans="1:2" x14ac:dyDescent="0.25">
      <c r="A2194" s="62">
        <v>23171803</v>
      </c>
      <c r="B2194" s="63" t="s">
        <v>2893</v>
      </c>
    </row>
    <row r="2195" spans="1:2" x14ac:dyDescent="0.25">
      <c r="A2195" s="62">
        <v>23171804</v>
      </c>
      <c r="B2195" s="63" t="s">
        <v>2894</v>
      </c>
    </row>
    <row r="2196" spans="1:2" x14ac:dyDescent="0.25">
      <c r="A2196" s="62">
        <v>23171805</v>
      </c>
      <c r="B2196" s="63" t="s">
        <v>2895</v>
      </c>
    </row>
    <row r="2197" spans="1:2" x14ac:dyDescent="0.25">
      <c r="A2197" s="62">
        <v>23171806</v>
      </c>
      <c r="B2197" s="63" t="s">
        <v>2896</v>
      </c>
    </row>
    <row r="2198" spans="1:2" x14ac:dyDescent="0.25">
      <c r="A2198" s="62">
        <v>23171901</v>
      </c>
      <c r="B2198" s="63" t="s">
        <v>2897</v>
      </c>
    </row>
    <row r="2199" spans="1:2" x14ac:dyDescent="0.25">
      <c r="A2199" s="62">
        <v>23171902</v>
      </c>
      <c r="B2199" s="63" t="s">
        <v>2898</v>
      </c>
    </row>
    <row r="2200" spans="1:2" x14ac:dyDescent="0.25">
      <c r="A2200" s="62">
        <v>23171903</v>
      </c>
      <c r="B2200" s="63" t="s">
        <v>2899</v>
      </c>
    </row>
    <row r="2201" spans="1:2" x14ac:dyDescent="0.25">
      <c r="A2201" s="62">
        <v>23171904</v>
      </c>
      <c r="B2201" s="63" t="s">
        <v>2900</v>
      </c>
    </row>
    <row r="2202" spans="1:2" x14ac:dyDescent="0.25">
      <c r="A2202" s="62">
        <v>23171905</v>
      </c>
      <c r="B2202" s="63" t="s">
        <v>2901</v>
      </c>
    </row>
    <row r="2203" spans="1:2" x14ac:dyDescent="0.25">
      <c r="A2203" s="62">
        <v>23171906</v>
      </c>
      <c r="B2203" s="63" t="s">
        <v>2902</v>
      </c>
    </row>
    <row r="2204" spans="1:2" x14ac:dyDescent="0.25">
      <c r="A2204" s="62">
        <v>23172001</v>
      </c>
      <c r="B2204" s="63" t="s">
        <v>2903</v>
      </c>
    </row>
    <row r="2205" spans="1:2" x14ac:dyDescent="0.25">
      <c r="A2205" s="62">
        <v>23172002</v>
      </c>
      <c r="B2205" s="63" t="s">
        <v>2904</v>
      </c>
    </row>
    <row r="2206" spans="1:2" x14ac:dyDescent="0.25">
      <c r="A2206" s="62">
        <v>23172003</v>
      </c>
      <c r="B2206" s="63" t="s">
        <v>2905</v>
      </c>
    </row>
    <row r="2207" spans="1:2" x14ac:dyDescent="0.25">
      <c r="A2207" s="62">
        <v>23172005</v>
      </c>
      <c r="B2207" s="63" t="s">
        <v>2906</v>
      </c>
    </row>
    <row r="2208" spans="1:2" x14ac:dyDescent="0.25">
      <c r="A2208" s="62">
        <v>23172006</v>
      </c>
      <c r="B2208" s="63" t="s">
        <v>2907</v>
      </c>
    </row>
    <row r="2209" spans="1:2" x14ac:dyDescent="0.25">
      <c r="A2209" s="62">
        <v>23172007</v>
      </c>
      <c r="B2209" s="63" t="s">
        <v>2908</v>
      </c>
    </row>
    <row r="2210" spans="1:2" x14ac:dyDescent="0.25">
      <c r="A2210" s="62">
        <v>23172008</v>
      </c>
      <c r="B2210" s="63" t="s">
        <v>2909</v>
      </c>
    </row>
    <row r="2211" spans="1:2" x14ac:dyDescent="0.25">
      <c r="A2211" s="62">
        <v>23172009</v>
      </c>
      <c r="B2211" s="63" t="s">
        <v>2910</v>
      </c>
    </row>
    <row r="2212" spans="1:2" x14ac:dyDescent="0.25">
      <c r="A2212" s="62">
        <v>23172010</v>
      </c>
      <c r="B2212" s="63" t="s">
        <v>2911</v>
      </c>
    </row>
    <row r="2213" spans="1:2" x14ac:dyDescent="0.25">
      <c r="A2213" s="62">
        <v>23172011</v>
      </c>
      <c r="B2213" s="63" t="s">
        <v>2912</v>
      </c>
    </row>
    <row r="2214" spans="1:2" x14ac:dyDescent="0.25">
      <c r="A2214" s="62">
        <v>23172012</v>
      </c>
      <c r="B2214" s="63" t="s">
        <v>2913</v>
      </c>
    </row>
    <row r="2215" spans="1:2" x14ac:dyDescent="0.25">
      <c r="A2215" s="62">
        <v>23172013</v>
      </c>
      <c r="B2215" s="63" t="s">
        <v>2914</v>
      </c>
    </row>
    <row r="2216" spans="1:2" x14ac:dyDescent="0.25">
      <c r="A2216" s="62">
        <v>23172014</v>
      </c>
      <c r="B2216" s="63" t="s">
        <v>2915</v>
      </c>
    </row>
    <row r="2217" spans="1:2" x14ac:dyDescent="0.25">
      <c r="A2217" s="62">
        <v>23172015</v>
      </c>
      <c r="B2217" s="63" t="s">
        <v>2890</v>
      </c>
    </row>
    <row r="2218" spans="1:2" x14ac:dyDescent="0.25">
      <c r="A2218" s="62">
        <v>23181501</v>
      </c>
      <c r="B2218" s="63" t="s">
        <v>2916</v>
      </c>
    </row>
    <row r="2219" spans="1:2" x14ac:dyDescent="0.25">
      <c r="A2219" s="62">
        <v>23181502</v>
      </c>
      <c r="B2219" s="63" t="s">
        <v>2917</v>
      </c>
    </row>
    <row r="2220" spans="1:2" x14ac:dyDescent="0.25">
      <c r="A2220" s="62">
        <v>23181504</v>
      </c>
      <c r="B2220" s="63" t="s">
        <v>2918</v>
      </c>
    </row>
    <row r="2221" spans="1:2" x14ac:dyDescent="0.25">
      <c r="A2221" s="62">
        <v>23181505</v>
      </c>
      <c r="B2221" s="63" t="s">
        <v>2919</v>
      </c>
    </row>
    <row r="2222" spans="1:2" x14ac:dyDescent="0.25">
      <c r="A2222" s="62">
        <v>23181506</v>
      </c>
      <c r="B2222" s="63" t="s">
        <v>2920</v>
      </c>
    </row>
    <row r="2223" spans="1:2" x14ac:dyDescent="0.25">
      <c r="A2223" s="62">
        <v>23181507</v>
      </c>
      <c r="B2223" s="63" t="s">
        <v>2921</v>
      </c>
    </row>
    <row r="2224" spans="1:2" x14ac:dyDescent="0.25">
      <c r="A2224" s="62">
        <v>23181508</v>
      </c>
      <c r="B2224" s="63" t="s">
        <v>2596</v>
      </c>
    </row>
    <row r="2225" spans="1:2" x14ac:dyDescent="0.25">
      <c r="A2225" s="62">
        <v>23181509</v>
      </c>
      <c r="B2225" s="63" t="s">
        <v>2922</v>
      </c>
    </row>
    <row r="2226" spans="1:2" x14ac:dyDescent="0.25">
      <c r="A2226" s="62">
        <v>23181510</v>
      </c>
      <c r="B2226" s="63" t="s">
        <v>2923</v>
      </c>
    </row>
    <row r="2227" spans="1:2" x14ac:dyDescent="0.25">
      <c r="A2227" s="62">
        <v>23181511</v>
      </c>
      <c r="B2227" s="63" t="s">
        <v>2924</v>
      </c>
    </row>
    <row r="2228" spans="1:2" x14ac:dyDescent="0.25">
      <c r="A2228" s="62">
        <v>23181512</v>
      </c>
      <c r="B2228" s="63" t="s">
        <v>2925</v>
      </c>
    </row>
    <row r="2229" spans="1:2" x14ac:dyDescent="0.25">
      <c r="A2229" s="62">
        <v>23181513</v>
      </c>
      <c r="B2229" s="63" t="s">
        <v>2926</v>
      </c>
    </row>
    <row r="2230" spans="1:2" x14ac:dyDescent="0.25">
      <c r="A2230" s="62">
        <v>23181601</v>
      </c>
      <c r="B2230" s="63" t="s">
        <v>2927</v>
      </c>
    </row>
    <row r="2231" spans="1:2" x14ac:dyDescent="0.25">
      <c r="A2231" s="62">
        <v>23181602</v>
      </c>
      <c r="B2231" s="63" t="s">
        <v>2928</v>
      </c>
    </row>
    <row r="2232" spans="1:2" x14ac:dyDescent="0.25">
      <c r="A2232" s="62">
        <v>23181603</v>
      </c>
      <c r="B2232" s="63" t="s">
        <v>2929</v>
      </c>
    </row>
    <row r="2233" spans="1:2" x14ac:dyDescent="0.25">
      <c r="A2233" s="62">
        <v>23181604</v>
      </c>
      <c r="B2233" s="63" t="s">
        <v>2930</v>
      </c>
    </row>
    <row r="2234" spans="1:2" x14ac:dyDescent="0.25">
      <c r="A2234" s="62">
        <v>23181605</v>
      </c>
      <c r="B2234" s="63" t="s">
        <v>2931</v>
      </c>
    </row>
    <row r="2235" spans="1:2" x14ac:dyDescent="0.25">
      <c r="A2235" s="62">
        <v>23181606</v>
      </c>
      <c r="B2235" s="63" t="s">
        <v>2932</v>
      </c>
    </row>
    <row r="2236" spans="1:2" x14ac:dyDescent="0.25">
      <c r="A2236" s="62">
        <v>23181701</v>
      </c>
      <c r="B2236" s="63" t="s">
        <v>2933</v>
      </c>
    </row>
    <row r="2237" spans="1:2" x14ac:dyDescent="0.25">
      <c r="A2237" s="62">
        <v>23181702</v>
      </c>
      <c r="B2237" s="63" t="s">
        <v>2934</v>
      </c>
    </row>
    <row r="2238" spans="1:2" x14ac:dyDescent="0.25">
      <c r="A2238" s="62">
        <v>23181703</v>
      </c>
      <c r="B2238" s="63" t="s">
        <v>2935</v>
      </c>
    </row>
    <row r="2239" spans="1:2" x14ac:dyDescent="0.25">
      <c r="A2239" s="62">
        <v>23181704</v>
      </c>
      <c r="B2239" s="63" t="s">
        <v>2936</v>
      </c>
    </row>
    <row r="2240" spans="1:2" x14ac:dyDescent="0.25">
      <c r="A2240" s="62">
        <v>23181801</v>
      </c>
      <c r="B2240" s="63" t="s">
        <v>2937</v>
      </c>
    </row>
    <row r="2241" spans="1:2" x14ac:dyDescent="0.25">
      <c r="A2241" s="62">
        <v>23181802</v>
      </c>
      <c r="B2241" s="63" t="s">
        <v>2938</v>
      </c>
    </row>
    <row r="2242" spans="1:2" x14ac:dyDescent="0.25">
      <c r="A2242" s="62">
        <v>23181803</v>
      </c>
      <c r="B2242" s="63" t="s">
        <v>2939</v>
      </c>
    </row>
    <row r="2243" spans="1:2" x14ac:dyDescent="0.25">
      <c r="A2243" s="62">
        <v>23181804</v>
      </c>
      <c r="B2243" s="63" t="s">
        <v>2940</v>
      </c>
    </row>
    <row r="2244" spans="1:2" x14ac:dyDescent="0.25">
      <c r="A2244" s="62">
        <v>23191001</v>
      </c>
      <c r="B2244" s="63" t="s">
        <v>2941</v>
      </c>
    </row>
    <row r="2245" spans="1:2" x14ac:dyDescent="0.25">
      <c r="A2245" s="62">
        <v>23191002</v>
      </c>
      <c r="B2245" s="63" t="s">
        <v>2942</v>
      </c>
    </row>
    <row r="2246" spans="1:2" x14ac:dyDescent="0.25">
      <c r="A2246" s="62">
        <v>23191003</v>
      </c>
      <c r="B2246" s="63" t="s">
        <v>2943</v>
      </c>
    </row>
    <row r="2247" spans="1:2" x14ac:dyDescent="0.25">
      <c r="A2247" s="62">
        <v>23191004</v>
      </c>
      <c r="B2247" s="63" t="s">
        <v>2944</v>
      </c>
    </row>
    <row r="2248" spans="1:2" x14ac:dyDescent="0.25">
      <c r="A2248" s="62">
        <v>23191005</v>
      </c>
      <c r="B2248" s="63" t="s">
        <v>2945</v>
      </c>
    </row>
    <row r="2249" spans="1:2" x14ac:dyDescent="0.25">
      <c r="A2249" s="62">
        <v>23191101</v>
      </c>
      <c r="B2249" s="63" t="s">
        <v>2946</v>
      </c>
    </row>
    <row r="2250" spans="1:2" x14ac:dyDescent="0.25">
      <c r="A2250" s="62">
        <v>23191102</v>
      </c>
      <c r="B2250" s="63" t="s">
        <v>2947</v>
      </c>
    </row>
    <row r="2251" spans="1:2" x14ac:dyDescent="0.25">
      <c r="A2251" s="62">
        <v>23191201</v>
      </c>
      <c r="B2251" s="63" t="s">
        <v>2948</v>
      </c>
    </row>
    <row r="2252" spans="1:2" x14ac:dyDescent="0.25">
      <c r="A2252" s="62">
        <v>23191202</v>
      </c>
      <c r="B2252" s="63" t="s">
        <v>2949</v>
      </c>
    </row>
    <row r="2253" spans="1:2" x14ac:dyDescent="0.25">
      <c r="A2253" s="62">
        <v>23201001</v>
      </c>
      <c r="B2253" s="63" t="s">
        <v>2950</v>
      </c>
    </row>
    <row r="2254" spans="1:2" x14ac:dyDescent="0.25">
      <c r="A2254" s="62">
        <v>23201002</v>
      </c>
      <c r="B2254" s="63" t="s">
        <v>2951</v>
      </c>
    </row>
    <row r="2255" spans="1:2" x14ac:dyDescent="0.25">
      <c r="A2255" s="62">
        <v>23201003</v>
      </c>
      <c r="B2255" s="63" t="s">
        <v>2952</v>
      </c>
    </row>
    <row r="2256" spans="1:2" x14ac:dyDescent="0.25">
      <c r="A2256" s="62">
        <v>23201004</v>
      </c>
      <c r="B2256" s="63" t="s">
        <v>2953</v>
      </c>
    </row>
    <row r="2257" spans="1:2" x14ac:dyDescent="0.25">
      <c r="A2257" s="62">
        <v>23201005</v>
      </c>
      <c r="B2257" s="63" t="s">
        <v>2954</v>
      </c>
    </row>
    <row r="2258" spans="1:2" x14ac:dyDescent="0.25">
      <c r="A2258" s="62">
        <v>23201101</v>
      </c>
      <c r="B2258" s="63" t="s">
        <v>2955</v>
      </c>
    </row>
    <row r="2259" spans="1:2" x14ac:dyDescent="0.25">
      <c r="A2259" s="62">
        <v>23201102</v>
      </c>
      <c r="B2259" s="63" t="s">
        <v>2956</v>
      </c>
    </row>
    <row r="2260" spans="1:2" x14ac:dyDescent="0.25">
      <c r="A2260" s="62">
        <v>23201201</v>
      </c>
      <c r="B2260" s="63" t="s">
        <v>2957</v>
      </c>
    </row>
    <row r="2261" spans="1:2" x14ac:dyDescent="0.25">
      <c r="A2261" s="62">
        <v>23201202</v>
      </c>
      <c r="B2261" s="63" t="s">
        <v>2958</v>
      </c>
    </row>
    <row r="2262" spans="1:2" x14ac:dyDescent="0.25">
      <c r="A2262" s="62">
        <v>23211001</v>
      </c>
      <c r="B2262" s="63" t="s">
        <v>2959</v>
      </c>
    </row>
    <row r="2263" spans="1:2" x14ac:dyDescent="0.25">
      <c r="A2263" s="62">
        <v>23211002</v>
      </c>
      <c r="B2263" s="63" t="s">
        <v>2960</v>
      </c>
    </row>
    <row r="2264" spans="1:2" x14ac:dyDescent="0.25">
      <c r="A2264" s="62">
        <v>23211101</v>
      </c>
      <c r="B2264" s="63" t="s">
        <v>2961</v>
      </c>
    </row>
    <row r="2265" spans="1:2" x14ac:dyDescent="0.25">
      <c r="A2265" s="62">
        <v>23221001</v>
      </c>
      <c r="B2265" s="63" t="s">
        <v>2962</v>
      </c>
    </row>
    <row r="2266" spans="1:2" x14ac:dyDescent="0.25">
      <c r="A2266" s="62">
        <v>23221002</v>
      </c>
      <c r="B2266" s="63" t="s">
        <v>2963</v>
      </c>
    </row>
    <row r="2267" spans="1:2" x14ac:dyDescent="0.25">
      <c r="A2267" s="62">
        <v>23221101</v>
      </c>
      <c r="B2267" s="63" t="s">
        <v>2964</v>
      </c>
    </row>
    <row r="2268" spans="1:2" x14ac:dyDescent="0.25">
      <c r="A2268" s="62">
        <v>23221201</v>
      </c>
      <c r="B2268" s="63" t="s">
        <v>2965</v>
      </c>
    </row>
    <row r="2269" spans="1:2" x14ac:dyDescent="0.25">
      <c r="A2269" s="62">
        <v>23231001</v>
      </c>
      <c r="B2269" s="63" t="s">
        <v>2966</v>
      </c>
    </row>
    <row r="2270" spans="1:2" x14ac:dyDescent="0.25">
      <c r="A2270" s="62">
        <v>23231002</v>
      </c>
      <c r="B2270" s="63" t="s">
        <v>2967</v>
      </c>
    </row>
    <row r="2271" spans="1:2" x14ac:dyDescent="0.25">
      <c r="A2271" s="62">
        <v>23231101</v>
      </c>
      <c r="B2271" s="63" t="s">
        <v>2968</v>
      </c>
    </row>
    <row r="2272" spans="1:2" x14ac:dyDescent="0.25">
      <c r="A2272" s="62">
        <v>23231102</v>
      </c>
      <c r="B2272" s="63" t="s">
        <v>2969</v>
      </c>
    </row>
    <row r="2273" spans="1:2" x14ac:dyDescent="0.25">
      <c r="A2273" s="62">
        <v>23231201</v>
      </c>
      <c r="B2273" s="63" t="s">
        <v>2970</v>
      </c>
    </row>
    <row r="2274" spans="1:2" x14ac:dyDescent="0.25">
      <c r="A2274" s="62">
        <v>23231202</v>
      </c>
      <c r="B2274" s="63" t="s">
        <v>2971</v>
      </c>
    </row>
    <row r="2275" spans="1:2" x14ac:dyDescent="0.25">
      <c r="A2275" s="62">
        <v>23231301</v>
      </c>
      <c r="B2275" s="63" t="s">
        <v>2972</v>
      </c>
    </row>
    <row r="2276" spans="1:2" x14ac:dyDescent="0.25">
      <c r="A2276" s="62">
        <v>23231302</v>
      </c>
      <c r="B2276" s="63" t="s">
        <v>2973</v>
      </c>
    </row>
    <row r="2277" spans="1:2" x14ac:dyDescent="0.25">
      <c r="A2277" s="62">
        <v>23231401</v>
      </c>
      <c r="B2277" s="63" t="s">
        <v>2974</v>
      </c>
    </row>
    <row r="2278" spans="1:2" x14ac:dyDescent="0.25">
      <c r="A2278" s="62">
        <v>23231402</v>
      </c>
      <c r="B2278" s="63" t="s">
        <v>2975</v>
      </c>
    </row>
    <row r="2279" spans="1:2" x14ac:dyDescent="0.25">
      <c r="A2279" s="62">
        <v>23231501</v>
      </c>
      <c r="B2279" s="63" t="s">
        <v>2976</v>
      </c>
    </row>
    <row r="2280" spans="1:2" x14ac:dyDescent="0.25">
      <c r="A2280" s="62">
        <v>23231502</v>
      </c>
      <c r="B2280" s="63" t="s">
        <v>2977</v>
      </c>
    </row>
    <row r="2281" spans="1:2" x14ac:dyDescent="0.25">
      <c r="A2281" s="62">
        <v>23231601</v>
      </c>
      <c r="B2281" s="63" t="s">
        <v>2978</v>
      </c>
    </row>
    <row r="2282" spans="1:2" x14ac:dyDescent="0.25">
      <c r="A2282" s="62">
        <v>23231602</v>
      </c>
      <c r="B2282" s="63" t="s">
        <v>2979</v>
      </c>
    </row>
    <row r="2283" spans="1:2" x14ac:dyDescent="0.25">
      <c r="A2283" s="62">
        <v>23231701</v>
      </c>
      <c r="B2283" s="63" t="s">
        <v>2980</v>
      </c>
    </row>
    <row r="2284" spans="1:2" x14ac:dyDescent="0.25">
      <c r="A2284" s="62">
        <v>23231801</v>
      </c>
      <c r="B2284" s="63" t="s">
        <v>2981</v>
      </c>
    </row>
    <row r="2285" spans="1:2" x14ac:dyDescent="0.25">
      <c r="A2285" s="62">
        <v>23231901</v>
      </c>
      <c r="B2285" s="63" t="s">
        <v>2982</v>
      </c>
    </row>
    <row r="2286" spans="1:2" x14ac:dyDescent="0.25">
      <c r="A2286" s="62">
        <v>23231902</v>
      </c>
      <c r="B2286" s="63" t="s">
        <v>2983</v>
      </c>
    </row>
    <row r="2287" spans="1:2" x14ac:dyDescent="0.25">
      <c r="A2287" s="62">
        <v>23231903</v>
      </c>
      <c r="B2287" s="63" t="s">
        <v>2984</v>
      </c>
    </row>
    <row r="2288" spans="1:2" x14ac:dyDescent="0.25">
      <c r="A2288" s="62">
        <v>23232001</v>
      </c>
      <c r="B2288" s="63" t="s">
        <v>2985</v>
      </c>
    </row>
    <row r="2289" spans="1:2" x14ac:dyDescent="0.25">
      <c r="A2289" s="62">
        <v>23232101</v>
      </c>
      <c r="B2289" s="63" t="s">
        <v>2986</v>
      </c>
    </row>
    <row r="2290" spans="1:2" x14ac:dyDescent="0.25">
      <c r="A2290" s="62">
        <v>23232201</v>
      </c>
      <c r="B2290" s="63" t="s">
        <v>2987</v>
      </c>
    </row>
    <row r="2291" spans="1:2" x14ac:dyDescent="0.25">
      <c r="A2291" s="62">
        <v>24101501</v>
      </c>
      <c r="B2291" s="63" t="s">
        <v>2988</v>
      </c>
    </row>
    <row r="2292" spans="1:2" x14ac:dyDescent="0.25">
      <c r="A2292" s="62">
        <v>24101502</v>
      </c>
      <c r="B2292" s="63" t="s">
        <v>2989</v>
      </c>
    </row>
    <row r="2293" spans="1:2" x14ac:dyDescent="0.25">
      <c r="A2293" s="62">
        <v>24101503</v>
      </c>
      <c r="B2293" s="63" t="s">
        <v>2990</v>
      </c>
    </row>
    <row r="2294" spans="1:2" x14ac:dyDescent="0.25">
      <c r="A2294" s="62">
        <v>24101504</v>
      </c>
      <c r="B2294" s="63" t="s">
        <v>2991</v>
      </c>
    </row>
    <row r="2295" spans="1:2" x14ac:dyDescent="0.25">
      <c r="A2295" s="62">
        <v>24101505</v>
      </c>
      <c r="B2295" s="63" t="s">
        <v>2992</v>
      </c>
    </row>
    <row r="2296" spans="1:2" x14ac:dyDescent="0.25">
      <c r="A2296" s="62">
        <v>24101506</v>
      </c>
      <c r="B2296" s="63" t="s">
        <v>2993</v>
      </c>
    </row>
    <row r="2297" spans="1:2" x14ac:dyDescent="0.25">
      <c r="A2297" s="62">
        <v>24101507</v>
      </c>
      <c r="B2297" s="63" t="s">
        <v>2994</v>
      </c>
    </row>
    <row r="2298" spans="1:2" x14ac:dyDescent="0.25">
      <c r="A2298" s="62">
        <v>24101508</v>
      </c>
      <c r="B2298" s="63" t="s">
        <v>2995</v>
      </c>
    </row>
    <row r="2299" spans="1:2" x14ac:dyDescent="0.25">
      <c r="A2299" s="62">
        <v>24101509</v>
      </c>
      <c r="B2299" s="63" t="s">
        <v>2996</v>
      </c>
    </row>
    <row r="2300" spans="1:2" x14ac:dyDescent="0.25">
      <c r="A2300" s="62">
        <v>24101510</v>
      </c>
      <c r="B2300" s="63" t="s">
        <v>2997</v>
      </c>
    </row>
    <row r="2301" spans="1:2" x14ac:dyDescent="0.25">
      <c r="A2301" s="62">
        <v>24101511</v>
      </c>
      <c r="B2301" s="63" t="s">
        <v>2998</v>
      </c>
    </row>
    <row r="2302" spans="1:2" x14ac:dyDescent="0.25">
      <c r="A2302" s="62">
        <v>24101512</v>
      </c>
      <c r="B2302" s="63" t="s">
        <v>2999</v>
      </c>
    </row>
    <row r="2303" spans="1:2" x14ac:dyDescent="0.25">
      <c r="A2303" s="62">
        <v>24101601</v>
      </c>
      <c r="B2303" s="63" t="s">
        <v>3000</v>
      </c>
    </row>
    <row r="2304" spans="1:2" x14ac:dyDescent="0.25">
      <c r="A2304" s="62">
        <v>24101602</v>
      </c>
      <c r="B2304" s="63" t="s">
        <v>3001</v>
      </c>
    </row>
    <row r="2305" spans="1:2" x14ac:dyDescent="0.25">
      <c r="A2305" s="62">
        <v>24101603</v>
      </c>
      <c r="B2305" s="63" t="s">
        <v>3002</v>
      </c>
    </row>
    <row r="2306" spans="1:2" x14ac:dyDescent="0.25">
      <c r="A2306" s="62">
        <v>24101604</v>
      </c>
      <c r="B2306" s="63" t="s">
        <v>3003</v>
      </c>
    </row>
    <row r="2307" spans="1:2" x14ac:dyDescent="0.25">
      <c r="A2307" s="62">
        <v>24101605</v>
      </c>
      <c r="B2307" s="63" t="s">
        <v>3004</v>
      </c>
    </row>
    <row r="2308" spans="1:2" x14ac:dyDescent="0.25">
      <c r="A2308" s="62">
        <v>24101606</v>
      </c>
      <c r="B2308" s="63" t="s">
        <v>3005</v>
      </c>
    </row>
    <row r="2309" spans="1:2" x14ac:dyDescent="0.25">
      <c r="A2309" s="62">
        <v>24101608</v>
      </c>
      <c r="B2309" s="63" t="s">
        <v>3006</v>
      </c>
    </row>
    <row r="2310" spans="1:2" x14ac:dyDescent="0.25">
      <c r="A2310" s="62">
        <v>24101609</v>
      </c>
      <c r="B2310" s="63" t="s">
        <v>3007</v>
      </c>
    </row>
    <row r="2311" spans="1:2" x14ac:dyDescent="0.25">
      <c r="A2311" s="62">
        <v>24101610</v>
      </c>
      <c r="B2311" s="63" t="s">
        <v>3008</v>
      </c>
    </row>
    <row r="2312" spans="1:2" x14ac:dyDescent="0.25">
      <c r="A2312" s="62">
        <v>24101611</v>
      </c>
      <c r="B2312" s="63" t="s">
        <v>3009</v>
      </c>
    </row>
    <row r="2313" spans="1:2" x14ac:dyDescent="0.25">
      <c r="A2313" s="62">
        <v>24101612</v>
      </c>
      <c r="B2313" s="63" t="s">
        <v>708</v>
      </c>
    </row>
    <row r="2314" spans="1:2" x14ac:dyDescent="0.25">
      <c r="A2314" s="62">
        <v>24101613</v>
      </c>
      <c r="B2314" s="63" t="s">
        <v>3010</v>
      </c>
    </row>
    <row r="2315" spans="1:2" x14ac:dyDescent="0.25">
      <c r="A2315" s="62">
        <v>24101614</v>
      </c>
      <c r="B2315" s="63" t="s">
        <v>3011</v>
      </c>
    </row>
    <row r="2316" spans="1:2" x14ac:dyDescent="0.25">
      <c r="A2316" s="62">
        <v>24101615</v>
      </c>
      <c r="B2316" s="63" t="s">
        <v>3012</v>
      </c>
    </row>
    <row r="2317" spans="1:2" x14ac:dyDescent="0.25">
      <c r="A2317" s="62">
        <v>24101616</v>
      </c>
      <c r="B2317" s="63" t="s">
        <v>3013</v>
      </c>
    </row>
    <row r="2318" spans="1:2" x14ac:dyDescent="0.25">
      <c r="A2318" s="62">
        <v>24101617</v>
      </c>
      <c r="B2318" s="63" t="s">
        <v>3014</v>
      </c>
    </row>
    <row r="2319" spans="1:2" x14ac:dyDescent="0.25">
      <c r="A2319" s="62">
        <v>24101618</v>
      </c>
      <c r="B2319" s="63" t="s">
        <v>3015</v>
      </c>
    </row>
    <row r="2320" spans="1:2" x14ac:dyDescent="0.25">
      <c r="A2320" s="62">
        <v>24101619</v>
      </c>
      <c r="B2320" s="63" t="s">
        <v>3016</v>
      </c>
    </row>
    <row r="2321" spans="1:2" x14ac:dyDescent="0.25">
      <c r="A2321" s="62">
        <v>24101620</v>
      </c>
      <c r="B2321" s="63" t="s">
        <v>3017</v>
      </c>
    </row>
    <row r="2322" spans="1:2" x14ac:dyDescent="0.25">
      <c r="A2322" s="62">
        <v>24101621</v>
      </c>
      <c r="B2322" s="63" t="s">
        <v>3018</v>
      </c>
    </row>
    <row r="2323" spans="1:2" x14ac:dyDescent="0.25">
      <c r="A2323" s="62">
        <v>24101622</v>
      </c>
      <c r="B2323" s="63" t="s">
        <v>3019</v>
      </c>
    </row>
    <row r="2324" spans="1:2" x14ac:dyDescent="0.25">
      <c r="A2324" s="62">
        <v>24101623</v>
      </c>
      <c r="B2324" s="63" t="s">
        <v>3020</v>
      </c>
    </row>
    <row r="2325" spans="1:2" x14ac:dyDescent="0.25">
      <c r="A2325" s="62">
        <v>24101624</v>
      </c>
      <c r="B2325" s="63" t="s">
        <v>3021</v>
      </c>
    </row>
    <row r="2326" spans="1:2" x14ac:dyDescent="0.25">
      <c r="A2326" s="62">
        <v>24101625</v>
      </c>
      <c r="B2326" s="63" t="s">
        <v>3022</v>
      </c>
    </row>
    <row r="2327" spans="1:2" x14ac:dyDescent="0.25">
      <c r="A2327" s="62">
        <v>24101626</v>
      </c>
      <c r="B2327" s="63" t="s">
        <v>3023</v>
      </c>
    </row>
    <row r="2328" spans="1:2" x14ac:dyDescent="0.25">
      <c r="A2328" s="62">
        <v>24101627</v>
      </c>
      <c r="B2328" s="63" t="s">
        <v>3024</v>
      </c>
    </row>
    <row r="2329" spans="1:2" x14ac:dyDescent="0.25">
      <c r="A2329" s="62">
        <v>24101628</v>
      </c>
      <c r="B2329" s="63" t="s">
        <v>3025</v>
      </c>
    </row>
    <row r="2330" spans="1:2" x14ac:dyDescent="0.25">
      <c r="A2330" s="62">
        <v>24101629</v>
      </c>
      <c r="B2330" s="63" t="s">
        <v>3026</v>
      </c>
    </row>
    <row r="2331" spans="1:2" x14ac:dyDescent="0.25">
      <c r="A2331" s="62">
        <v>24101630</v>
      </c>
      <c r="B2331" s="63" t="s">
        <v>3027</v>
      </c>
    </row>
    <row r="2332" spans="1:2" x14ac:dyDescent="0.25">
      <c r="A2332" s="62">
        <v>24101631</v>
      </c>
      <c r="B2332" s="63" t="s">
        <v>3028</v>
      </c>
    </row>
    <row r="2333" spans="1:2" x14ac:dyDescent="0.25">
      <c r="A2333" s="62">
        <v>24101632</v>
      </c>
      <c r="B2333" s="63" t="s">
        <v>3029</v>
      </c>
    </row>
    <row r="2334" spans="1:2" x14ac:dyDescent="0.25">
      <c r="A2334" s="62">
        <v>24101633</v>
      </c>
      <c r="B2334" s="63" t="s">
        <v>3030</v>
      </c>
    </row>
    <row r="2335" spans="1:2" x14ac:dyDescent="0.25">
      <c r="A2335" s="62">
        <v>24101634</v>
      </c>
      <c r="B2335" s="63" t="s">
        <v>3031</v>
      </c>
    </row>
    <row r="2336" spans="1:2" x14ac:dyDescent="0.25">
      <c r="A2336" s="62">
        <v>24101701</v>
      </c>
      <c r="B2336" s="63" t="s">
        <v>3032</v>
      </c>
    </row>
    <row r="2337" spans="1:2" x14ac:dyDescent="0.25">
      <c r="A2337" s="62">
        <v>24101702</v>
      </c>
      <c r="B2337" s="63" t="s">
        <v>3033</v>
      </c>
    </row>
    <row r="2338" spans="1:2" x14ac:dyDescent="0.25">
      <c r="A2338" s="62">
        <v>24101703</v>
      </c>
      <c r="B2338" s="63" t="s">
        <v>3034</v>
      </c>
    </row>
    <row r="2339" spans="1:2" x14ac:dyDescent="0.25">
      <c r="A2339" s="62">
        <v>24101704</v>
      </c>
      <c r="B2339" s="63" t="s">
        <v>3035</v>
      </c>
    </row>
    <row r="2340" spans="1:2" x14ac:dyDescent="0.25">
      <c r="A2340" s="62">
        <v>24101705</v>
      </c>
      <c r="B2340" s="63" t="s">
        <v>3036</v>
      </c>
    </row>
    <row r="2341" spans="1:2" x14ac:dyDescent="0.25">
      <c r="A2341" s="62">
        <v>24101706</v>
      </c>
      <c r="B2341" s="63" t="s">
        <v>3037</v>
      </c>
    </row>
    <row r="2342" spans="1:2" x14ac:dyDescent="0.25">
      <c r="A2342" s="62">
        <v>24101707</v>
      </c>
      <c r="B2342" s="63" t="s">
        <v>3038</v>
      </c>
    </row>
    <row r="2343" spans="1:2" x14ac:dyDescent="0.25">
      <c r="A2343" s="62">
        <v>24101708</v>
      </c>
      <c r="B2343" s="63" t="s">
        <v>3039</v>
      </c>
    </row>
    <row r="2344" spans="1:2" x14ac:dyDescent="0.25">
      <c r="A2344" s="62">
        <v>24101709</v>
      </c>
      <c r="B2344" s="63" t="s">
        <v>3040</v>
      </c>
    </row>
    <row r="2345" spans="1:2" x14ac:dyDescent="0.25">
      <c r="A2345" s="62">
        <v>24101710</v>
      </c>
      <c r="B2345" s="63" t="s">
        <v>3041</v>
      </c>
    </row>
    <row r="2346" spans="1:2" x14ac:dyDescent="0.25">
      <c r="A2346" s="62">
        <v>24101711</v>
      </c>
      <c r="B2346" s="63" t="s">
        <v>3042</v>
      </c>
    </row>
    <row r="2347" spans="1:2" x14ac:dyDescent="0.25">
      <c r="A2347" s="62">
        <v>24101712</v>
      </c>
      <c r="B2347" s="63" t="s">
        <v>3043</v>
      </c>
    </row>
    <row r="2348" spans="1:2" x14ac:dyDescent="0.25">
      <c r="A2348" s="62">
        <v>24101713</v>
      </c>
      <c r="B2348" s="63" t="s">
        <v>3044</v>
      </c>
    </row>
    <row r="2349" spans="1:2" x14ac:dyDescent="0.25">
      <c r="A2349" s="62">
        <v>24101714</v>
      </c>
      <c r="B2349" s="63" t="s">
        <v>3045</v>
      </c>
    </row>
    <row r="2350" spans="1:2" x14ac:dyDescent="0.25">
      <c r="A2350" s="62">
        <v>24101715</v>
      </c>
      <c r="B2350" s="63" t="s">
        <v>3046</v>
      </c>
    </row>
    <row r="2351" spans="1:2" x14ac:dyDescent="0.25">
      <c r="A2351" s="62">
        <v>24101716</v>
      </c>
      <c r="B2351" s="63" t="s">
        <v>3047</v>
      </c>
    </row>
    <row r="2352" spans="1:2" x14ac:dyDescent="0.25">
      <c r="A2352" s="62">
        <v>24101717</v>
      </c>
      <c r="B2352" s="63" t="s">
        <v>3048</v>
      </c>
    </row>
    <row r="2353" spans="1:2" x14ac:dyDescent="0.25">
      <c r="A2353" s="62">
        <v>24101718</v>
      </c>
      <c r="B2353" s="63" t="s">
        <v>3049</v>
      </c>
    </row>
    <row r="2354" spans="1:2" x14ac:dyDescent="0.25">
      <c r="A2354" s="62">
        <v>24101719</v>
      </c>
      <c r="B2354" s="63" t="s">
        <v>3050</v>
      </c>
    </row>
    <row r="2355" spans="1:2" x14ac:dyDescent="0.25">
      <c r="A2355" s="62">
        <v>24101721</v>
      </c>
      <c r="B2355" s="63" t="s">
        <v>3051</v>
      </c>
    </row>
    <row r="2356" spans="1:2" x14ac:dyDescent="0.25">
      <c r="A2356" s="62">
        <v>24101722</v>
      </c>
      <c r="B2356" s="63" t="s">
        <v>3052</v>
      </c>
    </row>
    <row r="2357" spans="1:2" x14ac:dyDescent="0.25">
      <c r="A2357" s="62">
        <v>24101723</v>
      </c>
      <c r="B2357" s="63" t="s">
        <v>3053</v>
      </c>
    </row>
    <row r="2358" spans="1:2" x14ac:dyDescent="0.25">
      <c r="A2358" s="62">
        <v>24101724</v>
      </c>
      <c r="B2358" s="63" t="s">
        <v>3054</v>
      </c>
    </row>
    <row r="2359" spans="1:2" x14ac:dyDescent="0.25">
      <c r="A2359" s="62">
        <v>24101725</v>
      </c>
      <c r="B2359" s="63" t="s">
        <v>3055</v>
      </c>
    </row>
    <row r="2360" spans="1:2" x14ac:dyDescent="0.25">
      <c r="A2360" s="62">
        <v>24101726</v>
      </c>
      <c r="B2360" s="63" t="s">
        <v>3056</v>
      </c>
    </row>
    <row r="2361" spans="1:2" x14ac:dyDescent="0.25">
      <c r="A2361" s="62">
        <v>24101727</v>
      </c>
      <c r="B2361" s="63" t="s">
        <v>3057</v>
      </c>
    </row>
    <row r="2362" spans="1:2" x14ac:dyDescent="0.25">
      <c r="A2362" s="62">
        <v>24101728</v>
      </c>
      <c r="B2362" s="63" t="s">
        <v>3058</v>
      </c>
    </row>
    <row r="2363" spans="1:2" x14ac:dyDescent="0.25">
      <c r="A2363" s="62">
        <v>24101801</v>
      </c>
      <c r="B2363" s="63" t="s">
        <v>3059</v>
      </c>
    </row>
    <row r="2364" spans="1:2" x14ac:dyDescent="0.25">
      <c r="A2364" s="62">
        <v>24101802</v>
      </c>
      <c r="B2364" s="63" t="s">
        <v>3060</v>
      </c>
    </row>
    <row r="2365" spans="1:2" x14ac:dyDescent="0.25">
      <c r="A2365" s="62">
        <v>24101803</v>
      </c>
      <c r="B2365" s="63" t="s">
        <v>3061</v>
      </c>
    </row>
    <row r="2366" spans="1:2" x14ac:dyDescent="0.25">
      <c r="A2366" s="62">
        <v>24101804</v>
      </c>
      <c r="B2366" s="63" t="s">
        <v>3062</v>
      </c>
    </row>
    <row r="2367" spans="1:2" x14ac:dyDescent="0.25">
      <c r="A2367" s="62">
        <v>24101805</v>
      </c>
      <c r="B2367" s="63" t="s">
        <v>3063</v>
      </c>
    </row>
    <row r="2368" spans="1:2" x14ac:dyDescent="0.25">
      <c r="A2368" s="62">
        <v>24101806</v>
      </c>
      <c r="B2368" s="63" t="s">
        <v>3064</v>
      </c>
    </row>
    <row r="2369" spans="1:2" x14ac:dyDescent="0.25">
      <c r="A2369" s="62">
        <v>24101807</v>
      </c>
      <c r="B2369" s="63" t="s">
        <v>3065</v>
      </c>
    </row>
    <row r="2370" spans="1:2" x14ac:dyDescent="0.25">
      <c r="A2370" s="62">
        <v>24101808</v>
      </c>
      <c r="B2370" s="63" t="s">
        <v>3066</v>
      </c>
    </row>
    <row r="2371" spans="1:2" x14ac:dyDescent="0.25">
      <c r="A2371" s="62">
        <v>24101809</v>
      </c>
      <c r="B2371" s="63" t="s">
        <v>3067</v>
      </c>
    </row>
    <row r="2372" spans="1:2" x14ac:dyDescent="0.25">
      <c r="A2372" s="62">
        <v>24101901</v>
      </c>
      <c r="B2372" s="63" t="s">
        <v>3068</v>
      </c>
    </row>
    <row r="2373" spans="1:2" x14ac:dyDescent="0.25">
      <c r="A2373" s="62">
        <v>24101902</v>
      </c>
      <c r="B2373" s="63" t="s">
        <v>3069</v>
      </c>
    </row>
    <row r="2374" spans="1:2" x14ac:dyDescent="0.25">
      <c r="A2374" s="62">
        <v>24101903</v>
      </c>
      <c r="B2374" s="63" t="s">
        <v>3070</v>
      </c>
    </row>
    <row r="2375" spans="1:2" x14ac:dyDescent="0.25">
      <c r="A2375" s="62">
        <v>24101904</v>
      </c>
      <c r="B2375" s="63" t="s">
        <v>3071</v>
      </c>
    </row>
    <row r="2376" spans="1:2" x14ac:dyDescent="0.25">
      <c r="A2376" s="62">
        <v>24101905</v>
      </c>
      <c r="B2376" s="63" t="s">
        <v>3072</v>
      </c>
    </row>
    <row r="2377" spans="1:2" x14ac:dyDescent="0.25">
      <c r="A2377" s="62">
        <v>24101906</v>
      </c>
      <c r="B2377" s="63" t="s">
        <v>3073</v>
      </c>
    </row>
    <row r="2378" spans="1:2" x14ac:dyDescent="0.25">
      <c r="A2378" s="62">
        <v>24101907</v>
      </c>
      <c r="B2378" s="63" t="s">
        <v>3074</v>
      </c>
    </row>
    <row r="2379" spans="1:2" x14ac:dyDescent="0.25">
      <c r="A2379" s="62">
        <v>24102001</v>
      </c>
      <c r="B2379" s="63" t="s">
        <v>3075</v>
      </c>
    </row>
    <row r="2380" spans="1:2" x14ac:dyDescent="0.25">
      <c r="A2380" s="62">
        <v>24102002</v>
      </c>
      <c r="B2380" s="63" t="s">
        <v>3076</v>
      </c>
    </row>
    <row r="2381" spans="1:2" x14ac:dyDescent="0.25">
      <c r="A2381" s="62">
        <v>24102004</v>
      </c>
      <c r="B2381" s="63" t="s">
        <v>3077</v>
      </c>
    </row>
    <row r="2382" spans="1:2" x14ac:dyDescent="0.25">
      <c r="A2382" s="62">
        <v>24102005</v>
      </c>
      <c r="B2382" s="63" t="s">
        <v>3078</v>
      </c>
    </row>
    <row r="2383" spans="1:2" x14ac:dyDescent="0.25">
      <c r="A2383" s="62">
        <v>24102006</v>
      </c>
      <c r="B2383" s="63" t="s">
        <v>3079</v>
      </c>
    </row>
    <row r="2384" spans="1:2" x14ac:dyDescent="0.25">
      <c r="A2384" s="62">
        <v>24102007</v>
      </c>
      <c r="B2384" s="63" t="s">
        <v>3080</v>
      </c>
    </row>
    <row r="2385" spans="1:2" x14ac:dyDescent="0.25">
      <c r="A2385" s="62">
        <v>24102008</v>
      </c>
      <c r="B2385" s="63" t="s">
        <v>3081</v>
      </c>
    </row>
    <row r="2386" spans="1:2" x14ac:dyDescent="0.25">
      <c r="A2386" s="62">
        <v>24102101</v>
      </c>
      <c r="B2386" s="63" t="s">
        <v>3082</v>
      </c>
    </row>
    <row r="2387" spans="1:2" x14ac:dyDescent="0.25">
      <c r="A2387" s="62">
        <v>24102102</v>
      </c>
      <c r="B2387" s="63" t="s">
        <v>3083</v>
      </c>
    </row>
    <row r="2388" spans="1:2" x14ac:dyDescent="0.25">
      <c r="A2388" s="62">
        <v>24102103</v>
      </c>
      <c r="B2388" s="63" t="s">
        <v>3084</v>
      </c>
    </row>
    <row r="2389" spans="1:2" x14ac:dyDescent="0.25">
      <c r="A2389" s="62">
        <v>24102104</v>
      </c>
      <c r="B2389" s="63" t="s">
        <v>3085</v>
      </c>
    </row>
    <row r="2390" spans="1:2" x14ac:dyDescent="0.25">
      <c r="A2390" s="62">
        <v>24102105</v>
      </c>
      <c r="B2390" s="63" t="s">
        <v>3086</v>
      </c>
    </row>
    <row r="2391" spans="1:2" x14ac:dyDescent="0.25">
      <c r="A2391" s="62">
        <v>24102106</v>
      </c>
      <c r="B2391" s="63" t="s">
        <v>3087</v>
      </c>
    </row>
    <row r="2392" spans="1:2" x14ac:dyDescent="0.25">
      <c r="A2392" s="62">
        <v>24102107</v>
      </c>
      <c r="B2392" s="63" t="s">
        <v>3088</v>
      </c>
    </row>
    <row r="2393" spans="1:2" x14ac:dyDescent="0.25">
      <c r="A2393" s="62">
        <v>24102108</v>
      </c>
      <c r="B2393" s="63" t="s">
        <v>3089</v>
      </c>
    </row>
    <row r="2394" spans="1:2" x14ac:dyDescent="0.25">
      <c r="A2394" s="62">
        <v>24102109</v>
      </c>
      <c r="B2394" s="63" t="s">
        <v>3090</v>
      </c>
    </row>
    <row r="2395" spans="1:2" x14ac:dyDescent="0.25">
      <c r="A2395" s="62">
        <v>24102201</v>
      </c>
      <c r="B2395" s="63" t="s">
        <v>3091</v>
      </c>
    </row>
    <row r="2396" spans="1:2" x14ac:dyDescent="0.25">
      <c r="A2396" s="62">
        <v>24102202</v>
      </c>
      <c r="B2396" s="63" t="s">
        <v>3092</v>
      </c>
    </row>
    <row r="2397" spans="1:2" x14ac:dyDescent="0.25">
      <c r="A2397" s="62">
        <v>24102203</v>
      </c>
      <c r="B2397" s="63" t="s">
        <v>3093</v>
      </c>
    </row>
    <row r="2398" spans="1:2" x14ac:dyDescent="0.25">
      <c r="A2398" s="62">
        <v>24102204</v>
      </c>
      <c r="B2398" s="63" t="s">
        <v>3094</v>
      </c>
    </row>
    <row r="2399" spans="1:2" x14ac:dyDescent="0.25">
      <c r="A2399" s="62">
        <v>24102208</v>
      </c>
      <c r="B2399" s="63" t="s">
        <v>3095</v>
      </c>
    </row>
    <row r="2400" spans="1:2" x14ac:dyDescent="0.25">
      <c r="A2400" s="62">
        <v>24111501</v>
      </c>
      <c r="B2400" s="63" t="s">
        <v>3096</v>
      </c>
    </row>
    <row r="2401" spans="1:2" x14ac:dyDescent="0.25">
      <c r="A2401" s="62">
        <v>24111502</v>
      </c>
      <c r="B2401" s="63" t="s">
        <v>3097</v>
      </c>
    </row>
    <row r="2402" spans="1:2" x14ac:dyDescent="0.25">
      <c r="A2402" s="62">
        <v>24111503</v>
      </c>
      <c r="B2402" s="63" t="s">
        <v>3098</v>
      </c>
    </row>
    <row r="2403" spans="1:2" x14ac:dyDescent="0.25">
      <c r="A2403" s="62">
        <v>24111505</v>
      </c>
      <c r="B2403" s="63" t="s">
        <v>3099</v>
      </c>
    </row>
    <row r="2404" spans="1:2" x14ac:dyDescent="0.25">
      <c r="A2404" s="62">
        <v>24111506</v>
      </c>
      <c r="B2404" s="63" t="s">
        <v>3100</v>
      </c>
    </row>
    <row r="2405" spans="1:2" x14ac:dyDescent="0.25">
      <c r="A2405" s="62">
        <v>24111507</v>
      </c>
      <c r="B2405" s="63" t="s">
        <v>3101</v>
      </c>
    </row>
    <row r="2406" spans="1:2" x14ac:dyDescent="0.25">
      <c r="A2406" s="62">
        <v>24111508</v>
      </c>
      <c r="B2406" s="63" t="s">
        <v>3102</v>
      </c>
    </row>
    <row r="2407" spans="1:2" x14ac:dyDescent="0.25">
      <c r="A2407" s="62">
        <v>24111509</v>
      </c>
      <c r="B2407" s="63" t="s">
        <v>3103</v>
      </c>
    </row>
    <row r="2408" spans="1:2" x14ac:dyDescent="0.25">
      <c r="A2408" s="62">
        <v>24111801</v>
      </c>
      <c r="B2408" s="63" t="s">
        <v>3104</v>
      </c>
    </row>
    <row r="2409" spans="1:2" x14ac:dyDescent="0.25">
      <c r="A2409" s="62">
        <v>24111802</v>
      </c>
      <c r="B2409" s="63" t="s">
        <v>3105</v>
      </c>
    </row>
    <row r="2410" spans="1:2" x14ac:dyDescent="0.25">
      <c r="A2410" s="62">
        <v>24111803</v>
      </c>
      <c r="B2410" s="63" t="s">
        <v>3106</v>
      </c>
    </row>
    <row r="2411" spans="1:2" x14ac:dyDescent="0.25">
      <c r="A2411" s="62">
        <v>24111804</v>
      </c>
      <c r="B2411" s="63" t="s">
        <v>3107</v>
      </c>
    </row>
    <row r="2412" spans="1:2" x14ac:dyDescent="0.25">
      <c r="A2412" s="62">
        <v>24111805</v>
      </c>
      <c r="B2412" s="63" t="s">
        <v>3108</v>
      </c>
    </row>
    <row r="2413" spans="1:2" x14ac:dyDescent="0.25">
      <c r="A2413" s="62">
        <v>24111806</v>
      </c>
      <c r="B2413" s="63" t="s">
        <v>3109</v>
      </c>
    </row>
    <row r="2414" spans="1:2" x14ac:dyDescent="0.25">
      <c r="A2414" s="62">
        <v>24111807</v>
      </c>
      <c r="B2414" s="63" t="s">
        <v>3110</v>
      </c>
    </row>
    <row r="2415" spans="1:2" x14ac:dyDescent="0.25">
      <c r="A2415" s="62">
        <v>24111808</v>
      </c>
      <c r="B2415" s="63" t="s">
        <v>3111</v>
      </c>
    </row>
    <row r="2416" spans="1:2" x14ac:dyDescent="0.25">
      <c r="A2416" s="62">
        <v>24111809</v>
      </c>
      <c r="B2416" s="63" t="s">
        <v>3112</v>
      </c>
    </row>
    <row r="2417" spans="1:2" x14ac:dyDescent="0.25">
      <c r="A2417" s="62">
        <v>24111810</v>
      </c>
      <c r="B2417" s="63" t="s">
        <v>3113</v>
      </c>
    </row>
    <row r="2418" spans="1:2" x14ac:dyDescent="0.25">
      <c r="A2418" s="62">
        <v>24111811</v>
      </c>
      <c r="B2418" s="63" t="s">
        <v>3114</v>
      </c>
    </row>
    <row r="2419" spans="1:2" x14ac:dyDescent="0.25">
      <c r="A2419" s="62">
        <v>24111812</v>
      </c>
      <c r="B2419" s="63" t="s">
        <v>3115</v>
      </c>
    </row>
    <row r="2420" spans="1:2" x14ac:dyDescent="0.25">
      <c r="A2420" s="62">
        <v>24111813</v>
      </c>
      <c r="B2420" s="63" t="s">
        <v>3116</v>
      </c>
    </row>
    <row r="2421" spans="1:2" x14ac:dyDescent="0.25">
      <c r="A2421" s="62">
        <v>24112003</v>
      </c>
      <c r="B2421" s="63" t="s">
        <v>3117</v>
      </c>
    </row>
    <row r="2422" spans="1:2" x14ac:dyDescent="0.25">
      <c r="A2422" s="62">
        <v>24112004</v>
      </c>
      <c r="B2422" s="63" t="s">
        <v>3118</v>
      </c>
    </row>
    <row r="2423" spans="1:2" x14ac:dyDescent="0.25">
      <c r="A2423" s="62">
        <v>24112005</v>
      </c>
      <c r="B2423" s="63" t="s">
        <v>3119</v>
      </c>
    </row>
    <row r="2424" spans="1:2" x14ac:dyDescent="0.25">
      <c r="A2424" s="62">
        <v>24112006</v>
      </c>
      <c r="B2424" s="63" t="s">
        <v>3120</v>
      </c>
    </row>
    <row r="2425" spans="1:2" x14ac:dyDescent="0.25">
      <c r="A2425" s="62">
        <v>24112101</v>
      </c>
      <c r="B2425" s="63" t="s">
        <v>3121</v>
      </c>
    </row>
    <row r="2426" spans="1:2" x14ac:dyDescent="0.25">
      <c r="A2426" s="62">
        <v>24112102</v>
      </c>
      <c r="B2426" s="63" t="s">
        <v>3122</v>
      </c>
    </row>
    <row r="2427" spans="1:2" x14ac:dyDescent="0.25">
      <c r="A2427" s="62">
        <v>24112108</v>
      </c>
      <c r="B2427" s="63" t="s">
        <v>3123</v>
      </c>
    </row>
    <row r="2428" spans="1:2" x14ac:dyDescent="0.25">
      <c r="A2428" s="62">
        <v>24112109</v>
      </c>
      <c r="B2428" s="63" t="s">
        <v>3124</v>
      </c>
    </row>
    <row r="2429" spans="1:2" x14ac:dyDescent="0.25">
      <c r="A2429" s="62">
        <v>24112110</v>
      </c>
      <c r="B2429" s="63" t="s">
        <v>3125</v>
      </c>
    </row>
    <row r="2430" spans="1:2" x14ac:dyDescent="0.25">
      <c r="A2430" s="62">
        <v>24112111</v>
      </c>
      <c r="B2430" s="63" t="s">
        <v>3126</v>
      </c>
    </row>
    <row r="2431" spans="1:2" x14ac:dyDescent="0.25">
      <c r="A2431" s="62">
        <v>24112112</v>
      </c>
      <c r="B2431" s="63" t="s">
        <v>3127</v>
      </c>
    </row>
    <row r="2432" spans="1:2" x14ac:dyDescent="0.25">
      <c r="A2432" s="62">
        <v>24112204</v>
      </c>
      <c r="B2432" s="63" t="s">
        <v>3128</v>
      </c>
    </row>
    <row r="2433" spans="1:2" x14ac:dyDescent="0.25">
      <c r="A2433" s="62">
        <v>24112205</v>
      </c>
      <c r="B2433" s="63" t="s">
        <v>3129</v>
      </c>
    </row>
    <row r="2434" spans="1:2" x14ac:dyDescent="0.25">
      <c r="A2434" s="62">
        <v>24112206</v>
      </c>
      <c r="B2434" s="63" t="s">
        <v>3130</v>
      </c>
    </row>
    <row r="2435" spans="1:2" x14ac:dyDescent="0.25">
      <c r="A2435" s="62">
        <v>24112207</v>
      </c>
      <c r="B2435" s="63" t="s">
        <v>3131</v>
      </c>
    </row>
    <row r="2436" spans="1:2" x14ac:dyDescent="0.25">
      <c r="A2436" s="62">
        <v>24112208</v>
      </c>
      <c r="B2436" s="63" t="s">
        <v>3132</v>
      </c>
    </row>
    <row r="2437" spans="1:2" x14ac:dyDescent="0.25">
      <c r="A2437" s="62">
        <v>24112209</v>
      </c>
      <c r="B2437" s="63" t="s">
        <v>3133</v>
      </c>
    </row>
    <row r="2438" spans="1:2" x14ac:dyDescent="0.25">
      <c r="A2438" s="62">
        <v>24112401</v>
      </c>
      <c r="B2438" s="63" t="s">
        <v>3134</v>
      </c>
    </row>
    <row r="2439" spans="1:2" x14ac:dyDescent="0.25">
      <c r="A2439" s="62">
        <v>24112402</v>
      </c>
      <c r="B2439" s="63" t="s">
        <v>3135</v>
      </c>
    </row>
    <row r="2440" spans="1:2" x14ac:dyDescent="0.25">
      <c r="A2440" s="62">
        <v>24112403</v>
      </c>
      <c r="B2440" s="63" t="s">
        <v>3136</v>
      </c>
    </row>
    <row r="2441" spans="1:2" x14ac:dyDescent="0.25">
      <c r="A2441" s="62">
        <v>24112404</v>
      </c>
      <c r="B2441" s="63" t="s">
        <v>3137</v>
      </c>
    </row>
    <row r="2442" spans="1:2" x14ac:dyDescent="0.25">
      <c r="A2442" s="62">
        <v>24112405</v>
      </c>
      <c r="B2442" s="63" t="s">
        <v>3138</v>
      </c>
    </row>
    <row r="2443" spans="1:2" x14ac:dyDescent="0.25">
      <c r="A2443" s="62">
        <v>24112406</v>
      </c>
      <c r="B2443" s="63" t="s">
        <v>3139</v>
      </c>
    </row>
    <row r="2444" spans="1:2" x14ac:dyDescent="0.25">
      <c r="A2444" s="62">
        <v>24112407</v>
      </c>
      <c r="B2444" s="63" t="s">
        <v>3140</v>
      </c>
    </row>
    <row r="2445" spans="1:2" x14ac:dyDescent="0.25">
      <c r="A2445" s="62">
        <v>24112408</v>
      </c>
      <c r="B2445" s="63" t="s">
        <v>3141</v>
      </c>
    </row>
    <row r="2446" spans="1:2" x14ac:dyDescent="0.25">
      <c r="A2446" s="62">
        <v>24112409</v>
      </c>
      <c r="B2446" s="63" t="s">
        <v>3142</v>
      </c>
    </row>
    <row r="2447" spans="1:2" x14ac:dyDescent="0.25">
      <c r="A2447" s="62">
        <v>24112501</v>
      </c>
      <c r="B2447" s="63" t="s">
        <v>3143</v>
      </c>
    </row>
    <row r="2448" spans="1:2" x14ac:dyDescent="0.25">
      <c r="A2448" s="62">
        <v>24112502</v>
      </c>
      <c r="B2448" s="63" t="s">
        <v>3144</v>
      </c>
    </row>
    <row r="2449" spans="1:2" x14ac:dyDescent="0.25">
      <c r="A2449" s="62">
        <v>24112503</v>
      </c>
      <c r="B2449" s="63" t="s">
        <v>3145</v>
      </c>
    </row>
    <row r="2450" spans="1:2" x14ac:dyDescent="0.25">
      <c r="A2450" s="62">
        <v>24112504</v>
      </c>
      <c r="B2450" s="63" t="s">
        <v>3146</v>
      </c>
    </row>
    <row r="2451" spans="1:2" x14ac:dyDescent="0.25">
      <c r="A2451" s="62">
        <v>24112505</v>
      </c>
      <c r="B2451" s="63" t="s">
        <v>3147</v>
      </c>
    </row>
    <row r="2452" spans="1:2" x14ac:dyDescent="0.25">
      <c r="A2452" s="62">
        <v>24112601</v>
      </c>
      <c r="B2452" s="63" t="s">
        <v>3148</v>
      </c>
    </row>
    <row r="2453" spans="1:2" x14ac:dyDescent="0.25">
      <c r="A2453" s="62">
        <v>24112602</v>
      </c>
      <c r="B2453" s="63" t="s">
        <v>3149</v>
      </c>
    </row>
    <row r="2454" spans="1:2" x14ac:dyDescent="0.25">
      <c r="A2454" s="62">
        <v>24121502</v>
      </c>
      <c r="B2454" s="63" t="s">
        <v>3150</v>
      </c>
    </row>
    <row r="2455" spans="1:2" x14ac:dyDescent="0.25">
      <c r="A2455" s="62">
        <v>24121503</v>
      </c>
      <c r="B2455" s="63" t="s">
        <v>3151</v>
      </c>
    </row>
    <row r="2456" spans="1:2" x14ac:dyDescent="0.25">
      <c r="A2456" s="62">
        <v>24121504</v>
      </c>
      <c r="B2456" s="63" t="s">
        <v>3152</v>
      </c>
    </row>
    <row r="2457" spans="1:2" x14ac:dyDescent="0.25">
      <c r="A2457" s="62">
        <v>24121506</v>
      </c>
      <c r="B2457" s="63" t="s">
        <v>3153</v>
      </c>
    </row>
    <row r="2458" spans="1:2" x14ac:dyDescent="0.25">
      <c r="A2458" s="62">
        <v>24121507</v>
      </c>
      <c r="B2458" s="63" t="s">
        <v>3154</v>
      </c>
    </row>
    <row r="2459" spans="1:2" x14ac:dyDescent="0.25">
      <c r="A2459" s="62">
        <v>24121508</v>
      </c>
      <c r="B2459" s="63" t="s">
        <v>3155</v>
      </c>
    </row>
    <row r="2460" spans="1:2" x14ac:dyDescent="0.25">
      <c r="A2460" s="62">
        <v>24121509</v>
      </c>
      <c r="B2460" s="63" t="s">
        <v>3156</v>
      </c>
    </row>
    <row r="2461" spans="1:2" x14ac:dyDescent="0.25">
      <c r="A2461" s="62">
        <v>24121801</v>
      </c>
      <c r="B2461" s="63" t="s">
        <v>3157</v>
      </c>
    </row>
    <row r="2462" spans="1:2" x14ac:dyDescent="0.25">
      <c r="A2462" s="62">
        <v>24121802</v>
      </c>
      <c r="B2462" s="63" t="s">
        <v>3158</v>
      </c>
    </row>
    <row r="2463" spans="1:2" x14ac:dyDescent="0.25">
      <c r="A2463" s="62">
        <v>24121803</v>
      </c>
      <c r="B2463" s="63" t="s">
        <v>3159</v>
      </c>
    </row>
    <row r="2464" spans="1:2" x14ac:dyDescent="0.25">
      <c r="A2464" s="62">
        <v>24121804</v>
      </c>
      <c r="B2464" s="63" t="s">
        <v>3160</v>
      </c>
    </row>
    <row r="2465" spans="1:2" x14ac:dyDescent="0.25">
      <c r="A2465" s="62">
        <v>24121805</v>
      </c>
      <c r="B2465" s="63" t="s">
        <v>3161</v>
      </c>
    </row>
    <row r="2466" spans="1:2" x14ac:dyDescent="0.25">
      <c r="A2466" s="62">
        <v>24121806</v>
      </c>
      <c r="B2466" s="63" t="s">
        <v>3162</v>
      </c>
    </row>
    <row r="2467" spans="1:2" x14ac:dyDescent="0.25">
      <c r="A2467" s="62">
        <v>24121807</v>
      </c>
      <c r="B2467" s="63" t="s">
        <v>3163</v>
      </c>
    </row>
    <row r="2468" spans="1:2" x14ac:dyDescent="0.25">
      <c r="A2468" s="62">
        <v>24122001</v>
      </c>
      <c r="B2468" s="63" t="s">
        <v>3164</v>
      </c>
    </row>
    <row r="2469" spans="1:2" x14ac:dyDescent="0.25">
      <c r="A2469" s="62">
        <v>24122002</v>
      </c>
      <c r="B2469" s="63" t="s">
        <v>3165</v>
      </c>
    </row>
    <row r="2470" spans="1:2" x14ac:dyDescent="0.25">
      <c r="A2470" s="62">
        <v>24122003</v>
      </c>
      <c r="B2470" s="63" t="s">
        <v>3166</v>
      </c>
    </row>
    <row r="2471" spans="1:2" x14ac:dyDescent="0.25">
      <c r="A2471" s="62">
        <v>24122004</v>
      </c>
      <c r="B2471" s="63" t="s">
        <v>3167</v>
      </c>
    </row>
    <row r="2472" spans="1:2" x14ac:dyDescent="0.25">
      <c r="A2472" s="62">
        <v>24122005</v>
      </c>
      <c r="B2472" s="63" t="s">
        <v>3168</v>
      </c>
    </row>
    <row r="2473" spans="1:2" x14ac:dyDescent="0.25">
      <c r="A2473" s="62">
        <v>24122006</v>
      </c>
      <c r="B2473" s="63" t="s">
        <v>3169</v>
      </c>
    </row>
    <row r="2474" spans="1:2" x14ac:dyDescent="0.25">
      <c r="A2474" s="62">
        <v>24131501</v>
      </c>
      <c r="B2474" s="63" t="s">
        <v>3170</v>
      </c>
    </row>
    <row r="2475" spans="1:2" x14ac:dyDescent="0.25">
      <c r="A2475" s="62">
        <v>24131502</v>
      </c>
      <c r="B2475" s="63" t="s">
        <v>3171</v>
      </c>
    </row>
    <row r="2476" spans="1:2" x14ac:dyDescent="0.25">
      <c r="A2476" s="62">
        <v>24131503</v>
      </c>
      <c r="B2476" s="63" t="s">
        <v>3172</v>
      </c>
    </row>
    <row r="2477" spans="1:2" x14ac:dyDescent="0.25">
      <c r="A2477" s="62">
        <v>24131504</v>
      </c>
      <c r="B2477" s="63" t="s">
        <v>3173</v>
      </c>
    </row>
    <row r="2478" spans="1:2" x14ac:dyDescent="0.25">
      <c r="A2478" s="62">
        <v>24131505</v>
      </c>
      <c r="B2478" s="63" t="s">
        <v>3174</v>
      </c>
    </row>
    <row r="2479" spans="1:2" x14ac:dyDescent="0.25">
      <c r="A2479" s="62">
        <v>24131506</v>
      </c>
      <c r="B2479" s="63" t="s">
        <v>3175</v>
      </c>
    </row>
    <row r="2480" spans="1:2" x14ac:dyDescent="0.25">
      <c r="A2480" s="62">
        <v>24131601</v>
      </c>
      <c r="B2480" s="63" t="s">
        <v>3176</v>
      </c>
    </row>
    <row r="2481" spans="1:2" x14ac:dyDescent="0.25">
      <c r="A2481" s="62">
        <v>24131602</v>
      </c>
      <c r="B2481" s="63" t="s">
        <v>3177</v>
      </c>
    </row>
    <row r="2482" spans="1:2" x14ac:dyDescent="0.25">
      <c r="A2482" s="62">
        <v>24131603</v>
      </c>
      <c r="B2482" s="63" t="s">
        <v>3178</v>
      </c>
    </row>
    <row r="2483" spans="1:2" x14ac:dyDescent="0.25">
      <c r="A2483" s="62">
        <v>24131604</v>
      </c>
      <c r="B2483" s="63" t="s">
        <v>3179</v>
      </c>
    </row>
    <row r="2484" spans="1:2" x14ac:dyDescent="0.25">
      <c r="A2484" s="62">
        <v>24131605</v>
      </c>
      <c r="B2484" s="63" t="s">
        <v>3172</v>
      </c>
    </row>
    <row r="2485" spans="1:2" x14ac:dyDescent="0.25">
      <c r="A2485" s="62">
        <v>24131606</v>
      </c>
      <c r="B2485" s="63" t="s">
        <v>3180</v>
      </c>
    </row>
    <row r="2486" spans="1:2" x14ac:dyDescent="0.25">
      <c r="A2486" s="62">
        <v>24131607</v>
      </c>
      <c r="B2486" s="63" t="s">
        <v>3181</v>
      </c>
    </row>
    <row r="2487" spans="1:2" x14ac:dyDescent="0.25">
      <c r="A2487" s="62">
        <v>24131901</v>
      </c>
      <c r="B2487" s="63" t="s">
        <v>3182</v>
      </c>
    </row>
    <row r="2488" spans="1:2" x14ac:dyDescent="0.25">
      <c r="A2488" s="62">
        <v>24131902</v>
      </c>
      <c r="B2488" s="63" t="s">
        <v>3183</v>
      </c>
    </row>
    <row r="2489" spans="1:2" x14ac:dyDescent="0.25">
      <c r="A2489" s="62">
        <v>24141501</v>
      </c>
      <c r="B2489" s="63" t="s">
        <v>3184</v>
      </c>
    </row>
    <row r="2490" spans="1:2" x14ac:dyDescent="0.25">
      <c r="A2490" s="62">
        <v>24141502</v>
      </c>
      <c r="B2490" s="63" t="s">
        <v>3185</v>
      </c>
    </row>
    <row r="2491" spans="1:2" x14ac:dyDescent="0.25">
      <c r="A2491" s="62">
        <v>24141504</v>
      </c>
      <c r="B2491" s="63" t="s">
        <v>3186</v>
      </c>
    </row>
    <row r="2492" spans="1:2" x14ac:dyDescent="0.25">
      <c r="A2492" s="62">
        <v>24141506</v>
      </c>
      <c r="B2492" s="63" t="s">
        <v>3187</v>
      </c>
    </row>
    <row r="2493" spans="1:2" x14ac:dyDescent="0.25">
      <c r="A2493" s="62">
        <v>24141507</v>
      </c>
      <c r="B2493" s="63" t="s">
        <v>3188</v>
      </c>
    </row>
    <row r="2494" spans="1:2" x14ac:dyDescent="0.25">
      <c r="A2494" s="62">
        <v>24141508</v>
      </c>
      <c r="B2494" s="63" t="s">
        <v>3189</v>
      </c>
    </row>
    <row r="2495" spans="1:2" x14ac:dyDescent="0.25">
      <c r="A2495" s="62">
        <v>24141509</v>
      </c>
      <c r="B2495" s="63" t="s">
        <v>3190</v>
      </c>
    </row>
    <row r="2496" spans="1:2" x14ac:dyDescent="0.25">
      <c r="A2496" s="62">
        <v>24141510</v>
      </c>
      <c r="B2496" s="63" t="s">
        <v>3191</v>
      </c>
    </row>
    <row r="2497" spans="1:2" x14ac:dyDescent="0.25">
      <c r="A2497" s="62">
        <v>24141511</v>
      </c>
      <c r="B2497" s="63" t="s">
        <v>3192</v>
      </c>
    </row>
    <row r="2498" spans="1:2" x14ac:dyDescent="0.25">
      <c r="A2498" s="62">
        <v>24141512</v>
      </c>
      <c r="B2498" s="63" t="s">
        <v>3193</v>
      </c>
    </row>
    <row r="2499" spans="1:2" x14ac:dyDescent="0.25">
      <c r="A2499" s="62">
        <v>24141513</v>
      </c>
      <c r="B2499" s="63" t="s">
        <v>3194</v>
      </c>
    </row>
    <row r="2500" spans="1:2" x14ac:dyDescent="0.25">
      <c r="A2500" s="62">
        <v>24141514</v>
      </c>
      <c r="B2500" s="63" t="s">
        <v>3195</v>
      </c>
    </row>
    <row r="2501" spans="1:2" x14ac:dyDescent="0.25">
      <c r="A2501" s="62">
        <v>24141515</v>
      </c>
      <c r="B2501" s="63" t="s">
        <v>3196</v>
      </c>
    </row>
    <row r="2502" spans="1:2" x14ac:dyDescent="0.25">
      <c r="A2502" s="62">
        <v>24141601</v>
      </c>
      <c r="B2502" s="63" t="s">
        <v>3197</v>
      </c>
    </row>
    <row r="2503" spans="1:2" x14ac:dyDescent="0.25">
      <c r="A2503" s="62">
        <v>24141602</v>
      </c>
      <c r="B2503" s="63" t="s">
        <v>3198</v>
      </c>
    </row>
    <row r="2504" spans="1:2" x14ac:dyDescent="0.25">
      <c r="A2504" s="62">
        <v>24141603</v>
      </c>
      <c r="B2504" s="63" t="s">
        <v>3199</v>
      </c>
    </row>
    <row r="2505" spans="1:2" x14ac:dyDescent="0.25">
      <c r="A2505" s="62">
        <v>24141604</v>
      </c>
      <c r="B2505" s="63" t="s">
        <v>3200</v>
      </c>
    </row>
    <row r="2506" spans="1:2" x14ac:dyDescent="0.25">
      <c r="A2506" s="62">
        <v>24141605</v>
      </c>
      <c r="B2506" s="63" t="s">
        <v>3201</v>
      </c>
    </row>
    <row r="2507" spans="1:2" x14ac:dyDescent="0.25">
      <c r="A2507" s="62">
        <v>24141606</v>
      </c>
      <c r="B2507" s="63" t="s">
        <v>3202</v>
      </c>
    </row>
    <row r="2508" spans="1:2" x14ac:dyDescent="0.25">
      <c r="A2508" s="62">
        <v>24141607</v>
      </c>
      <c r="B2508" s="63" t="s">
        <v>3203</v>
      </c>
    </row>
    <row r="2509" spans="1:2" x14ac:dyDescent="0.25">
      <c r="A2509" s="62">
        <v>24141608</v>
      </c>
      <c r="B2509" s="63" t="s">
        <v>3204</v>
      </c>
    </row>
    <row r="2510" spans="1:2" x14ac:dyDescent="0.25">
      <c r="A2510" s="62">
        <v>24141701</v>
      </c>
      <c r="B2510" s="63" t="s">
        <v>3205</v>
      </c>
    </row>
    <row r="2511" spans="1:2" x14ac:dyDescent="0.25">
      <c r="A2511" s="62">
        <v>24141702</v>
      </c>
      <c r="B2511" s="63" t="s">
        <v>3206</v>
      </c>
    </row>
    <row r="2512" spans="1:2" x14ac:dyDescent="0.25">
      <c r="A2512" s="62">
        <v>24141703</v>
      </c>
      <c r="B2512" s="63" t="s">
        <v>3207</v>
      </c>
    </row>
    <row r="2513" spans="1:2" x14ac:dyDescent="0.25">
      <c r="A2513" s="62">
        <v>24141704</v>
      </c>
      <c r="B2513" s="63" t="s">
        <v>3208</v>
      </c>
    </row>
    <row r="2514" spans="1:2" x14ac:dyDescent="0.25">
      <c r="A2514" s="62">
        <v>24141705</v>
      </c>
      <c r="B2514" s="63" t="s">
        <v>3209</v>
      </c>
    </row>
    <row r="2515" spans="1:2" x14ac:dyDescent="0.25">
      <c r="A2515" s="62">
        <v>24141706</v>
      </c>
      <c r="B2515" s="63" t="s">
        <v>3210</v>
      </c>
    </row>
    <row r="2516" spans="1:2" x14ac:dyDescent="0.25">
      <c r="A2516" s="62">
        <v>24141707</v>
      </c>
      <c r="B2516" s="63" t="s">
        <v>3211</v>
      </c>
    </row>
    <row r="2517" spans="1:2" x14ac:dyDescent="0.25">
      <c r="A2517" s="62">
        <v>24141708</v>
      </c>
      <c r="B2517" s="63" t="s">
        <v>3212</v>
      </c>
    </row>
    <row r="2518" spans="1:2" x14ac:dyDescent="0.25">
      <c r="A2518" s="62">
        <v>24141709</v>
      </c>
      <c r="B2518" s="63" t="s">
        <v>3213</v>
      </c>
    </row>
    <row r="2519" spans="1:2" x14ac:dyDescent="0.25">
      <c r="A2519" s="62">
        <v>25101501</v>
      </c>
      <c r="B2519" s="63" t="s">
        <v>3214</v>
      </c>
    </row>
    <row r="2520" spans="1:2" x14ac:dyDescent="0.25">
      <c r="A2520" s="62">
        <v>25101502</v>
      </c>
      <c r="B2520" s="63" t="s">
        <v>462</v>
      </c>
    </row>
    <row r="2521" spans="1:2" x14ac:dyDescent="0.25">
      <c r="A2521" s="62">
        <v>25101503</v>
      </c>
      <c r="B2521" s="63" t="s">
        <v>3215</v>
      </c>
    </row>
    <row r="2522" spans="1:2" x14ac:dyDescent="0.25">
      <c r="A2522" s="62">
        <v>25101504</v>
      </c>
      <c r="B2522" s="63" t="s">
        <v>3216</v>
      </c>
    </row>
    <row r="2523" spans="1:2" x14ac:dyDescent="0.25">
      <c r="A2523" s="62">
        <v>25101505</v>
      </c>
      <c r="B2523" s="63" t="s">
        <v>3217</v>
      </c>
    </row>
    <row r="2524" spans="1:2" x14ac:dyDescent="0.25">
      <c r="A2524" s="62">
        <v>25101506</v>
      </c>
      <c r="B2524" s="63" t="s">
        <v>3218</v>
      </c>
    </row>
    <row r="2525" spans="1:2" x14ac:dyDescent="0.25">
      <c r="A2525" s="62">
        <v>25101507</v>
      </c>
      <c r="B2525" s="63" t="s">
        <v>3219</v>
      </c>
    </row>
    <row r="2526" spans="1:2" x14ac:dyDescent="0.25">
      <c r="A2526" s="62">
        <v>25101508</v>
      </c>
      <c r="B2526" s="63" t="s">
        <v>3220</v>
      </c>
    </row>
    <row r="2527" spans="1:2" x14ac:dyDescent="0.25">
      <c r="A2527" s="62">
        <v>25101601</v>
      </c>
      <c r="B2527" s="63" t="s">
        <v>3221</v>
      </c>
    </row>
    <row r="2528" spans="1:2" x14ac:dyDescent="0.25">
      <c r="A2528" s="62">
        <v>25101602</v>
      </c>
      <c r="B2528" s="63" t="s">
        <v>3222</v>
      </c>
    </row>
    <row r="2529" spans="1:2" x14ac:dyDescent="0.25">
      <c r="A2529" s="62">
        <v>25101604</v>
      </c>
      <c r="B2529" s="63" t="s">
        <v>3223</v>
      </c>
    </row>
    <row r="2530" spans="1:2" x14ac:dyDescent="0.25">
      <c r="A2530" s="62">
        <v>25101609</v>
      </c>
      <c r="B2530" s="63" t="s">
        <v>3224</v>
      </c>
    </row>
    <row r="2531" spans="1:2" x14ac:dyDescent="0.25">
      <c r="A2531" s="62">
        <v>25101610</v>
      </c>
      <c r="B2531" s="63" t="s">
        <v>3225</v>
      </c>
    </row>
    <row r="2532" spans="1:2" x14ac:dyDescent="0.25">
      <c r="A2532" s="62">
        <v>25101611</v>
      </c>
      <c r="B2532" s="63" t="s">
        <v>625</v>
      </c>
    </row>
    <row r="2533" spans="1:2" x14ac:dyDescent="0.25">
      <c r="A2533" s="62">
        <v>25101701</v>
      </c>
      <c r="B2533" s="63" t="s">
        <v>3226</v>
      </c>
    </row>
    <row r="2534" spans="1:2" x14ac:dyDescent="0.25">
      <c r="A2534" s="62">
        <v>25101702</v>
      </c>
      <c r="B2534" s="63" t="s">
        <v>3227</v>
      </c>
    </row>
    <row r="2535" spans="1:2" x14ac:dyDescent="0.25">
      <c r="A2535" s="62">
        <v>25101703</v>
      </c>
      <c r="B2535" s="63" t="s">
        <v>3228</v>
      </c>
    </row>
    <row r="2536" spans="1:2" x14ac:dyDescent="0.25">
      <c r="A2536" s="62">
        <v>25101801</v>
      </c>
      <c r="B2536" s="63" t="s">
        <v>3229</v>
      </c>
    </row>
    <row r="2537" spans="1:2" x14ac:dyDescent="0.25">
      <c r="A2537" s="62">
        <v>25101802</v>
      </c>
      <c r="B2537" s="63" t="s">
        <v>3230</v>
      </c>
    </row>
    <row r="2538" spans="1:2" x14ac:dyDescent="0.25">
      <c r="A2538" s="62">
        <v>25101803</v>
      </c>
      <c r="B2538" s="63" t="s">
        <v>3231</v>
      </c>
    </row>
    <row r="2539" spans="1:2" x14ac:dyDescent="0.25">
      <c r="A2539" s="62">
        <v>25101901</v>
      </c>
      <c r="B2539" s="63" t="s">
        <v>3232</v>
      </c>
    </row>
    <row r="2540" spans="1:2" x14ac:dyDescent="0.25">
      <c r="A2540" s="62">
        <v>25101902</v>
      </c>
      <c r="B2540" s="63" t="s">
        <v>3233</v>
      </c>
    </row>
    <row r="2541" spans="1:2" x14ac:dyDescent="0.25">
      <c r="A2541" s="62">
        <v>25101903</v>
      </c>
      <c r="B2541" s="63" t="s">
        <v>3234</v>
      </c>
    </row>
    <row r="2542" spans="1:2" x14ac:dyDescent="0.25">
      <c r="A2542" s="62">
        <v>25101904</v>
      </c>
      <c r="B2542" s="63" t="s">
        <v>3235</v>
      </c>
    </row>
    <row r="2543" spans="1:2" x14ac:dyDescent="0.25">
      <c r="A2543" s="62">
        <v>25101905</v>
      </c>
      <c r="B2543" s="63" t="s">
        <v>3236</v>
      </c>
    </row>
    <row r="2544" spans="1:2" x14ac:dyDescent="0.25">
      <c r="A2544" s="62">
        <v>25101906</v>
      </c>
      <c r="B2544" s="63" t="s">
        <v>3237</v>
      </c>
    </row>
    <row r="2545" spans="1:2" x14ac:dyDescent="0.25">
      <c r="A2545" s="62">
        <v>25101907</v>
      </c>
      <c r="B2545" s="63" t="s">
        <v>3238</v>
      </c>
    </row>
    <row r="2546" spans="1:2" x14ac:dyDescent="0.25">
      <c r="A2546" s="62">
        <v>25101908</v>
      </c>
      <c r="B2546" s="63" t="s">
        <v>3239</v>
      </c>
    </row>
    <row r="2547" spans="1:2" x14ac:dyDescent="0.25">
      <c r="A2547" s="62">
        <v>25102001</v>
      </c>
      <c r="B2547" s="63" t="s">
        <v>3240</v>
      </c>
    </row>
    <row r="2548" spans="1:2" x14ac:dyDescent="0.25">
      <c r="A2548" s="62">
        <v>25102002</v>
      </c>
      <c r="B2548" s="63" t="s">
        <v>3241</v>
      </c>
    </row>
    <row r="2549" spans="1:2" x14ac:dyDescent="0.25">
      <c r="A2549" s="62">
        <v>25102003</v>
      </c>
      <c r="B2549" s="63" t="s">
        <v>3242</v>
      </c>
    </row>
    <row r="2550" spans="1:2" x14ac:dyDescent="0.25">
      <c r="A2550" s="62">
        <v>25102101</v>
      </c>
      <c r="B2550" s="63" t="s">
        <v>3243</v>
      </c>
    </row>
    <row r="2551" spans="1:2" x14ac:dyDescent="0.25">
      <c r="A2551" s="62">
        <v>25102102</v>
      </c>
      <c r="B2551" s="63" t="s">
        <v>3244</v>
      </c>
    </row>
    <row r="2552" spans="1:2" x14ac:dyDescent="0.25">
      <c r="A2552" s="62">
        <v>25102103</v>
      </c>
      <c r="B2552" s="63" t="s">
        <v>3245</v>
      </c>
    </row>
    <row r="2553" spans="1:2" x14ac:dyDescent="0.25">
      <c r="A2553" s="62">
        <v>25102104</v>
      </c>
      <c r="B2553" s="63" t="s">
        <v>3246</v>
      </c>
    </row>
    <row r="2554" spans="1:2" x14ac:dyDescent="0.25">
      <c r="A2554" s="62">
        <v>25102105</v>
      </c>
      <c r="B2554" s="63" t="s">
        <v>3247</v>
      </c>
    </row>
    <row r="2555" spans="1:2" x14ac:dyDescent="0.25">
      <c r="A2555" s="62">
        <v>25102106</v>
      </c>
      <c r="B2555" s="63" t="s">
        <v>3248</v>
      </c>
    </row>
    <row r="2556" spans="1:2" x14ac:dyDescent="0.25">
      <c r="A2556" s="62">
        <v>25111501</v>
      </c>
      <c r="B2556" s="63" t="s">
        <v>3249</v>
      </c>
    </row>
    <row r="2557" spans="1:2" x14ac:dyDescent="0.25">
      <c r="A2557" s="62">
        <v>25111502</v>
      </c>
      <c r="B2557" s="63" t="s">
        <v>3250</v>
      </c>
    </row>
    <row r="2558" spans="1:2" x14ac:dyDescent="0.25">
      <c r="A2558" s="62">
        <v>25111503</v>
      </c>
      <c r="B2558" s="63" t="s">
        <v>3251</v>
      </c>
    </row>
    <row r="2559" spans="1:2" x14ac:dyDescent="0.25">
      <c r="A2559" s="62">
        <v>25111504</v>
      </c>
      <c r="B2559" s="63" t="s">
        <v>3252</v>
      </c>
    </row>
    <row r="2560" spans="1:2" x14ac:dyDescent="0.25">
      <c r="A2560" s="62">
        <v>25111505</v>
      </c>
      <c r="B2560" s="63" t="s">
        <v>3253</v>
      </c>
    </row>
    <row r="2561" spans="1:2" x14ac:dyDescent="0.25">
      <c r="A2561" s="62">
        <v>25111506</v>
      </c>
      <c r="B2561" s="63" t="s">
        <v>3254</v>
      </c>
    </row>
    <row r="2562" spans="1:2" x14ac:dyDescent="0.25">
      <c r="A2562" s="62">
        <v>25111507</v>
      </c>
      <c r="B2562" s="63" t="s">
        <v>3255</v>
      </c>
    </row>
    <row r="2563" spans="1:2" x14ac:dyDescent="0.25">
      <c r="A2563" s="62">
        <v>25111508</v>
      </c>
      <c r="B2563" s="63" t="s">
        <v>3256</v>
      </c>
    </row>
    <row r="2564" spans="1:2" x14ac:dyDescent="0.25">
      <c r="A2564" s="62">
        <v>25111509</v>
      </c>
      <c r="B2564" s="63" t="s">
        <v>3257</v>
      </c>
    </row>
    <row r="2565" spans="1:2" x14ac:dyDescent="0.25">
      <c r="A2565" s="62">
        <v>25111510</v>
      </c>
      <c r="B2565" s="63" t="s">
        <v>3258</v>
      </c>
    </row>
    <row r="2566" spans="1:2" x14ac:dyDescent="0.25">
      <c r="A2566" s="62">
        <v>25111511</v>
      </c>
      <c r="B2566" s="63" t="s">
        <v>3259</v>
      </c>
    </row>
    <row r="2567" spans="1:2" x14ac:dyDescent="0.25">
      <c r="A2567" s="62">
        <v>25111512</v>
      </c>
      <c r="B2567" s="63" t="s">
        <v>3260</v>
      </c>
    </row>
    <row r="2568" spans="1:2" x14ac:dyDescent="0.25">
      <c r="A2568" s="62">
        <v>25111513</v>
      </c>
      <c r="B2568" s="63" t="s">
        <v>3261</v>
      </c>
    </row>
    <row r="2569" spans="1:2" x14ac:dyDescent="0.25">
      <c r="A2569" s="62">
        <v>25111601</v>
      </c>
      <c r="B2569" s="63" t="s">
        <v>3262</v>
      </c>
    </row>
    <row r="2570" spans="1:2" x14ac:dyDescent="0.25">
      <c r="A2570" s="62">
        <v>25111602</v>
      </c>
      <c r="B2570" s="63" t="s">
        <v>3263</v>
      </c>
    </row>
    <row r="2571" spans="1:2" x14ac:dyDescent="0.25">
      <c r="A2571" s="62">
        <v>25111603</v>
      </c>
      <c r="B2571" s="63" t="s">
        <v>3264</v>
      </c>
    </row>
    <row r="2572" spans="1:2" x14ac:dyDescent="0.25">
      <c r="A2572" s="62">
        <v>25111701</v>
      </c>
      <c r="B2572" s="63" t="s">
        <v>3265</v>
      </c>
    </row>
    <row r="2573" spans="1:2" x14ac:dyDescent="0.25">
      <c r="A2573" s="62">
        <v>25111702</v>
      </c>
      <c r="B2573" s="63" t="s">
        <v>3266</v>
      </c>
    </row>
    <row r="2574" spans="1:2" x14ac:dyDescent="0.25">
      <c r="A2574" s="62">
        <v>25111703</v>
      </c>
      <c r="B2574" s="63" t="s">
        <v>3267</v>
      </c>
    </row>
    <row r="2575" spans="1:2" x14ac:dyDescent="0.25">
      <c r="A2575" s="62">
        <v>25111704</v>
      </c>
      <c r="B2575" s="63" t="s">
        <v>3268</v>
      </c>
    </row>
    <row r="2576" spans="1:2" x14ac:dyDescent="0.25">
      <c r="A2576" s="62">
        <v>25111705</v>
      </c>
      <c r="B2576" s="63" t="s">
        <v>3269</v>
      </c>
    </row>
    <row r="2577" spans="1:2" x14ac:dyDescent="0.25">
      <c r="A2577" s="62">
        <v>25111706</v>
      </c>
      <c r="B2577" s="63" t="s">
        <v>3270</v>
      </c>
    </row>
    <row r="2578" spans="1:2" x14ac:dyDescent="0.25">
      <c r="A2578" s="62">
        <v>25111707</v>
      </c>
      <c r="B2578" s="63" t="s">
        <v>3271</v>
      </c>
    </row>
    <row r="2579" spans="1:2" x14ac:dyDescent="0.25">
      <c r="A2579" s="62">
        <v>25111708</v>
      </c>
      <c r="B2579" s="63" t="s">
        <v>3272</v>
      </c>
    </row>
    <row r="2580" spans="1:2" x14ac:dyDescent="0.25">
      <c r="A2580" s="62">
        <v>25111709</v>
      </c>
      <c r="B2580" s="63" t="s">
        <v>3273</v>
      </c>
    </row>
    <row r="2581" spans="1:2" x14ac:dyDescent="0.25">
      <c r="A2581" s="62">
        <v>25111710</v>
      </c>
      <c r="B2581" s="63" t="s">
        <v>3274</v>
      </c>
    </row>
    <row r="2582" spans="1:2" x14ac:dyDescent="0.25">
      <c r="A2582" s="62">
        <v>25111711</v>
      </c>
      <c r="B2582" s="63" t="s">
        <v>3275</v>
      </c>
    </row>
    <row r="2583" spans="1:2" x14ac:dyDescent="0.25">
      <c r="A2583" s="62">
        <v>25111712</v>
      </c>
      <c r="B2583" s="63" t="s">
        <v>3276</v>
      </c>
    </row>
    <row r="2584" spans="1:2" x14ac:dyDescent="0.25">
      <c r="A2584" s="62">
        <v>25111713</v>
      </c>
      <c r="B2584" s="63" t="s">
        <v>3277</v>
      </c>
    </row>
    <row r="2585" spans="1:2" x14ac:dyDescent="0.25">
      <c r="A2585" s="62">
        <v>25111714</v>
      </c>
      <c r="B2585" s="63" t="s">
        <v>3278</v>
      </c>
    </row>
    <row r="2586" spans="1:2" x14ac:dyDescent="0.25">
      <c r="A2586" s="62">
        <v>25111715</v>
      </c>
      <c r="B2586" s="63" t="s">
        <v>3279</v>
      </c>
    </row>
    <row r="2587" spans="1:2" x14ac:dyDescent="0.25">
      <c r="A2587" s="62">
        <v>25111716</v>
      </c>
      <c r="B2587" s="63" t="s">
        <v>3280</v>
      </c>
    </row>
    <row r="2588" spans="1:2" x14ac:dyDescent="0.25">
      <c r="A2588" s="62">
        <v>25111717</v>
      </c>
      <c r="B2588" s="63" t="s">
        <v>3281</v>
      </c>
    </row>
    <row r="2589" spans="1:2" x14ac:dyDescent="0.25">
      <c r="A2589" s="62">
        <v>25111718</v>
      </c>
      <c r="B2589" s="63" t="s">
        <v>3282</v>
      </c>
    </row>
    <row r="2590" spans="1:2" x14ac:dyDescent="0.25">
      <c r="A2590" s="62">
        <v>25111719</v>
      </c>
      <c r="B2590" s="63" t="s">
        <v>3283</v>
      </c>
    </row>
    <row r="2591" spans="1:2" x14ac:dyDescent="0.25">
      <c r="A2591" s="62">
        <v>25111720</v>
      </c>
      <c r="B2591" s="63" t="s">
        <v>3284</v>
      </c>
    </row>
    <row r="2592" spans="1:2" x14ac:dyDescent="0.25">
      <c r="A2592" s="62">
        <v>25111721</v>
      </c>
      <c r="B2592" s="63" t="s">
        <v>3285</v>
      </c>
    </row>
    <row r="2593" spans="1:2" x14ac:dyDescent="0.25">
      <c r="A2593" s="62">
        <v>25111801</v>
      </c>
      <c r="B2593" s="63" t="s">
        <v>3286</v>
      </c>
    </row>
    <row r="2594" spans="1:2" x14ac:dyDescent="0.25">
      <c r="A2594" s="62">
        <v>25111802</v>
      </c>
      <c r="B2594" s="63" t="s">
        <v>3287</v>
      </c>
    </row>
    <row r="2595" spans="1:2" x14ac:dyDescent="0.25">
      <c r="A2595" s="62">
        <v>25111803</v>
      </c>
      <c r="B2595" s="63" t="s">
        <v>3288</v>
      </c>
    </row>
    <row r="2596" spans="1:2" x14ac:dyDescent="0.25">
      <c r="A2596" s="62">
        <v>25111804</v>
      </c>
      <c r="B2596" s="63" t="s">
        <v>3289</v>
      </c>
    </row>
    <row r="2597" spans="1:2" x14ac:dyDescent="0.25">
      <c r="A2597" s="62">
        <v>25111805</v>
      </c>
      <c r="B2597" s="63" t="s">
        <v>3290</v>
      </c>
    </row>
    <row r="2598" spans="1:2" x14ac:dyDescent="0.25">
      <c r="A2598" s="62">
        <v>25111806</v>
      </c>
      <c r="B2598" s="63" t="s">
        <v>3291</v>
      </c>
    </row>
    <row r="2599" spans="1:2" x14ac:dyDescent="0.25">
      <c r="A2599" s="62">
        <v>25111807</v>
      </c>
      <c r="B2599" s="63" t="s">
        <v>3292</v>
      </c>
    </row>
    <row r="2600" spans="1:2" x14ac:dyDescent="0.25">
      <c r="A2600" s="62">
        <v>25111808</v>
      </c>
      <c r="B2600" s="63" t="s">
        <v>3293</v>
      </c>
    </row>
    <row r="2601" spans="1:2" x14ac:dyDescent="0.25">
      <c r="A2601" s="62">
        <v>25111901</v>
      </c>
      <c r="B2601" s="63" t="s">
        <v>3294</v>
      </c>
    </row>
    <row r="2602" spans="1:2" x14ac:dyDescent="0.25">
      <c r="A2602" s="62">
        <v>25111902</v>
      </c>
      <c r="B2602" s="63" t="s">
        <v>3295</v>
      </c>
    </row>
    <row r="2603" spans="1:2" x14ac:dyDescent="0.25">
      <c r="A2603" s="62">
        <v>25111903</v>
      </c>
      <c r="B2603" s="63" t="s">
        <v>3296</v>
      </c>
    </row>
    <row r="2604" spans="1:2" x14ac:dyDescent="0.25">
      <c r="A2604" s="62">
        <v>25111904</v>
      </c>
      <c r="B2604" s="63" t="s">
        <v>3297</v>
      </c>
    </row>
    <row r="2605" spans="1:2" x14ac:dyDescent="0.25">
      <c r="A2605" s="62">
        <v>25111905</v>
      </c>
      <c r="B2605" s="63" t="s">
        <v>3298</v>
      </c>
    </row>
    <row r="2606" spans="1:2" x14ac:dyDescent="0.25">
      <c r="A2606" s="62">
        <v>25111906</v>
      </c>
      <c r="B2606" s="63" t="s">
        <v>3299</v>
      </c>
    </row>
    <row r="2607" spans="1:2" x14ac:dyDescent="0.25">
      <c r="A2607" s="62">
        <v>25111907</v>
      </c>
      <c r="B2607" s="63" t="s">
        <v>3300</v>
      </c>
    </row>
    <row r="2608" spans="1:2" x14ac:dyDescent="0.25">
      <c r="A2608" s="62">
        <v>25111908</v>
      </c>
      <c r="B2608" s="63" t="s">
        <v>3301</v>
      </c>
    </row>
    <row r="2609" spans="1:2" x14ac:dyDescent="0.25">
      <c r="A2609" s="62">
        <v>25111909</v>
      </c>
      <c r="B2609" s="63" t="s">
        <v>3302</v>
      </c>
    </row>
    <row r="2610" spans="1:2" x14ac:dyDescent="0.25">
      <c r="A2610" s="62">
        <v>25111910</v>
      </c>
      <c r="B2610" s="63" t="s">
        <v>3303</v>
      </c>
    </row>
    <row r="2611" spans="1:2" x14ac:dyDescent="0.25">
      <c r="A2611" s="62">
        <v>25111911</v>
      </c>
      <c r="B2611" s="63" t="s">
        <v>3304</v>
      </c>
    </row>
    <row r="2612" spans="1:2" x14ac:dyDescent="0.25">
      <c r="A2612" s="62">
        <v>25111912</v>
      </c>
      <c r="B2612" s="63" t="s">
        <v>3305</v>
      </c>
    </row>
    <row r="2613" spans="1:2" x14ac:dyDescent="0.25">
      <c r="A2613" s="62">
        <v>25111913</v>
      </c>
      <c r="B2613" s="63" t="s">
        <v>3306</v>
      </c>
    </row>
    <row r="2614" spans="1:2" x14ac:dyDescent="0.25">
      <c r="A2614" s="62">
        <v>25111914</v>
      </c>
      <c r="B2614" s="63" t="s">
        <v>3307</v>
      </c>
    </row>
    <row r="2615" spans="1:2" x14ac:dyDescent="0.25">
      <c r="A2615" s="62">
        <v>25111915</v>
      </c>
      <c r="B2615" s="63" t="s">
        <v>3308</v>
      </c>
    </row>
    <row r="2616" spans="1:2" x14ac:dyDescent="0.25">
      <c r="A2616" s="62">
        <v>25111916</v>
      </c>
      <c r="B2616" s="63" t="s">
        <v>3309</v>
      </c>
    </row>
    <row r="2617" spans="1:2" x14ac:dyDescent="0.25">
      <c r="A2617" s="62">
        <v>25111917</v>
      </c>
      <c r="B2617" s="63" t="s">
        <v>3310</v>
      </c>
    </row>
    <row r="2618" spans="1:2" x14ac:dyDescent="0.25">
      <c r="A2618" s="62">
        <v>25111918</v>
      </c>
      <c r="B2618" s="63" t="s">
        <v>3311</v>
      </c>
    </row>
    <row r="2619" spans="1:2" x14ac:dyDescent="0.25">
      <c r="A2619" s="62">
        <v>25111919</v>
      </c>
      <c r="B2619" s="63" t="s">
        <v>3312</v>
      </c>
    </row>
    <row r="2620" spans="1:2" x14ac:dyDescent="0.25">
      <c r="A2620" s="62">
        <v>25111920</v>
      </c>
      <c r="B2620" s="63" t="s">
        <v>3313</v>
      </c>
    </row>
    <row r="2621" spans="1:2" x14ac:dyDescent="0.25">
      <c r="A2621" s="62">
        <v>25111921</v>
      </c>
      <c r="B2621" s="63" t="s">
        <v>3314</v>
      </c>
    </row>
    <row r="2622" spans="1:2" x14ac:dyDescent="0.25">
      <c r="A2622" s="62">
        <v>25111922</v>
      </c>
      <c r="B2622" s="63" t="s">
        <v>3315</v>
      </c>
    </row>
    <row r="2623" spans="1:2" x14ac:dyDescent="0.25">
      <c r="A2623" s="62">
        <v>25111923</v>
      </c>
      <c r="B2623" s="63" t="s">
        <v>3316</v>
      </c>
    </row>
    <row r="2624" spans="1:2" x14ac:dyDescent="0.25">
      <c r="A2624" s="62">
        <v>25111924</v>
      </c>
      <c r="B2624" s="63" t="s">
        <v>3317</v>
      </c>
    </row>
    <row r="2625" spans="1:2" x14ac:dyDescent="0.25">
      <c r="A2625" s="62">
        <v>25111925</v>
      </c>
      <c r="B2625" s="63" t="s">
        <v>3318</v>
      </c>
    </row>
    <row r="2626" spans="1:2" x14ac:dyDescent="0.25">
      <c r="A2626" s="62">
        <v>25111926</v>
      </c>
      <c r="B2626" s="63" t="s">
        <v>3319</v>
      </c>
    </row>
    <row r="2627" spans="1:2" x14ac:dyDescent="0.25">
      <c r="A2627" s="62">
        <v>25111927</v>
      </c>
      <c r="B2627" s="63" t="s">
        <v>3320</v>
      </c>
    </row>
    <row r="2628" spans="1:2" x14ac:dyDescent="0.25">
      <c r="A2628" s="62">
        <v>25111928</v>
      </c>
      <c r="B2628" s="63" t="s">
        <v>3321</v>
      </c>
    </row>
    <row r="2629" spans="1:2" x14ac:dyDescent="0.25">
      <c r="A2629" s="62">
        <v>25111929</v>
      </c>
      <c r="B2629" s="63" t="s">
        <v>3322</v>
      </c>
    </row>
    <row r="2630" spans="1:2" x14ac:dyDescent="0.25">
      <c r="A2630" s="62">
        <v>25111930</v>
      </c>
      <c r="B2630" s="63" t="s">
        <v>3323</v>
      </c>
    </row>
    <row r="2631" spans="1:2" x14ac:dyDescent="0.25">
      <c r="A2631" s="62">
        <v>25111931</v>
      </c>
      <c r="B2631" s="63" t="s">
        <v>3324</v>
      </c>
    </row>
    <row r="2632" spans="1:2" x14ac:dyDescent="0.25">
      <c r="A2632" s="62">
        <v>25111932</v>
      </c>
      <c r="B2632" s="63" t="s">
        <v>3325</v>
      </c>
    </row>
    <row r="2633" spans="1:2" x14ac:dyDescent="0.25">
      <c r="A2633" s="62">
        <v>25111933</v>
      </c>
      <c r="B2633" s="63" t="s">
        <v>3326</v>
      </c>
    </row>
    <row r="2634" spans="1:2" x14ac:dyDescent="0.25">
      <c r="A2634" s="62">
        <v>25111934</v>
      </c>
      <c r="B2634" s="63" t="s">
        <v>3327</v>
      </c>
    </row>
    <row r="2635" spans="1:2" x14ac:dyDescent="0.25">
      <c r="A2635" s="62">
        <v>25111935</v>
      </c>
      <c r="B2635" s="63" t="s">
        <v>3328</v>
      </c>
    </row>
    <row r="2636" spans="1:2" x14ac:dyDescent="0.25">
      <c r="A2636" s="62">
        <v>25121501</v>
      </c>
      <c r="B2636" s="63" t="s">
        <v>3329</v>
      </c>
    </row>
    <row r="2637" spans="1:2" x14ac:dyDescent="0.25">
      <c r="A2637" s="62">
        <v>25121502</v>
      </c>
      <c r="B2637" s="63" t="s">
        <v>3330</v>
      </c>
    </row>
    <row r="2638" spans="1:2" x14ac:dyDescent="0.25">
      <c r="A2638" s="62">
        <v>25121503</v>
      </c>
      <c r="B2638" s="63" t="s">
        <v>3331</v>
      </c>
    </row>
    <row r="2639" spans="1:2" x14ac:dyDescent="0.25">
      <c r="A2639" s="62">
        <v>25121504</v>
      </c>
      <c r="B2639" s="63" t="s">
        <v>3332</v>
      </c>
    </row>
    <row r="2640" spans="1:2" x14ac:dyDescent="0.25">
      <c r="A2640" s="62">
        <v>25121601</v>
      </c>
      <c r="B2640" s="63" t="s">
        <v>3333</v>
      </c>
    </row>
    <row r="2641" spans="1:2" x14ac:dyDescent="0.25">
      <c r="A2641" s="62">
        <v>25121602</v>
      </c>
      <c r="B2641" s="63" t="s">
        <v>3334</v>
      </c>
    </row>
    <row r="2642" spans="1:2" x14ac:dyDescent="0.25">
      <c r="A2642" s="62">
        <v>25121603</v>
      </c>
      <c r="B2642" s="63" t="s">
        <v>3335</v>
      </c>
    </row>
    <row r="2643" spans="1:2" x14ac:dyDescent="0.25">
      <c r="A2643" s="62">
        <v>25121604</v>
      </c>
      <c r="B2643" s="63" t="s">
        <v>3336</v>
      </c>
    </row>
    <row r="2644" spans="1:2" x14ac:dyDescent="0.25">
      <c r="A2644" s="62">
        <v>25121605</v>
      </c>
      <c r="B2644" s="63" t="s">
        <v>3337</v>
      </c>
    </row>
    <row r="2645" spans="1:2" x14ac:dyDescent="0.25">
      <c r="A2645" s="62">
        <v>25121701</v>
      </c>
      <c r="B2645" s="63" t="s">
        <v>3338</v>
      </c>
    </row>
    <row r="2646" spans="1:2" x14ac:dyDescent="0.25">
      <c r="A2646" s="62">
        <v>25121702</v>
      </c>
      <c r="B2646" s="63" t="s">
        <v>3339</v>
      </c>
    </row>
    <row r="2647" spans="1:2" x14ac:dyDescent="0.25">
      <c r="A2647" s="62">
        <v>25121703</v>
      </c>
      <c r="B2647" s="63" t="s">
        <v>3340</v>
      </c>
    </row>
    <row r="2648" spans="1:2" x14ac:dyDescent="0.25">
      <c r="A2648" s="62">
        <v>25121704</v>
      </c>
      <c r="B2648" s="63" t="s">
        <v>3341</v>
      </c>
    </row>
    <row r="2649" spans="1:2" x14ac:dyDescent="0.25">
      <c r="A2649" s="62">
        <v>25121705</v>
      </c>
      <c r="B2649" s="63" t="s">
        <v>3342</v>
      </c>
    </row>
    <row r="2650" spans="1:2" x14ac:dyDescent="0.25">
      <c r="A2650" s="62">
        <v>25121706</v>
      </c>
      <c r="B2650" s="63" t="s">
        <v>3343</v>
      </c>
    </row>
    <row r="2651" spans="1:2" x14ac:dyDescent="0.25">
      <c r="A2651" s="62">
        <v>25121707</v>
      </c>
      <c r="B2651" s="63" t="s">
        <v>3344</v>
      </c>
    </row>
    <row r="2652" spans="1:2" x14ac:dyDescent="0.25">
      <c r="A2652" s="62">
        <v>25131501</v>
      </c>
      <c r="B2652" s="63" t="s">
        <v>3345</v>
      </c>
    </row>
    <row r="2653" spans="1:2" x14ac:dyDescent="0.25">
      <c r="A2653" s="62">
        <v>25131502</v>
      </c>
      <c r="B2653" s="63" t="s">
        <v>3346</v>
      </c>
    </row>
    <row r="2654" spans="1:2" x14ac:dyDescent="0.25">
      <c r="A2654" s="62">
        <v>25131503</v>
      </c>
      <c r="B2654" s="63" t="s">
        <v>3347</v>
      </c>
    </row>
    <row r="2655" spans="1:2" x14ac:dyDescent="0.25">
      <c r="A2655" s="62">
        <v>25131504</v>
      </c>
      <c r="B2655" s="63" t="s">
        <v>3348</v>
      </c>
    </row>
    <row r="2656" spans="1:2" x14ac:dyDescent="0.25">
      <c r="A2656" s="62">
        <v>25131505</v>
      </c>
      <c r="B2656" s="63" t="s">
        <v>3349</v>
      </c>
    </row>
    <row r="2657" spans="1:2" x14ac:dyDescent="0.25">
      <c r="A2657" s="62">
        <v>25131506</v>
      </c>
      <c r="B2657" s="63" t="s">
        <v>3350</v>
      </c>
    </row>
    <row r="2658" spans="1:2" x14ac:dyDescent="0.25">
      <c r="A2658" s="62">
        <v>25131507</v>
      </c>
      <c r="B2658" s="63" t="s">
        <v>3351</v>
      </c>
    </row>
    <row r="2659" spans="1:2" x14ac:dyDescent="0.25">
      <c r="A2659" s="62">
        <v>25131508</v>
      </c>
      <c r="B2659" s="63" t="s">
        <v>3352</v>
      </c>
    </row>
    <row r="2660" spans="1:2" x14ac:dyDescent="0.25">
      <c r="A2660" s="62">
        <v>25131601</v>
      </c>
      <c r="B2660" s="63" t="s">
        <v>3353</v>
      </c>
    </row>
    <row r="2661" spans="1:2" x14ac:dyDescent="0.25">
      <c r="A2661" s="62">
        <v>25131602</v>
      </c>
      <c r="B2661" s="63" t="s">
        <v>3354</v>
      </c>
    </row>
    <row r="2662" spans="1:2" x14ac:dyDescent="0.25">
      <c r="A2662" s="62">
        <v>25131603</v>
      </c>
      <c r="B2662" s="63" t="s">
        <v>3355</v>
      </c>
    </row>
    <row r="2663" spans="1:2" x14ac:dyDescent="0.25">
      <c r="A2663" s="62">
        <v>25131604</v>
      </c>
      <c r="B2663" s="63" t="s">
        <v>3356</v>
      </c>
    </row>
    <row r="2664" spans="1:2" x14ac:dyDescent="0.25">
      <c r="A2664" s="62">
        <v>25131701</v>
      </c>
      <c r="B2664" s="63" t="s">
        <v>3357</v>
      </c>
    </row>
    <row r="2665" spans="1:2" x14ac:dyDescent="0.25">
      <c r="A2665" s="62">
        <v>25131702</v>
      </c>
      <c r="B2665" s="63" t="s">
        <v>3358</v>
      </c>
    </row>
    <row r="2666" spans="1:2" x14ac:dyDescent="0.25">
      <c r="A2666" s="62">
        <v>25131703</v>
      </c>
      <c r="B2666" s="63" t="s">
        <v>3359</v>
      </c>
    </row>
    <row r="2667" spans="1:2" x14ac:dyDescent="0.25">
      <c r="A2667" s="62">
        <v>25131704</v>
      </c>
      <c r="B2667" s="63" t="s">
        <v>3360</v>
      </c>
    </row>
    <row r="2668" spans="1:2" x14ac:dyDescent="0.25">
      <c r="A2668" s="62">
        <v>25131705</v>
      </c>
      <c r="B2668" s="63" t="s">
        <v>3361</v>
      </c>
    </row>
    <row r="2669" spans="1:2" x14ac:dyDescent="0.25">
      <c r="A2669" s="62">
        <v>25131706</v>
      </c>
      <c r="B2669" s="63" t="s">
        <v>3362</v>
      </c>
    </row>
    <row r="2670" spans="1:2" x14ac:dyDescent="0.25">
      <c r="A2670" s="62">
        <v>25131707</v>
      </c>
      <c r="B2670" s="63" t="s">
        <v>3363</v>
      </c>
    </row>
    <row r="2671" spans="1:2" x14ac:dyDescent="0.25">
      <c r="A2671" s="62">
        <v>25131708</v>
      </c>
      <c r="B2671" s="63" t="s">
        <v>3364</v>
      </c>
    </row>
    <row r="2672" spans="1:2" x14ac:dyDescent="0.25">
      <c r="A2672" s="62">
        <v>25131709</v>
      </c>
      <c r="B2672" s="63" t="s">
        <v>3365</v>
      </c>
    </row>
    <row r="2673" spans="1:2" x14ac:dyDescent="0.25">
      <c r="A2673" s="62">
        <v>25131801</v>
      </c>
      <c r="B2673" s="63" t="s">
        <v>3366</v>
      </c>
    </row>
    <row r="2674" spans="1:2" x14ac:dyDescent="0.25">
      <c r="A2674" s="62">
        <v>25131902</v>
      </c>
      <c r="B2674" s="63" t="s">
        <v>3367</v>
      </c>
    </row>
    <row r="2675" spans="1:2" x14ac:dyDescent="0.25">
      <c r="A2675" s="62">
        <v>25131903</v>
      </c>
      <c r="B2675" s="63" t="s">
        <v>3368</v>
      </c>
    </row>
    <row r="2676" spans="1:2" x14ac:dyDescent="0.25">
      <c r="A2676" s="62">
        <v>25131904</v>
      </c>
      <c r="B2676" s="63" t="s">
        <v>3369</v>
      </c>
    </row>
    <row r="2677" spans="1:2" x14ac:dyDescent="0.25">
      <c r="A2677" s="62">
        <v>25131905</v>
      </c>
      <c r="B2677" s="63" t="s">
        <v>3370</v>
      </c>
    </row>
    <row r="2678" spans="1:2" x14ac:dyDescent="0.25">
      <c r="A2678" s="62">
        <v>25131906</v>
      </c>
      <c r="B2678" s="63" t="s">
        <v>3371</v>
      </c>
    </row>
    <row r="2679" spans="1:2" x14ac:dyDescent="0.25">
      <c r="A2679" s="62">
        <v>25132001</v>
      </c>
      <c r="B2679" s="63" t="s">
        <v>3372</v>
      </c>
    </row>
    <row r="2680" spans="1:2" x14ac:dyDescent="0.25">
      <c r="A2680" s="62">
        <v>25132002</v>
      </c>
      <c r="B2680" s="63" t="s">
        <v>3373</v>
      </c>
    </row>
    <row r="2681" spans="1:2" x14ac:dyDescent="0.25">
      <c r="A2681" s="62">
        <v>25132003</v>
      </c>
      <c r="B2681" s="63" t="s">
        <v>3374</v>
      </c>
    </row>
    <row r="2682" spans="1:2" x14ac:dyDescent="0.25">
      <c r="A2682" s="62">
        <v>25132004</v>
      </c>
      <c r="B2682" s="63" t="s">
        <v>3375</v>
      </c>
    </row>
    <row r="2683" spans="1:2" x14ac:dyDescent="0.25">
      <c r="A2683" s="62">
        <v>25132005</v>
      </c>
      <c r="B2683" s="63" t="s">
        <v>3376</v>
      </c>
    </row>
    <row r="2684" spans="1:2" x14ac:dyDescent="0.25">
      <c r="A2684" s="62">
        <v>25151501</v>
      </c>
      <c r="B2684" s="63" t="s">
        <v>3377</v>
      </c>
    </row>
    <row r="2685" spans="1:2" x14ac:dyDescent="0.25">
      <c r="A2685" s="62">
        <v>25151502</v>
      </c>
      <c r="B2685" s="63" t="s">
        <v>3378</v>
      </c>
    </row>
    <row r="2686" spans="1:2" x14ac:dyDescent="0.25">
      <c r="A2686" s="62">
        <v>25151701</v>
      </c>
      <c r="B2686" s="63" t="s">
        <v>3379</v>
      </c>
    </row>
    <row r="2687" spans="1:2" x14ac:dyDescent="0.25">
      <c r="A2687" s="62">
        <v>25151702</v>
      </c>
      <c r="B2687" s="63" t="s">
        <v>3380</v>
      </c>
    </row>
    <row r="2688" spans="1:2" x14ac:dyDescent="0.25">
      <c r="A2688" s="62">
        <v>25151703</v>
      </c>
      <c r="B2688" s="63" t="s">
        <v>3381</v>
      </c>
    </row>
    <row r="2689" spans="1:2" x14ac:dyDescent="0.25">
      <c r="A2689" s="62">
        <v>25151704</v>
      </c>
      <c r="B2689" s="63" t="s">
        <v>3382</v>
      </c>
    </row>
    <row r="2690" spans="1:2" x14ac:dyDescent="0.25">
      <c r="A2690" s="62">
        <v>25151705</v>
      </c>
      <c r="B2690" s="63" t="s">
        <v>3383</v>
      </c>
    </row>
    <row r="2691" spans="1:2" x14ac:dyDescent="0.25">
      <c r="A2691" s="62">
        <v>25151706</v>
      </c>
      <c r="B2691" s="63" t="s">
        <v>3384</v>
      </c>
    </row>
    <row r="2692" spans="1:2" x14ac:dyDescent="0.25">
      <c r="A2692" s="62">
        <v>25151707</v>
      </c>
      <c r="B2692" s="63" t="s">
        <v>3385</v>
      </c>
    </row>
    <row r="2693" spans="1:2" x14ac:dyDescent="0.25">
      <c r="A2693" s="62">
        <v>25151708</v>
      </c>
      <c r="B2693" s="63" t="s">
        <v>3386</v>
      </c>
    </row>
    <row r="2694" spans="1:2" x14ac:dyDescent="0.25">
      <c r="A2694" s="62">
        <v>25151709</v>
      </c>
      <c r="B2694" s="63" t="s">
        <v>3387</v>
      </c>
    </row>
    <row r="2695" spans="1:2" x14ac:dyDescent="0.25">
      <c r="A2695" s="62">
        <v>25161501</v>
      </c>
      <c r="B2695" s="63" t="s">
        <v>3388</v>
      </c>
    </row>
    <row r="2696" spans="1:2" x14ac:dyDescent="0.25">
      <c r="A2696" s="62">
        <v>25161502</v>
      </c>
      <c r="B2696" s="63" t="s">
        <v>3389</v>
      </c>
    </row>
    <row r="2697" spans="1:2" x14ac:dyDescent="0.25">
      <c r="A2697" s="62">
        <v>25161503</v>
      </c>
      <c r="B2697" s="63" t="s">
        <v>3390</v>
      </c>
    </row>
    <row r="2698" spans="1:2" x14ac:dyDescent="0.25">
      <c r="A2698" s="62">
        <v>25161504</v>
      </c>
      <c r="B2698" s="63" t="s">
        <v>3391</v>
      </c>
    </row>
    <row r="2699" spans="1:2" x14ac:dyDescent="0.25">
      <c r="A2699" s="62">
        <v>25161505</v>
      </c>
      <c r="B2699" s="63" t="s">
        <v>3392</v>
      </c>
    </row>
    <row r="2700" spans="1:2" x14ac:dyDescent="0.25">
      <c r="A2700" s="62">
        <v>25161506</v>
      </c>
      <c r="B2700" s="63" t="s">
        <v>3393</v>
      </c>
    </row>
    <row r="2701" spans="1:2" x14ac:dyDescent="0.25">
      <c r="A2701" s="62">
        <v>25161507</v>
      </c>
      <c r="B2701" s="63" t="s">
        <v>3394</v>
      </c>
    </row>
    <row r="2702" spans="1:2" x14ac:dyDescent="0.25">
      <c r="A2702" s="62">
        <v>25161508</v>
      </c>
      <c r="B2702" s="63" t="s">
        <v>3395</v>
      </c>
    </row>
    <row r="2703" spans="1:2" x14ac:dyDescent="0.25">
      <c r="A2703" s="62">
        <v>25161509</v>
      </c>
      <c r="B2703" s="63" t="s">
        <v>3396</v>
      </c>
    </row>
    <row r="2704" spans="1:2" x14ac:dyDescent="0.25">
      <c r="A2704" s="62">
        <v>25171502</v>
      </c>
      <c r="B2704" s="63" t="s">
        <v>3397</v>
      </c>
    </row>
    <row r="2705" spans="1:2" x14ac:dyDescent="0.25">
      <c r="A2705" s="62">
        <v>25171503</v>
      </c>
      <c r="B2705" s="63" t="s">
        <v>3398</v>
      </c>
    </row>
    <row r="2706" spans="1:2" x14ac:dyDescent="0.25">
      <c r="A2706" s="62">
        <v>25171504</v>
      </c>
      <c r="B2706" s="63" t="s">
        <v>3399</v>
      </c>
    </row>
    <row r="2707" spans="1:2" x14ac:dyDescent="0.25">
      <c r="A2707" s="62">
        <v>25171505</v>
      </c>
      <c r="B2707" s="63" t="s">
        <v>3400</v>
      </c>
    </row>
    <row r="2708" spans="1:2" x14ac:dyDescent="0.25">
      <c r="A2708" s="62">
        <v>25171506</v>
      </c>
      <c r="B2708" s="63" t="s">
        <v>3401</v>
      </c>
    </row>
    <row r="2709" spans="1:2" x14ac:dyDescent="0.25">
      <c r="A2709" s="62">
        <v>25171507</v>
      </c>
      <c r="B2709" s="63" t="s">
        <v>3402</v>
      </c>
    </row>
    <row r="2710" spans="1:2" x14ac:dyDescent="0.25">
      <c r="A2710" s="62">
        <v>25171602</v>
      </c>
      <c r="B2710" s="63" t="s">
        <v>3403</v>
      </c>
    </row>
    <row r="2711" spans="1:2" x14ac:dyDescent="0.25">
      <c r="A2711" s="62">
        <v>25171603</v>
      </c>
      <c r="B2711" s="63" t="s">
        <v>3404</v>
      </c>
    </row>
    <row r="2712" spans="1:2" x14ac:dyDescent="0.25">
      <c r="A2712" s="62">
        <v>25171702</v>
      </c>
      <c r="B2712" s="63" t="s">
        <v>3405</v>
      </c>
    </row>
    <row r="2713" spans="1:2" x14ac:dyDescent="0.25">
      <c r="A2713" s="62">
        <v>25171703</v>
      </c>
      <c r="B2713" s="63" t="s">
        <v>3406</v>
      </c>
    </row>
    <row r="2714" spans="1:2" x14ac:dyDescent="0.25">
      <c r="A2714" s="62">
        <v>25171704</v>
      </c>
      <c r="B2714" s="63" t="s">
        <v>3407</v>
      </c>
    </row>
    <row r="2715" spans="1:2" x14ac:dyDescent="0.25">
      <c r="A2715" s="62">
        <v>25171705</v>
      </c>
      <c r="B2715" s="63" t="s">
        <v>3408</v>
      </c>
    </row>
    <row r="2716" spans="1:2" x14ac:dyDescent="0.25">
      <c r="A2716" s="62">
        <v>25171706</v>
      </c>
      <c r="B2716" s="63" t="s">
        <v>3409</v>
      </c>
    </row>
    <row r="2717" spans="1:2" x14ac:dyDescent="0.25">
      <c r="A2717" s="62">
        <v>25171707</v>
      </c>
      <c r="B2717" s="63" t="s">
        <v>3410</v>
      </c>
    </row>
    <row r="2718" spans="1:2" x14ac:dyDescent="0.25">
      <c r="A2718" s="62">
        <v>25171708</v>
      </c>
      <c r="B2718" s="63" t="s">
        <v>3411</v>
      </c>
    </row>
    <row r="2719" spans="1:2" x14ac:dyDescent="0.25">
      <c r="A2719" s="62">
        <v>25171709</v>
      </c>
      <c r="B2719" s="63" t="s">
        <v>3412</v>
      </c>
    </row>
    <row r="2720" spans="1:2" x14ac:dyDescent="0.25">
      <c r="A2720" s="62">
        <v>25171710</v>
      </c>
      <c r="B2720" s="63" t="s">
        <v>3413</v>
      </c>
    </row>
    <row r="2721" spans="1:2" x14ac:dyDescent="0.25">
      <c r="A2721" s="62">
        <v>25171711</v>
      </c>
      <c r="B2721" s="63" t="s">
        <v>3414</v>
      </c>
    </row>
    <row r="2722" spans="1:2" x14ac:dyDescent="0.25">
      <c r="A2722" s="62">
        <v>25171712</v>
      </c>
      <c r="B2722" s="63" t="s">
        <v>3415</v>
      </c>
    </row>
    <row r="2723" spans="1:2" x14ac:dyDescent="0.25">
      <c r="A2723" s="62">
        <v>25171713</v>
      </c>
      <c r="B2723" s="63" t="s">
        <v>3416</v>
      </c>
    </row>
    <row r="2724" spans="1:2" x14ac:dyDescent="0.25">
      <c r="A2724" s="62">
        <v>25171714</v>
      </c>
      <c r="B2724" s="63" t="s">
        <v>3417</v>
      </c>
    </row>
    <row r="2725" spans="1:2" x14ac:dyDescent="0.25">
      <c r="A2725" s="62">
        <v>25171715</v>
      </c>
      <c r="B2725" s="63" t="s">
        <v>3418</v>
      </c>
    </row>
    <row r="2726" spans="1:2" x14ac:dyDescent="0.25">
      <c r="A2726" s="62">
        <v>25171716</v>
      </c>
      <c r="B2726" s="63" t="s">
        <v>3419</v>
      </c>
    </row>
    <row r="2727" spans="1:2" x14ac:dyDescent="0.25">
      <c r="A2727" s="62">
        <v>25171717</v>
      </c>
      <c r="B2727" s="63" t="s">
        <v>3420</v>
      </c>
    </row>
    <row r="2728" spans="1:2" x14ac:dyDescent="0.25">
      <c r="A2728" s="62">
        <v>25171718</v>
      </c>
      <c r="B2728" s="63" t="s">
        <v>3421</v>
      </c>
    </row>
    <row r="2729" spans="1:2" x14ac:dyDescent="0.25">
      <c r="A2729" s="62">
        <v>25171719</v>
      </c>
      <c r="B2729" s="63" t="s">
        <v>3422</v>
      </c>
    </row>
    <row r="2730" spans="1:2" x14ac:dyDescent="0.25">
      <c r="A2730" s="62">
        <v>25171901</v>
      </c>
      <c r="B2730" s="63" t="s">
        <v>3423</v>
      </c>
    </row>
    <row r="2731" spans="1:2" x14ac:dyDescent="0.25">
      <c r="A2731" s="62">
        <v>25171902</v>
      </c>
      <c r="B2731" s="63" t="s">
        <v>3424</v>
      </c>
    </row>
    <row r="2732" spans="1:2" x14ac:dyDescent="0.25">
      <c r="A2732" s="62">
        <v>25171903</v>
      </c>
      <c r="B2732" s="63" t="s">
        <v>3425</v>
      </c>
    </row>
    <row r="2733" spans="1:2" x14ac:dyDescent="0.25">
      <c r="A2733" s="62">
        <v>25171905</v>
      </c>
      <c r="B2733" s="63" t="s">
        <v>3426</v>
      </c>
    </row>
    <row r="2734" spans="1:2" x14ac:dyDescent="0.25">
      <c r="A2734" s="62">
        <v>25172001</v>
      </c>
      <c r="B2734" s="63" t="s">
        <v>3427</v>
      </c>
    </row>
    <row r="2735" spans="1:2" x14ac:dyDescent="0.25">
      <c r="A2735" s="62">
        <v>25172002</v>
      </c>
      <c r="B2735" s="63" t="s">
        <v>3428</v>
      </c>
    </row>
    <row r="2736" spans="1:2" x14ac:dyDescent="0.25">
      <c r="A2736" s="62">
        <v>25172003</v>
      </c>
      <c r="B2736" s="63" t="s">
        <v>3429</v>
      </c>
    </row>
    <row r="2737" spans="1:2" x14ac:dyDescent="0.25">
      <c r="A2737" s="62">
        <v>25172004</v>
      </c>
      <c r="B2737" s="63" t="s">
        <v>3430</v>
      </c>
    </row>
    <row r="2738" spans="1:2" x14ac:dyDescent="0.25">
      <c r="A2738" s="62">
        <v>25172005</v>
      </c>
      <c r="B2738" s="63" t="s">
        <v>3431</v>
      </c>
    </row>
    <row r="2739" spans="1:2" x14ac:dyDescent="0.25">
      <c r="A2739" s="62">
        <v>25172007</v>
      </c>
      <c r="B2739" s="63" t="s">
        <v>3432</v>
      </c>
    </row>
    <row r="2740" spans="1:2" x14ac:dyDescent="0.25">
      <c r="A2740" s="62">
        <v>25172009</v>
      </c>
      <c r="B2740" s="63" t="s">
        <v>3433</v>
      </c>
    </row>
    <row r="2741" spans="1:2" x14ac:dyDescent="0.25">
      <c r="A2741" s="62">
        <v>25172010</v>
      </c>
      <c r="B2741" s="63" t="s">
        <v>3434</v>
      </c>
    </row>
    <row r="2742" spans="1:2" x14ac:dyDescent="0.25">
      <c r="A2742" s="62">
        <v>25172011</v>
      </c>
      <c r="B2742" s="63" t="s">
        <v>3435</v>
      </c>
    </row>
    <row r="2743" spans="1:2" x14ac:dyDescent="0.25">
      <c r="A2743" s="62">
        <v>25172101</v>
      </c>
      <c r="B2743" s="63" t="s">
        <v>3436</v>
      </c>
    </row>
    <row r="2744" spans="1:2" x14ac:dyDescent="0.25">
      <c r="A2744" s="62">
        <v>25172104</v>
      </c>
      <c r="B2744" s="63" t="s">
        <v>3437</v>
      </c>
    </row>
    <row r="2745" spans="1:2" x14ac:dyDescent="0.25">
      <c r="A2745" s="62">
        <v>25172105</v>
      </c>
      <c r="B2745" s="63" t="s">
        <v>3438</v>
      </c>
    </row>
    <row r="2746" spans="1:2" x14ac:dyDescent="0.25">
      <c r="A2746" s="62">
        <v>25172106</v>
      </c>
      <c r="B2746" s="63" t="s">
        <v>3439</v>
      </c>
    </row>
    <row r="2747" spans="1:2" x14ac:dyDescent="0.25">
      <c r="A2747" s="62">
        <v>25172108</v>
      </c>
      <c r="B2747" s="63" t="s">
        <v>3440</v>
      </c>
    </row>
    <row r="2748" spans="1:2" x14ac:dyDescent="0.25">
      <c r="A2748" s="62">
        <v>25172109</v>
      </c>
      <c r="B2748" s="63" t="s">
        <v>3441</v>
      </c>
    </row>
    <row r="2749" spans="1:2" x14ac:dyDescent="0.25">
      <c r="A2749" s="62">
        <v>25172110</v>
      </c>
      <c r="B2749" s="63" t="s">
        <v>3442</v>
      </c>
    </row>
    <row r="2750" spans="1:2" x14ac:dyDescent="0.25">
      <c r="A2750" s="62">
        <v>25172111</v>
      </c>
      <c r="B2750" s="63" t="s">
        <v>3443</v>
      </c>
    </row>
    <row r="2751" spans="1:2" x14ac:dyDescent="0.25">
      <c r="A2751" s="62">
        <v>25172112</v>
      </c>
      <c r="B2751" s="63" t="s">
        <v>3444</v>
      </c>
    </row>
    <row r="2752" spans="1:2" x14ac:dyDescent="0.25">
      <c r="A2752" s="62">
        <v>25172113</v>
      </c>
      <c r="B2752" s="63" t="s">
        <v>3445</v>
      </c>
    </row>
    <row r="2753" spans="1:2" x14ac:dyDescent="0.25">
      <c r="A2753" s="62">
        <v>25172114</v>
      </c>
      <c r="B2753" s="63" t="s">
        <v>3446</v>
      </c>
    </row>
    <row r="2754" spans="1:2" x14ac:dyDescent="0.25">
      <c r="A2754" s="62">
        <v>25172201</v>
      </c>
      <c r="B2754" s="63" t="s">
        <v>3447</v>
      </c>
    </row>
    <row r="2755" spans="1:2" x14ac:dyDescent="0.25">
      <c r="A2755" s="62">
        <v>25172203</v>
      </c>
      <c r="B2755" s="63" t="s">
        <v>3448</v>
      </c>
    </row>
    <row r="2756" spans="1:2" x14ac:dyDescent="0.25">
      <c r="A2756" s="62">
        <v>25172204</v>
      </c>
      <c r="B2756" s="63" t="s">
        <v>3449</v>
      </c>
    </row>
    <row r="2757" spans="1:2" x14ac:dyDescent="0.25">
      <c r="A2757" s="62">
        <v>25172205</v>
      </c>
      <c r="B2757" s="63" t="s">
        <v>3450</v>
      </c>
    </row>
    <row r="2758" spans="1:2" x14ac:dyDescent="0.25">
      <c r="A2758" s="62">
        <v>25172301</v>
      </c>
      <c r="B2758" s="63" t="s">
        <v>3451</v>
      </c>
    </row>
    <row r="2759" spans="1:2" x14ac:dyDescent="0.25">
      <c r="A2759" s="62">
        <v>25172303</v>
      </c>
      <c r="B2759" s="63" t="s">
        <v>3452</v>
      </c>
    </row>
    <row r="2760" spans="1:2" x14ac:dyDescent="0.25">
      <c r="A2760" s="62">
        <v>25172404</v>
      </c>
      <c r="B2760" s="63" t="s">
        <v>3453</v>
      </c>
    </row>
    <row r="2761" spans="1:2" x14ac:dyDescent="0.25">
      <c r="A2761" s="62">
        <v>25172405</v>
      </c>
      <c r="B2761" s="63" t="s">
        <v>3454</v>
      </c>
    </row>
    <row r="2762" spans="1:2" x14ac:dyDescent="0.25">
      <c r="A2762" s="62">
        <v>25172406</v>
      </c>
      <c r="B2762" s="63" t="s">
        <v>3455</v>
      </c>
    </row>
    <row r="2763" spans="1:2" x14ac:dyDescent="0.25">
      <c r="A2763" s="62">
        <v>25172407</v>
      </c>
      <c r="B2763" s="63" t="s">
        <v>3456</v>
      </c>
    </row>
    <row r="2764" spans="1:2" x14ac:dyDescent="0.25">
      <c r="A2764" s="62">
        <v>25172408</v>
      </c>
      <c r="B2764" s="63" t="s">
        <v>3457</v>
      </c>
    </row>
    <row r="2765" spans="1:2" x14ac:dyDescent="0.25">
      <c r="A2765" s="62">
        <v>25172502</v>
      </c>
      <c r="B2765" s="63" t="s">
        <v>3458</v>
      </c>
    </row>
    <row r="2766" spans="1:2" x14ac:dyDescent="0.25">
      <c r="A2766" s="62">
        <v>25172503</v>
      </c>
      <c r="B2766" s="63" t="s">
        <v>3459</v>
      </c>
    </row>
    <row r="2767" spans="1:2" x14ac:dyDescent="0.25">
      <c r="A2767" s="62">
        <v>25172504</v>
      </c>
      <c r="B2767" s="63" t="s">
        <v>3460</v>
      </c>
    </row>
    <row r="2768" spans="1:2" x14ac:dyDescent="0.25">
      <c r="A2768" s="62">
        <v>25172505</v>
      </c>
      <c r="B2768" s="63" t="s">
        <v>3461</v>
      </c>
    </row>
    <row r="2769" spans="1:2" x14ac:dyDescent="0.25">
      <c r="A2769" s="62">
        <v>25172506</v>
      </c>
      <c r="B2769" s="63" t="s">
        <v>3462</v>
      </c>
    </row>
    <row r="2770" spans="1:2" x14ac:dyDescent="0.25">
      <c r="A2770" s="62">
        <v>25172507</v>
      </c>
      <c r="B2770" s="63" t="s">
        <v>3463</v>
      </c>
    </row>
    <row r="2771" spans="1:2" x14ac:dyDescent="0.25">
      <c r="A2771" s="62">
        <v>25172508</v>
      </c>
      <c r="B2771" s="63" t="s">
        <v>3464</v>
      </c>
    </row>
    <row r="2772" spans="1:2" x14ac:dyDescent="0.25">
      <c r="A2772" s="62">
        <v>25172601</v>
      </c>
      <c r="B2772" s="63" t="s">
        <v>3465</v>
      </c>
    </row>
    <row r="2773" spans="1:2" x14ac:dyDescent="0.25">
      <c r="A2773" s="62">
        <v>25172602</v>
      </c>
      <c r="B2773" s="63" t="s">
        <v>3466</v>
      </c>
    </row>
    <row r="2774" spans="1:2" x14ac:dyDescent="0.25">
      <c r="A2774" s="62">
        <v>25172603</v>
      </c>
      <c r="B2774" s="63" t="s">
        <v>3467</v>
      </c>
    </row>
    <row r="2775" spans="1:2" x14ac:dyDescent="0.25">
      <c r="A2775" s="62">
        <v>25172604</v>
      </c>
      <c r="B2775" s="63" t="s">
        <v>3468</v>
      </c>
    </row>
    <row r="2776" spans="1:2" x14ac:dyDescent="0.25">
      <c r="A2776" s="62">
        <v>25172605</v>
      </c>
      <c r="B2776" s="63" t="s">
        <v>3469</v>
      </c>
    </row>
    <row r="2777" spans="1:2" x14ac:dyDescent="0.25">
      <c r="A2777" s="62">
        <v>25172606</v>
      </c>
      <c r="B2777" s="63" t="s">
        <v>3470</v>
      </c>
    </row>
    <row r="2778" spans="1:2" x14ac:dyDescent="0.25">
      <c r="A2778" s="62">
        <v>25172607</v>
      </c>
      <c r="B2778" s="63" t="s">
        <v>3471</v>
      </c>
    </row>
    <row r="2779" spans="1:2" x14ac:dyDescent="0.25">
      <c r="A2779" s="62">
        <v>25172608</v>
      </c>
      <c r="B2779" s="63" t="s">
        <v>3472</v>
      </c>
    </row>
    <row r="2780" spans="1:2" x14ac:dyDescent="0.25">
      <c r="A2780" s="62">
        <v>25172702</v>
      </c>
      <c r="B2780" s="63" t="s">
        <v>3473</v>
      </c>
    </row>
    <row r="2781" spans="1:2" x14ac:dyDescent="0.25">
      <c r="A2781" s="62">
        <v>25172703</v>
      </c>
      <c r="B2781" s="63" t="s">
        <v>3474</v>
      </c>
    </row>
    <row r="2782" spans="1:2" x14ac:dyDescent="0.25">
      <c r="A2782" s="62">
        <v>25172704</v>
      </c>
      <c r="B2782" s="63" t="s">
        <v>3475</v>
      </c>
    </row>
    <row r="2783" spans="1:2" x14ac:dyDescent="0.25">
      <c r="A2783" s="62">
        <v>25172802</v>
      </c>
      <c r="B2783" s="63" t="s">
        <v>3476</v>
      </c>
    </row>
    <row r="2784" spans="1:2" x14ac:dyDescent="0.25">
      <c r="A2784" s="62">
        <v>25172803</v>
      </c>
      <c r="B2784" s="63" t="s">
        <v>3477</v>
      </c>
    </row>
    <row r="2785" spans="1:2" x14ac:dyDescent="0.25">
      <c r="A2785" s="62">
        <v>25172901</v>
      </c>
      <c r="B2785" s="63" t="s">
        <v>3478</v>
      </c>
    </row>
    <row r="2786" spans="1:2" x14ac:dyDescent="0.25">
      <c r="A2786" s="62">
        <v>25172903</v>
      </c>
      <c r="B2786" s="63" t="s">
        <v>3479</v>
      </c>
    </row>
    <row r="2787" spans="1:2" x14ac:dyDescent="0.25">
      <c r="A2787" s="62">
        <v>25172904</v>
      </c>
      <c r="B2787" s="63" t="s">
        <v>3480</v>
      </c>
    </row>
    <row r="2788" spans="1:2" x14ac:dyDescent="0.25">
      <c r="A2788" s="62">
        <v>25172905</v>
      </c>
      <c r="B2788" s="63" t="s">
        <v>3481</v>
      </c>
    </row>
    <row r="2789" spans="1:2" x14ac:dyDescent="0.25">
      <c r="A2789" s="62">
        <v>25172906</v>
      </c>
      <c r="B2789" s="63" t="s">
        <v>3482</v>
      </c>
    </row>
    <row r="2790" spans="1:2" x14ac:dyDescent="0.25">
      <c r="A2790" s="62">
        <v>25172907</v>
      </c>
      <c r="B2790" s="63" t="s">
        <v>3483</v>
      </c>
    </row>
    <row r="2791" spans="1:2" x14ac:dyDescent="0.25">
      <c r="A2791" s="62">
        <v>25173001</v>
      </c>
      <c r="B2791" s="63" t="s">
        <v>3484</v>
      </c>
    </row>
    <row r="2792" spans="1:2" x14ac:dyDescent="0.25">
      <c r="A2792" s="62">
        <v>25173003</v>
      </c>
      <c r="B2792" s="63" t="s">
        <v>3485</v>
      </c>
    </row>
    <row r="2793" spans="1:2" x14ac:dyDescent="0.25">
      <c r="A2793" s="62">
        <v>25173004</v>
      </c>
      <c r="B2793" s="63" t="s">
        <v>3486</v>
      </c>
    </row>
    <row r="2794" spans="1:2" x14ac:dyDescent="0.25">
      <c r="A2794" s="62">
        <v>25173005</v>
      </c>
      <c r="B2794" s="63" t="s">
        <v>3487</v>
      </c>
    </row>
    <row r="2795" spans="1:2" x14ac:dyDescent="0.25">
      <c r="A2795" s="62">
        <v>25173107</v>
      </c>
      <c r="B2795" s="63" t="s">
        <v>3488</v>
      </c>
    </row>
    <row r="2796" spans="1:2" x14ac:dyDescent="0.25">
      <c r="A2796" s="62">
        <v>25173108</v>
      </c>
      <c r="B2796" s="63" t="s">
        <v>3489</v>
      </c>
    </row>
    <row r="2797" spans="1:2" x14ac:dyDescent="0.25">
      <c r="A2797" s="62">
        <v>25173303</v>
      </c>
      <c r="B2797" s="63" t="s">
        <v>3490</v>
      </c>
    </row>
    <row r="2798" spans="1:2" x14ac:dyDescent="0.25">
      <c r="A2798" s="62">
        <v>25173304</v>
      </c>
      <c r="B2798" s="63" t="s">
        <v>3491</v>
      </c>
    </row>
    <row r="2799" spans="1:2" x14ac:dyDescent="0.25">
      <c r="A2799" s="62">
        <v>25173701</v>
      </c>
      <c r="B2799" s="63" t="s">
        <v>3492</v>
      </c>
    </row>
    <row r="2800" spans="1:2" x14ac:dyDescent="0.25">
      <c r="A2800" s="62">
        <v>25173702</v>
      </c>
      <c r="B2800" s="63" t="s">
        <v>3493</v>
      </c>
    </row>
    <row r="2801" spans="1:2" x14ac:dyDescent="0.25">
      <c r="A2801" s="62">
        <v>25173703</v>
      </c>
      <c r="B2801" s="63" t="s">
        <v>3494</v>
      </c>
    </row>
    <row r="2802" spans="1:2" x14ac:dyDescent="0.25">
      <c r="A2802" s="62">
        <v>25173704</v>
      </c>
      <c r="B2802" s="63" t="s">
        <v>3495</v>
      </c>
    </row>
    <row r="2803" spans="1:2" x14ac:dyDescent="0.25">
      <c r="A2803" s="62">
        <v>25173705</v>
      </c>
      <c r="B2803" s="63" t="s">
        <v>3496</v>
      </c>
    </row>
    <row r="2804" spans="1:2" x14ac:dyDescent="0.25">
      <c r="A2804" s="62">
        <v>25173801</v>
      </c>
      <c r="B2804" s="63" t="s">
        <v>3497</v>
      </c>
    </row>
    <row r="2805" spans="1:2" x14ac:dyDescent="0.25">
      <c r="A2805" s="62">
        <v>25173802</v>
      </c>
      <c r="B2805" s="63" t="s">
        <v>3498</v>
      </c>
    </row>
    <row r="2806" spans="1:2" x14ac:dyDescent="0.25">
      <c r="A2806" s="62">
        <v>25173803</v>
      </c>
      <c r="B2806" s="63" t="s">
        <v>3499</v>
      </c>
    </row>
    <row r="2807" spans="1:2" x14ac:dyDescent="0.25">
      <c r="A2807" s="62">
        <v>25173804</v>
      </c>
      <c r="B2807" s="63" t="s">
        <v>3500</v>
      </c>
    </row>
    <row r="2808" spans="1:2" x14ac:dyDescent="0.25">
      <c r="A2808" s="62">
        <v>25173805</v>
      </c>
      <c r="B2808" s="63" t="s">
        <v>3501</v>
      </c>
    </row>
    <row r="2809" spans="1:2" x14ac:dyDescent="0.25">
      <c r="A2809" s="62">
        <v>25173806</v>
      </c>
      <c r="B2809" s="63" t="s">
        <v>3502</v>
      </c>
    </row>
    <row r="2810" spans="1:2" x14ac:dyDescent="0.25">
      <c r="A2810" s="62">
        <v>25173807</v>
      </c>
      <c r="B2810" s="63" t="s">
        <v>3503</v>
      </c>
    </row>
    <row r="2811" spans="1:2" x14ac:dyDescent="0.25">
      <c r="A2811" s="62">
        <v>25173808</v>
      </c>
      <c r="B2811" s="63" t="s">
        <v>3504</v>
      </c>
    </row>
    <row r="2812" spans="1:2" x14ac:dyDescent="0.25">
      <c r="A2812" s="62">
        <v>25173809</v>
      </c>
      <c r="B2812" s="63" t="s">
        <v>3505</v>
      </c>
    </row>
    <row r="2813" spans="1:2" x14ac:dyDescent="0.25">
      <c r="A2813" s="62">
        <v>25173810</v>
      </c>
      <c r="B2813" s="63" t="s">
        <v>3506</v>
      </c>
    </row>
    <row r="2814" spans="1:2" x14ac:dyDescent="0.25">
      <c r="A2814" s="62">
        <v>25173811</v>
      </c>
      <c r="B2814" s="63" t="s">
        <v>3507</v>
      </c>
    </row>
    <row r="2815" spans="1:2" x14ac:dyDescent="0.25">
      <c r="A2815" s="62">
        <v>25173812</v>
      </c>
      <c r="B2815" s="63" t="s">
        <v>3508</v>
      </c>
    </row>
    <row r="2816" spans="1:2" x14ac:dyDescent="0.25">
      <c r="A2816" s="62">
        <v>25173813</v>
      </c>
      <c r="B2816" s="63" t="s">
        <v>3509</v>
      </c>
    </row>
    <row r="2817" spans="1:2" x14ac:dyDescent="0.25">
      <c r="A2817" s="62">
        <v>25173815</v>
      </c>
      <c r="B2817" s="63" t="s">
        <v>3510</v>
      </c>
    </row>
    <row r="2818" spans="1:2" x14ac:dyDescent="0.25">
      <c r="A2818" s="62">
        <v>25173816</v>
      </c>
      <c r="B2818" s="63" t="s">
        <v>3511</v>
      </c>
    </row>
    <row r="2819" spans="1:2" x14ac:dyDescent="0.25">
      <c r="A2819" s="62">
        <v>25173817</v>
      </c>
      <c r="B2819" s="63" t="s">
        <v>3512</v>
      </c>
    </row>
    <row r="2820" spans="1:2" x14ac:dyDescent="0.25">
      <c r="A2820" s="62">
        <v>25173901</v>
      </c>
      <c r="B2820" s="63" t="s">
        <v>3513</v>
      </c>
    </row>
    <row r="2821" spans="1:2" x14ac:dyDescent="0.25">
      <c r="A2821" s="62">
        <v>25174001</v>
      </c>
      <c r="B2821" s="63" t="s">
        <v>3514</v>
      </c>
    </row>
    <row r="2822" spans="1:2" x14ac:dyDescent="0.25">
      <c r="A2822" s="62">
        <v>25174002</v>
      </c>
      <c r="B2822" s="63" t="s">
        <v>3515</v>
      </c>
    </row>
    <row r="2823" spans="1:2" x14ac:dyDescent="0.25">
      <c r="A2823" s="62">
        <v>25174003</v>
      </c>
      <c r="B2823" s="63" t="s">
        <v>3516</v>
      </c>
    </row>
    <row r="2824" spans="1:2" x14ac:dyDescent="0.25">
      <c r="A2824" s="62">
        <v>25174004</v>
      </c>
      <c r="B2824" s="63" t="s">
        <v>3517</v>
      </c>
    </row>
    <row r="2825" spans="1:2" x14ac:dyDescent="0.25">
      <c r="A2825" s="62">
        <v>25174101</v>
      </c>
      <c r="B2825" s="63" t="s">
        <v>3518</v>
      </c>
    </row>
    <row r="2826" spans="1:2" x14ac:dyDescent="0.25">
      <c r="A2826" s="62">
        <v>25174102</v>
      </c>
      <c r="B2826" s="63" t="s">
        <v>3519</v>
      </c>
    </row>
    <row r="2827" spans="1:2" x14ac:dyDescent="0.25">
      <c r="A2827" s="62">
        <v>25174103</v>
      </c>
      <c r="B2827" s="63" t="s">
        <v>3520</v>
      </c>
    </row>
    <row r="2828" spans="1:2" x14ac:dyDescent="0.25">
      <c r="A2828" s="62">
        <v>25174104</v>
      </c>
      <c r="B2828" s="63" t="s">
        <v>3521</v>
      </c>
    </row>
    <row r="2829" spans="1:2" x14ac:dyDescent="0.25">
      <c r="A2829" s="62">
        <v>25174105</v>
      </c>
      <c r="B2829" s="63" t="s">
        <v>3522</v>
      </c>
    </row>
    <row r="2830" spans="1:2" x14ac:dyDescent="0.25">
      <c r="A2830" s="62">
        <v>25174106</v>
      </c>
      <c r="B2830" s="63" t="s">
        <v>3523</v>
      </c>
    </row>
    <row r="2831" spans="1:2" x14ac:dyDescent="0.25">
      <c r="A2831" s="62">
        <v>25174107</v>
      </c>
      <c r="B2831" s="63" t="s">
        <v>3524</v>
      </c>
    </row>
    <row r="2832" spans="1:2" x14ac:dyDescent="0.25">
      <c r="A2832" s="62">
        <v>25174201</v>
      </c>
      <c r="B2832" s="63" t="s">
        <v>3525</v>
      </c>
    </row>
    <row r="2833" spans="1:2" x14ac:dyDescent="0.25">
      <c r="A2833" s="62">
        <v>25174202</v>
      </c>
      <c r="B2833" s="63" t="s">
        <v>3526</v>
      </c>
    </row>
    <row r="2834" spans="1:2" x14ac:dyDescent="0.25">
      <c r="A2834" s="62">
        <v>25174203</v>
      </c>
      <c r="B2834" s="63" t="s">
        <v>3527</v>
      </c>
    </row>
    <row r="2835" spans="1:2" x14ac:dyDescent="0.25">
      <c r="A2835" s="62">
        <v>25174204</v>
      </c>
      <c r="B2835" s="63" t="s">
        <v>3528</v>
      </c>
    </row>
    <row r="2836" spans="1:2" x14ac:dyDescent="0.25">
      <c r="A2836" s="62">
        <v>25174205</v>
      </c>
      <c r="B2836" s="63" t="s">
        <v>3529</v>
      </c>
    </row>
    <row r="2837" spans="1:2" x14ac:dyDescent="0.25">
      <c r="A2837" s="62">
        <v>25174206</v>
      </c>
      <c r="B2837" s="63" t="s">
        <v>3530</v>
      </c>
    </row>
    <row r="2838" spans="1:2" x14ac:dyDescent="0.25">
      <c r="A2838" s="62">
        <v>25174207</v>
      </c>
      <c r="B2838" s="63" t="s">
        <v>3531</v>
      </c>
    </row>
    <row r="2839" spans="1:2" x14ac:dyDescent="0.25">
      <c r="A2839" s="62">
        <v>25174208</v>
      </c>
      <c r="B2839" s="63" t="s">
        <v>3532</v>
      </c>
    </row>
    <row r="2840" spans="1:2" x14ac:dyDescent="0.25">
      <c r="A2840" s="62">
        <v>25174209</v>
      </c>
      <c r="B2840" s="63" t="s">
        <v>3533</v>
      </c>
    </row>
    <row r="2841" spans="1:2" x14ac:dyDescent="0.25">
      <c r="A2841" s="62">
        <v>25174210</v>
      </c>
      <c r="B2841" s="63" t="s">
        <v>3534</v>
      </c>
    </row>
    <row r="2842" spans="1:2" x14ac:dyDescent="0.25">
      <c r="A2842" s="62">
        <v>25174211</v>
      </c>
      <c r="B2842" s="63" t="s">
        <v>3535</v>
      </c>
    </row>
    <row r="2843" spans="1:2" x14ac:dyDescent="0.25">
      <c r="A2843" s="62">
        <v>25174212</v>
      </c>
      <c r="B2843" s="63" t="s">
        <v>3536</v>
      </c>
    </row>
    <row r="2844" spans="1:2" x14ac:dyDescent="0.25">
      <c r="A2844" s="62">
        <v>25174213</v>
      </c>
      <c r="B2844" s="63" t="s">
        <v>3537</v>
      </c>
    </row>
    <row r="2845" spans="1:2" x14ac:dyDescent="0.25">
      <c r="A2845" s="62">
        <v>25174401</v>
      </c>
      <c r="B2845" s="63" t="s">
        <v>3538</v>
      </c>
    </row>
    <row r="2846" spans="1:2" x14ac:dyDescent="0.25">
      <c r="A2846" s="62">
        <v>25174402</v>
      </c>
      <c r="B2846" s="63" t="s">
        <v>3539</v>
      </c>
    </row>
    <row r="2847" spans="1:2" x14ac:dyDescent="0.25">
      <c r="A2847" s="62">
        <v>25174403</v>
      </c>
      <c r="B2847" s="63" t="s">
        <v>3540</v>
      </c>
    </row>
    <row r="2848" spans="1:2" x14ac:dyDescent="0.25">
      <c r="A2848" s="62">
        <v>25174404</v>
      </c>
      <c r="B2848" s="63" t="s">
        <v>3541</v>
      </c>
    </row>
    <row r="2849" spans="1:2" x14ac:dyDescent="0.25">
      <c r="A2849" s="62">
        <v>25174405</v>
      </c>
      <c r="B2849" s="63" t="s">
        <v>3542</v>
      </c>
    </row>
    <row r="2850" spans="1:2" x14ac:dyDescent="0.25">
      <c r="A2850" s="62">
        <v>25174406</v>
      </c>
      <c r="B2850" s="63" t="s">
        <v>3543</v>
      </c>
    </row>
    <row r="2851" spans="1:2" x14ac:dyDescent="0.25">
      <c r="A2851" s="62">
        <v>25174407</v>
      </c>
      <c r="B2851" s="63" t="s">
        <v>3544</v>
      </c>
    </row>
    <row r="2852" spans="1:2" x14ac:dyDescent="0.25">
      <c r="A2852" s="62">
        <v>25174408</v>
      </c>
      <c r="B2852" s="63" t="s">
        <v>3545</v>
      </c>
    </row>
    <row r="2853" spans="1:2" x14ac:dyDescent="0.25">
      <c r="A2853" s="62">
        <v>25174409</v>
      </c>
      <c r="B2853" s="63" t="s">
        <v>3546</v>
      </c>
    </row>
    <row r="2854" spans="1:2" x14ac:dyDescent="0.25">
      <c r="A2854" s="62">
        <v>25174410</v>
      </c>
      <c r="B2854" s="63" t="s">
        <v>3547</v>
      </c>
    </row>
    <row r="2855" spans="1:2" x14ac:dyDescent="0.25">
      <c r="A2855" s="62">
        <v>25174601</v>
      </c>
      <c r="B2855" s="63" t="s">
        <v>3548</v>
      </c>
    </row>
    <row r="2856" spans="1:2" x14ac:dyDescent="0.25">
      <c r="A2856" s="62">
        <v>25174602</v>
      </c>
      <c r="B2856" s="63" t="s">
        <v>3549</v>
      </c>
    </row>
    <row r="2857" spans="1:2" x14ac:dyDescent="0.25">
      <c r="A2857" s="62">
        <v>25174603</v>
      </c>
      <c r="B2857" s="63" t="s">
        <v>3550</v>
      </c>
    </row>
    <row r="2858" spans="1:2" x14ac:dyDescent="0.25">
      <c r="A2858" s="62">
        <v>25174701</v>
      </c>
      <c r="B2858" s="63" t="s">
        <v>3551</v>
      </c>
    </row>
    <row r="2859" spans="1:2" x14ac:dyDescent="0.25">
      <c r="A2859" s="62">
        <v>25181601</v>
      </c>
      <c r="B2859" s="63" t="s">
        <v>3552</v>
      </c>
    </row>
    <row r="2860" spans="1:2" x14ac:dyDescent="0.25">
      <c r="A2860" s="62">
        <v>25181602</v>
      </c>
      <c r="B2860" s="63" t="s">
        <v>3553</v>
      </c>
    </row>
    <row r="2861" spans="1:2" x14ac:dyDescent="0.25">
      <c r="A2861" s="62">
        <v>25181603</v>
      </c>
      <c r="B2861" s="63" t="s">
        <v>3554</v>
      </c>
    </row>
    <row r="2862" spans="1:2" x14ac:dyDescent="0.25">
      <c r="A2862" s="62">
        <v>25181701</v>
      </c>
      <c r="B2862" s="63" t="s">
        <v>3555</v>
      </c>
    </row>
    <row r="2863" spans="1:2" x14ac:dyDescent="0.25">
      <c r="A2863" s="62">
        <v>25181702</v>
      </c>
      <c r="B2863" s="63" t="s">
        <v>3556</v>
      </c>
    </row>
    <row r="2864" spans="1:2" x14ac:dyDescent="0.25">
      <c r="A2864" s="62">
        <v>25181703</v>
      </c>
      <c r="B2864" s="63" t="s">
        <v>3557</v>
      </c>
    </row>
    <row r="2865" spans="1:2" x14ac:dyDescent="0.25">
      <c r="A2865" s="62">
        <v>25181704</v>
      </c>
      <c r="B2865" s="63" t="s">
        <v>3558</v>
      </c>
    </row>
    <row r="2866" spans="1:2" x14ac:dyDescent="0.25">
      <c r="A2866" s="62">
        <v>25181705</v>
      </c>
      <c r="B2866" s="63" t="s">
        <v>3559</v>
      </c>
    </row>
    <row r="2867" spans="1:2" x14ac:dyDescent="0.25">
      <c r="A2867" s="62">
        <v>25181706</v>
      </c>
      <c r="B2867" s="63" t="s">
        <v>3560</v>
      </c>
    </row>
    <row r="2868" spans="1:2" x14ac:dyDescent="0.25">
      <c r="A2868" s="62">
        <v>25181707</v>
      </c>
      <c r="B2868" s="63" t="s">
        <v>3561</v>
      </c>
    </row>
    <row r="2869" spans="1:2" x14ac:dyDescent="0.25">
      <c r="A2869" s="62">
        <v>25181708</v>
      </c>
      <c r="B2869" s="63" t="s">
        <v>3562</v>
      </c>
    </row>
    <row r="2870" spans="1:2" x14ac:dyDescent="0.25">
      <c r="A2870" s="62">
        <v>25181709</v>
      </c>
      <c r="B2870" s="63" t="s">
        <v>3563</v>
      </c>
    </row>
    <row r="2871" spans="1:2" x14ac:dyDescent="0.25">
      <c r="A2871" s="62">
        <v>25181710</v>
      </c>
      <c r="B2871" s="63" t="s">
        <v>3564</v>
      </c>
    </row>
    <row r="2872" spans="1:2" x14ac:dyDescent="0.25">
      <c r="A2872" s="62">
        <v>25181711</v>
      </c>
      <c r="B2872" s="63" t="s">
        <v>3565</v>
      </c>
    </row>
    <row r="2873" spans="1:2" x14ac:dyDescent="0.25">
      <c r="A2873" s="62">
        <v>25181712</v>
      </c>
      <c r="B2873" s="63" t="s">
        <v>3566</v>
      </c>
    </row>
    <row r="2874" spans="1:2" x14ac:dyDescent="0.25">
      <c r="A2874" s="62">
        <v>25181713</v>
      </c>
      <c r="B2874" s="63" t="s">
        <v>3567</v>
      </c>
    </row>
    <row r="2875" spans="1:2" x14ac:dyDescent="0.25">
      <c r="A2875" s="62">
        <v>25191501</v>
      </c>
      <c r="B2875" s="63" t="s">
        <v>3568</v>
      </c>
    </row>
    <row r="2876" spans="1:2" x14ac:dyDescent="0.25">
      <c r="A2876" s="62">
        <v>25191502</v>
      </c>
      <c r="B2876" s="63" t="s">
        <v>3569</v>
      </c>
    </row>
    <row r="2877" spans="1:2" x14ac:dyDescent="0.25">
      <c r="A2877" s="62">
        <v>25191503</v>
      </c>
      <c r="B2877" s="63" t="s">
        <v>3570</v>
      </c>
    </row>
    <row r="2878" spans="1:2" x14ac:dyDescent="0.25">
      <c r="A2878" s="62">
        <v>25191504</v>
      </c>
      <c r="B2878" s="63" t="s">
        <v>3571</v>
      </c>
    </row>
    <row r="2879" spans="1:2" x14ac:dyDescent="0.25">
      <c r="A2879" s="62">
        <v>25191505</v>
      </c>
      <c r="B2879" s="63" t="s">
        <v>3572</v>
      </c>
    </row>
    <row r="2880" spans="1:2" x14ac:dyDescent="0.25">
      <c r="A2880" s="62">
        <v>25191506</v>
      </c>
      <c r="B2880" s="63" t="s">
        <v>3573</v>
      </c>
    </row>
    <row r="2881" spans="1:2" x14ac:dyDescent="0.25">
      <c r="A2881" s="62">
        <v>25191507</v>
      </c>
      <c r="B2881" s="63" t="s">
        <v>3574</v>
      </c>
    </row>
    <row r="2882" spans="1:2" x14ac:dyDescent="0.25">
      <c r="A2882" s="62">
        <v>25191508</v>
      </c>
      <c r="B2882" s="63" t="s">
        <v>3575</v>
      </c>
    </row>
    <row r="2883" spans="1:2" x14ac:dyDescent="0.25">
      <c r="A2883" s="62">
        <v>25191509</v>
      </c>
      <c r="B2883" s="63" t="s">
        <v>3576</v>
      </c>
    </row>
    <row r="2884" spans="1:2" x14ac:dyDescent="0.25">
      <c r="A2884" s="62">
        <v>25191510</v>
      </c>
      <c r="B2884" s="63" t="s">
        <v>3577</v>
      </c>
    </row>
    <row r="2885" spans="1:2" x14ac:dyDescent="0.25">
      <c r="A2885" s="62">
        <v>25191511</v>
      </c>
      <c r="B2885" s="63" t="s">
        <v>3578</v>
      </c>
    </row>
    <row r="2886" spans="1:2" x14ac:dyDescent="0.25">
      <c r="A2886" s="62">
        <v>25191512</v>
      </c>
      <c r="B2886" s="63" t="s">
        <v>3579</v>
      </c>
    </row>
    <row r="2887" spans="1:2" x14ac:dyDescent="0.25">
      <c r="A2887" s="62">
        <v>25191513</v>
      </c>
      <c r="B2887" s="63" t="s">
        <v>3580</v>
      </c>
    </row>
    <row r="2888" spans="1:2" x14ac:dyDescent="0.25">
      <c r="A2888" s="62">
        <v>25191514</v>
      </c>
      <c r="B2888" s="63" t="s">
        <v>3581</v>
      </c>
    </row>
    <row r="2889" spans="1:2" x14ac:dyDescent="0.25">
      <c r="A2889" s="62">
        <v>25191601</v>
      </c>
      <c r="B2889" s="63" t="s">
        <v>3582</v>
      </c>
    </row>
    <row r="2890" spans="1:2" x14ac:dyDescent="0.25">
      <c r="A2890" s="62">
        <v>25191602</v>
      </c>
      <c r="B2890" s="63" t="s">
        <v>3583</v>
      </c>
    </row>
    <row r="2891" spans="1:2" x14ac:dyDescent="0.25">
      <c r="A2891" s="62">
        <v>25191603</v>
      </c>
      <c r="B2891" s="63" t="s">
        <v>3584</v>
      </c>
    </row>
    <row r="2892" spans="1:2" x14ac:dyDescent="0.25">
      <c r="A2892" s="62">
        <v>25191604</v>
      </c>
      <c r="B2892" s="63" t="s">
        <v>3585</v>
      </c>
    </row>
    <row r="2893" spans="1:2" x14ac:dyDescent="0.25">
      <c r="A2893" s="62">
        <v>25191605</v>
      </c>
      <c r="B2893" s="63" t="s">
        <v>3586</v>
      </c>
    </row>
    <row r="2894" spans="1:2" x14ac:dyDescent="0.25">
      <c r="A2894" s="62">
        <v>25191701</v>
      </c>
      <c r="B2894" s="63" t="s">
        <v>3587</v>
      </c>
    </row>
    <row r="2895" spans="1:2" x14ac:dyDescent="0.25">
      <c r="A2895" s="62">
        <v>25191702</v>
      </c>
      <c r="B2895" s="63" t="s">
        <v>3588</v>
      </c>
    </row>
    <row r="2896" spans="1:2" x14ac:dyDescent="0.25">
      <c r="A2896" s="62">
        <v>25191703</v>
      </c>
      <c r="B2896" s="63" t="s">
        <v>3589</v>
      </c>
    </row>
    <row r="2897" spans="1:2" x14ac:dyDescent="0.25">
      <c r="A2897" s="62">
        <v>25191704</v>
      </c>
      <c r="B2897" s="63" t="s">
        <v>3590</v>
      </c>
    </row>
    <row r="2898" spans="1:2" x14ac:dyDescent="0.25">
      <c r="A2898" s="62">
        <v>25201501</v>
      </c>
      <c r="B2898" s="63" t="s">
        <v>3591</v>
      </c>
    </row>
    <row r="2899" spans="1:2" x14ac:dyDescent="0.25">
      <c r="A2899" s="62">
        <v>25201502</v>
      </c>
      <c r="B2899" s="63" t="s">
        <v>3592</v>
      </c>
    </row>
    <row r="2900" spans="1:2" x14ac:dyDescent="0.25">
      <c r="A2900" s="62">
        <v>25201503</v>
      </c>
      <c r="B2900" s="63" t="s">
        <v>3593</v>
      </c>
    </row>
    <row r="2901" spans="1:2" x14ac:dyDescent="0.25">
      <c r="A2901" s="62">
        <v>25201504</v>
      </c>
      <c r="B2901" s="63" t="s">
        <v>3594</v>
      </c>
    </row>
    <row r="2902" spans="1:2" x14ac:dyDescent="0.25">
      <c r="A2902" s="62">
        <v>25201505</v>
      </c>
      <c r="B2902" s="63" t="s">
        <v>3595</v>
      </c>
    </row>
    <row r="2903" spans="1:2" x14ac:dyDescent="0.25">
      <c r="A2903" s="62">
        <v>25201506</v>
      </c>
      <c r="B2903" s="63" t="s">
        <v>3596</v>
      </c>
    </row>
    <row r="2904" spans="1:2" x14ac:dyDescent="0.25">
      <c r="A2904" s="62">
        <v>25201507</v>
      </c>
      <c r="B2904" s="63" t="s">
        <v>3597</v>
      </c>
    </row>
    <row r="2905" spans="1:2" x14ac:dyDescent="0.25">
      <c r="A2905" s="62">
        <v>25201508</v>
      </c>
      <c r="B2905" s="63" t="s">
        <v>3598</v>
      </c>
    </row>
    <row r="2906" spans="1:2" x14ac:dyDescent="0.25">
      <c r="A2906" s="62">
        <v>25201509</v>
      </c>
      <c r="B2906" s="63" t="s">
        <v>3599</v>
      </c>
    </row>
    <row r="2907" spans="1:2" x14ac:dyDescent="0.25">
      <c r="A2907" s="62">
        <v>25201510</v>
      </c>
      <c r="B2907" s="63" t="s">
        <v>3600</v>
      </c>
    </row>
    <row r="2908" spans="1:2" x14ac:dyDescent="0.25">
      <c r="A2908" s="62">
        <v>25201511</v>
      </c>
      <c r="B2908" s="63" t="s">
        <v>3601</v>
      </c>
    </row>
    <row r="2909" spans="1:2" x14ac:dyDescent="0.25">
      <c r="A2909" s="62">
        <v>25201512</v>
      </c>
      <c r="B2909" s="63" t="s">
        <v>3602</v>
      </c>
    </row>
    <row r="2910" spans="1:2" x14ac:dyDescent="0.25">
      <c r="A2910" s="62">
        <v>25201513</v>
      </c>
      <c r="B2910" s="63" t="s">
        <v>3603</v>
      </c>
    </row>
    <row r="2911" spans="1:2" x14ac:dyDescent="0.25">
      <c r="A2911" s="62">
        <v>25201514</v>
      </c>
      <c r="B2911" s="63" t="s">
        <v>3604</v>
      </c>
    </row>
    <row r="2912" spans="1:2" x14ac:dyDescent="0.25">
      <c r="A2912" s="62">
        <v>25201515</v>
      </c>
      <c r="B2912" s="63" t="s">
        <v>3605</v>
      </c>
    </row>
    <row r="2913" spans="1:2" x14ac:dyDescent="0.25">
      <c r="A2913" s="62">
        <v>25201516</v>
      </c>
      <c r="B2913" s="63" t="s">
        <v>3606</v>
      </c>
    </row>
    <row r="2914" spans="1:2" x14ac:dyDescent="0.25">
      <c r="A2914" s="62">
        <v>25201517</v>
      </c>
      <c r="B2914" s="63" t="s">
        <v>3607</v>
      </c>
    </row>
    <row r="2915" spans="1:2" x14ac:dyDescent="0.25">
      <c r="A2915" s="62">
        <v>25201518</v>
      </c>
      <c r="B2915" s="63" t="s">
        <v>3608</v>
      </c>
    </row>
    <row r="2916" spans="1:2" x14ac:dyDescent="0.25">
      <c r="A2916" s="62">
        <v>25201519</v>
      </c>
      <c r="B2916" s="63" t="s">
        <v>3609</v>
      </c>
    </row>
    <row r="2917" spans="1:2" x14ac:dyDescent="0.25">
      <c r="A2917" s="62">
        <v>25201520</v>
      </c>
      <c r="B2917" s="63" t="s">
        <v>3610</v>
      </c>
    </row>
    <row r="2918" spans="1:2" x14ac:dyDescent="0.25">
      <c r="A2918" s="62">
        <v>25201601</v>
      </c>
      <c r="B2918" s="63" t="s">
        <v>3611</v>
      </c>
    </row>
    <row r="2919" spans="1:2" x14ac:dyDescent="0.25">
      <c r="A2919" s="62">
        <v>25201602</v>
      </c>
      <c r="B2919" s="63" t="s">
        <v>3612</v>
      </c>
    </row>
    <row r="2920" spans="1:2" x14ac:dyDescent="0.25">
      <c r="A2920" s="62">
        <v>25201603</v>
      </c>
      <c r="B2920" s="63" t="s">
        <v>3613</v>
      </c>
    </row>
    <row r="2921" spans="1:2" x14ac:dyDescent="0.25">
      <c r="A2921" s="62">
        <v>25201604</v>
      </c>
      <c r="B2921" s="63" t="s">
        <v>3614</v>
      </c>
    </row>
    <row r="2922" spans="1:2" x14ac:dyDescent="0.25">
      <c r="A2922" s="62">
        <v>25201605</v>
      </c>
      <c r="B2922" s="63" t="s">
        <v>3615</v>
      </c>
    </row>
    <row r="2923" spans="1:2" x14ac:dyDescent="0.25">
      <c r="A2923" s="62">
        <v>25201606</v>
      </c>
      <c r="B2923" s="63" t="s">
        <v>3616</v>
      </c>
    </row>
    <row r="2924" spans="1:2" x14ac:dyDescent="0.25">
      <c r="A2924" s="62">
        <v>25201701</v>
      </c>
      <c r="B2924" s="63" t="s">
        <v>3617</v>
      </c>
    </row>
    <row r="2925" spans="1:2" x14ac:dyDescent="0.25">
      <c r="A2925" s="62">
        <v>25201702</v>
      </c>
      <c r="B2925" s="63" t="s">
        <v>3618</v>
      </c>
    </row>
    <row r="2926" spans="1:2" x14ac:dyDescent="0.25">
      <c r="A2926" s="62">
        <v>25201703</v>
      </c>
      <c r="B2926" s="63" t="s">
        <v>3619</v>
      </c>
    </row>
    <row r="2927" spans="1:2" x14ac:dyDescent="0.25">
      <c r="A2927" s="62">
        <v>25201704</v>
      </c>
      <c r="B2927" s="63" t="s">
        <v>3620</v>
      </c>
    </row>
    <row r="2928" spans="1:2" x14ac:dyDescent="0.25">
      <c r="A2928" s="62">
        <v>25201705</v>
      </c>
      <c r="B2928" s="63" t="s">
        <v>3621</v>
      </c>
    </row>
    <row r="2929" spans="1:2" x14ac:dyDescent="0.25">
      <c r="A2929" s="62">
        <v>25201706</v>
      </c>
      <c r="B2929" s="63" t="s">
        <v>3622</v>
      </c>
    </row>
    <row r="2930" spans="1:2" x14ac:dyDescent="0.25">
      <c r="A2930" s="62">
        <v>25201707</v>
      </c>
      <c r="B2930" s="63" t="s">
        <v>3623</v>
      </c>
    </row>
    <row r="2931" spans="1:2" x14ac:dyDescent="0.25">
      <c r="A2931" s="62">
        <v>25201708</v>
      </c>
      <c r="B2931" s="63" t="s">
        <v>3624</v>
      </c>
    </row>
    <row r="2932" spans="1:2" x14ac:dyDescent="0.25">
      <c r="A2932" s="62">
        <v>25201709</v>
      </c>
      <c r="B2932" s="63" t="s">
        <v>3625</v>
      </c>
    </row>
    <row r="2933" spans="1:2" x14ac:dyDescent="0.25">
      <c r="A2933" s="62">
        <v>25201710</v>
      </c>
      <c r="B2933" s="63" t="s">
        <v>3626</v>
      </c>
    </row>
    <row r="2934" spans="1:2" x14ac:dyDescent="0.25">
      <c r="A2934" s="62">
        <v>25201801</v>
      </c>
      <c r="B2934" s="63" t="s">
        <v>3627</v>
      </c>
    </row>
    <row r="2935" spans="1:2" x14ac:dyDescent="0.25">
      <c r="A2935" s="62">
        <v>25201802</v>
      </c>
      <c r="B2935" s="63" t="s">
        <v>3628</v>
      </c>
    </row>
    <row r="2936" spans="1:2" x14ac:dyDescent="0.25">
      <c r="A2936" s="62">
        <v>25201901</v>
      </c>
      <c r="B2936" s="63" t="s">
        <v>3629</v>
      </c>
    </row>
    <row r="2937" spans="1:2" x14ac:dyDescent="0.25">
      <c r="A2937" s="62">
        <v>25201902</v>
      </c>
      <c r="B2937" s="63" t="s">
        <v>3630</v>
      </c>
    </row>
    <row r="2938" spans="1:2" x14ac:dyDescent="0.25">
      <c r="A2938" s="62">
        <v>25201903</v>
      </c>
      <c r="B2938" s="63" t="s">
        <v>3631</v>
      </c>
    </row>
    <row r="2939" spans="1:2" x14ac:dyDescent="0.25">
      <c r="A2939" s="62">
        <v>25201904</v>
      </c>
      <c r="B2939" s="63" t="s">
        <v>3632</v>
      </c>
    </row>
    <row r="2940" spans="1:2" x14ac:dyDescent="0.25">
      <c r="A2940" s="62">
        <v>25202001</v>
      </c>
      <c r="B2940" s="63" t="s">
        <v>3633</v>
      </c>
    </row>
    <row r="2941" spans="1:2" x14ac:dyDescent="0.25">
      <c r="A2941" s="62">
        <v>25202002</v>
      </c>
      <c r="B2941" s="63" t="s">
        <v>3634</v>
      </c>
    </row>
    <row r="2942" spans="1:2" x14ac:dyDescent="0.25">
      <c r="A2942" s="62">
        <v>25202003</v>
      </c>
      <c r="B2942" s="63" t="s">
        <v>3635</v>
      </c>
    </row>
    <row r="2943" spans="1:2" x14ac:dyDescent="0.25">
      <c r="A2943" s="62">
        <v>25202004</v>
      </c>
      <c r="B2943" s="63" t="s">
        <v>3636</v>
      </c>
    </row>
    <row r="2944" spans="1:2" x14ac:dyDescent="0.25">
      <c r="A2944" s="62">
        <v>25202101</v>
      </c>
      <c r="B2944" s="63" t="s">
        <v>3637</v>
      </c>
    </row>
    <row r="2945" spans="1:2" x14ac:dyDescent="0.25">
      <c r="A2945" s="62">
        <v>25202102</v>
      </c>
      <c r="B2945" s="63" t="s">
        <v>3638</v>
      </c>
    </row>
    <row r="2946" spans="1:2" x14ac:dyDescent="0.25">
      <c r="A2946" s="62">
        <v>25202103</v>
      </c>
      <c r="B2946" s="63" t="s">
        <v>3639</v>
      </c>
    </row>
    <row r="2947" spans="1:2" x14ac:dyDescent="0.25">
      <c r="A2947" s="62">
        <v>25202104</v>
      </c>
      <c r="B2947" s="63" t="s">
        <v>3640</v>
      </c>
    </row>
    <row r="2948" spans="1:2" x14ac:dyDescent="0.25">
      <c r="A2948" s="62">
        <v>25202105</v>
      </c>
      <c r="B2948" s="63" t="s">
        <v>3641</v>
      </c>
    </row>
    <row r="2949" spans="1:2" x14ac:dyDescent="0.25">
      <c r="A2949" s="62">
        <v>25202201</v>
      </c>
      <c r="B2949" s="63" t="s">
        <v>3642</v>
      </c>
    </row>
    <row r="2950" spans="1:2" x14ac:dyDescent="0.25">
      <c r="A2950" s="62">
        <v>25202202</v>
      </c>
      <c r="B2950" s="63" t="s">
        <v>3643</v>
      </c>
    </row>
    <row r="2951" spans="1:2" x14ac:dyDescent="0.25">
      <c r="A2951" s="62">
        <v>25202203</v>
      </c>
      <c r="B2951" s="63" t="s">
        <v>3644</v>
      </c>
    </row>
    <row r="2952" spans="1:2" x14ac:dyDescent="0.25">
      <c r="A2952" s="62">
        <v>25202204</v>
      </c>
      <c r="B2952" s="63" t="s">
        <v>3645</v>
      </c>
    </row>
    <row r="2953" spans="1:2" x14ac:dyDescent="0.25">
      <c r="A2953" s="62">
        <v>25202205</v>
      </c>
      <c r="B2953" s="63" t="s">
        <v>3646</v>
      </c>
    </row>
    <row r="2954" spans="1:2" x14ac:dyDescent="0.25">
      <c r="A2954" s="62">
        <v>25202206</v>
      </c>
      <c r="B2954" s="63" t="s">
        <v>3647</v>
      </c>
    </row>
    <row r="2955" spans="1:2" x14ac:dyDescent="0.25">
      <c r="A2955" s="62">
        <v>25202301</v>
      </c>
      <c r="B2955" s="63" t="s">
        <v>3648</v>
      </c>
    </row>
    <row r="2956" spans="1:2" x14ac:dyDescent="0.25">
      <c r="A2956" s="62">
        <v>25202302</v>
      </c>
      <c r="B2956" s="63" t="s">
        <v>3649</v>
      </c>
    </row>
    <row r="2957" spans="1:2" x14ac:dyDescent="0.25">
      <c r="A2957" s="62">
        <v>25202401</v>
      </c>
      <c r="B2957" s="63" t="s">
        <v>3650</v>
      </c>
    </row>
    <row r="2958" spans="1:2" x14ac:dyDescent="0.25">
      <c r="A2958" s="62">
        <v>25202402</v>
      </c>
      <c r="B2958" s="63" t="s">
        <v>3651</v>
      </c>
    </row>
    <row r="2959" spans="1:2" x14ac:dyDescent="0.25">
      <c r="A2959" s="62">
        <v>25202403</v>
      </c>
      <c r="B2959" s="63" t="s">
        <v>3652</v>
      </c>
    </row>
    <row r="2960" spans="1:2" x14ac:dyDescent="0.25">
      <c r="A2960" s="62">
        <v>25202404</v>
      </c>
      <c r="B2960" s="63" t="s">
        <v>3653</v>
      </c>
    </row>
    <row r="2961" spans="1:2" x14ac:dyDescent="0.25">
      <c r="A2961" s="62">
        <v>25202405</v>
      </c>
      <c r="B2961" s="63" t="s">
        <v>3654</v>
      </c>
    </row>
    <row r="2962" spans="1:2" x14ac:dyDescent="0.25">
      <c r="A2962" s="62">
        <v>25202406</v>
      </c>
      <c r="B2962" s="63" t="s">
        <v>3655</v>
      </c>
    </row>
    <row r="2963" spans="1:2" x14ac:dyDescent="0.25">
      <c r="A2963" s="62">
        <v>25202501</v>
      </c>
      <c r="B2963" s="63" t="s">
        <v>3656</v>
      </c>
    </row>
    <row r="2964" spans="1:2" x14ac:dyDescent="0.25">
      <c r="A2964" s="62">
        <v>25202502</v>
      </c>
      <c r="B2964" s="63" t="s">
        <v>3657</v>
      </c>
    </row>
    <row r="2965" spans="1:2" x14ac:dyDescent="0.25">
      <c r="A2965" s="62">
        <v>25202503</v>
      </c>
      <c r="B2965" s="63" t="s">
        <v>3658</v>
      </c>
    </row>
    <row r="2966" spans="1:2" x14ac:dyDescent="0.25">
      <c r="A2966" s="62">
        <v>25202504</v>
      </c>
      <c r="B2966" s="63" t="s">
        <v>3659</v>
      </c>
    </row>
    <row r="2967" spans="1:2" x14ac:dyDescent="0.25">
      <c r="A2967" s="62">
        <v>25202505</v>
      </c>
      <c r="B2967" s="63" t="s">
        <v>3660</v>
      </c>
    </row>
    <row r="2968" spans="1:2" x14ac:dyDescent="0.25">
      <c r="A2968" s="62">
        <v>25202506</v>
      </c>
      <c r="B2968" s="63" t="s">
        <v>3661</v>
      </c>
    </row>
    <row r="2969" spans="1:2" x14ac:dyDescent="0.25">
      <c r="A2969" s="62">
        <v>25202507</v>
      </c>
      <c r="B2969" s="63" t="s">
        <v>3662</v>
      </c>
    </row>
    <row r="2970" spans="1:2" x14ac:dyDescent="0.25">
      <c r="A2970" s="62">
        <v>25202508</v>
      </c>
      <c r="B2970" s="63" t="s">
        <v>3663</v>
      </c>
    </row>
    <row r="2971" spans="1:2" x14ac:dyDescent="0.25">
      <c r="A2971" s="62">
        <v>25202509</v>
      </c>
      <c r="B2971" s="63" t="s">
        <v>3664</v>
      </c>
    </row>
    <row r="2972" spans="1:2" x14ac:dyDescent="0.25">
      <c r="A2972" s="62">
        <v>25202510</v>
      </c>
      <c r="B2972" s="63" t="s">
        <v>3665</v>
      </c>
    </row>
    <row r="2973" spans="1:2" x14ac:dyDescent="0.25">
      <c r="A2973" s="62">
        <v>25202601</v>
      </c>
      <c r="B2973" s="63" t="s">
        <v>3666</v>
      </c>
    </row>
    <row r="2974" spans="1:2" x14ac:dyDescent="0.25">
      <c r="A2974" s="62">
        <v>25202602</v>
      </c>
      <c r="B2974" s="63" t="s">
        <v>3667</v>
      </c>
    </row>
    <row r="2975" spans="1:2" x14ac:dyDescent="0.25">
      <c r="A2975" s="62">
        <v>25202603</v>
      </c>
      <c r="B2975" s="63" t="s">
        <v>3668</v>
      </c>
    </row>
    <row r="2976" spans="1:2" x14ac:dyDescent="0.25">
      <c r="A2976" s="62">
        <v>25202604</v>
      </c>
      <c r="B2976" s="63" t="s">
        <v>3669</v>
      </c>
    </row>
    <row r="2977" spans="1:2" x14ac:dyDescent="0.25">
      <c r="A2977" s="62">
        <v>25202605</v>
      </c>
      <c r="B2977" s="63" t="s">
        <v>3670</v>
      </c>
    </row>
    <row r="2978" spans="1:2" x14ac:dyDescent="0.25">
      <c r="A2978" s="62">
        <v>25202606</v>
      </c>
      <c r="B2978" s="63" t="s">
        <v>3671</v>
      </c>
    </row>
    <row r="2979" spans="1:2" x14ac:dyDescent="0.25">
      <c r="A2979" s="62">
        <v>25202607</v>
      </c>
      <c r="B2979" s="63" t="s">
        <v>3672</v>
      </c>
    </row>
    <row r="2980" spans="1:2" x14ac:dyDescent="0.25">
      <c r="A2980" s="62">
        <v>25202701</v>
      </c>
      <c r="B2980" s="63" t="s">
        <v>3673</v>
      </c>
    </row>
    <row r="2981" spans="1:2" x14ac:dyDescent="0.25">
      <c r="A2981" s="62">
        <v>25202702</v>
      </c>
      <c r="B2981" s="63" t="s">
        <v>3674</v>
      </c>
    </row>
    <row r="2982" spans="1:2" x14ac:dyDescent="0.25">
      <c r="A2982" s="62">
        <v>26101501</v>
      </c>
      <c r="B2982" s="63" t="s">
        <v>3675</v>
      </c>
    </row>
    <row r="2983" spans="1:2" x14ac:dyDescent="0.25">
      <c r="A2983" s="62">
        <v>26101502</v>
      </c>
      <c r="B2983" s="63" t="s">
        <v>3676</v>
      </c>
    </row>
    <row r="2984" spans="1:2" x14ac:dyDescent="0.25">
      <c r="A2984" s="62">
        <v>26101503</v>
      </c>
      <c r="B2984" s="63" t="s">
        <v>3677</v>
      </c>
    </row>
    <row r="2985" spans="1:2" x14ac:dyDescent="0.25">
      <c r="A2985" s="62">
        <v>26101504</v>
      </c>
      <c r="B2985" s="63" t="s">
        <v>3678</v>
      </c>
    </row>
    <row r="2986" spans="1:2" x14ac:dyDescent="0.25">
      <c r="A2986" s="62">
        <v>26101505</v>
      </c>
      <c r="B2986" s="63" t="s">
        <v>3679</v>
      </c>
    </row>
    <row r="2987" spans="1:2" x14ac:dyDescent="0.25">
      <c r="A2987" s="62">
        <v>26101506</v>
      </c>
      <c r="B2987" s="63" t="s">
        <v>3680</v>
      </c>
    </row>
    <row r="2988" spans="1:2" x14ac:dyDescent="0.25">
      <c r="A2988" s="62">
        <v>26101507</v>
      </c>
      <c r="B2988" s="63" t="s">
        <v>3681</v>
      </c>
    </row>
    <row r="2989" spans="1:2" x14ac:dyDescent="0.25">
      <c r="A2989" s="62">
        <v>26101508</v>
      </c>
      <c r="B2989" s="63" t="s">
        <v>3682</v>
      </c>
    </row>
    <row r="2990" spans="1:2" x14ac:dyDescent="0.25">
      <c r="A2990" s="62">
        <v>26101509</v>
      </c>
      <c r="B2990" s="63" t="s">
        <v>3683</v>
      </c>
    </row>
    <row r="2991" spans="1:2" x14ac:dyDescent="0.25">
      <c r="A2991" s="62">
        <v>26101510</v>
      </c>
      <c r="B2991" s="63" t="s">
        <v>3684</v>
      </c>
    </row>
    <row r="2992" spans="1:2" x14ac:dyDescent="0.25">
      <c r="A2992" s="62">
        <v>26101511</v>
      </c>
      <c r="B2992" s="63" t="s">
        <v>3685</v>
      </c>
    </row>
    <row r="2993" spans="1:2" x14ac:dyDescent="0.25">
      <c r="A2993" s="62">
        <v>26101512</v>
      </c>
      <c r="B2993" s="63" t="s">
        <v>3686</v>
      </c>
    </row>
    <row r="2994" spans="1:2" x14ac:dyDescent="0.25">
      <c r="A2994" s="62">
        <v>26101513</v>
      </c>
      <c r="B2994" s="63" t="s">
        <v>3687</v>
      </c>
    </row>
    <row r="2995" spans="1:2" x14ac:dyDescent="0.25">
      <c r="A2995" s="62">
        <v>26101601</v>
      </c>
      <c r="B2995" s="63" t="s">
        <v>3688</v>
      </c>
    </row>
    <row r="2996" spans="1:2" x14ac:dyDescent="0.25">
      <c r="A2996" s="62">
        <v>26101602</v>
      </c>
      <c r="B2996" s="63" t="s">
        <v>3689</v>
      </c>
    </row>
    <row r="2997" spans="1:2" x14ac:dyDescent="0.25">
      <c r="A2997" s="62">
        <v>26101603</v>
      </c>
      <c r="B2997" s="63" t="s">
        <v>3690</v>
      </c>
    </row>
    <row r="2998" spans="1:2" x14ac:dyDescent="0.25">
      <c r="A2998" s="62">
        <v>26101604</v>
      </c>
      <c r="B2998" s="63" t="s">
        <v>3691</v>
      </c>
    </row>
    <row r="2999" spans="1:2" x14ac:dyDescent="0.25">
      <c r="A2999" s="62">
        <v>26101605</v>
      </c>
      <c r="B2999" s="63" t="s">
        <v>3692</v>
      </c>
    </row>
    <row r="3000" spans="1:2" x14ac:dyDescent="0.25">
      <c r="A3000" s="62">
        <v>26101606</v>
      </c>
      <c r="B3000" s="63" t="s">
        <v>3693</v>
      </c>
    </row>
    <row r="3001" spans="1:2" x14ac:dyDescent="0.25">
      <c r="A3001" s="62">
        <v>26101607</v>
      </c>
      <c r="B3001" s="63" t="s">
        <v>3694</v>
      </c>
    </row>
    <row r="3002" spans="1:2" x14ac:dyDescent="0.25">
      <c r="A3002" s="62">
        <v>26101608</v>
      </c>
      <c r="B3002" s="63" t="s">
        <v>3695</v>
      </c>
    </row>
    <row r="3003" spans="1:2" x14ac:dyDescent="0.25">
      <c r="A3003" s="62">
        <v>26101609</v>
      </c>
      <c r="B3003" s="63" t="s">
        <v>3696</v>
      </c>
    </row>
    <row r="3004" spans="1:2" x14ac:dyDescent="0.25">
      <c r="A3004" s="62">
        <v>26101610</v>
      </c>
      <c r="B3004" s="63" t="s">
        <v>3697</v>
      </c>
    </row>
    <row r="3005" spans="1:2" x14ac:dyDescent="0.25">
      <c r="A3005" s="62">
        <v>26101611</v>
      </c>
      <c r="B3005" s="63" t="s">
        <v>3698</v>
      </c>
    </row>
    <row r="3006" spans="1:2" x14ac:dyDescent="0.25">
      <c r="A3006" s="62">
        <v>26101612</v>
      </c>
      <c r="B3006" s="63" t="s">
        <v>3699</v>
      </c>
    </row>
    <row r="3007" spans="1:2" x14ac:dyDescent="0.25">
      <c r="A3007" s="62">
        <v>26101613</v>
      </c>
      <c r="B3007" s="63" t="s">
        <v>3675</v>
      </c>
    </row>
    <row r="3008" spans="1:2" x14ac:dyDescent="0.25">
      <c r="A3008" s="62">
        <v>26101614</v>
      </c>
      <c r="B3008" s="63" t="s">
        <v>3700</v>
      </c>
    </row>
    <row r="3009" spans="1:2" x14ac:dyDescent="0.25">
      <c r="A3009" s="62">
        <v>26101615</v>
      </c>
      <c r="B3009" s="63" t="s">
        <v>3701</v>
      </c>
    </row>
    <row r="3010" spans="1:2" x14ac:dyDescent="0.25">
      <c r="A3010" s="62">
        <v>26101616</v>
      </c>
      <c r="B3010" s="63" t="s">
        <v>3702</v>
      </c>
    </row>
    <row r="3011" spans="1:2" x14ac:dyDescent="0.25">
      <c r="A3011" s="62">
        <v>26101701</v>
      </c>
      <c r="B3011" s="63" t="s">
        <v>3703</v>
      </c>
    </row>
    <row r="3012" spans="1:2" x14ac:dyDescent="0.25">
      <c r="A3012" s="62">
        <v>26101702</v>
      </c>
      <c r="B3012" s="63" t="s">
        <v>3704</v>
      </c>
    </row>
    <row r="3013" spans="1:2" x14ac:dyDescent="0.25">
      <c r="A3013" s="62">
        <v>26101703</v>
      </c>
      <c r="B3013" s="63" t="s">
        <v>3705</v>
      </c>
    </row>
    <row r="3014" spans="1:2" x14ac:dyDescent="0.25">
      <c r="A3014" s="62">
        <v>26101704</v>
      </c>
      <c r="B3014" s="63" t="s">
        <v>3706</v>
      </c>
    </row>
    <row r="3015" spans="1:2" x14ac:dyDescent="0.25">
      <c r="A3015" s="62">
        <v>26101705</v>
      </c>
      <c r="B3015" s="63" t="s">
        <v>3707</v>
      </c>
    </row>
    <row r="3016" spans="1:2" x14ac:dyDescent="0.25">
      <c r="A3016" s="62">
        <v>26101706</v>
      </c>
      <c r="B3016" s="63" t="s">
        <v>3708</v>
      </c>
    </row>
    <row r="3017" spans="1:2" x14ac:dyDescent="0.25">
      <c r="A3017" s="62">
        <v>26101707</v>
      </c>
      <c r="B3017" s="63" t="s">
        <v>3709</v>
      </c>
    </row>
    <row r="3018" spans="1:2" x14ac:dyDescent="0.25">
      <c r="A3018" s="62">
        <v>26101708</v>
      </c>
      <c r="B3018" s="63" t="s">
        <v>3710</v>
      </c>
    </row>
    <row r="3019" spans="1:2" x14ac:dyDescent="0.25">
      <c r="A3019" s="62">
        <v>26101709</v>
      </c>
      <c r="B3019" s="63" t="s">
        <v>3711</v>
      </c>
    </row>
    <row r="3020" spans="1:2" x14ac:dyDescent="0.25">
      <c r="A3020" s="62">
        <v>26101710</v>
      </c>
      <c r="B3020" s="63" t="s">
        <v>3712</v>
      </c>
    </row>
    <row r="3021" spans="1:2" x14ac:dyDescent="0.25">
      <c r="A3021" s="62">
        <v>26101711</v>
      </c>
      <c r="B3021" s="63" t="s">
        <v>3529</v>
      </c>
    </row>
    <row r="3022" spans="1:2" x14ac:dyDescent="0.25">
      <c r="A3022" s="62">
        <v>26101712</v>
      </c>
      <c r="B3022" s="63" t="s">
        <v>3713</v>
      </c>
    </row>
    <row r="3023" spans="1:2" x14ac:dyDescent="0.25">
      <c r="A3023" s="62">
        <v>26101713</v>
      </c>
      <c r="B3023" s="63" t="s">
        <v>3714</v>
      </c>
    </row>
    <row r="3024" spans="1:2" x14ac:dyDescent="0.25">
      <c r="A3024" s="62">
        <v>26101715</v>
      </c>
      <c r="B3024" s="63" t="s">
        <v>3715</v>
      </c>
    </row>
    <row r="3025" spans="1:2" x14ac:dyDescent="0.25">
      <c r="A3025" s="62">
        <v>26101716</v>
      </c>
      <c r="B3025" s="63" t="s">
        <v>3716</v>
      </c>
    </row>
    <row r="3026" spans="1:2" x14ac:dyDescent="0.25">
      <c r="A3026" s="62">
        <v>26101717</v>
      </c>
      <c r="B3026" s="63" t="s">
        <v>3717</v>
      </c>
    </row>
    <row r="3027" spans="1:2" x14ac:dyDescent="0.25">
      <c r="A3027" s="62">
        <v>26101718</v>
      </c>
      <c r="B3027" s="63" t="s">
        <v>3718</v>
      </c>
    </row>
    <row r="3028" spans="1:2" x14ac:dyDescent="0.25">
      <c r="A3028" s="62">
        <v>26101719</v>
      </c>
      <c r="B3028" s="63" t="s">
        <v>3719</v>
      </c>
    </row>
    <row r="3029" spans="1:2" x14ac:dyDescent="0.25">
      <c r="A3029" s="62">
        <v>26101720</v>
      </c>
      <c r="B3029" s="63" t="s">
        <v>3720</v>
      </c>
    </row>
    <row r="3030" spans="1:2" x14ac:dyDescent="0.25">
      <c r="A3030" s="62">
        <v>26101721</v>
      </c>
      <c r="B3030" s="63" t="s">
        <v>3721</v>
      </c>
    </row>
    <row r="3031" spans="1:2" x14ac:dyDescent="0.25">
      <c r="A3031" s="62">
        <v>26101723</v>
      </c>
      <c r="B3031" s="63" t="s">
        <v>3722</v>
      </c>
    </row>
    <row r="3032" spans="1:2" x14ac:dyDescent="0.25">
      <c r="A3032" s="62">
        <v>26101724</v>
      </c>
      <c r="B3032" s="63" t="s">
        <v>3723</v>
      </c>
    </row>
    <row r="3033" spans="1:2" x14ac:dyDescent="0.25">
      <c r="A3033" s="62">
        <v>26101725</v>
      </c>
      <c r="B3033" s="63" t="s">
        <v>3724</v>
      </c>
    </row>
    <row r="3034" spans="1:2" x14ac:dyDescent="0.25">
      <c r="A3034" s="62">
        <v>26101726</v>
      </c>
      <c r="B3034" s="63" t="s">
        <v>3725</v>
      </c>
    </row>
    <row r="3035" spans="1:2" x14ac:dyDescent="0.25">
      <c r="A3035" s="62">
        <v>26101727</v>
      </c>
      <c r="B3035" s="63" t="s">
        <v>3726</v>
      </c>
    </row>
    <row r="3036" spans="1:2" x14ac:dyDescent="0.25">
      <c r="A3036" s="62">
        <v>26101728</v>
      </c>
      <c r="B3036" s="63" t="s">
        <v>3727</v>
      </c>
    </row>
    <row r="3037" spans="1:2" x14ac:dyDescent="0.25">
      <c r="A3037" s="62">
        <v>26101729</v>
      </c>
      <c r="B3037" s="63" t="s">
        <v>3728</v>
      </c>
    </row>
    <row r="3038" spans="1:2" x14ac:dyDescent="0.25">
      <c r="A3038" s="62">
        <v>26101730</v>
      </c>
      <c r="B3038" s="63" t="s">
        <v>3729</v>
      </c>
    </row>
    <row r="3039" spans="1:2" x14ac:dyDescent="0.25">
      <c r="A3039" s="62">
        <v>26101731</v>
      </c>
      <c r="B3039" s="63" t="s">
        <v>3730</v>
      </c>
    </row>
    <row r="3040" spans="1:2" x14ac:dyDescent="0.25">
      <c r="A3040" s="62">
        <v>26101732</v>
      </c>
      <c r="B3040" s="63" t="s">
        <v>3731</v>
      </c>
    </row>
    <row r="3041" spans="1:2" x14ac:dyDescent="0.25">
      <c r="A3041" s="62">
        <v>26101733</v>
      </c>
      <c r="B3041" s="63" t="s">
        <v>3732</v>
      </c>
    </row>
    <row r="3042" spans="1:2" x14ac:dyDescent="0.25">
      <c r="A3042" s="62">
        <v>26101734</v>
      </c>
      <c r="B3042" s="63" t="s">
        <v>3733</v>
      </c>
    </row>
    <row r="3043" spans="1:2" x14ac:dyDescent="0.25">
      <c r="A3043" s="62">
        <v>26101735</v>
      </c>
      <c r="B3043" s="63" t="s">
        <v>3734</v>
      </c>
    </row>
    <row r="3044" spans="1:2" x14ac:dyDescent="0.25">
      <c r="A3044" s="62">
        <v>26101736</v>
      </c>
      <c r="B3044" s="63" t="s">
        <v>3735</v>
      </c>
    </row>
    <row r="3045" spans="1:2" x14ac:dyDescent="0.25">
      <c r="A3045" s="62">
        <v>26101737</v>
      </c>
      <c r="B3045" s="63" t="s">
        <v>3736</v>
      </c>
    </row>
    <row r="3046" spans="1:2" x14ac:dyDescent="0.25">
      <c r="A3046" s="62">
        <v>26101738</v>
      </c>
      <c r="B3046" s="63" t="s">
        <v>3737</v>
      </c>
    </row>
    <row r="3047" spans="1:2" x14ac:dyDescent="0.25">
      <c r="A3047" s="62">
        <v>26101740</v>
      </c>
      <c r="B3047" s="63" t="s">
        <v>3738</v>
      </c>
    </row>
    <row r="3048" spans="1:2" x14ac:dyDescent="0.25">
      <c r="A3048" s="62">
        <v>26101741</v>
      </c>
      <c r="B3048" s="63" t="s">
        <v>3739</v>
      </c>
    </row>
    <row r="3049" spans="1:2" x14ac:dyDescent="0.25">
      <c r="A3049" s="62">
        <v>26101742</v>
      </c>
      <c r="B3049" s="63" t="s">
        <v>3740</v>
      </c>
    </row>
    <row r="3050" spans="1:2" x14ac:dyDescent="0.25">
      <c r="A3050" s="62">
        <v>26101743</v>
      </c>
      <c r="B3050" s="63" t="s">
        <v>3741</v>
      </c>
    </row>
    <row r="3051" spans="1:2" x14ac:dyDescent="0.25">
      <c r="A3051" s="62">
        <v>26101747</v>
      </c>
      <c r="B3051" s="63" t="s">
        <v>3742</v>
      </c>
    </row>
    <row r="3052" spans="1:2" x14ac:dyDescent="0.25">
      <c r="A3052" s="62">
        <v>26101748</v>
      </c>
      <c r="B3052" s="63" t="s">
        <v>3743</v>
      </c>
    </row>
    <row r="3053" spans="1:2" x14ac:dyDescent="0.25">
      <c r="A3053" s="62">
        <v>26101749</v>
      </c>
      <c r="B3053" s="63" t="s">
        <v>3744</v>
      </c>
    </row>
    <row r="3054" spans="1:2" x14ac:dyDescent="0.25">
      <c r="A3054" s="62">
        <v>26101750</v>
      </c>
      <c r="B3054" s="63" t="s">
        <v>3745</v>
      </c>
    </row>
    <row r="3055" spans="1:2" x14ac:dyDescent="0.25">
      <c r="A3055" s="62">
        <v>26101751</v>
      </c>
      <c r="B3055" s="63" t="s">
        <v>3746</v>
      </c>
    </row>
    <row r="3056" spans="1:2" x14ac:dyDescent="0.25">
      <c r="A3056" s="62">
        <v>26101754</v>
      </c>
      <c r="B3056" s="63" t="s">
        <v>3747</v>
      </c>
    </row>
    <row r="3057" spans="1:2" x14ac:dyDescent="0.25">
      <c r="A3057" s="62">
        <v>26101755</v>
      </c>
      <c r="B3057" s="63" t="s">
        <v>3748</v>
      </c>
    </row>
    <row r="3058" spans="1:2" x14ac:dyDescent="0.25">
      <c r="A3058" s="62">
        <v>26101756</v>
      </c>
      <c r="B3058" s="63" t="s">
        <v>3749</v>
      </c>
    </row>
    <row r="3059" spans="1:2" x14ac:dyDescent="0.25">
      <c r="A3059" s="62">
        <v>26101757</v>
      </c>
      <c r="B3059" s="63" t="s">
        <v>3750</v>
      </c>
    </row>
    <row r="3060" spans="1:2" x14ac:dyDescent="0.25">
      <c r="A3060" s="62">
        <v>26101758</v>
      </c>
      <c r="B3060" s="63" t="s">
        <v>3751</v>
      </c>
    </row>
    <row r="3061" spans="1:2" x14ac:dyDescent="0.25">
      <c r="A3061" s="62">
        <v>26101759</v>
      </c>
      <c r="B3061" s="63" t="s">
        <v>3752</v>
      </c>
    </row>
    <row r="3062" spans="1:2" x14ac:dyDescent="0.25">
      <c r="A3062" s="62">
        <v>26101760</v>
      </c>
      <c r="B3062" s="63" t="s">
        <v>3753</v>
      </c>
    </row>
    <row r="3063" spans="1:2" x14ac:dyDescent="0.25">
      <c r="A3063" s="62">
        <v>26101761</v>
      </c>
      <c r="B3063" s="63" t="s">
        <v>3754</v>
      </c>
    </row>
    <row r="3064" spans="1:2" x14ac:dyDescent="0.25">
      <c r="A3064" s="62">
        <v>26101762</v>
      </c>
      <c r="B3064" s="63" t="s">
        <v>3755</v>
      </c>
    </row>
    <row r="3065" spans="1:2" x14ac:dyDescent="0.25">
      <c r="A3065" s="62">
        <v>26101763</v>
      </c>
      <c r="B3065" s="63" t="s">
        <v>3756</v>
      </c>
    </row>
    <row r="3066" spans="1:2" x14ac:dyDescent="0.25">
      <c r="A3066" s="62">
        <v>26101764</v>
      </c>
      <c r="B3066" s="63" t="s">
        <v>3757</v>
      </c>
    </row>
    <row r="3067" spans="1:2" x14ac:dyDescent="0.25">
      <c r="A3067" s="62">
        <v>26101765</v>
      </c>
      <c r="B3067" s="63" t="s">
        <v>3758</v>
      </c>
    </row>
    <row r="3068" spans="1:2" x14ac:dyDescent="0.25">
      <c r="A3068" s="62">
        <v>26101766</v>
      </c>
      <c r="B3068" s="63" t="s">
        <v>3759</v>
      </c>
    </row>
    <row r="3069" spans="1:2" x14ac:dyDescent="0.25">
      <c r="A3069" s="62">
        <v>26101801</v>
      </c>
      <c r="B3069" s="63" t="s">
        <v>3760</v>
      </c>
    </row>
    <row r="3070" spans="1:2" x14ac:dyDescent="0.25">
      <c r="A3070" s="62">
        <v>26101802</v>
      </c>
      <c r="B3070" s="63" t="s">
        <v>3761</v>
      </c>
    </row>
    <row r="3071" spans="1:2" x14ac:dyDescent="0.25">
      <c r="A3071" s="62">
        <v>26101803</v>
      </c>
      <c r="B3071" s="63" t="s">
        <v>3762</v>
      </c>
    </row>
    <row r="3072" spans="1:2" x14ac:dyDescent="0.25">
      <c r="A3072" s="62">
        <v>26101805</v>
      </c>
      <c r="B3072" s="63" t="s">
        <v>3763</v>
      </c>
    </row>
    <row r="3073" spans="1:2" x14ac:dyDescent="0.25">
      <c r="A3073" s="62">
        <v>26101806</v>
      </c>
      <c r="B3073" s="63" t="s">
        <v>3764</v>
      </c>
    </row>
    <row r="3074" spans="1:2" x14ac:dyDescent="0.25">
      <c r="A3074" s="62">
        <v>26101807</v>
      </c>
      <c r="B3074" s="63" t="s">
        <v>3765</v>
      </c>
    </row>
    <row r="3075" spans="1:2" x14ac:dyDescent="0.25">
      <c r="A3075" s="62">
        <v>26101808</v>
      </c>
      <c r="B3075" s="63" t="s">
        <v>3766</v>
      </c>
    </row>
    <row r="3076" spans="1:2" x14ac:dyDescent="0.25">
      <c r="A3076" s="62">
        <v>26101809</v>
      </c>
      <c r="B3076" s="63" t="s">
        <v>3767</v>
      </c>
    </row>
    <row r="3077" spans="1:2" x14ac:dyDescent="0.25">
      <c r="A3077" s="62">
        <v>26101903</v>
      </c>
      <c r="B3077" s="63" t="s">
        <v>3768</v>
      </c>
    </row>
    <row r="3078" spans="1:2" x14ac:dyDescent="0.25">
      <c r="A3078" s="62">
        <v>26101904</v>
      </c>
      <c r="B3078" s="63" t="s">
        <v>3769</v>
      </c>
    </row>
    <row r="3079" spans="1:2" x14ac:dyDescent="0.25">
      <c r="A3079" s="62">
        <v>26101905</v>
      </c>
      <c r="B3079" s="63" t="s">
        <v>3770</v>
      </c>
    </row>
    <row r="3080" spans="1:2" x14ac:dyDescent="0.25">
      <c r="A3080" s="62">
        <v>26111501</v>
      </c>
      <c r="B3080" s="63" t="s">
        <v>3771</v>
      </c>
    </row>
    <row r="3081" spans="1:2" x14ac:dyDescent="0.25">
      <c r="A3081" s="62">
        <v>26111503</v>
      </c>
      <c r="B3081" s="63" t="s">
        <v>3772</v>
      </c>
    </row>
    <row r="3082" spans="1:2" x14ac:dyDescent="0.25">
      <c r="A3082" s="62">
        <v>26111504</v>
      </c>
      <c r="B3082" s="63" t="s">
        <v>3773</v>
      </c>
    </row>
    <row r="3083" spans="1:2" x14ac:dyDescent="0.25">
      <c r="A3083" s="62">
        <v>26111505</v>
      </c>
      <c r="B3083" s="63" t="s">
        <v>3774</v>
      </c>
    </row>
    <row r="3084" spans="1:2" x14ac:dyDescent="0.25">
      <c r="A3084" s="62">
        <v>26111506</v>
      </c>
      <c r="B3084" s="63" t="s">
        <v>3775</v>
      </c>
    </row>
    <row r="3085" spans="1:2" x14ac:dyDescent="0.25">
      <c r="A3085" s="62">
        <v>26111508</v>
      </c>
      <c r="B3085" s="63" t="s">
        <v>3776</v>
      </c>
    </row>
    <row r="3086" spans="1:2" x14ac:dyDescent="0.25">
      <c r="A3086" s="62">
        <v>26111509</v>
      </c>
      <c r="B3086" s="63" t="s">
        <v>3777</v>
      </c>
    </row>
    <row r="3087" spans="1:2" x14ac:dyDescent="0.25">
      <c r="A3087" s="62">
        <v>26111510</v>
      </c>
      <c r="B3087" s="63" t="s">
        <v>3778</v>
      </c>
    </row>
    <row r="3088" spans="1:2" x14ac:dyDescent="0.25">
      <c r="A3088" s="62">
        <v>26111512</v>
      </c>
      <c r="B3088" s="63" t="s">
        <v>3779</v>
      </c>
    </row>
    <row r="3089" spans="1:2" x14ac:dyDescent="0.25">
      <c r="A3089" s="62">
        <v>26111513</v>
      </c>
      <c r="B3089" s="63" t="s">
        <v>3780</v>
      </c>
    </row>
    <row r="3090" spans="1:2" x14ac:dyDescent="0.25">
      <c r="A3090" s="62">
        <v>26111514</v>
      </c>
      <c r="B3090" s="63" t="s">
        <v>3781</v>
      </c>
    </row>
    <row r="3091" spans="1:2" x14ac:dyDescent="0.25">
      <c r="A3091" s="62">
        <v>26111515</v>
      </c>
      <c r="B3091" s="63" t="s">
        <v>3782</v>
      </c>
    </row>
    <row r="3092" spans="1:2" x14ac:dyDescent="0.25">
      <c r="A3092" s="62">
        <v>26111516</v>
      </c>
      <c r="B3092" s="63" t="s">
        <v>3783</v>
      </c>
    </row>
    <row r="3093" spans="1:2" x14ac:dyDescent="0.25">
      <c r="A3093" s="62">
        <v>26111517</v>
      </c>
      <c r="B3093" s="63" t="s">
        <v>3784</v>
      </c>
    </row>
    <row r="3094" spans="1:2" x14ac:dyDescent="0.25">
      <c r="A3094" s="62">
        <v>26111518</v>
      </c>
      <c r="B3094" s="63" t="s">
        <v>3785</v>
      </c>
    </row>
    <row r="3095" spans="1:2" x14ac:dyDescent="0.25">
      <c r="A3095" s="62">
        <v>26111519</v>
      </c>
      <c r="B3095" s="63" t="s">
        <v>3786</v>
      </c>
    </row>
    <row r="3096" spans="1:2" x14ac:dyDescent="0.25">
      <c r="A3096" s="62">
        <v>26111520</v>
      </c>
      <c r="B3096" s="63" t="s">
        <v>3787</v>
      </c>
    </row>
    <row r="3097" spans="1:2" x14ac:dyDescent="0.25">
      <c r="A3097" s="62">
        <v>26111521</v>
      </c>
      <c r="B3097" s="63" t="s">
        <v>3788</v>
      </c>
    </row>
    <row r="3098" spans="1:2" x14ac:dyDescent="0.25">
      <c r="A3098" s="62">
        <v>26111522</v>
      </c>
      <c r="B3098" s="63" t="s">
        <v>3789</v>
      </c>
    </row>
    <row r="3099" spans="1:2" x14ac:dyDescent="0.25">
      <c r="A3099" s="62">
        <v>26111523</v>
      </c>
      <c r="B3099" s="63" t="s">
        <v>3790</v>
      </c>
    </row>
    <row r="3100" spans="1:2" x14ac:dyDescent="0.25">
      <c r="A3100" s="62">
        <v>26111524</v>
      </c>
      <c r="B3100" s="63" t="s">
        <v>3791</v>
      </c>
    </row>
    <row r="3101" spans="1:2" x14ac:dyDescent="0.25">
      <c r="A3101" s="62">
        <v>26111525</v>
      </c>
      <c r="B3101" s="63" t="s">
        <v>3792</v>
      </c>
    </row>
    <row r="3102" spans="1:2" x14ac:dyDescent="0.25">
      <c r="A3102" s="62">
        <v>26111526</v>
      </c>
      <c r="B3102" s="63" t="s">
        <v>3793</v>
      </c>
    </row>
    <row r="3103" spans="1:2" x14ac:dyDescent="0.25">
      <c r="A3103" s="62">
        <v>26111527</v>
      </c>
      <c r="B3103" s="63" t="s">
        <v>3794</v>
      </c>
    </row>
    <row r="3104" spans="1:2" x14ac:dyDescent="0.25">
      <c r="A3104" s="62">
        <v>26111528</v>
      </c>
      <c r="B3104" s="63" t="s">
        <v>3795</v>
      </c>
    </row>
    <row r="3105" spans="1:2" x14ac:dyDescent="0.25">
      <c r="A3105" s="62">
        <v>26111529</v>
      </c>
      <c r="B3105" s="63" t="s">
        <v>3796</v>
      </c>
    </row>
    <row r="3106" spans="1:2" x14ac:dyDescent="0.25">
      <c r="A3106" s="62">
        <v>26111530</v>
      </c>
      <c r="B3106" s="63" t="s">
        <v>3797</v>
      </c>
    </row>
    <row r="3107" spans="1:2" x14ac:dyDescent="0.25">
      <c r="A3107" s="62">
        <v>26111531</v>
      </c>
      <c r="B3107" s="63" t="s">
        <v>3798</v>
      </c>
    </row>
    <row r="3108" spans="1:2" x14ac:dyDescent="0.25">
      <c r="A3108" s="62">
        <v>26111532</v>
      </c>
      <c r="B3108" s="63" t="s">
        <v>3799</v>
      </c>
    </row>
    <row r="3109" spans="1:2" x14ac:dyDescent="0.25">
      <c r="A3109" s="62">
        <v>26111533</v>
      </c>
      <c r="B3109" s="63" t="s">
        <v>3800</v>
      </c>
    </row>
    <row r="3110" spans="1:2" x14ac:dyDescent="0.25">
      <c r="A3110" s="62">
        <v>26111534</v>
      </c>
      <c r="B3110" s="63" t="s">
        <v>3801</v>
      </c>
    </row>
    <row r="3111" spans="1:2" x14ac:dyDescent="0.25">
      <c r="A3111" s="62">
        <v>26111535</v>
      </c>
      <c r="B3111" s="63" t="s">
        <v>3802</v>
      </c>
    </row>
    <row r="3112" spans="1:2" x14ac:dyDescent="0.25">
      <c r="A3112" s="62">
        <v>26111601</v>
      </c>
      <c r="B3112" s="63" t="s">
        <v>3803</v>
      </c>
    </row>
    <row r="3113" spans="1:2" x14ac:dyDescent="0.25">
      <c r="A3113" s="62">
        <v>26111602</v>
      </c>
      <c r="B3113" s="63" t="s">
        <v>3804</v>
      </c>
    </row>
    <row r="3114" spans="1:2" x14ac:dyDescent="0.25">
      <c r="A3114" s="62">
        <v>26111603</v>
      </c>
      <c r="B3114" s="63" t="s">
        <v>3805</v>
      </c>
    </row>
    <row r="3115" spans="1:2" x14ac:dyDescent="0.25">
      <c r="A3115" s="62">
        <v>26111604</v>
      </c>
      <c r="B3115" s="63" t="s">
        <v>3806</v>
      </c>
    </row>
    <row r="3116" spans="1:2" x14ac:dyDescent="0.25">
      <c r="A3116" s="62">
        <v>26111605</v>
      </c>
      <c r="B3116" s="63" t="s">
        <v>3807</v>
      </c>
    </row>
    <row r="3117" spans="1:2" x14ac:dyDescent="0.25">
      <c r="A3117" s="62">
        <v>26111606</v>
      </c>
      <c r="B3117" s="63" t="s">
        <v>3808</v>
      </c>
    </row>
    <row r="3118" spans="1:2" x14ac:dyDescent="0.25">
      <c r="A3118" s="62">
        <v>26111607</v>
      </c>
      <c r="B3118" s="63" t="s">
        <v>3809</v>
      </c>
    </row>
    <row r="3119" spans="1:2" x14ac:dyDescent="0.25">
      <c r="A3119" s="62">
        <v>26111608</v>
      </c>
      <c r="B3119" s="63" t="s">
        <v>3810</v>
      </c>
    </row>
    <row r="3120" spans="1:2" x14ac:dyDescent="0.25">
      <c r="A3120" s="62">
        <v>26111701</v>
      </c>
      <c r="B3120" s="63" t="s">
        <v>3811</v>
      </c>
    </row>
    <row r="3121" spans="1:2" x14ac:dyDescent="0.25">
      <c r="A3121" s="62">
        <v>26111702</v>
      </c>
      <c r="B3121" s="63" t="s">
        <v>3812</v>
      </c>
    </row>
    <row r="3122" spans="1:2" x14ac:dyDescent="0.25">
      <c r="A3122" s="62">
        <v>26111703</v>
      </c>
      <c r="B3122" s="63" t="s">
        <v>3813</v>
      </c>
    </row>
    <row r="3123" spans="1:2" x14ac:dyDescent="0.25">
      <c r="A3123" s="62">
        <v>26111704</v>
      </c>
      <c r="B3123" s="63" t="s">
        <v>3814</v>
      </c>
    </row>
    <row r="3124" spans="1:2" x14ac:dyDescent="0.25">
      <c r="A3124" s="62">
        <v>26111705</v>
      </c>
      <c r="B3124" s="63" t="s">
        <v>3815</v>
      </c>
    </row>
    <row r="3125" spans="1:2" x14ac:dyDescent="0.25">
      <c r="A3125" s="62">
        <v>26111706</v>
      </c>
      <c r="B3125" s="63" t="s">
        <v>3816</v>
      </c>
    </row>
    <row r="3126" spans="1:2" x14ac:dyDescent="0.25">
      <c r="A3126" s="62">
        <v>26111707</v>
      </c>
      <c r="B3126" s="63" t="s">
        <v>3817</v>
      </c>
    </row>
    <row r="3127" spans="1:2" x14ac:dyDescent="0.25">
      <c r="A3127" s="62">
        <v>26111708</v>
      </c>
      <c r="B3127" s="63" t="s">
        <v>3818</v>
      </c>
    </row>
    <row r="3128" spans="1:2" x14ac:dyDescent="0.25">
      <c r="A3128" s="62">
        <v>26111709</v>
      </c>
      <c r="B3128" s="63" t="s">
        <v>3819</v>
      </c>
    </row>
    <row r="3129" spans="1:2" x14ac:dyDescent="0.25">
      <c r="A3129" s="62">
        <v>26111710</v>
      </c>
      <c r="B3129" s="63" t="s">
        <v>3820</v>
      </c>
    </row>
    <row r="3130" spans="1:2" x14ac:dyDescent="0.25">
      <c r="A3130" s="62">
        <v>26111711</v>
      </c>
      <c r="B3130" s="63" t="s">
        <v>3821</v>
      </c>
    </row>
    <row r="3131" spans="1:2" x14ac:dyDescent="0.25">
      <c r="A3131" s="62">
        <v>26111712</v>
      </c>
      <c r="B3131" s="63" t="s">
        <v>3822</v>
      </c>
    </row>
    <row r="3132" spans="1:2" x14ac:dyDescent="0.25">
      <c r="A3132" s="62">
        <v>26111713</v>
      </c>
      <c r="B3132" s="63" t="s">
        <v>3823</v>
      </c>
    </row>
    <row r="3133" spans="1:2" x14ac:dyDescent="0.25">
      <c r="A3133" s="62">
        <v>26111714</v>
      </c>
      <c r="B3133" s="63" t="s">
        <v>3824</v>
      </c>
    </row>
    <row r="3134" spans="1:2" x14ac:dyDescent="0.25">
      <c r="A3134" s="62">
        <v>26111715</v>
      </c>
      <c r="B3134" s="63" t="s">
        <v>3825</v>
      </c>
    </row>
    <row r="3135" spans="1:2" x14ac:dyDescent="0.25">
      <c r="A3135" s="62">
        <v>26111716</v>
      </c>
      <c r="B3135" s="63" t="s">
        <v>3826</v>
      </c>
    </row>
    <row r="3136" spans="1:2" x14ac:dyDescent="0.25">
      <c r="A3136" s="62">
        <v>26111717</v>
      </c>
      <c r="B3136" s="63" t="s">
        <v>3827</v>
      </c>
    </row>
    <row r="3137" spans="1:2" x14ac:dyDescent="0.25">
      <c r="A3137" s="62">
        <v>26111718</v>
      </c>
      <c r="B3137" s="63" t="s">
        <v>3828</v>
      </c>
    </row>
    <row r="3138" spans="1:2" x14ac:dyDescent="0.25">
      <c r="A3138" s="62">
        <v>26111719</v>
      </c>
      <c r="B3138" s="63" t="s">
        <v>3829</v>
      </c>
    </row>
    <row r="3139" spans="1:2" x14ac:dyDescent="0.25">
      <c r="A3139" s="62">
        <v>26111720</v>
      </c>
      <c r="B3139" s="63" t="s">
        <v>3830</v>
      </c>
    </row>
    <row r="3140" spans="1:2" x14ac:dyDescent="0.25">
      <c r="A3140" s="62">
        <v>26111721</v>
      </c>
      <c r="B3140" s="63" t="s">
        <v>3831</v>
      </c>
    </row>
    <row r="3141" spans="1:2" x14ac:dyDescent="0.25">
      <c r="A3141" s="62">
        <v>26111722</v>
      </c>
      <c r="B3141" s="63" t="s">
        <v>3832</v>
      </c>
    </row>
    <row r="3142" spans="1:2" x14ac:dyDescent="0.25">
      <c r="A3142" s="62">
        <v>26111723</v>
      </c>
      <c r="B3142" s="63" t="s">
        <v>3833</v>
      </c>
    </row>
    <row r="3143" spans="1:2" x14ac:dyDescent="0.25">
      <c r="A3143" s="62">
        <v>26111724</v>
      </c>
      <c r="B3143" s="63" t="s">
        <v>3834</v>
      </c>
    </row>
    <row r="3144" spans="1:2" x14ac:dyDescent="0.25">
      <c r="A3144" s="62">
        <v>26111725</v>
      </c>
      <c r="B3144" s="63" t="s">
        <v>3835</v>
      </c>
    </row>
    <row r="3145" spans="1:2" x14ac:dyDescent="0.25">
      <c r="A3145" s="62">
        <v>26111801</v>
      </c>
      <c r="B3145" s="63" t="s">
        <v>3836</v>
      </c>
    </row>
    <row r="3146" spans="1:2" x14ac:dyDescent="0.25">
      <c r="A3146" s="62">
        <v>26111802</v>
      </c>
      <c r="B3146" s="63" t="s">
        <v>3837</v>
      </c>
    </row>
    <row r="3147" spans="1:2" x14ac:dyDescent="0.25">
      <c r="A3147" s="62">
        <v>26111803</v>
      </c>
      <c r="B3147" s="63" t="s">
        <v>3838</v>
      </c>
    </row>
    <row r="3148" spans="1:2" x14ac:dyDescent="0.25">
      <c r="A3148" s="62">
        <v>26111804</v>
      </c>
      <c r="B3148" s="63" t="s">
        <v>3839</v>
      </c>
    </row>
    <row r="3149" spans="1:2" x14ac:dyDescent="0.25">
      <c r="A3149" s="62">
        <v>26111805</v>
      </c>
      <c r="B3149" s="63" t="s">
        <v>3840</v>
      </c>
    </row>
    <row r="3150" spans="1:2" x14ac:dyDescent="0.25">
      <c r="A3150" s="62">
        <v>26111806</v>
      </c>
      <c r="B3150" s="63" t="s">
        <v>3841</v>
      </c>
    </row>
    <row r="3151" spans="1:2" x14ac:dyDescent="0.25">
      <c r="A3151" s="62">
        <v>26111807</v>
      </c>
      <c r="B3151" s="63" t="s">
        <v>3842</v>
      </c>
    </row>
    <row r="3152" spans="1:2" x14ac:dyDescent="0.25">
      <c r="A3152" s="62">
        <v>26111808</v>
      </c>
      <c r="B3152" s="63" t="s">
        <v>3843</v>
      </c>
    </row>
    <row r="3153" spans="1:2" x14ac:dyDescent="0.25">
      <c r="A3153" s="62">
        <v>26111809</v>
      </c>
      <c r="B3153" s="63" t="s">
        <v>3844</v>
      </c>
    </row>
    <row r="3154" spans="1:2" x14ac:dyDescent="0.25">
      <c r="A3154" s="62">
        <v>26111810</v>
      </c>
      <c r="B3154" s="63" t="s">
        <v>3845</v>
      </c>
    </row>
    <row r="3155" spans="1:2" x14ac:dyDescent="0.25">
      <c r="A3155" s="62">
        <v>26111901</v>
      </c>
      <c r="B3155" s="63" t="s">
        <v>3846</v>
      </c>
    </row>
    <row r="3156" spans="1:2" x14ac:dyDescent="0.25">
      <c r="A3156" s="62">
        <v>26111902</v>
      </c>
      <c r="B3156" s="63" t="s">
        <v>3847</v>
      </c>
    </row>
    <row r="3157" spans="1:2" x14ac:dyDescent="0.25">
      <c r="A3157" s="62">
        <v>26111903</v>
      </c>
      <c r="B3157" s="63" t="s">
        <v>3848</v>
      </c>
    </row>
    <row r="3158" spans="1:2" x14ac:dyDescent="0.25">
      <c r="A3158" s="62">
        <v>26111904</v>
      </c>
      <c r="B3158" s="63" t="s">
        <v>3849</v>
      </c>
    </row>
    <row r="3159" spans="1:2" x14ac:dyDescent="0.25">
      <c r="A3159" s="62">
        <v>26111905</v>
      </c>
      <c r="B3159" s="63" t="s">
        <v>3850</v>
      </c>
    </row>
    <row r="3160" spans="1:2" x14ac:dyDescent="0.25">
      <c r="A3160" s="62">
        <v>26111907</v>
      </c>
      <c r="B3160" s="63" t="s">
        <v>3851</v>
      </c>
    </row>
    <row r="3161" spans="1:2" x14ac:dyDescent="0.25">
      <c r="A3161" s="62">
        <v>26111908</v>
      </c>
      <c r="B3161" s="63" t="s">
        <v>3852</v>
      </c>
    </row>
    <row r="3162" spans="1:2" x14ac:dyDescent="0.25">
      <c r="A3162" s="62">
        <v>26111909</v>
      </c>
      <c r="B3162" s="63" t="s">
        <v>3853</v>
      </c>
    </row>
    <row r="3163" spans="1:2" x14ac:dyDescent="0.25">
      <c r="A3163" s="62">
        <v>26111910</v>
      </c>
      <c r="B3163" s="63" t="s">
        <v>3854</v>
      </c>
    </row>
    <row r="3164" spans="1:2" x14ac:dyDescent="0.25">
      <c r="A3164" s="62">
        <v>26112001</v>
      </c>
      <c r="B3164" s="63" t="s">
        <v>3855</v>
      </c>
    </row>
    <row r="3165" spans="1:2" x14ac:dyDescent="0.25">
      <c r="A3165" s="62">
        <v>26112002</v>
      </c>
      <c r="B3165" s="63" t="s">
        <v>3856</v>
      </c>
    </row>
    <row r="3166" spans="1:2" x14ac:dyDescent="0.25">
      <c r="A3166" s="62">
        <v>26112003</v>
      </c>
      <c r="B3166" s="63" t="s">
        <v>3857</v>
      </c>
    </row>
    <row r="3167" spans="1:2" x14ac:dyDescent="0.25">
      <c r="A3167" s="62">
        <v>26112004</v>
      </c>
      <c r="B3167" s="63" t="s">
        <v>3858</v>
      </c>
    </row>
    <row r="3168" spans="1:2" x14ac:dyDescent="0.25">
      <c r="A3168" s="62">
        <v>26112101</v>
      </c>
      <c r="B3168" s="63" t="s">
        <v>3859</v>
      </c>
    </row>
    <row r="3169" spans="1:2" x14ac:dyDescent="0.25">
      <c r="A3169" s="62">
        <v>26112102</v>
      </c>
      <c r="B3169" s="63" t="s">
        <v>3860</v>
      </c>
    </row>
    <row r="3170" spans="1:2" x14ac:dyDescent="0.25">
      <c r="A3170" s="62">
        <v>26112103</v>
      </c>
      <c r="B3170" s="63" t="s">
        <v>3861</v>
      </c>
    </row>
    <row r="3171" spans="1:2" x14ac:dyDescent="0.25">
      <c r="A3171" s="62">
        <v>26112104</v>
      </c>
      <c r="B3171" s="63" t="s">
        <v>3862</v>
      </c>
    </row>
    <row r="3172" spans="1:2" x14ac:dyDescent="0.25">
      <c r="A3172" s="62">
        <v>26112105</v>
      </c>
      <c r="B3172" s="63" t="s">
        <v>3863</v>
      </c>
    </row>
    <row r="3173" spans="1:2" x14ac:dyDescent="0.25">
      <c r="A3173" s="62">
        <v>26121501</v>
      </c>
      <c r="B3173" s="63" t="s">
        <v>3864</v>
      </c>
    </row>
    <row r="3174" spans="1:2" x14ac:dyDescent="0.25">
      <c r="A3174" s="62">
        <v>26121505</v>
      </c>
      <c r="B3174" s="63" t="s">
        <v>3865</v>
      </c>
    </row>
    <row r="3175" spans="1:2" x14ac:dyDescent="0.25">
      <c r="A3175" s="62">
        <v>26121507</v>
      </c>
      <c r="B3175" s="63" t="s">
        <v>3866</v>
      </c>
    </row>
    <row r="3176" spans="1:2" x14ac:dyDescent="0.25">
      <c r="A3176" s="62">
        <v>26121508</v>
      </c>
      <c r="B3176" s="63" t="s">
        <v>3867</v>
      </c>
    </row>
    <row r="3177" spans="1:2" x14ac:dyDescent="0.25">
      <c r="A3177" s="62">
        <v>26121509</v>
      </c>
      <c r="B3177" s="63" t="s">
        <v>3868</v>
      </c>
    </row>
    <row r="3178" spans="1:2" x14ac:dyDescent="0.25">
      <c r="A3178" s="62">
        <v>26121510</v>
      </c>
      <c r="B3178" s="63" t="s">
        <v>3869</v>
      </c>
    </row>
    <row r="3179" spans="1:2" x14ac:dyDescent="0.25">
      <c r="A3179" s="62">
        <v>26121514</v>
      </c>
      <c r="B3179" s="63" t="s">
        <v>3870</v>
      </c>
    </row>
    <row r="3180" spans="1:2" x14ac:dyDescent="0.25">
      <c r="A3180" s="62">
        <v>26121515</v>
      </c>
      <c r="B3180" s="63" t="s">
        <v>3871</v>
      </c>
    </row>
    <row r="3181" spans="1:2" x14ac:dyDescent="0.25">
      <c r="A3181" s="62">
        <v>26121517</v>
      </c>
      <c r="B3181" s="63" t="s">
        <v>3872</v>
      </c>
    </row>
    <row r="3182" spans="1:2" x14ac:dyDescent="0.25">
      <c r="A3182" s="62">
        <v>26121519</v>
      </c>
      <c r="B3182" s="63" t="s">
        <v>3873</v>
      </c>
    </row>
    <row r="3183" spans="1:2" x14ac:dyDescent="0.25">
      <c r="A3183" s="62">
        <v>26121520</v>
      </c>
      <c r="B3183" s="63" t="s">
        <v>3874</v>
      </c>
    </row>
    <row r="3184" spans="1:2" x14ac:dyDescent="0.25">
      <c r="A3184" s="62">
        <v>26121521</v>
      </c>
      <c r="B3184" s="63" t="s">
        <v>3875</v>
      </c>
    </row>
    <row r="3185" spans="1:2" x14ac:dyDescent="0.25">
      <c r="A3185" s="62">
        <v>26121522</v>
      </c>
      <c r="B3185" s="63" t="s">
        <v>3876</v>
      </c>
    </row>
    <row r="3186" spans="1:2" x14ac:dyDescent="0.25">
      <c r="A3186" s="62">
        <v>26121523</v>
      </c>
      <c r="B3186" s="63" t="s">
        <v>3877</v>
      </c>
    </row>
    <row r="3187" spans="1:2" x14ac:dyDescent="0.25">
      <c r="A3187" s="62">
        <v>26121524</v>
      </c>
      <c r="B3187" s="63" t="s">
        <v>3878</v>
      </c>
    </row>
    <row r="3188" spans="1:2" x14ac:dyDescent="0.25">
      <c r="A3188" s="62">
        <v>26121532</v>
      </c>
      <c r="B3188" s="63" t="s">
        <v>3879</v>
      </c>
    </row>
    <row r="3189" spans="1:2" x14ac:dyDescent="0.25">
      <c r="A3189" s="62">
        <v>26121533</v>
      </c>
      <c r="B3189" s="63" t="s">
        <v>3880</v>
      </c>
    </row>
    <row r="3190" spans="1:2" x14ac:dyDescent="0.25">
      <c r="A3190" s="62">
        <v>26121534</v>
      </c>
      <c r="B3190" s="63" t="s">
        <v>3881</v>
      </c>
    </row>
    <row r="3191" spans="1:2" x14ac:dyDescent="0.25">
      <c r="A3191" s="62">
        <v>26121536</v>
      </c>
      <c r="B3191" s="63" t="s">
        <v>3882</v>
      </c>
    </row>
    <row r="3192" spans="1:2" x14ac:dyDescent="0.25">
      <c r="A3192" s="62">
        <v>26121538</v>
      </c>
      <c r="B3192" s="63" t="s">
        <v>3883</v>
      </c>
    </row>
    <row r="3193" spans="1:2" x14ac:dyDescent="0.25">
      <c r="A3193" s="62">
        <v>26121539</v>
      </c>
      <c r="B3193" s="63" t="s">
        <v>3884</v>
      </c>
    </row>
    <row r="3194" spans="1:2" x14ac:dyDescent="0.25">
      <c r="A3194" s="62">
        <v>26121540</v>
      </c>
      <c r="B3194" s="63" t="s">
        <v>3885</v>
      </c>
    </row>
    <row r="3195" spans="1:2" x14ac:dyDescent="0.25">
      <c r="A3195" s="62">
        <v>26121541</v>
      </c>
      <c r="B3195" s="63" t="s">
        <v>3886</v>
      </c>
    </row>
    <row r="3196" spans="1:2" x14ac:dyDescent="0.25">
      <c r="A3196" s="62">
        <v>26121601</v>
      </c>
      <c r="B3196" s="63" t="s">
        <v>3887</v>
      </c>
    </row>
    <row r="3197" spans="1:2" x14ac:dyDescent="0.25">
      <c r="A3197" s="62">
        <v>26121602</v>
      </c>
      <c r="B3197" s="63" t="s">
        <v>3888</v>
      </c>
    </row>
    <row r="3198" spans="1:2" x14ac:dyDescent="0.25">
      <c r="A3198" s="62">
        <v>26121603</v>
      </c>
      <c r="B3198" s="63" t="s">
        <v>3889</v>
      </c>
    </row>
    <row r="3199" spans="1:2" x14ac:dyDescent="0.25">
      <c r="A3199" s="62">
        <v>26121604</v>
      </c>
      <c r="B3199" s="63" t="s">
        <v>3890</v>
      </c>
    </row>
    <row r="3200" spans="1:2" x14ac:dyDescent="0.25">
      <c r="A3200" s="62">
        <v>26121605</v>
      </c>
      <c r="B3200" s="63" t="s">
        <v>3891</v>
      </c>
    </row>
    <row r="3201" spans="1:2" x14ac:dyDescent="0.25">
      <c r="A3201" s="62">
        <v>26121606</v>
      </c>
      <c r="B3201" s="63" t="s">
        <v>3892</v>
      </c>
    </row>
    <row r="3202" spans="1:2" x14ac:dyDescent="0.25">
      <c r="A3202" s="62">
        <v>26121607</v>
      </c>
      <c r="B3202" s="63" t="s">
        <v>3893</v>
      </c>
    </row>
    <row r="3203" spans="1:2" x14ac:dyDescent="0.25">
      <c r="A3203" s="62">
        <v>26121608</v>
      </c>
      <c r="B3203" s="63" t="s">
        <v>3894</v>
      </c>
    </row>
    <row r="3204" spans="1:2" x14ac:dyDescent="0.25">
      <c r="A3204" s="62">
        <v>26121609</v>
      </c>
      <c r="B3204" s="63" t="s">
        <v>3895</v>
      </c>
    </row>
    <row r="3205" spans="1:2" x14ac:dyDescent="0.25">
      <c r="A3205" s="62">
        <v>26121610</v>
      </c>
      <c r="B3205" s="63" t="s">
        <v>3896</v>
      </c>
    </row>
    <row r="3206" spans="1:2" x14ac:dyDescent="0.25">
      <c r="A3206" s="62">
        <v>26121611</v>
      </c>
      <c r="B3206" s="63" t="s">
        <v>3897</v>
      </c>
    </row>
    <row r="3207" spans="1:2" x14ac:dyDescent="0.25">
      <c r="A3207" s="62">
        <v>26121612</v>
      </c>
      <c r="B3207" s="63" t="s">
        <v>3898</v>
      </c>
    </row>
    <row r="3208" spans="1:2" x14ac:dyDescent="0.25">
      <c r="A3208" s="62">
        <v>26121613</v>
      </c>
      <c r="B3208" s="63" t="s">
        <v>3899</v>
      </c>
    </row>
    <row r="3209" spans="1:2" x14ac:dyDescent="0.25">
      <c r="A3209" s="62">
        <v>26121614</v>
      </c>
      <c r="B3209" s="63" t="s">
        <v>3900</v>
      </c>
    </row>
    <row r="3210" spans="1:2" x14ac:dyDescent="0.25">
      <c r="A3210" s="62">
        <v>26121615</v>
      </c>
      <c r="B3210" s="63" t="s">
        <v>3901</v>
      </c>
    </row>
    <row r="3211" spans="1:2" x14ac:dyDescent="0.25">
      <c r="A3211" s="62">
        <v>26121616</v>
      </c>
      <c r="B3211" s="63" t="s">
        <v>3902</v>
      </c>
    </row>
    <row r="3212" spans="1:2" x14ac:dyDescent="0.25">
      <c r="A3212" s="62">
        <v>26121617</v>
      </c>
      <c r="B3212" s="63" t="s">
        <v>3903</v>
      </c>
    </row>
    <row r="3213" spans="1:2" x14ac:dyDescent="0.25">
      <c r="A3213" s="62">
        <v>26121618</v>
      </c>
      <c r="B3213" s="63" t="s">
        <v>3904</v>
      </c>
    </row>
    <row r="3214" spans="1:2" x14ac:dyDescent="0.25">
      <c r="A3214" s="62">
        <v>26121619</v>
      </c>
      <c r="B3214" s="63" t="s">
        <v>3905</v>
      </c>
    </row>
    <row r="3215" spans="1:2" x14ac:dyDescent="0.25">
      <c r="A3215" s="62">
        <v>26121620</v>
      </c>
      <c r="B3215" s="63" t="s">
        <v>3906</v>
      </c>
    </row>
    <row r="3216" spans="1:2" x14ac:dyDescent="0.25">
      <c r="A3216" s="62">
        <v>26121621</v>
      </c>
      <c r="B3216" s="63" t="s">
        <v>3907</v>
      </c>
    </row>
    <row r="3217" spans="1:2" x14ac:dyDescent="0.25">
      <c r="A3217" s="62">
        <v>26121622</v>
      </c>
      <c r="B3217" s="63" t="s">
        <v>3908</v>
      </c>
    </row>
    <row r="3218" spans="1:2" x14ac:dyDescent="0.25">
      <c r="A3218" s="62">
        <v>26121623</v>
      </c>
      <c r="B3218" s="63" t="s">
        <v>3909</v>
      </c>
    </row>
    <row r="3219" spans="1:2" x14ac:dyDescent="0.25">
      <c r="A3219" s="62">
        <v>26121624</v>
      </c>
      <c r="B3219" s="63" t="s">
        <v>3910</v>
      </c>
    </row>
    <row r="3220" spans="1:2" x14ac:dyDescent="0.25">
      <c r="A3220" s="62">
        <v>26121628</v>
      </c>
      <c r="B3220" s="63" t="s">
        <v>3911</v>
      </c>
    </row>
    <row r="3221" spans="1:2" x14ac:dyDescent="0.25">
      <c r="A3221" s="62">
        <v>26121629</v>
      </c>
      <c r="B3221" s="63" t="s">
        <v>3912</v>
      </c>
    </row>
    <row r="3222" spans="1:2" x14ac:dyDescent="0.25">
      <c r="A3222" s="62">
        <v>26121630</v>
      </c>
      <c r="B3222" s="63" t="s">
        <v>3913</v>
      </c>
    </row>
    <row r="3223" spans="1:2" x14ac:dyDescent="0.25">
      <c r="A3223" s="62">
        <v>26121631</v>
      </c>
      <c r="B3223" s="63" t="s">
        <v>3914</v>
      </c>
    </row>
    <row r="3224" spans="1:2" x14ac:dyDescent="0.25">
      <c r="A3224" s="62">
        <v>26121632</v>
      </c>
      <c r="B3224" s="63" t="s">
        <v>3915</v>
      </c>
    </row>
    <row r="3225" spans="1:2" x14ac:dyDescent="0.25">
      <c r="A3225" s="62">
        <v>26121633</v>
      </c>
      <c r="B3225" s="63" t="s">
        <v>3916</v>
      </c>
    </row>
    <row r="3226" spans="1:2" x14ac:dyDescent="0.25">
      <c r="A3226" s="62">
        <v>26121634</v>
      </c>
      <c r="B3226" s="63" t="s">
        <v>3917</v>
      </c>
    </row>
    <row r="3227" spans="1:2" x14ac:dyDescent="0.25">
      <c r="A3227" s="62">
        <v>26121635</v>
      </c>
      <c r="B3227" s="63" t="s">
        <v>3918</v>
      </c>
    </row>
    <row r="3228" spans="1:2" x14ac:dyDescent="0.25">
      <c r="A3228" s="62">
        <v>26121636</v>
      </c>
      <c r="B3228" s="63" t="s">
        <v>3919</v>
      </c>
    </row>
    <row r="3229" spans="1:2" x14ac:dyDescent="0.25">
      <c r="A3229" s="62">
        <v>26121637</v>
      </c>
      <c r="B3229" s="63" t="s">
        <v>3920</v>
      </c>
    </row>
    <row r="3230" spans="1:2" x14ac:dyDescent="0.25">
      <c r="A3230" s="62">
        <v>26121701</v>
      </c>
      <c r="B3230" s="63" t="s">
        <v>3921</v>
      </c>
    </row>
    <row r="3231" spans="1:2" x14ac:dyDescent="0.25">
      <c r="A3231" s="62">
        <v>26121702</v>
      </c>
      <c r="B3231" s="63" t="s">
        <v>3922</v>
      </c>
    </row>
    <row r="3232" spans="1:2" x14ac:dyDescent="0.25">
      <c r="A3232" s="62">
        <v>26121703</v>
      </c>
      <c r="B3232" s="63" t="s">
        <v>3923</v>
      </c>
    </row>
    <row r="3233" spans="1:2" x14ac:dyDescent="0.25">
      <c r="A3233" s="62">
        <v>26121704</v>
      </c>
      <c r="B3233" s="63" t="s">
        <v>3924</v>
      </c>
    </row>
    <row r="3234" spans="1:2" x14ac:dyDescent="0.25">
      <c r="A3234" s="62">
        <v>26121705</v>
      </c>
      <c r="B3234" s="63" t="s">
        <v>3925</v>
      </c>
    </row>
    <row r="3235" spans="1:2" x14ac:dyDescent="0.25">
      <c r="A3235" s="62">
        <v>26131501</v>
      </c>
      <c r="B3235" s="63" t="s">
        <v>3926</v>
      </c>
    </row>
    <row r="3236" spans="1:2" x14ac:dyDescent="0.25">
      <c r="A3236" s="62">
        <v>26131502</v>
      </c>
      <c r="B3236" s="63" t="s">
        <v>3927</v>
      </c>
    </row>
    <row r="3237" spans="1:2" x14ac:dyDescent="0.25">
      <c r="A3237" s="62">
        <v>26131503</v>
      </c>
      <c r="B3237" s="63" t="s">
        <v>3928</v>
      </c>
    </row>
    <row r="3238" spans="1:2" x14ac:dyDescent="0.25">
      <c r="A3238" s="62">
        <v>26131504</v>
      </c>
      <c r="B3238" s="63" t="s">
        <v>3929</v>
      </c>
    </row>
    <row r="3239" spans="1:2" x14ac:dyDescent="0.25">
      <c r="A3239" s="62">
        <v>26131505</v>
      </c>
      <c r="B3239" s="63" t="s">
        <v>3930</v>
      </c>
    </row>
    <row r="3240" spans="1:2" x14ac:dyDescent="0.25">
      <c r="A3240" s="62">
        <v>26131506</v>
      </c>
      <c r="B3240" s="63" t="s">
        <v>3931</v>
      </c>
    </row>
    <row r="3241" spans="1:2" x14ac:dyDescent="0.25">
      <c r="A3241" s="62">
        <v>26131507</v>
      </c>
      <c r="B3241" s="63" t="s">
        <v>3932</v>
      </c>
    </row>
    <row r="3242" spans="1:2" x14ac:dyDescent="0.25">
      <c r="A3242" s="62">
        <v>26131508</v>
      </c>
      <c r="B3242" s="63" t="s">
        <v>3933</v>
      </c>
    </row>
    <row r="3243" spans="1:2" x14ac:dyDescent="0.25">
      <c r="A3243" s="62">
        <v>26131509</v>
      </c>
      <c r="B3243" s="63" t="s">
        <v>3934</v>
      </c>
    </row>
    <row r="3244" spans="1:2" x14ac:dyDescent="0.25">
      <c r="A3244" s="62">
        <v>26131510</v>
      </c>
      <c r="B3244" s="63" t="s">
        <v>3935</v>
      </c>
    </row>
    <row r="3245" spans="1:2" x14ac:dyDescent="0.25">
      <c r="A3245" s="62">
        <v>26131601</v>
      </c>
      <c r="B3245" s="63" t="s">
        <v>3936</v>
      </c>
    </row>
    <row r="3246" spans="1:2" x14ac:dyDescent="0.25">
      <c r="A3246" s="62">
        <v>26131602</v>
      </c>
      <c r="B3246" s="63" t="s">
        <v>3937</v>
      </c>
    </row>
    <row r="3247" spans="1:2" x14ac:dyDescent="0.25">
      <c r="A3247" s="62">
        <v>26131603</v>
      </c>
      <c r="B3247" s="63" t="s">
        <v>3938</v>
      </c>
    </row>
    <row r="3248" spans="1:2" x14ac:dyDescent="0.25">
      <c r="A3248" s="62">
        <v>26131604</v>
      </c>
      <c r="B3248" s="63" t="s">
        <v>3939</v>
      </c>
    </row>
    <row r="3249" spans="1:2" x14ac:dyDescent="0.25">
      <c r="A3249" s="62">
        <v>26131605</v>
      </c>
      <c r="B3249" s="63" t="s">
        <v>3940</v>
      </c>
    </row>
    <row r="3250" spans="1:2" x14ac:dyDescent="0.25">
      <c r="A3250" s="62">
        <v>26131606</v>
      </c>
      <c r="B3250" s="63" t="s">
        <v>3941</v>
      </c>
    </row>
    <row r="3251" spans="1:2" x14ac:dyDescent="0.25">
      <c r="A3251" s="62">
        <v>26131607</v>
      </c>
      <c r="B3251" s="63" t="s">
        <v>3942</v>
      </c>
    </row>
    <row r="3252" spans="1:2" x14ac:dyDescent="0.25">
      <c r="A3252" s="62">
        <v>26131608</v>
      </c>
      <c r="B3252" s="63" t="s">
        <v>3943</v>
      </c>
    </row>
    <row r="3253" spans="1:2" x14ac:dyDescent="0.25">
      <c r="A3253" s="62">
        <v>26131609</v>
      </c>
      <c r="B3253" s="63" t="s">
        <v>3944</v>
      </c>
    </row>
    <row r="3254" spans="1:2" x14ac:dyDescent="0.25">
      <c r="A3254" s="62">
        <v>26131610</v>
      </c>
      <c r="B3254" s="63" t="s">
        <v>3945</v>
      </c>
    </row>
    <row r="3255" spans="1:2" x14ac:dyDescent="0.25">
      <c r="A3255" s="62">
        <v>26131611</v>
      </c>
      <c r="B3255" s="63" t="s">
        <v>3946</v>
      </c>
    </row>
    <row r="3256" spans="1:2" x14ac:dyDescent="0.25">
      <c r="A3256" s="62">
        <v>26131612</v>
      </c>
      <c r="B3256" s="63" t="s">
        <v>3947</v>
      </c>
    </row>
    <row r="3257" spans="1:2" x14ac:dyDescent="0.25">
      <c r="A3257" s="62">
        <v>26131613</v>
      </c>
      <c r="B3257" s="63" t="s">
        <v>3948</v>
      </c>
    </row>
    <row r="3258" spans="1:2" x14ac:dyDescent="0.25">
      <c r="A3258" s="62">
        <v>26131614</v>
      </c>
      <c r="B3258" s="63" t="s">
        <v>3949</v>
      </c>
    </row>
    <row r="3259" spans="1:2" x14ac:dyDescent="0.25">
      <c r="A3259" s="62">
        <v>26131615</v>
      </c>
      <c r="B3259" s="63" t="s">
        <v>3950</v>
      </c>
    </row>
    <row r="3260" spans="1:2" x14ac:dyDescent="0.25">
      <c r="A3260" s="62">
        <v>26131616</v>
      </c>
      <c r="B3260" s="63" t="s">
        <v>3951</v>
      </c>
    </row>
    <row r="3261" spans="1:2" x14ac:dyDescent="0.25">
      <c r="A3261" s="62">
        <v>26131701</v>
      </c>
      <c r="B3261" s="63" t="s">
        <v>3952</v>
      </c>
    </row>
    <row r="3262" spans="1:2" x14ac:dyDescent="0.25">
      <c r="A3262" s="62">
        <v>26131702</v>
      </c>
      <c r="B3262" s="63" t="s">
        <v>3953</v>
      </c>
    </row>
    <row r="3263" spans="1:2" x14ac:dyDescent="0.25">
      <c r="A3263" s="62">
        <v>26131801</v>
      </c>
      <c r="B3263" s="63" t="s">
        <v>3954</v>
      </c>
    </row>
    <row r="3264" spans="1:2" x14ac:dyDescent="0.25">
      <c r="A3264" s="62">
        <v>26131802</v>
      </c>
      <c r="B3264" s="63" t="s">
        <v>3955</v>
      </c>
    </row>
    <row r="3265" spans="1:2" x14ac:dyDescent="0.25">
      <c r="A3265" s="62">
        <v>26131803</v>
      </c>
      <c r="B3265" s="63" t="s">
        <v>3956</v>
      </c>
    </row>
    <row r="3266" spans="1:2" x14ac:dyDescent="0.25">
      <c r="A3266" s="62">
        <v>26131804</v>
      </c>
      <c r="B3266" s="63" t="s">
        <v>3957</v>
      </c>
    </row>
    <row r="3267" spans="1:2" x14ac:dyDescent="0.25">
      <c r="A3267" s="62">
        <v>26131805</v>
      </c>
      <c r="B3267" s="63" t="s">
        <v>3958</v>
      </c>
    </row>
    <row r="3268" spans="1:2" x14ac:dyDescent="0.25">
      <c r="A3268" s="62">
        <v>26131806</v>
      </c>
      <c r="B3268" s="63" t="s">
        <v>3959</v>
      </c>
    </row>
    <row r="3269" spans="1:2" x14ac:dyDescent="0.25">
      <c r="A3269" s="62">
        <v>26131807</v>
      </c>
      <c r="B3269" s="63" t="s">
        <v>3960</v>
      </c>
    </row>
    <row r="3270" spans="1:2" x14ac:dyDescent="0.25">
      <c r="A3270" s="62">
        <v>26131808</v>
      </c>
      <c r="B3270" s="63" t="s">
        <v>3961</v>
      </c>
    </row>
    <row r="3271" spans="1:2" x14ac:dyDescent="0.25">
      <c r="A3271" s="62">
        <v>26131809</v>
      </c>
      <c r="B3271" s="63" t="s">
        <v>3962</v>
      </c>
    </row>
    <row r="3272" spans="1:2" x14ac:dyDescent="0.25">
      <c r="A3272" s="62">
        <v>26131810</v>
      </c>
      <c r="B3272" s="63" t="s">
        <v>3963</v>
      </c>
    </row>
    <row r="3273" spans="1:2" x14ac:dyDescent="0.25">
      <c r="A3273" s="62">
        <v>26131811</v>
      </c>
      <c r="B3273" s="63" t="s">
        <v>3964</v>
      </c>
    </row>
    <row r="3274" spans="1:2" x14ac:dyDescent="0.25">
      <c r="A3274" s="62">
        <v>26131812</v>
      </c>
      <c r="B3274" s="63" t="s">
        <v>3965</v>
      </c>
    </row>
    <row r="3275" spans="1:2" x14ac:dyDescent="0.25">
      <c r="A3275" s="62">
        <v>26131813</v>
      </c>
      <c r="B3275" s="63" t="s">
        <v>3966</v>
      </c>
    </row>
    <row r="3276" spans="1:2" x14ac:dyDescent="0.25">
      <c r="A3276" s="62">
        <v>26131814</v>
      </c>
      <c r="B3276" s="63" t="s">
        <v>3967</v>
      </c>
    </row>
    <row r="3277" spans="1:2" x14ac:dyDescent="0.25">
      <c r="A3277" s="62">
        <v>26141601</v>
      </c>
      <c r="B3277" s="63" t="s">
        <v>3968</v>
      </c>
    </row>
    <row r="3278" spans="1:2" x14ac:dyDescent="0.25">
      <c r="A3278" s="62">
        <v>26141602</v>
      </c>
      <c r="B3278" s="63" t="s">
        <v>3969</v>
      </c>
    </row>
    <row r="3279" spans="1:2" x14ac:dyDescent="0.25">
      <c r="A3279" s="62">
        <v>26141603</v>
      </c>
      <c r="B3279" s="63" t="s">
        <v>3970</v>
      </c>
    </row>
    <row r="3280" spans="1:2" x14ac:dyDescent="0.25">
      <c r="A3280" s="62">
        <v>26141701</v>
      </c>
      <c r="B3280" s="63" t="s">
        <v>3971</v>
      </c>
    </row>
    <row r="3281" spans="1:2" x14ac:dyDescent="0.25">
      <c r="A3281" s="62">
        <v>26141702</v>
      </c>
      <c r="B3281" s="63" t="s">
        <v>3972</v>
      </c>
    </row>
    <row r="3282" spans="1:2" x14ac:dyDescent="0.25">
      <c r="A3282" s="62">
        <v>26141703</v>
      </c>
      <c r="B3282" s="63" t="s">
        <v>3973</v>
      </c>
    </row>
    <row r="3283" spans="1:2" x14ac:dyDescent="0.25">
      <c r="A3283" s="62">
        <v>26141704</v>
      </c>
      <c r="B3283" s="63" t="s">
        <v>3974</v>
      </c>
    </row>
    <row r="3284" spans="1:2" x14ac:dyDescent="0.25">
      <c r="A3284" s="62">
        <v>26141801</v>
      </c>
      <c r="B3284" s="63" t="s">
        <v>3975</v>
      </c>
    </row>
    <row r="3285" spans="1:2" x14ac:dyDescent="0.25">
      <c r="A3285" s="62">
        <v>26141802</v>
      </c>
      <c r="B3285" s="63" t="s">
        <v>3976</v>
      </c>
    </row>
    <row r="3286" spans="1:2" x14ac:dyDescent="0.25">
      <c r="A3286" s="62">
        <v>26141803</v>
      </c>
      <c r="B3286" s="63" t="s">
        <v>3977</v>
      </c>
    </row>
    <row r="3287" spans="1:2" x14ac:dyDescent="0.25">
      <c r="A3287" s="62">
        <v>26141804</v>
      </c>
      <c r="B3287" s="63" t="s">
        <v>3978</v>
      </c>
    </row>
    <row r="3288" spans="1:2" x14ac:dyDescent="0.25">
      <c r="A3288" s="62">
        <v>26141805</v>
      </c>
      <c r="B3288" s="63" t="s">
        <v>3979</v>
      </c>
    </row>
    <row r="3289" spans="1:2" x14ac:dyDescent="0.25">
      <c r="A3289" s="62">
        <v>26141806</v>
      </c>
      <c r="B3289" s="63" t="s">
        <v>3980</v>
      </c>
    </row>
    <row r="3290" spans="1:2" x14ac:dyDescent="0.25">
      <c r="A3290" s="62">
        <v>26141807</v>
      </c>
      <c r="B3290" s="63" t="s">
        <v>3981</v>
      </c>
    </row>
    <row r="3291" spans="1:2" x14ac:dyDescent="0.25">
      <c r="A3291" s="62">
        <v>26141808</v>
      </c>
      <c r="B3291" s="63" t="s">
        <v>3982</v>
      </c>
    </row>
    <row r="3292" spans="1:2" x14ac:dyDescent="0.25">
      <c r="A3292" s="62">
        <v>26141809</v>
      </c>
      <c r="B3292" s="63" t="s">
        <v>3983</v>
      </c>
    </row>
    <row r="3293" spans="1:2" x14ac:dyDescent="0.25">
      <c r="A3293" s="62">
        <v>26141901</v>
      </c>
      <c r="B3293" s="63" t="s">
        <v>3984</v>
      </c>
    </row>
    <row r="3294" spans="1:2" x14ac:dyDescent="0.25">
      <c r="A3294" s="62">
        <v>26141902</v>
      </c>
      <c r="B3294" s="63" t="s">
        <v>3985</v>
      </c>
    </row>
    <row r="3295" spans="1:2" x14ac:dyDescent="0.25">
      <c r="A3295" s="62">
        <v>26141904</v>
      </c>
      <c r="B3295" s="63" t="s">
        <v>3986</v>
      </c>
    </row>
    <row r="3296" spans="1:2" x14ac:dyDescent="0.25">
      <c r="A3296" s="62">
        <v>26141905</v>
      </c>
      <c r="B3296" s="63" t="s">
        <v>3987</v>
      </c>
    </row>
    <row r="3297" spans="1:2" x14ac:dyDescent="0.25">
      <c r="A3297" s="62">
        <v>26141906</v>
      </c>
      <c r="B3297" s="63" t="s">
        <v>3988</v>
      </c>
    </row>
    <row r="3298" spans="1:2" x14ac:dyDescent="0.25">
      <c r="A3298" s="62">
        <v>26141907</v>
      </c>
      <c r="B3298" s="63" t="s">
        <v>3989</v>
      </c>
    </row>
    <row r="3299" spans="1:2" x14ac:dyDescent="0.25">
      <c r="A3299" s="62">
        <v>26141908</v>
      </c>
      <c r="B3299" s="63" t="s">
        <v>3990</v>
      </c>
    </row>
    <row r="3300" spans="1:2" x14ac:dyDescent="0.25">
      <c r="A3300" s="62">
        <v>26141909</v>
      </c>
      <c r="B3300" s="63" t="s">
        <v>3991</v>
      </c>
    </row>
    <row r="3301" spans="1:2" x14ac:dyDescent="0.25">
      <c r="A3301" s="62">
        <v>26141910</v>
      </c>
      <c r="B3301" s="63" t="s">
        <v>3992</v>
      </c>
    </row>
    <row r="3302" spans="1:2" x14ac:dyDescent="0.25">
      <c r="A3302" s="62">
        <v>26141911</v>
      </c>
      <c r="B3302" s="63" t="s">
        <v>3993</v>
      </c>
    </row>
    <row r="3303" spans="1:2" x14ac:dyDescent="0.25">
      <c r="A3303" s="62">
        <v>26142001</v>
      </c>
      <c r="B3303" s="63" t="s">
        <v>3994</v>
      </c>
    </row>
    <row r="3304" spans="1:2" x14ac:dyDescent="0.25">
      <c r="A3304" s="62">
        <v>26142002</v>
      </c>
      <c r="B3304" s="63" t="s">
        <v>3995</v>
      </c>
    </row>
    <row r="3305" spans="1:2" x14ac:dyDescent="0.25">
      <c r="A3305" s="62">
        <v>26142003</v>
      </c>
      <c r="B3305" s="63" t="s">
        <v>3996</v>
      </c>
    </row>
    <row r="3306" spans="1:2" x14ac:dyDescent="0.25">
      <c r="A3306" s="62">
        <v>26142004</v>
      </c>
      <c r="B3306" s="63" t="s">
        <v>3997</v>
      </c>
    </row>
    <row r="3307" spans="1:2" x14ac:dyDescent="0.25">
      <c r="A3307" s="62">
        <v>26142005</v>
      </c>
      <c r="B3307" s="63" t="s">
        <v>3998</v>
      </c>
    </row>
    <row r="3308" spans="1:2" x14ac:dyDescent="0.25">
      <c r="A3308" s="62">
        <v>26142006</v>
      </c>
      <c r="B3308" s="63" t="s">
        <v>3999</v>
      </c>
    </row>
    <row r="3309" spans="1:2" x14ac:dyDescent="0.25">
      <c r="A3309" s="62">
        <v>26142007</v>
      </c>
      <c r="B3309" s="63" t="s">
        <v>4000</v>
      </c>
    </row>
    <row r="3310" spans="1:2" x14ac:dyDescent="0.25">
      <c r="A3310" s="62">
        <v>26142101</v>
      </c>
      <c r="B3310" s="63" t="s">
        <v>4001</v>
      </c>
    </row>
    <row r="3311" spans="1:2" x14ac:dyDescent="0.25">
      <c r="A3311" s="62">
        <v>26142106</v>
      </c>
      <c r="B3311" s="63" t="s">
        <v>4002</v>
      </c>
    </row>
    <row r="3312" spans="1:2" x14ac:dyDescent="0.25">
      <c r="A3312" s="62">
        <v>26142108</v>
      </c>
      <c r="B3312" s="63" t="s">
        <v>4003</v>
      </c>
    </row>
    <row r="3313" spans="1:2" x14ac:dyDescent="0.25">
      <c r="A3313" s="62">
        <v>26142117</v>
      </c>
      <c r="B3313" s="63" t="s">
        <v>4004</v>
      </c>
    </row>
    <row r="3314" spans="1:2" x14ac:dyDescent="0.25">
      <c r="A3314" s="62">
        <v>26142201</v>
      </c>
      <c r="B3314" s="63" t="s">
        <v>4005</v>
      </c>
    </row>
    <row r="3315" spans="1:2" x14ac:dyDescent="0.25">
      <c r="A3315" s="62">
        <v>26142202</v>
      </c>
      <c r="B3315" s="63" t="s">
        <v>4006</v>
      </c>
    </row>
    <row r="3316" spans="1:2" x14ac:dyDescent="0.25">
      <c r="A3316" s="62">
        <v>26142302</v>
      </c>
      <c r="B3316" s="63" t="s">
        <v>4007</v>
      </c>
    </row>
    <row r="3317" spans="1:2" x14ac:dyDescent="0.25">
      <c r="A3317" s="62">
        <v>26142303</v>
      </c>
      <c r="B3317" s="63" t="s">
        <v>4008</v>
      </c>
    </row>
    <row r="3318" spans="1:2" x14ac:dyDescent="0.25">
      <c r="A3318" s="62">
        <v>26142304</v>
      </c>
      <c r="B3318" s="63" t="s">
        <v>4009</v>
      </c>
    </row>
    <row r="3319" spans="1:2" x14ac:dyDescent="0.25">
      <c r="A3319" s="62">
        <v>26142306</v>
      </c>
      <c r="B3319" s="63" t="s">
        <v>4010</v>
      </c>
    </row>
    <row r="3320" spans="1:2" x14ac:dyDescent="0.25">
      <c r="A3320" s="62">
        <v>26142307</v>
      </c>
      <c r="B3320" s="63" t="s">
        <v>4011</v>
      </c>
    </row>
    <row r="3321" spans="1:2" x14ac:dyDescent="0.25">
      <c r="A3321" s="62">
        <v>26142308</v>
      </c>
      <c r="B3321" s="63" t="s">
        <v>4012</v>
      </c>
    </row>
    <row r="3322" spans="1:2" x14ac:dyDescent="0.25">
      <c r="A3322" s="62">
        <v>26142310</v>
      </c>
      <c r="B3322" s="63" t="s">
        <v>4013</v>
      </c>
    </row>
    <row r="3323" spans="1:2" x14ac:dyDescent="0.25">
      <c r="A3323" s="62">
        <v>26142311</v>
      </c>
      <c r="B3323" s="63" t="s">
        <v>4014</v>
      </c>
    </row>
    <row r="3324" spans="1:2" x14ac:dyDescent="0.25">
      <c r="A3324" s="62">
        <v>26142312</v>
      </c>
      <c r="B3324" s="63" t="s">
        <v>4015</v>
      </c>
    </row>
    <row r="3325" spans="1:2" x14ac:dyDescent="0.25">
      <c r="A3325" s="62">
        <v>26142401</v>
      </c>
      <c r="B3325" s="63" t="s">
        <v>4016</v>
      </c>
    </row>
    <row r="3326" spans="1:2" x14ac:dyDescent="0.25">
      <c r="A3326" s="62">
        <v>26142402</v>
      </c>
      <c r="B3326" s="63" t="s">
        <v>4017</v>
      </c>
    </row>
    <row r="3327" spans="1:2" x14ac:dyDescent="0.25">
      <c r="A3327" s="62">
        <v>26142403</v>
      </c>
      <c r="B3327" s="63" t="s">
        <v>4018</v>
      </c>
    </row>
    <row r="3328" spans="1:2" x14ac:dyDescent="0.25">
      <c r="A3328" s="62">
        <v>26142404</v>
      </c>
      <c r="B3328" s="63" t="s">
        <v>4019</v>
      </c>
    </row>
    <row r="3329" spans="1:2" x14ac:dyDescent="0.25">
      <c r="A3329" s="62">
        <v>26142405</v>
      </c>
      <c r="B3329" s="63" t="s">
        <v>4020</v>
      </c>
    </row>
    <row r="3330" spans="1:2" x14ac:dyDescent="0.25">
      <c r="A3330" s="62">
        <v>26142406</v>
      </c>
      <c r="B3330" s="63" t="s">
        <v>4021</v>
      </c>
    </row>
    <row r="3331" spans="1:2" x14ac:dyDescent="0.25">
      <c r="A3331" s="62">
        <v>26142407</v>
      </c>
      <c r="B3331" s="63" t="s">
        <v>4022</v>
      </c>
    </row>
    <row r="3332" spans="1:2" x14ac:dyDescent="0.25">
      <c r="A3332" s="62">
        <v>26142408</v>
      </c>
      <c r="B3332" s="63" t="s">
        <v>4023</v>
      </c>
    </row>
    <row r="3333" spans="1:2" x14ac:dyDescent="0.25">
      <c r="A3333" s="62">
        <v>27111501</v>
      </c>
      <c r="B3333" s="63" t="s">
        <v>4024</v>
      </c>
    </row>
    <row r="3334" spans="1:2" x14ac:dyDescent="0.25">
      <c r="A3334" s="62">
        <v>27111502</v>
      </c>
      <c r="B3334" s="63" t="s">
        <v>4025</v>
      </c>
    </row>
    <row r="3335" spans="1:2" x14ac:dyDescent="0.25">
      <c r="A3335" s="62">
        <v>27111503</v>
      </c>
      <c r="B3335" s="63" t="s">
        <v>4026</v>
      </c>
    </row>
    <row r="3336" spans="1:2" x14ac:dyDescent="0.25">
      <c r="A3336" s="62">
        <v>27111504</v>
      </c>
      <c r="B3336" s="63" t="s">
        <v>4027</v>
      </c>
    </row>
    <row r="3337" spans="1:2" x14ac:dyDescent="0.25">
      <c r="A3337" s="62">
        <v>27111505</v>
      </c>
      <c r="B3337" s="63" t="s">
        <v>4028</v>
      </c>
    </row>
    <row r="3338" spans="1:2" x14ac:dyDescent="0.25">
      <c r="A3338" s="62">
        <v>27111506</v>
      </c>
      <c r="B3338" s="63" t="s">
        <v>4029</v>
      </c>
    </row>
    <row r="3339" spans="1:2" x14ac:dyDescent="0.25">
      <c r="A3339" s="62">
        <v>27111507</v>
      </c>
      <c r="B3339" s="63" t="s">
        <v>4030</v>
      </c>
    </row>
    <row r="3340" spans="1:2" x14ac:dyDescent="0.25">
      <c r="A3340" s="62">
        <v>27111508</v>
      </c>
      <c r="B3340" s="63" t="s">
        <v>4031</v>
      </c>
    </row>
    <row r="3341" spans="1:2" x14ac:dyDescent="0.25">
      <c r="A3341" s="62">
        <v>27111509</v>
      </c>
      <c r="B3341" s="63" t="s">
        <v>4032</v>
      </c>
    </row>
    <row r="3342" spans="1:2" x14ac:dyDescent="0.25">
      <c r="A3342" s="62">
        <v>27111510</v>
      </c>
      <c r="B3342" s="63" t="s">
        <v>4033</v>
      </c>
    </row>
    <row r="3343" spans="1:2" x14ac:dyDescent="0.25">
      <c r="A3343" s="62">
        <v>27111511</v>
      </c>
      <c r="B3343" s="63" t="s">
        <v>4034</v>
      </c>
    </row>
    <row r="3344" spans="1:2" x14ac:dyDescent="0.25">
      <c r="A3344" s="62">
        <v>27111512</v>
      </c>
      <c r="B3344" s="63" t="s">
        <v>4035</v>
      </c>
    </row>
    <row r="3345" spans="1:2" x14ac:dyDescent="0.25">
      <c r="A3345" s="62">
        <v>27111513</v>
      </c>
      <c r="B3345" s="63" t="s">
        <v>4036</v>
      </c>
    </row>
    <row r="3346" spans="1:2" x14ac:dyDescent="0.25">
      <c r="A3346" s="62">
        <v>27111514</v>
      </c>
      <c r="B3346" s="63" t="s">
        <v>4037</v>
      </c>
    </row>
    <row r="3347" spans="1:2" x14ac:dyDescent="0.25">
      <c r="A3347" s="62">
        <v>27111515</v>
      </c>
      <c r="B3347" s="63" t="s">
        <v>4038</v>
      </c>
    </row>
    <row r="3348" spans="1:2" x14ac:dyDescent="0.25">
      <c r="A3348" s="62">
        <v>27111516</v>
      </c>
      <c r="B3348" s="63" t="s">
        <v>4039</v>
      </c>
    </row>
    <row r="3349" spans="1:2" x14ac:dyDescent="0.25">
      <c r="A3349" s="62">
        <v>27111517</v>
      </c>
      <c r="B3349" s="63" t="s">
        <v>4040</v>
      </c>
    </row>
    <row r="3350" spans="1:2" x14ac:dyDescent="0.25">
      <c r="A3350" s="62">
        <v>27111518</v>
      </c>
      <c r="B3350" s="63" t="s">
        <v>4041</v>
      </c>
    </row>
    <row r="3351" spans="1:2" x14ac:dyDescent="0.25">
      <c r="A3351" s="62">
        <v>27111519</v>
      </c>
      <c r="B3351" s="63" t="s">
        <v>4042</v>
      </c>
    </row>
    <row r="3352" spans="1:2" x14ac:dyDescent="0.25">
      <c r="A3352" s="62">
        <v>27111520</v>
      </c>
      <c r="B3352" s="63" t="s">
        <v>4043</v>
      </c>
    </row>
    <row r="3353" spans="1:2" x14ac:dyDescent="0.25">
      <c r="A3353" s="62">
        <v>27111521</v>
      </c>
      <c r="B3353" s="63" t="s">
        <v>4044</v>
      </c>
    </row>
    <row r="3354" spans="1:2" x14ac:dyDescent="0.25">
      <c r="A3354" s="62">
        <v>27111601</v>
      </c>
      <c r="B3354" s="63" t="s">
        <v>4045</v>
      </c>
    </row>
    <row r="3355" spans="1:2" x14ac:dyDescent="0.25">
      <c r="A3355" s="62">
        <v>27111602</v>
      </c>
      <c r="B3355" s="63" t="s">
        <v>4046</v>
      </c>
    </row>
    <row r="3356" spans="1:2" x14ac:dyDescent="0.25">
      <c r="A3356" s="62">
        <v>27111603</v>
      </c>
      <c r="B3356" s="63" t="s">
        <v>4047</v>
      </c>
    </row>
    <row r="3357" spans="1:2" x14ac:dyDescent="0.25">
      <c r="A3357" s="62">
        <v>27111604</v>
      </c>
      <c r="B3357" s="63" t="s">
        <v>4048</v>
      </c>
    </row>
    <row r="3358" spans="1:2" x14ac:dyDescent="0.25">
      <c r="A3358" s="62">
        <v>27111605</v>
      </c>
      <c r="B3358" s="63" t="s">
        <v>4049</v>
      </c>
    </row>
    <row r="3359" spans="1:2" x14ac:dyDescent="0.25">
      <c r="A3359" s="62">
        <v>27111607</v>
      </c>
      <c r="B3359" s="63" t="s">
        <v>4050</v>
      </c>
    </row>
    <row r="3360" spans="1:2" x14ac:dyDescent="0.25">
      <c r="A3360" s="62">
        <v>27111608</v>
      </c>
      <c r="B3360" s="63" t="s">
        <v>4051</v>
      </c>
    </row>
    <row r="3361" spans="1:2" x14ac:dyDescent="0.25">
      <c r="A3361" s="62">
        <v>27111609</v>
      </c>
      <c r="B3361" s="63" t="s">
        <v>4052</v>
      </c>
    </row>
    <row r="3362" spans="1:2" x14ac:dyDescent="0.25">
      <c r="A3362" s="62">
        <v>27111701</v>
      </c>
      <c r="B3362" s="63" t="s">
        <v>4053</v>
      </c>
    </row>
    <row r="3363" spans="1:2" x14ac:dyDescent="0.25">
      <c r="A3363" s="62">
        <v>27111702</v>
      </c>
      <c r="B3363" s="63" t="s">
        <v>4054</v>
      </c>
    </row>
    <row r="3364" spans="1:2" x14ac:dyDescent="0.25">
      <c r="A3364" s="62">
        <v>27111703</v>
      </c>
      <c r="B3364" s="63" t="s">
        <v>4055</v>
      </c>
    </row>
    <row r="3365" spans="1:2" x14ac:dyDescent="0.25">
      <c r="A3365" s="62">
        <v>27111704</v>
      </c>
      <c r="B3365" s="63" t="s">
        <v>4056</v>
      </c>
    </row>
    <row r="3366" spans="1:2" x14ac:dyDescent="0.25">
      <c r="A3366" s="62">
        <v>27111705</v>
      </c>
      <c r="B3366" s="63" t="s">
        <v>4057</v>
      </c>
    </row>
    <row r="3367" spans="1:2" x14ac:dyDescent="0.25">
      <c r="A3367" s="62">
        <v>27111706</v>
      </c>
      <c r="B3367" s="63" t="s">
        <v>4058</v>
      </c>
    </row>
    <row r="3368" spans="1:2" x14ac:dyDescent="0.25">
      <c r="A3368" s="62">
        <v>27111707</v>
      </c>
      <c r="B3368" s="63" t="s">
        <v>4059</v>
      </c>
    </row>
    <row r="3369" spans="1:2" x14ac:dyDescent="0.25">
      <c r="A3369" s="62">
        <v>27111708</v>
      </c>
      <c r="B3369" s="63" t="s">
        <v>4060</v>
      </c>
    </row>
    <row r="3370" spans="1:2" x14ac:dyDescent="0.25">
      <c r="A3370" s="62">
        <v>27111709</v>
      </c>
      <c r="B3370" s="63" t="s">
        <v>4061</v>
      </c>
    </row>
    <row r="3371" spans="1:2" x14ac:dyDescent="0.25">
      <c r="A3371" s="62">
        <v>27111710</v>
      </c>
      <c r="B3371" s="63" t="s">
        <v>4062</v>
      </c>
    </row>
    <row r="3372" spans="1:2" x14ac:dyDescent="0.25">
      <c r="A3372" s="62">
        <v>27111711</v>
      </c>
      <c r="B3372" s="63" t="s">
        <v>4063</v>
      </c>
    </row>
    <row r="3373" spans="1:2" x14ac:dyDescent="0.25">
      <c r="A3373" s="62">
        <v>27111712</v>
      </c>
      <c r="B3373" s="63" t="s">
        <v>2520</v>
      </c>
    </row>
    <row r="3374" spans="1:2" x14ac:dyDescent="0.25">
      <c r="A3374" s="62">
        <v>27111713</v>
      </c>
      <c r="B3374" s="63" t="s">
        <v>4064</v>
      </c>
    </row>
    <row r="3375" spans="1:2" x14ac:dyDescent="0.25">
      <c r="A3375" s="62">
        <v>27111714</v>
      </c>
      <c r="B3375" s="63" t="s">
        <v>4065</v>
      </c>
    </row>
    <row r="3376" spans="1:2" x14ac:dyDescent="0.25">
      <c r="A3376" s="62">
        <v>27111715</v>
      </c>
      <c r="B3376" s="63" t="s">
        <v>4066</v>
      </c>
    </row>
    <row r="3377" spans="1:2" x14ac:dyDescent="0.25">
      <c r="A3377" s="62">
        <v>27111716</v>
      </c>
      <c r="B3377" s="63" t="s">
        <v>4067</v>
      </c>
    </row>
    <row r="3378" spans="1:2" x14ac:dyDescent="0.25">
      <c r="A3378" s="62">
        <v>27111717</v>
      </c>
      <c r="B3378" s="63" t="s">
        <v>4068</v>
      </c>
    </row>
    <row r="3379" spans="1:2" x14ac:dyDescent="0.25">
      <c r="A3379" s="62">
        <v>27111718</v>
      </c>
      <c r="B3379" s="63" t="s">
        <v>4069</v>
      </c>
    </row>
    <row r="3380" spans="1:2" x14ac:dyDescent="0.25">
      <c r="A3380" s="62">
        <v>27111720</v>
      </c>
      <c r="B3380" s="63" t="s">
        <v>4070</v>
      </c>
    </row>
    <row r="3381" spans="1:2" x14ac:dyDescent="0.25">
      <c r="A3381" s="62">
        <v>27111721</v>
      </c>
      <c r="B3381" s="63" t="s">
        <v>4071</v>
      </c>
    </row>
    <row r="3382" spans="1:2" x14ac:dyDescent="0.25">
      <c r="A3382" s="62">
        <v>27111722</v>
      </c>
      <c r="B3382" s="63" t="s">
        <v>4072</v>
      </c>
    </row>
    <row r="3383" spans="1:2" x14ac:dyDescent="0.25">
      <c r="A3383" s="62">
        <v>27111723</v>
      </c>
      <c r="B3383" s="63" t="s">
        <v>4073</v>
      </c>
    </row>
    <row r="3384" spans="1:2" x14ac:dyDescent="0.25">
      <c r="A3384" s="62">
        <v>27111724</v>
      </c>
      <c r="B3384" s="63" t="s">
        <v>4074</v>
      </c>
    </row>
    <row r="3385" spans="1:2" x14ac:dyDescent="0.25">
      <c r="A3385" s="62">
        <v>27111725</v>
      </c>
      <c r="B3385" s="63" t="s">
        <v>4075</v>
      </c>
    </row>
    <row r="3386" spans="1:2" x14ac:dyDescent="0.25">
      <c r="A3386" s="62">
        <v>27111726</v>
      </c>
      <c r="B3386" s="63" t="s">
        <v>4076</v>
      </c>
    </row>
    <row r="3387" spans="1:2" x14ac:dyDescent="0.25">
      <c r="A3387" s="62">
        <v>27111727</v>
      </c>
      <c r="B3387" s="63" t="s">
        <v>4077</v>
      </c>
    </row>
    <row r="3388" spans="1:2" x14ac:dyDescent="0.25">
      <c r="A3388" s="62">
        <v>27111801</v>
      </c>
      <c r="B3388" s="63" t="s">
        <v>4078</v>
      </c>
    </row>
    <row r="3389" spans="1:2" x14ac:dyDescent="0.25">
      <c r="A3389" s="62">
        <v>27111802</v>
      </c>
      <c r="B3389" s="63" t="s">
        <v>4079</v>
      </c>
    </row>
    <row r="3390" spans="1:2" x14ac:dyDescent="0.25">
      <c r="A3390" s="62">
        <v>27111803</v>
      </c>
      <c r="B3390" s="63" t="s">
        <v>4080</v>
      </c>
    </row>
    <row r="3391" spans="1:2" x14ac:dyDescent="0.25">
      <c r="A3391" s="62">
        <v>27111804</v>
      </c>
      <c r="B3391" s="63" t="s">
        <v>4081</v>
      </c>
    </row>
    <row r="3392" spans="1:2" x14ac:dyDescent="0.25">
      <c r="A3392" s="62">
        <v>27111806</v>
      </c>
      <c r="B3392" s="63" t="s">
        <v>4082</v>
      </c>
    </row>
    <row r="3393" spans="1:2" x14ac:dyDescent="0.25">
      <c r="A3393" s="62">
        <v>27111807</v>
      </c>
      <c r="B3393" s="63" t="s">
        <v>4083</v>
      </c>
    </row>
    <row r="3394" spans="1:2" x14ac:dyDescent="0.25">
      <c r="A3394" s="62">
        <v>27111809</v>
      </c>
      <c r="B3394" s="63" t="s">
        <v>3538</v>
      </c>
    </row>
    <row r="3395" spans="1:2" x14ac:dyDescent="0.25">
      <c r="A3395" s="62">
        <v>27111810</v>
      </c>
      <c r="B3395" s="63" t="s">
        <v>4084</v>
      </c>
    </row>
    <row r="3396" spans="1:2" x14ac:dyDescent="0.25">
      <c r="A3396" s="62">
        <v>27111901</v>
      </c>
      <c r="B3396" s="63" t="s">
        <v>4085</v>
      </c>
    </row>
    <row r="3397" spans="1:2" x14ac:dyDescent="0.25">
      <c r="A3397" s="62">
        <v>27111902</v>
      </c>
      <c r="B3397" s="63" t="s">
        <v>4086</v>
      </c>
    </row>
    <row r="3398" spans="1:2" x14ac:dyDescent="0.25">
      <c r="A3398" s="62">
        <v>27111903</v>
      </c>
      <c r="B3398" s="63" t="s">
        <v>4087</v>
      </c>
    </row>
    <row r="3399" spans="1:2" x14ac:dyDescent="0.25">
      <c r="A3399" s="62">
        <v>27111904</v>
      </c>
      <c r="B3399" s="63" t="s">
        <v>4088</v>
      </c>
    </row>
    <row r="3400" spans="1:2" x14ac:dyDescent="0.25">
      <c r="A3400" s="62">
        <v>27111905</v>
      </c>
      <c r="B3400" s="63" t="s">
        <v>2550</v>
      </c>
    </row>
    <row r="3401" spans="1:2" x14ac:dyDescent="0.25">
      <c r="A3401" s="62">
        <v>27111906</v>
      </c>
      <c r="B3401" s="63" t="s">
        <v>4089</v>
      </c>
    </row>
    <row r="3402" spans="1:2" x14ac:dyDescent="0.25">
      <c r="A3402" s="62">
        <v>27111907</v>
      </c>
      <c r="B3402" s="63" t="s">
        <v>4090</v>
      </c>
    </row>
    <row r="3403" spans="1:2" x14ac:dyDescent="0.25">
      <c r="A3403" s="62">
        <v>27111908</v>
      </c>
      <c r="B3403" s="63" t="s">
        <v>4091</v>
      </c>
    </row>
    <row r="3404" spans="1:2" x14ac:dyDescent="0.25">
      <c r="A3404" s="62">
        <v>27111909</v>
      </c>
      <c r="B3404" s="63" t="s">
        <v>4092</v>
      </c>
    </row>
    <row r="3405" spans="1:2" x14ac:dyDescent="0.25">
      <c r="A3405" s="62">
        <v>27111910</v>
      </c>
      <c r="B3405" s="63" t="s">
        <v>4093</v>
      </c>
    </row>
    <row r="3406" spans="1:2" x14ac:dyDescent="0.25">
      <c r="A3406" s="62">
        <v>27111911</v>
      </c>
      <c r="B3406" s="63" t="s">
        <v>4094</v>
      </c>
    </row>
    <row r="3407" spans="1:2" x14ac:dyDescent="0.25">
      <c r="A3407" s="62">
        <v>27112001</v>
      </c>
      <c r="B3407" s="63" t="s">
        <v>4095</v>
      </c>
    </row>
    <row r="3408" spans="1:2" x14ac:dyDescent="0.25">
      <c r="A3408" s="62">
        <v>27112002</v>
      </c>
      <c r="B3408" s="63" t="s">
        <v>4096</v>
      </c>
    </row>
    <row r="3409" spans="1:2" x14ac:dyDescent="0.25">
      <c r="A3409" s="62">
        <v>27112003</v>
      </c>
      <c r="B3409" s="63" t="s">
        <v>4097</v>
      </c>
    </row>
    <row r="3410" spans="1:2" x14ac:dyDescent="0.25">
      <c r="A3410" s="62">
        <v>27112004</v>
      </c>
      <c r="B3410" s="63" t="s">
        <v>4098</v>
      </c>
    </row>
    <row r="3411" spans="1:2" x14ac:dyDescent="0.25">
      <c r="A3411" s="62">
        <v>27112005</v>
      </c>
      <c r="B3411" s="63" t="s">
        <v>4099</v>
      </c>
    </row>
    <row r="3412" spans="1:2" x14ac:dyDescent="0.25">
      <c r="A3412" s="62">
        <v>27112006</v>
      </c>
      <c r="B3412" s="63" t="s">
        <v>4100</v>
      </c>
    </row>
    <row r="3413" spans="1:2" x14ac:dyDescent="0.25">
      <c r="A3413" s="62">
        <v>27112007</v>
      </c>
      <c r="B3413" s="63" t="s">
        <v>4101</v>
      </c>
    </row>
    <row r="3414" spans="1:2" x14ac:dyDescent="0.25">
      <c r="A3414" s="62">
        <v>27112008</v>
      </c>
      <c r="B3414" s="63" t="s">
        <v>4102</v>
      </c>
    </row>
    <row r="3415" spans="1:2" x14ac:dyDescent="0.25">
      <c r="A3415" s="62">
        <v>27112009</v>
      </c>
      <c r="B3415" s="63" t="s">
        <v>4103</v>
      </c>
    </row>
    <row r="3416" spans="1:2" x14ac:dyDescent="0.25">
      <c r="A3416" s="62">
        <v>27112010</v>
      </c>
      <c r="B3416" s="63" t="s">
        <v>4104</v>
      </c>
    </row>
    <row r="3417" spans="1:2" x14ac:dyDescent="0.25">
      <c r="A3417" s="62">
        <v>27112011</v>
      </c>
      <c r="B3417" s="63" t="s">
        <v>4105</v>
      </c>
    </row>
    <row r="3418" spans="1:2" x14ac:dyDescent="0.25">
      <c r="A3418" s="62">
        <v>27112012</v>
      </c>
      <c r="B3418" s="63" t="s">
        <v>4106</v>
      </c>
    </row>
    <row r="3419" spans="1:2" x14ac:dyDescent="0.25">
      <c r="A3419" s="62">
        <v>27112013</v>
      </c>
      <c r="B3419" s="63" t="s">
        <v>4107</v>
      </c>
    </row>
    <row r="3420" spans="1:2" x14ac:dyDescent="0.25">
      <c r="A3420" s="62">
        <v>27112014</v>
      </c>
      <c r="B3420" s="63" t="s">
        <v>4108</v>
      </c>
    </row>
    <row r="3421" spans="1:2" x14ac:dyDescent="0.25">
      <c r="A3421" s="62">
        <v>27112015</v>
      </c>
      <c r="B3421" s="63" t="s">
        <v>4109</v>
      </c>
    </row>
    <row r="3422" spans="1:2" x14ac:dyDescent="0.25">
      <c r="A3422" s="62">
        <v>27112016</v>
      </c>
      <c r="B3422" s="63" t="s">
        <v>4110</v>
      </c>
    </row>
    <row r="3423" spans="1:2" x14ac:dyDescent="0.25">
      <c r="A3423" s="62">
        <v>27112017</v>
      </c>
      <c r="B3423" s="63" t="s">
        <v>4111</v>
      </c>
    </row>
    <row r="3424" spans="1:2" x14ac:dyDescent="0.25">
      <c r="A3424" s="62">
        <v>27112101</v>
      </c>
      <c r="B3424" s="63" t="s">
        <v>4112</v>
      </c>
    </row>
    <row r="3425" spans="1:2" x14ac:dyDescent="0.25">
      <c r="A3425" s="62">
        <v>27112102</v>
      </c>
      <c r="B3425" s="63" t="s">
        <v>4113</v>
      </c>
    </row>
    <row r="3426" spans="1:2" x14ac:dyDescent="0.25">
      <c r="A3426" s="62">
        <v>27112103</v>
      </c>
      <c r="B3426" s="63" t="s">
        <v>4114</v>
      </c>
    </row>
    <row r="3427" spans="1:2" x14ac:dyDescent="0.25">
      <c r="A3427" s="62">
        <v>27112104</v>
      </c>
      <c r="B3427" s="63" t="s">
        <v>4115</v>
      </c>
    </row>
    <row r="3428" spans="1:2" x14ac:dyDescent="0.25">
      <c r="A3428" s="62">
        <v>27112105</v>
      </c>
      <c r="B3428" s="63" t="s">
        <v>4116</v>
      </c>
    </row>
    <row r="3429" spans="1:2" x14ac:dyDescent="0.25">
      <c r="A3429" s="62">
        <v>27112106</v>
      </c>
      <c r="B3429" s="63" t="s">
        <v>4117</v>
      </c>
    </row>
    <row r="3430" spans="1:2" x14ac:dyDescent="0.25">
      <c r="A3430" s="62">
        <v>27112107</v>
      </c>
      <c r="B3430" s="63" t="s">
        <v>4118</v>
      </c>
    </row>
    <row r="3431" spans="1:2" x14ac:dyDescent="0.25">
      <c r="A3431" s="62">
        <v>27112108</v>
      </c>
      <c r="B3431" s="63" t="s">
        <v>4119</v>
      </c>
    </row>
    <row r="3432" spans="1:2" x14ac:dyDescent="0.25">
      <c r="A3432" s="62">
        <v>27112109</v>
      </c>
      <c r="B3432" s="63" t="s">
        <v>4120</v>
      </c>
    </row>
    <row r="3433" spans="1:2" x14ac:dyDescent="0.25">
      <c r="A3433" s="62">
        <v>27112110</v>
      </c>
      <c r="B3433" s="63" t="s">
        <v>4121</v>
      </c>
    </row>
    <row r="3434" spans="1:2" x14ac:dyDescent="0.25">
      <c r="A3434" s="62">
        <v>27112111</v>
      </c>
      <c r="B3434" s="63" t="s">
        <v>4122</v>
      </c>
    </row>
    <row r="3435" spans="1:2" x14ac:dyDescent="0.25">
      <c r="A3435" s="62">
        <v>27112112</v>
      </c>
      <c r="B3435" s="63" t="s">
        <v>4123</v>
      </c>
    </row>
    <row r="3436" spans="1:2" x14ac:dyDescent="0.25">
      <c r="A3436" s="62">
        <v>27112113</v>
      </c>
      <c r="B3436" s="63" t="s">
        <v>4124</v>
      </c>
    </row>
    <row r="3437" spans="1:2" x14ac:dyDescent="0.25">
      <c r="A3437" s="62">
        <v>27112114</v>
      </c>
      <c r="B3437" s="63" t="s">
        <v>4125</v>
      </c>
    </row>
    <row r="3438" spans="1:2" x14ac:dyDescent="0.25">
      <c r="A3438" s="62">
        <v>27112115</v>
      </c>
      <c r="B3438" s="63" t="s">
        <v>4126</v>
      </c>
    </row>
    <row r="3439" spans="1:2" x14ac:dyDescent="0.25">
      <c r="A3439" s="62">
        <v>27112116</v>
      </c>
      <c r="B3439" s="63" t="s">
        <v>4127</v>
      </c>
    </row>
    <row r="3440" spans="1:2" x14ac:dyDescent="0.25">
      <c r="A3440" s="62">
        <v>27112117</v>
      </c>
      <c r="B3440" s="63" t="s">
        <v>4128</v>
      </c>
    </row>
    <row r="3441" spans="1:2" x14ac:dyDescent="0.25">
      <c r="A3441" s="62">
        <v>27112119</v>
      </c>
      <c r="B3441" s="63" t="s">
        <v>4129</v>
      </c>
    </row>
    <row r="3442" spans="1:2" x14ac:dyDescent="0.25">
      <c r="A3442" s="62">
        <v>27112120</v>
      </c>
      <c r="B3442" s="63" t="s">
        <v>4130</v>
      </c>
    </row>
    <row r="3443" spans="1:2" x14ac:dyDescent="0.25">
      <c r="A3443" s="62">
        <v>27112121</v>
      </c>
      <c r="B3443" s="63" t="s">
        <v>4131</v>
      </c>
    </row>
    <row r="3444" spans="1:2" x14ac:dyDescent="0.25">
      <c r="A3444" s="62">
        <v>27112122</v>
      </c>
      <c r="B3444" s="63" t="s">
        <v>4132</v>
      </c>
    </row>
    <row r="3445" spans="1:2" x14ac:dyDescent="0.25">
      <c r="A3445" s="62">
        <v>27112123</v>
      </c>
      <c r="B3445" s="63" t="s">
        <v>4133</v>
      </c>
    </row>
    <row r="3446" spans="1:2" x14ac:dyDescent="0.25">
      <c r="A3446" s="62">
        <v>27112124</v>
      </c>
      <c r="B3446" s="63" t="s">
        <v>4134</v>
      </c>
    </row>
    <row r="3447" spans="1:2" x14ac:dyDescent="0.25">
      <c r="A3447" s="62">
        <v>27112125</v>
      </c>
      <c r="B3447" s="63" t="s">
        <v>4135</v>
      </c>
    </row>
    <row r="3448" spans="1:2" x14ac:dyDescent="0.25">
      <c r="A3448" s="62">
        <v>27112126</v>
      </c>
      <c r="B3448" s="63" t="s">
        <v>4136</v>
      </c>
    </row>
    <row r="3449" spans="1:2" x14ac:dyDescent="0.25">
      <c r="A3449" s="62">
        <v>27112127</v>
      </c>
      <c r="B3449" s="63" t="s">
        <v>4137</v>
      </c>
    </row>
    <row r="3450" spans="1:2" x14ac:dyDescent="0.25">
      <c r="A3450" s="62">
        <v>27112128</v>
      </c>
      <c r="B3450" s="63" t="s">
        <v>4138</v>
      </c>
    </row>
    <row r="3451" spans="1:2" x14ac:dyDescent="0.25">
      <c r="A3451" s="62">
        <v>27112129</v>
      </c>
      <c r="B3451" s="63" t="s">
        <v>4139</v>
      </c>
    </row>
    <row r="3452" spans="1:2" x14ac:dyDescent="0.25">
      <c r="A3452" s="62">
        <v>27112130</v>
      </c>
      <c r="B3452" s="63" t="s">
        <v>4140</v>
      </c>
    </row>
    <row r="3453" spans="1:2" x14ac:dyDescent="0.25">
      <c r="A3453" s="62">
        <v>27112131</v>
      </c>
      <c r="B3453" s="63" t="s">
        <v>4141</v>
      </c>
    </row>
    <row r="3454" spans="1:2" x14ac:dyDescent="0.25">
      <c r="A3454" s="62">
        <v>27112132</v>
      </c>
      <c r="B3454" s="63" t="s">
        <v>4142</v>
      </c>
    </row>
    <row r="3455" spans="1:2" x14ac:dyDescent="0.25">
      <c r="A3455" s="62">
        <v>27112133</v>
      </c>
      <c r="B3455" s="63" t="s">
        <v>4143</v>
      </c>
    </row>
    <row r="3456" spans="1:2" x14ac:dyDescent="0.25">
      <c r="A3456" s="62">
        <v>27112134</v>
      </c>
      <c r="B3456" s="63" t="s">
        <v>4144</v>
      </c>
    </row>
    <row r="3457" spans="1:2" x14ac:dyDescent="0.25">
      <c r="A3457" s="62">
        <v>27112201</v>
      </c>
      <c r="B3457" s="63" t="s">
        <v>4145</v>
      </c>
    </row>
    <row r="3458" spans="1:2" x14ac:dyDescent="0.25">
      <c r="A3458" s="62">
        <v>27112202</v>
      </c>
      <c r="B3458" s="63" t="s">
        <v>4146</v>
      </c>
    </row>
    <row r="3459" spans="1:2" x14ac:dyDescent="0.25">
      <c r="A3459" s="62">
        <v>27112203</v>
      </c>
      <c r="B3459" s="63" t="s">
        <v>4147</v>
      </c>
    </row>
    <row r="3460" spans="1:2" x14ac:dyDescent="0.25">
      <c r="A3460" s="62">
        <v>27112205</v>
      </c>
      <c r="B3460" s="63" t="s">
        <v>4148</v>
      </c>
    </row>
    <row r="3461" spans="1:2" x14ac:dyDescent="0.25">
      <c r="A3461" s="62">
        <v>27112301</v>
      </c>
      <c r="B3461" s="63" t="s">
        <v>4149</v>
      </c>
    </row>
    <row r="3462" spans="1:2" x14ac:dyDescent="0.25">
      <c r="A3462" s="62">
        <v>27112302</v>
      </c>
      <c r="B3462" s="63" t="s">
        <v>4150</v>
      </c>
    </row>
    <row r="3463" spans="1:2" x14ac:dyDescent="0.25">
      <c r="A3463" s="62">
        <v>27112303</v>
      </c>
      <c r="B3463" s="63" t="s">
        <v>4151</v>
      </c>
    </row>
    <row r="3464" spans="1:2" x14ac:dyDescent="0.25">
      <c r="A3464" s="62">
        <v>27112304</v>
      </c>
      <c r="B3464" s="63" t="s">
        <v>4152</v>
      </c>
    </row>
    <row r="3465" spans="1:2" x14ac:dyDescent="0.25">
      <c r="A3465" s="62">
        <v>27112305</v>
      </c>
      <c r="B3465" s="63" t="s">
        <v>4153</v>
      </c>
    </row>
    <row r="3466" spans="1:2" x14ac:dyDescent="0.25">
      <c r="A3466" s="62">
        <v>27112306</v>
      </c>
      <c r="B3466" s="63" t="s">
        <v>4154</v>
      </c>
    </row>
    <row r="3467" spans="1:2" x14ac:dyDescent="0.25">
      <c r="A3467" s="62">
        <v>27112401</v>
      </c>
      <c r="B3467" s="63" t="s">
        <v>4155</v>
      </c>
    </row>
    <row r="3468" spans="1:2" x14ac:dyDescent="0.25">
      <c r="A3468" s="62">
        <v>27112402</v>
      </c>
      <c r="B3468" s="63" t="s">
        <v>4156</v>
      </c>
    </row>
    <row r="3469" spans="1:2" x14ac:dyDescent="0.25">
      <c r="A3469" s="62">
        <v>27112403</v>
      </c>
      <c r="B3469" s="63" t="s">
        <v>4157</v>
      </c>
    </row>
    <row r="3470" spans="1:2" x14ac:dyDescent="0.25">
      <c r="A3470" s="62">
        <v>27112404</v>
      </c>
      <c r="B3470" s="63" t="s">
        <v>4158</v>
      </c>
    </row>
    <row r="3471" spans="1:2" x14ac:dyDescent="0.25">
      <c r="A3471" s="62">
        <v>27112405</v>
      </c>
      <c r="B3471" s="63" t="s">
        <v>4159</v>
      </c>
    </row>
    <row r="3472" spans="1:2" x14ac:dyDescent="0.25">
      <c r="A3472" s="62">
        <v>27112406</v>
      </c>
      <c r="B3472" s="63" t="s">
        <v>4160</v>
      </c>
    </row>
    <row r="3473" spans="1:2" x14ac:dyDescent="0.25">
      <c r="A3473" s="62">
        <v>27112407</v>
      </c>
      <c r="B3473" s="63" t="s">
        <v>4161</v>
      </c>
    </row>
    <row r="3474" spans="1:2" x14ac:dyDescent="0.25">
      <c r="A3474" s="62">
        <v>27112501</v>
      </c>
      <c r="B3474" s="63" t="s">
        <v>4162</v>
      </c>
    </row>
    <row r="3475" spans="1:2" x14ac:dyDescent="0.25">
      <c r="A3475" s="62">
        <v>27112502</v>
      </c>
      <c r="B3475" s="63" t="s">
        <v>4163</v>
      </c>
    </row>
    <row r="3476" spans="1:2" x14ac:dyDescent="0.25">
      <c r="A3476" s="62">
        <v>27112503</v>
      </c>
      <c r="B3476" s="63" t="s">
        <v>4164</v>
      </c>
    </row>
    <row r="3477" spans="1:2" x14ac:dyDescent="0.25">
      <c r="A3477" s="62">
        <v>27112504</v>
      </c>
      <c r="B3477" s="63" t="s">
        <v>4165</v>
      </c>
    </row>
    <row r="3478" spans="1:2" x14ac:dyDescent="0.25">
      <c r="A3478" s="62">
        <v>27112505</v>
      </c>
      <c r="B3478" s="63" t="s">
        <v>4166</v>
      </c>
    </row>
    <row r="3479" spans="1:2" x14ac:dyDescent="0.25">
      <c r="A3479" s="62">
        <v>27112506</v>
      </c>
      <c r="B3479" s="63" t="s">
        <v>4167</v>
      </c>
    </row>
    <row r="3480" spans="1:2" x14ac:dyDescent="0.25">
      <c r="A3480" s="62">
        <v>27112601</v>
      </c>
      <c r="B3480" s="63" t="s">
        <v>4168</v>
      </c>
    </row>
    <row r="3481" spans="1:2" x14ac:dyDescent="0.25">
      <c r="A3481" s="62">
        <v>27112602</v>
      </c>
      <c r="B3481" s="63" t="s">
        <v>4169</v>
      </c>
    </row>
    <row r="3482" spans="1:2" x14ac:dyDescent="0.25">
      <c r="A3482" s="62">
        <v>27112701</v>
      </c>
      <c r="B3482" s="63" t="s">
        <v>4170</v>
      </c>
    </row>
    <row r="3483" spans="1:2" x14ac:dyDescent="0.25">
      <c r="A3483" s="62">
        <v>27112702</v>
      </c>
      <c r="B3483" s="63" t="s">
        <v>4171</v>
      </c>
    </row>
    <row r="3484" spans="1:2" x14ac:dyDescent="0.25">
      <c r="A3484" s="62">
        <v>27112703</v>
      </c>
      <c r="B3484" s="63" t="s">
        <v>4172</v>
      </c>
    </row>
    <row r="3485" spans="1:2" x14ac:dyDescent="0.25">
      <c r="A3485" s="62">
        <v>27112704</v>
      </c>
      <c r="B3485" s="63" t="s">
        <v>4173</v>
      </c>
    </row>
    <row r="3486" spans="1:2" x14ac:dyDescent="0.25">
      <c r="A3486" s="62">
        <v>27112705</v>
      </c>
      <c r="B3486" s="63" t="s">
        <v>4174</v>
      </c>
    </row>
    <row r="3487" spans="1:2" x14ac:dyDescent="0.25">
      <c r="A3487" s="62">
        <v>27112706</v>
      </c>
      <c r="B3487" s="63" t="s">
        <v>4175</v>
      </c>
    </row>
    <row r="3488" spans="1:2" x14ac:dyDescent="0.25">
      <c r="A3488" s="62">
        <v>27112707</v>
      </c>
      <c r="B3488" s="63" t="s">
        <v>4176</v>
      </c>
    </row>
    <row r="3489" spans="1:2" x14ac:dyDescent="0.25">
      <c r="A3489" s="62">
        <v>27112708</v>
      </c>
      <c r="B3489" s="63" t="s">
        <v>4177</v>
      </c>
    </row>
    <row r="3490" spans="1:2" x14ac:dyDescent="0.25">
      <c r="A3490" s="62">
        <v>27112709</v>
      </c>
      <c r="B3490" s="63" t="s">
        <v>4178</v>
      </c>
    </row>
    <row r="3491" spans="1:2" x14ac:dyDescent="0.25">
      <c r="A3491" s="62">
        <v>27112710</v>
      </c>
      <c r="B3491" s="63" t="s">
        <v>4179</v>
      </c>
    </row>
    <row r="3492" spans="1:2" x14ac:dyDescent="0.25">
      <c r="A3492" s="62">
        <v>27112711</v>
      </c>
      <c r="B3492" s="63" t="s">
        <v>4180</v>
      </c>
    </row>
    <row r="3493" spans="1:2" x14ac:dyDescent="0.25">
      <c r="A3493" s="62">
        <v>27112712</v>
      </c>
      <c r="B3493" s="63" t="s">
        <v>4181</v>
      </c>
    </row>
    <row r="3494" spans="1:2" x14ac:dyDescent="0.25">
      <c r="A3494" s="62">
        <v>27112713</v>
      </c>
      <c r="B3494" s="63" t="s">
        <v>4182</v>
      </c>
    </row>
    <row r="3495" spans="1:2" x14ac:dyDescent="0.25">
      <c r="A3495" s="62">
        <v>27112714</v>
      </c>
      <c r="B3495" s="63" t="s">
        <v>4183</v>
      </c>
    </row>
    <row r="3496" spans="1:2" x14ac:dyDescent="0.25">
      <c r="A3496" s="62">
        <v>27112715</v>
      </c>
      <c r="B3496" s="63" t="s">
        <v>4184</v>
      </c>
    </row>
    <row r="3497" spans="1:2" x14ac:dyDescent="0.25">
      <c r="A3497" s="62">
        <v>27112716</v>
      </c>
      <c r="B3497" s="63" t="s">
        <v>4185</v>
      </c>
    </row>
    <row r="3498" spans="1:2" x14ac:dyDescent="0.25">
      <c r="A3498" s="62">
        <v>27112717</v>
      </c>
      <c r="B3498" s="63" t="s">
        <v>4186</v>
      </c>
    </row>
    <row r="3499" spans="1:2" x14ac:dyDescent="0.25">
      <c r="A3499" s="62">
        <v>27112718</v>
      </c>
      <c r="B3499" s="63" t="s">
        <v>4187</v>
      </c>
    </row>
    <row r="3500" spans="1:2" x14ac:dyDescent="0.25">
      <c r="A3500" s="62">
        <v>27112719</v>
      </c>
      <c r="B3500" s="63" t="s">
        <v>4188</v>
      </c>
    </row>
    <row r="3501" spans="1:2" x14ac:dyDescent="0.25">
      <c r="A3501" s="62">
        <v>27112720</v>
      </c>
      <c r="B3501" s="63" t="s">
        <v>4189</v>
      </c>
    </row>
    <row r="3502" spans="1:2" x14ac:dyDescent="0.25">
      <c r="A3502" s="62">
        <v>27112721</v>
      </c>
      <c r="B3502" s="63" t="s">
        <v>4190</v>
      </c>
    </row>
    <row r="3503" spans="1:2" x14ac:dyDescent="0.25">
      <c r="A3503" s="62">
        <v>27112801</v>
      </c>
      <c r="B3503" s="63" t="s">
        <v>4191</v>
      </c>
    </row>
    <row r="3504" spans="1:2" x14ac:dyDescent="0.25">
      <c r="A3504" s="62">
        <v>27112802</v>
      </c>
      <c r="B3504" s="63" t="s">
        <v>4192</v>
      </c>
    </row>
    <row r="3505" spans="1:2" x14ac:dyDescent="0.25">
      <c r="A3505" s="62">
        <v>27112803</v>
      </c>
      <c r="B3505" s="63" t="s">
        <v>4193</v>
      </c>
    </row>
    <row r="3506" spans="1:2" x14ac:dyDescent="0.25">
      <c r="A3506" s="62">
        <v>27112804</v>
      </c>
      <c r="B3506" s="63" t="s">
        <v>4194</v>
      </c>
    </row>
    <row r="3507" spans="1:2" x14ac:dyDescent="0.25">
      <c r="A3507" s="62">
        <v>27112805</v>
      </c>
      <c r="B3507" s="63" t="s">
        <v>4195</v>
      </c>
    </row>
    <row r="3508" spans="1:2" x14ac:dyDescent="0.25">
      <c r="A3508" s="62">
        <v>27112806</v>
      </c>
      <c r="B3508" s="63" t="s">
        <v>4196</v>
      </c>
    </row>
    <row r="3509" spans="1:2" x14ac:dyDescent="0.25">
      <c r="A3509" s="62">
        <v>27112807</v>
      </c>
      <c r="B3509" s="63" t="s">
        <v>4165</v>
      </c>
    </row>
    <row r="3510" spans="1:2" x14ac:dyDescent="0.25">
      <c r="A3510" s="62">
        <v>27112808</v>
      </c>
      <c r="B3510" s="63" t="s">
        <v>4197</v>
      </c>
    </row>
    <row r="3511" spans="1:2" x14ac:dyDescent="0.25">
      <c r="A3511" s="62">
        <v>27112809</v>
      </c>
      <c r="B3511" s="63" t="s">
        <v>2966</v>
      </c>
    </row>
    <row r="3512" spans="1:2" x14ac:dyDescent="0.25">
      <c r="A3512" s="62">
        <v>27112810</v>
      </c>
      <c r="B3512" s="63" t="s">
        <v>4198</v>
      </c>
    </row>
    <row r="3513" spans="1:2" x14ac:dyDescent="0.25">
      <c r="A3513" s="62">
        <v>27112811</v>
      </c>
      <c r="B3513" s="63" t="s">
        <v>4199</v>
      </c>
    </row>
    <row r="3514" spans="1:2" x14ac:dyDescent="0.25">
      <c r="A3514" s="62">
        <v>27112812</v>
      </c>
      <c r="B3514" s="63" t="s">
        <v>4200</v>
      </c>
    </row>
    <row r="3515" spans="1:2" x14ac:dyDescent="0.25">
      <c r="A3515" s="62">
        <v>27112813</v>
      </c>
      <c r="B3515" s="63" t="s">
        <v>4201</v>
      </c>
    </row>
    <row r="3516" spans="1:2" x14ac:dyDescent="0.25">
      <c r="A3516" s="62">
        <v>27112814</v>
      </c>
      <c r="B3516" s="63" t="s">
        <v>4202</v>
      </c>
    </row>
    <row r="3517" spans="1:2" x14ac:dyDescent="0.25">
      <c r="A3517" s="62">
        <v>27112815</v>
      </c>
      <c r="B3517" s="63" t="s">
        <v>4203</v>
      </c>
    </row>
    <row r="3518" spans="1:2" x14ac:dyDescent="0.25">
      <c r="A3518" s="62">
        <v>27112818</v>
      </c>
      <c r="B3518" s="63" t="s">
        <v>4204</v>
      </c>
    </row>
    <row r="3519" spans="1:2" x14ac:dyDescent="0.25">
      <c r="A3519" s="62">
        <v>27112819</v>
      </c>
      <c r="B3519" s="63" t="s">
        <v>4205</v>
      </c>
    </row>
    <row r="3520" spans="1:2" x14ac:dyDescent="0.25">
      <c r="A3520" s="62">
        <v>27112820</v>
      </c>
      <c r="B3520" s="63" t="s">
        <v>4206</v>
      </c>
    </row>
    <row r="3521" spans="1:2" x14ac:dyDescent="0.25">
      <c r="A3521" s="62">
        <v>27112821</v>
      </c>
      <c r="B3521" s="63" t="s">
        <v>4207</v>
      </c>
    </row>
    <row r="3522" spans="1:2" x14ac:dyDescent="0.25">
      <c r="A3522" s="62">
        <v>27112822</v>
      </c>
      <c r="B3522" s="63" t="s">
        <v>4208</v>
      </c>
    </row>
    <row r="3523" spans="1:2" x14ac:dyDescent="0.25">
      <c r="A3523" s="62">
        <v>27112823</v>
      </c>
      <c r="B3523" s="63" t="s">
        <v>4209</v>
      </c>
    </row>
    <row r="3524" spans="1:2" x14ac:dyDescent="0.25">
      <c r="A3524" s="62">
        <v>27112824</v>
      </c>
      <c r="B3524" s="63" t="s">
        <v>4210</v>
      </c>
    </row>
    <row r="3525" spans="1:2" x14ac:dyDescent="0.25">
      <c r="A3525" s="62">
        <v>27112825</v>
      </c>
      <c r="B3525" s="63" t="s">
        <v>4211</v>
      </c>
    </row>
    <row r="3526" spans="1:2" x14ac:dyDescent="0.25">
      <c r="A3526" s="62">
        <v>27112826</v>
      </c>
      <c r="B3526" s="63" t="s">
        <v>4212</v>
      </c>
    </row>
    <row r="3527" spans="1:2" x14ac:dyDescent="0.25">
      <c r="A3527" s="62">
        <v>27112901</v>
      </c>
      <c r="B3527" s="63" t="s">
        <v>4213</v>
      </c>
    </row>
    <row r="3528" spans="1:2" x14ac:dyDescent="0.25">
      <c r="A3528" s="62">
        <v>27112902</v>
      </c>
      <c r="B3528" s="63" t="s">
        <v>4214</v>
      </c>
    </row>
    <row r="3529" spans="1:2" x14ac:dyDescent="0.25">
      <c r="A3529" s="62">
        <v>27112903</v>
      </c>
      <c r="B3529" s="63" t="s">
        <v>4215</v>
      </c>
    </row>
    <row r="3530" spans="1:2" x14ac:dyDescent="0.25">
      <c r="A3530" s="62">
        <v>27112904</v>
      </c>
      <c r="B3530" s="63" t="s">
        <v>4216</v>
      </c>
    </row>
    <row r="3531" spans="1:2" x14ac:dyDescent="0.25">
      <c r="A3531" s="62">
        <v>27112905</v>
      </c>
      <c r="B3531" s="63" t="s">
        <v>4217</v>
      </c>
    </row>
    <row r="3532" spans="1:2" x14ac:dyDescent="0.25">
      <c r="A3532" s="62">
        <v>27112906</v>
      </c>
      <c r="B3532" s="63" t="s">
        <v>4218</v>
      </c>
    </row>
    <row r="3533" spans="1:2" x14ac:dyDescent="0.25">
      <c r="A3533" s="62">
        <v>27112907</v>
      </c>
      <c r="B3533" s="63" t="s">
        <v>4219</v>
      </c>
    </row>
    <row r="3534" spans="1:2" x14ac:dyDescent="0.25">
      <c r="A3534" s="62">
        <v>27112908</v>
      </c>
      <c r="B3534" s="63" t="s">
        <v>4220</v>
      </c>
    </row>
    <row r="3535" spans="1:2" x14ac:dyDescent="0.25">
      <c r="A3535" s="62">
        <v>27113001</v>
      </c>
      <c r="B3535" s="63" t="s">
        <v>4221</v>
      </c>
    </row>
    <row r="3536" spans="1:2" x14ac:dyDescent="0.25">
      <c r="A3536" s="62">
        <v>27113002</v>
      </c>
      <c r="B3536" s="63" t="s">
        <v>4222</v>
      </c>
    </row>
    <row r="3537" spans="1:2" x14ac:dyDescent="0.25">
      <c r="A3537" s="62">
        <v>27113003</v>
      </c>
      <c r="B3537" s="63" t="s">
        <v>4223</v>
      </c>
    </row>
    <row r="3538" spans="1:2" x14ac:dyDescent="0.25">
      <c r="A3538" s="62">
        <v>27113004</v>
      </c>
      <c r="B3538" s="63" t="s">
        <v>4224</v>
      </c>
    </row>
    <row r="3539" spans="1:2" x14ac:dyDescent="0.25">
      <c r="A3539" s="62">
        <v>27113101</v>
      </c>
      <c r="B3539" s="63" t="s">
        <v>4225</v>
      </c>
    </row>
    <row r="3540" spans="1:2" x14ac:dyDescent="0.25">
      <c r="A3540" s="62">
        <v>27113102</v>
      </c>
      <c r="B3540" s="63" t="s">
        <v>4226</v>
      </c>
    </row>
    <row r="3541" spans="1:2" x14ac:dyDescent="0.25">
      <c r="A3541" s="62">
        <v>27113103</v>
      </c>
      <c r="B3541" s="63" t="s">
        <v>4227</v>
      </c>
    </row>
    <row r="3542" spans="1:2" x14ac:dyDescent="0.25">
      <c r="A3542" s="62">
        <v>27113201</v>
      </c>
      <c r="B3542" s="63" t="s">
        <v>4228</v>
      </c>
    </row>
    <row r="3543" spans="1:2" x14ac:dyDescent="0.25">
      <c r="A3543" s="62">
        <v>27113202</v>
      </c>
      <c r="B3543" s="63" t="s">
        <v>4229</v>
      </c>
    </row>
    <row r="3544" spans="1:2" x14ac:dyDescent="0.25">
      <c r="A3544" s="62">
        <v>27113203</v>
      </c>
      <c r="B3544" s="63" t="s">
        <v>4230</v>
      </c>
    </row>
    <row r="3545" spans="1:2" x14ac:dyDescent="0.25">
      <c r="A3545" s="62">
        <v>27113204</v>
      </c>
      <c r="B3545" s="63" t="s">
        <v>4231</v>
      </c>
    </row>
    <row r="3546" spans="1:2" x14ac:dyDescent="0.25">
      <c r="A3546" s="62">
        <v>27121501</v>
      </c>
      <c r="B3546" s="63" t="s">
        <v>4232</v>
      </c>
    </row>
    <row r="3547" spans="1:2" x14ac:dyDescent="0.25">
      <c r="A3547" s="62">
        <v>27121502</v>
      </c>
      <c r="B3547" s="63" t="s">
        <v>4233</v>
      </c>
    </row>
    <row r="3548" spans="1:2" x14ac:dyDescent="0.25">
      <c r="A3548" s="62">
        <v>27121503</v>
      </c>
      <c r="B3548" s="63" t="s">
        <v>4234</v>
      </c>
    </row>
    <row r="3549" spans="1:2" x14ac:dyDescent="0.25">
      <c r="A3549" s="62">
        <v>27121601</v>
      </c>
      <c r="B3549" s="63" t="s">
        <v>4235</v>
      </c>
    </row>
    <row r="3550" spans="1:2" x14ac:dyDescent="0.25">
      <c r="A3550" s="62">
        <v>27121602</v>
      </c>
      <c r="B3550" s="63" t="s">
        <v>4236</v>
      </c>
    </row>
    <row r="3551" spans="1:2" x14ac:dyDescent="0.25">
      <c r="A3551" s="62">
        <v>27121603</v>
      </c>
      <c r="B3551" s="63" t="s">
        <v>4237</v>
      </c>
    </row>
    <row r="3552" spans="1:2" x14ac:dyDescent="0.25">
      <c r="A3552" s="62">
        <v>27121604</v>
      </c>
      <c r="B3552" s="63" t="s">
        <v>4238</v>
      </c>
    </row>
    <row r="3553" spans="1:2" x14ac:dyDescent="0.25">
      <c r="A3553" s="62">
        <v>27121605</v>
      </c>
      <c r="B3553" s="63" t="s">
        <v>4239</v>
      </c>
    </row>
    <row r="3554" spans="1:2" x14ac:dyDescent="0.25">
      <c r="A3554" s="62">
        <v>27121606</v>
      </c>
      <c r="B3554" s="63" t="s">
        <v>4240</v>
      </c>
    </row>
    <row r="3555" spans="1:2" x14ac:dyDescent="0.25">
      <c r="A3555" s="62">
        <v>27121701</v>
      </c>
      <c r="B3555" s="63" t="s">
        <v>4241</v>
      </c>
    </row>
    <row r="3556" spans="1:2" x14ac:dyDescent="0.25">
      <c r="A3556" s="62">
        <v>27121702</v>
      </c>
      <c r="B3556" s="63" t="s">
        <v>4242</v>
      </c>
    </row>
    <row r="3557" spans="1:2" x14ac:dyDescent="0.25">
      <c r="A3557" s="62">
        <v>27121703</v>
      </c>
      <c r="B3557" s="63" t="s">
        <v>4243</v>
      </c>
    </row>
    <row r="3558" spans="1:2" x14ac:dyDescent="0.25">
      <c r="A3558" s="62">
        <v>27121704</v>
      </c>
      <c r="B3558" s="63" t="s">
        <v>4244</v>
      </c>
    </row>
    <row r="3559" spans="1:2" x14ac:dyDescent="0.25">
      <c r="A3559" s="62">
        <v>27121705</v>
      </c>
      <c r="B3559" s="63" t="s">
        <v>4245</v>
      </c>
    </row>
    <row r="3560" spans="1:2" x14ac:dyDescent="0.25">
      <c r="A3560" s="62">
        <v>27121706</v>
      </c>
      <c r="B3560" s="63" t="s">
        <v>4246</v>
      </c>
    </row>
    <row r="3561" spans="1:2" x14ac:dyDescent="0.25">
      <c r="A3561" s="62">
        <v>27121707</v>
      </c>
      <c r="B3561" s="63" t="s">
        <v>4247</v>
      </c>
    </row>
    <row r="3562" spans="1:2" x14ac:dyDescent="0.25">
      <c r="A3562" s="62">
        <v>27126101</v>
      </c>
      <c r="B3562" s="63" t="s">
        <v>4248</v>
      </c>
    </row>
    <row r="3563" spans="1:2" x14ac:dyDescent="0.25">
      <c r="A3563" s="62">
        <v>27126102</v>
      </c>
      <c r="B3563" s="63" t="s">
        <v>4249</v>
      </c>
    </row>
    <row r="3564" spans="1:2" x14ac:dyDescent="0.25">
      <c r="A3564" s="62">
        <v>27131501</v>
      </c>
      <c r="B3564" s="63" t="s">
        <v>4250</v>
      </c>
    </row>
    <row r="3565" spans="1:2" x14ac:dyDescent="0.25">
      <c r="A3565" s="62">
        <v>27131502</v>
      </c>
      <c r="B3565" s="63" t="s">
        <v>4251</v>
      </c>
    </row>
    <row r="3566" spans="1:2" x14ac:dyDescent="0.25">
      <c r="A3566" s="62">
        <v>27131504</v>
      </c>
      <c r="B3566" s="63" t="s">
        <v>4252</v>
      </c>
    </row>
    <row r="3567" spans="1:2" x14ac:dyDescent="0.25">
      <c r="A3567" s="62">
        <v>27131505</v>
      </c>
      <c r="B3567" s="63" t="s">
        <v>4253</v>
      </c>
    </row>
    <row r="3568" spans="1:2" x14ac:dyDescent="0.25">
      <c r="A3568" s="62">
        <v>27131506</v>
      </c>
      <c r="B3568" s="63" t="s">
        <v>4254</v>
      </c>
    </row>
    <row r="3569" spans="1:2" x14ac:dyDescent="0.25">
      <c r="A3569" s="62">
        <v>27131507</v>
      </c>
      <c r="B3569" s="63" t="s">
        <v>4255</v>
      </c>
    </row>
    <row r="3570" spans="1:2" x14ac:dyDescent="0.25">
      <c r="A3570" s="62">
        <v>27131508</v>
      </c>
      <c r="B3570" s="63" t="s">
        <v>3676</v>
      </c>
    </row>
    <row r="3571" spans="1:2" x14ac:dyDescent="0.25">
      <c r="A3571" s="62">
        <v>27131509</v>
      </c>
      <c r="B3571" s="63" t="s">
        <v>4256</v>
      </c>
    </row>
    <row r="3572" spans="1:2" x14ac:dyDescent="0.25">
      <c r="A3572" s="62">
        <v>27131510</v>
      </c>
      <c r="B3572" s="63" t="s">
        <v>4257</v>
      </c>
    </row>
    <row r="3573" spans="1:2" x14ac:dyDescent="0.25">
      <c r="A3573" s="62">
        <v>27131511</v>
      </c>
      <c r="B3573" s="63" t="s">
        <v>4258</v>
      </c>
    </row>
    <row r="3574" spans="1:2" x14ac:dyDescent="0.25">
      <c r="A3574" s="62">
        <v>27131512</v>
      </c>
      <c r="B3574" s="63" t="s">
        <v>4259</v>
      </c>
    </row>
    <row r="3575" spans="1:2" x14ac:dyDescent="0.25">
      <c r="A3575" s="62">
        <v>27131601</v>
      </c>
      <c r="B3575" s="63" t="s">
        <v>4260</v>
      </c>
    </row>
    <row r="3576" spans="1:2" x14ac:dyDescent="0.25">
      <c r="A3576" s="62">
        <v>27131603</v>
      </c>
      <c r="B3576" s="63" t="s">
        <v>4261</v>
      </c>
    </row>
    <row r="3577" spans="1:2" x14ac:dyDescent="0.25">
      <c r="A3577" s="62">
        <v>27131604</v>
      </c>
      <c r="B3577" s="63" t="s">
        <v>4262</v>
      </c>
    </row>
    <row r="3578" spans="1:2" x14ac:dyDescent="0.25">
      <c r="A3578" s="62">
        <v>27131605</v>
      </c>
      <c r="B3578" s="63" t="s">
        <v>4263</v>
      </c>
    </row>
    <row r="3579" spans="1:2" x14ac:dyDescent="0.25">
      <c r="A3579" s="62">
        <v>27131608</v>
      </c>
      <c r="B3579" s="63" t="s">
        <v>4264</v>
      </c>
    </row>
    <row r="3580" spans="1:2" x14ac:dyDescent="0.25">
      <c r="A3580" s="62">
        <v>27131609</v>
      </c>
      <c r="B3580" s="63" t="s">
        <v>4265</v>
      </c>
    </row>
    <row r="3581" spans="1:2" x14ac:dyDescent="0.25">
      <c r="A3581" s="62">
        <v>27131610</v>
      </c>
      <c r="B3581" s="63" t="s">
        <v>4266</v>
      </c>
    </row>
    <row r="3582" spans="1:2" x14ac:dyDescent="0.25">
      <c r="A3582" s="62">
        <v>27131613</v>
      </c>
      <c r="B3582" s="63" t="s">
        <v>4267</v>
      </c>
    </row>
    <row r="3583" spans="1:2" x14ac:dyDescent="0.25">
      <c r="A3583" s="62">
        <v>27131614</v>
      </c>
      <c r="B3583" s="63" t="s">
        <v>4268</v>
      </c>
    </row>
    <row r="3584" spans="1:2" x14ac:dyDescent="0.25">
      <c r="A3584" s="62">
        <v>27131701</v>
      </c>
      <c r="B3584" s="63" t="s">
        <v>4269</v>
      </c>
    </row>
    <row r="3585" spans="1:2" x14ac:dyDescent="0.25">
      <c r="A3585" s="62">
        <v>27131702</v>
      </c>
      <c r="B3585" s="63" t="s">
        <v>4270</v>
      </c>
    </row>
    <row r="3586" spans="1:2" x14ac:dyDescent="0.25">
      <c r="A3586" s="62">
        <v>27131703</v>
      </c>
      <c r="B3586" s="63" t="s">
        <v>4271</v>
      </c>
    </row>
    <row r="3587" spans="1:2" x14ac:dyDescent="0.25">
      <c r="A3587" s="62">
        <v>27131704</v>
      </c>
      <c r="B3587" s="63" t="s">
        <v>4272</v>
      </c>
    </row>
    <row r="3588" spans="1:2" x14ac:dyDescent="0.25">
      <c r="A3588" s="62">
        <v>27131705</v>
      </c>
      <c r="B3588" s="63" t="s">
        <v>4273</v>
      </c>
    </row>
    <row r="3589" spans="1:2" x14ac:dyDescent="0.25">
      <c r="A3589" s="62">
        <v>27131706</v>
      </c>
      <c r="B3589" s="63" t="s">
        <v>4274</v>
      </c>
    </row>
    <row r="3590" spans="1:2" x14ac:dyDescent="0.25">
      <c r="A3590" s="62">
        <v>27131707</v>
      </c>
      <c r="B3590" s="63" t="s">
        <v>4275</v>
      </c>
    </row>
    <row r="3591" spans="1:2" x14ac:dyDescent="0.25">
      <c r="A3591" s="62">
        <v>27131708</v>
      </c>
      <c r="B3591" s="63" t="s">
        <v>4276</v>
      </c>
    </row>
    <row r="3592" spans="1:2" x14ac:dyDescent="0.25">
      <c r="A3592" s="62">
        <v>27131709</v>
      </c>
      <c r="B3592" s="63" t="s">
        <v>4277</v>
      </c>
    </row>
    <row r="3593" spans="1:2" x14ac:dyDescent="0.25">
      <c r="A3593" s="62">
        <v>27141001</v>
      </c>
      <c r="B3593" s="63" t="s">
        <v>4278</v>
      </c>
    </row>
    <row r="3594" spans="1:2" x14ac:dyDescent="0.25">
      <c r="A3594" s="62">
        <v>27141101</v>
      </c>
      <c r="B3594" s="63" t="s">
        <v>4279</v>
      </c>
    </row>
    <row r="3595" spans="1:2" x14ac:dyDescent="0.25">
      <c r="A3595" s="62">
        <v>30101501</v>
      </c>
      <c r="B3595" s="63" t="s">
        <v>4280</v>
      </c>
    </row>
    <row r="3596" spans="1:2" x14ac:dyDescent="0.25">
      <c r="A3596" s="62">
        <v>30101502</v>
      </c>
      <c r="B3596" s="63" t="s">
        <v>4281</v>
      </c>
    </row>
    <row r="3597" spans="1:2" x14ac:dyDescent="0.25">
      <c r="A3597" s="62">
        <v>30101503</v>
      </c>
      <c r="B3597" s="63" t="s">
        <v>4282</v>
      </c>
    </row>
    <row r="3598" spans="1:2" x14ac:dyDescent="0.25">
      <c r="A3598" s="62">
        <v>30101504</v>
      </c>
      <c r="B3598" s="63" t="s">
        <v>4283</v>
      </c>
    </row>
    <row r="3599" spans="1:2" x14ac:dyDescent="0.25">
      <c r="A3599" s="62">
        <v>30101505</v>
      </c>
      <c r="B3599" s="63" t="s">
        <v>4284</v>
      </c>
    </row>
    <row r="3600" spans="1:2" x14ac:dyDescent="0.25">
      <c r="A3600" s="62">
        <v>30101506</v>
      </c>
      <c r="B3600" s="63" t="s">
        <v>4285</v>
      </c>
    </row>
    <row r="3601" spans="1:2" x14ac:dyDescent="0.25">
      <c r="A3601" s="62">
        <v>30101507</v>
      </c>
      <c r="B3601" s="63" t="s">
        <v>4286</v>
      </c>
    </row>
    <row r="3602" spans="1:2" x14ac:dyDescent="0.25">
      <c r="A3602" s="62">
        <v>30101508</v>
      </c>
      <c r="B3602" s="63" t="s">
        <v>4287</v>
      </c>
    </row>
    <row r="3603" spans="1:2" x14ac:dyDescent="0.25">
      <c r="A3603" s="62">
        <v>30101509</v>
      </c>
      <c r="B3603" s="63" t="s">
        <v>4288</v>
      </c>
    </row>
    <row r="3604" spans="1:2" x14ac:dyDescent="0.25">
      <c r="A3604" s="62">
        <v>30101510</v>
      </c>
      <c r="B3604" s="63" t="s">
        <v>4289</v>
      </c>
    </row>
    <row r="3605" spans="1:2" x14ac:dyDescent="0.25">
      <c r="A3605" s="62">
        <v>30101511</v>
      </c>
      <c r="B3605" s="63" t="s">
        <v>4290</v>
      </c>
    </row>
    <row r="3606" spans="1:2" x14ac:dyDescent="0.25">
      <c r="A3606" s="62">
        <v>30101512</v>
      </c>
      <c r="B3606" s="63" t="s">
        <v>4291</v>
      </c>
    </row>
    <row r="3607" spans="1:2" x14ac:dyDescent="0.25">
      <c r="A3607" s="62">
        <v>30101513</v>
      </c>
      <c r="B3607" s="63" t="s">
        <v>4292</v>
      </c>
    </row>
    <row r="3608" spans="1:2" x14ac:dyDescent="0.25">
      <c r="A3608" s="62">
        <v>30101514</v>
      </c>
      <c r="B3608" s="63" t="s">
        <v>4293</v>
      </c>
    </row>
    <row r="3609" spans="1:2" x14ac:dyDescent="0.25">
      <c r="A3609" s="62">
        <v>30101515</v>
      </c>
      <c r="B3609" s="63" t="s">
        <v>4294</v>
      </c>
    </row>
    <row r="3610" spans="1:2" x14ac:dyDescent="0.25">
      <c r="A3610" s="62">
        <v>30101516</v>
      </c>
      <c r="B3610" s="63" t="s">
        <v>4295</v>
      </c>
    </row>
    <row r="3611" spans="1:2" x14ac:dyDescent="0.25">
      <c r="A3611" s="62">
        <v>30101517</v>
      </c>
      <c r="B3611" s="63" t="s">
        <v>4296</v>
      </c>
    </row>
    <row r="3612" spans="1:2" x14ac:dyDescent="0.25">
      <c r="A3612" s="62">
        <v>30101601</v>
      </c>
      <c r="B3612" s="63" t="s">
        <v>4297</v>
      </c>
    </row>
    <row r="3613" spans="1:2" x14ac:dyDescent="0.25">
      <c r="A3613" s="62">
        <v>30101602</v>
      </c>
      <c r="B3613" s="63" t="s">
        <v>4298</v>
      </c>
    </row>
    <row r="3614" spans="1:2" x14ac:dyDescent="0.25">
      <c r="A3614" s="62">
        <v>30101603</v>
      </c>
      <c r="B3614" s="63" t="s">
        <v>4299</v>
      </c>
    </row>
    <row r="3615" spans="1:2" x14ac:dyDescent="0.25">
      <c r="A3615" s="62">
        <v>30101604</v>
      </c>
      <c r="B3615" s="63" t="s">
        <v>4300</v>
      </c>
    </row>
    <row r="3616" spans="1:2" x14ac:dyDescent="0.25">
      <c r="A3616" s="62">
        <v>30101605</v>
      </c>
      <c r="B3616" s="63" t="s">
        <v>4301</v>
      </c>
    </row>
    <row r="3617" spans="1:2" x14ac:dyDescent="0.25">
      <c r="A3617" s="62">
        <v>30101606</v>
      </c>
      <c r="B3617" s="63" t="s">
        <v>4302</v>
      </c>
    </row>
    <row r="3618" spans="1:2" x14ac:dyDescent="0.25">
      <c r="A3618" s="62">
        <v>30101607</v>
      </c>
      <c r="B3618" s="63" t="s">
        <v>4303</v>
      </c>
    </row>
    <row r="3619" spans="1:2" x14ac:dyDescent="0.25">
      <c r="A3619" s="62">
        <v>30101608</v>
      </c>
      <c r="B3619" s="63" t="s">
        <v>4304</v>
      </c>
    </row>
    <row r="3620" spans="1:2" x14ac:dyDescent="0.25">
      <c r="A3620" s="62">
        <v>30101609</v>
      </c>
      <c r="B3620" s="63" t="s">
        <v>4305</v>
      </c>
    </row>
    <row r="3621" spans="1:2" x14ac:dyDescent="0.25">
      <c r="A3621" s="62">
        <v>30101610</v>
      </c>
      <c r="B3621" s="63" t="s">
        <v>4306</v>
      </c>
    </row>
    <row r="3622" spans="1:2" x14ac:dyDescent="0.25">
      <c r="A3622" s="62">
        <v>30101611</v>
      </c>
      <c r="B3622" s="63" t="s">
        <v>4307</v>
      </c>
    </row>
    <row r="3623" spans="1:2" x14ac:dyDescent="0.25">
      <c r="A3623" s="62">
        <v>30101612</v>
      </c>
      <c r="B3623" s="63" t="s">
        <v>4308</v>
      </c>
    </row>
    <row r="3624" spans="1:2" x14ac:dyDescent="0.25">
      <c r="A3624" s="62">
        <v>30101613</v>
      </c>
      <c r="B3624" s="63" t="s">
        <v>4309</v>
      </c>
    </row>
    <row r="3625" spans="1:2" x14ac:dyDescent="0.25">
      <c r="A3625" s="62">
        <v>30101614</v>
      </c>
      <c r="B3625" s="63" t="s">
        <v>4310</v>
      </c>
    </row>
    <row r="3626" spans="1:2" x14ac:dyDescent="0.25">
      <c r="A3626" s="62">
        <v>30101615</v>
      </c>
      <c r="B3626" s="63" t="s">
        <v>4311</v>
      </c>
    </row>
    <row r="3627" spans="1:2" x14ac:dyDescent="0.25">
      <c r="A3627" s="62">
        <v>30101616</v>
      </c>
      <c r="B3627" s="63" t="s">
        <v>4312</v>
      </c>
    </row>
    <row r="3628" spans="1:2" x14ac:dyDescent="0.25">
      <c r="A3628" s="62">
        <v>30101617</v>
      </c>
      <c r="B3628" s="63" t="s">
        <v>4313</v>
      </c>
    </row>
    <row r="3629" spans="1:2" x14ac:dyDescent="0.25">
      <c r="A3629" s="62">
        <v>30101618</v>
      </c>
      <c r="B3629" s="63" t="s">
        <v>4314</v>
      </c>
    </row>
    <row r="3630" spans="1:2" x14ac:dyDescent="0.25">
      <c r="A3630" s="62">
        <v>30101701</v>
      </c>
      <c r="B3630" s="63" t="s">
        <v>4315</v>
      </c>
    </row>
    <row r="3631" spans="1:2" x14ac:dyDescent="0.25">
      <c r="A3631" s="62">
        <v>30101702</v>
      </c>
      <c r="B3631" s="63" t="s">
        <v>4316</v>
      </c>
    </row>
    <row r="3632" spans="1:2" x14ac:dyDescent="0.25">
      <c r="A3632" s="62">
        <v>30101703</v>
      </c>
      <c r="B3632" s="63" t="s">
        <v>4317</v>
      </c>
    </row>
    <row r="3633" spans="1:2" x14ac:dyDescent="0.25">
      <c r="A3633" s="62">
        <v>30101704</v>
      </c>
      <c r="B3633" s="63" t="s">
        <v>4318</v>
      </c>
    </row>
    <row r="3634" spans="1:2" x14ac:dyDescent="0.25">
      <c r="A3634" s="62">
        <v>30101705</v>
      </c>
      <c r="B3634" s="63" t="s">
        <v>4319</v>
      </c>
    </row>
    <row r="3635" spans="1:2" x14ac:dyDescent="0.25">
      <c r="A3635" s="62">
        <v>30101706</v>
      </c>
      <c r="B3635" s="63" t="s">
        <v>4320</v>
      </c>
    </row>
    <row r="3636" spans="1:2" x14ac:dyDescent="0.25">
      <c r="A3636" s="62">
        <v>30101707</v>
      </c>
      <c r="B3636" s="63" t="s">
        <v>4321</v>
      </c>
    </row>
    <row r="3637" spans="1:2" x14ac:dyDescent="0.25">
      <c r="A3637" s="62">
        <v>30101708</v>
      </c>
      <c r="B3637" s="63" t="s">
        <v>4322</v>
      </c>
    </row>
    <row r="3638" spans="1:2" x14ac:dyDescent="0.25">
      <c r="A3638" s="62">
        <v>30101709</v>
      </c>
      <c r="B3638" s="63" t="s">
        <v>4323</v>
      </c>
    </row>
    <row r="3639" spans="1:2" x14ac:dyDescent="0.25">
      <c r="A3639" s="62">
        <v>30101710</v>
      </c>
      <c r="B3639" s="63" t="s">
        <v>4324</v>
      </c>
    </row>
    <row r="3640" spans="1:2" x14ac:dyDescent="0.25">
      <c r="A3640" s="62">
        <v>30101711</v>
      </c>
      <c r="B3640" s="63" t="s">
        <v>4325</v>
      </c>
    </row>
    <row r="3641" spans="1:2" x14ac:dyDescent="0.25">
      <c r="A3641" s="62">
        <v>30101712</v>
      </c>
      <c r="B3641" s="63" t="s">
        <v>4326</v>
      </c>
    </row>
    <row r="3642" spans="1:2" x14ac:dyDescent="0.25">
      <c r="A3642" s="62">
        <v>30101713</v>
      </c>
      <c r="B3642" s="63" t="s">
        <v>4327</v>
      </c>
    </row>
    <row r="3643" spans="1:2" x14ac:dyDescent="0.25">
      <c r="A3643" s="62">
        <v>30101714</v>
      </c>
      <c r="B3643" s="63" t="s">
        <v>4328</v>
      </c>
    </row>
    <row r="3644" spans="1:2" x14ac:dyDescent="0.25">
      <c r="A3644" s="62">
        <v>30101715</v>
      </c>
      <c r="B3644" s="63" t="s">
        <v>4329</v>
      </c>
    </row>
    <row r="3645" spans="1:2" x14ac:dyDescent="0.25">
      <c r="A3645" s="62">
        <v>30101716</v>
      </c>
      <c r="B3645" s="63" t="s">
        <v>4330</v>
      </c>
    </row>
    <row r="3646" spans="1:2" x14ac:dyDescent="0.25">
      <c r="A3646" s="62">
        <v>30101717</v>
      </c>
      <c r="B3646" s="63" t="s">
        <v>4331</v>
      </c>
    </row>
    <row r="3647" spans="1:2" x14ac:dyDescent="0.25">
      <c r="A3647" s="62">
        <v>30101718</v>
      </c>
      <c r="B3647" s="63" t="s">
        <v>4332</v>
      </c>
    </row>
    <row r="3648" spans="1:2" x14ac:dyDescent="0.25">
      <c r="A3648" s="62">
        <v>30101801</v>
      </c>
      <c r="B3648" s="63" t="s">
        <v>4333</v>
      </c>
    </row>
    <row r="3649" spans="1:2" x14ac:dyDescent="0.25">
      <c r="A3649" s="62">
        <v>30101802</v>
      </c>
      <c r="B3649" s="63" t="s">
        <v>4334</v>
      </c>
    </row>
    <row r="3650" spans="1:2" x14ac:dyDescent="0.25">
      <c r="A3650" s="62">
        <v>30101803</v>
      </c>
      <c r="B3650" s="63" t="s">
        <v>4335</v>
      </c>
    </row>
    <row r="3651" spans="1:2" x14ac:dyDescent="0.25">
      <c r="A3651" s="62">
        <v>30101804</v>
      </c>
      <c r="B3651" s="63" t="s">
        <v>4336</v>
      </c>
    </row>
    <row r="3652" spans="1:2" x14ac:dyDescent="0.25">
      <c r="A3652" s="62">
        <v>30101805</v>
      </c>
      <c r="B3652" s="63" t="s">
        <v>4337</v>
      </c>
    </row>
    <row r="3653" spans="1:2" x14ac:dyDescent="0.25">
      <c r="A3653" s="62">
        <v>30101806</v>
      </c>
      <c r="B3653" s="63" t="s">
        <v>4338</v>
      </c>
    </row>
    <row r="3654" spans="1:2" x14ac:dyDescent="0.25">
      <c r="A3654" s="62">
        <v>30101807</v>
      </c>
      <c r="B3654" s="63" t="s">
        <v>4339</v>
      </c>
    </row>
    <row r="3655" spans="1:2" x14ac:dyDescent="0.25">
      <c r="A3655" s="62">
        <v>30101808</v>
      </c>
      <c r="B3655" s="63" t="s">
        <v>4340</v>
      </c>
    </row>
    <row r="3656" spans="1:2" x14ac:dyDescent="0.25">
      <c r="A3656" s="62">
        <v>30101809</v>
      </c>
      <c r="B3656" s="63" t="s">
        <v>4341</v>
      </c>
    </row>
    <row r="3657" spans="1:2" x14ac:dyDescent="0.25">
      <c r="A3657" s="62">
        <v>30101810</v>
      </c>
      <c r="B3657" s="63" t="s">
        <v>4342</v>
      </c>
    </row>
    <row r="3658" spans="1:2" x14ac:dyDescent="0.25">
      <c r="A3658" s="62">
        <v>30101811</v>
      </c>
      <c r="B3658" s="63" t="s">
        <v>4343</v>
      </c>
    </row>
    <row r="3659" spans="1:2" x14ac:dyDescent="0.25">
      <c r="A3659" s="62">
        <v>30101812</v>
      </c>
      <c r="B3659" s="63" t="s">
        <v>4344</v>
      </c>
    </row>
    <row r="3660" spans="1:2" x14ac:dyDescent="0.25">
      <c r="A3660" s="62">
        <v>30101813</v>
      </c>
      <c r="B3660" s="63" t="s">
        <v>4345</v>
      </c>
    </row>
    <row r="3661" spans="1:2" x14ac:dyDescent="0.25">
      <c r="A3661" s="62">
        <v>30101814</v>
      </c>
      <c r="B3661" s="63" t="s">
        <v>4346</v>
      </c>
    </row>
    <row r="3662" spans="1:2" x14ac:dyDescent="0.25">
      <c r="A3662" s="62">
        <v>30101815</v>
      </c>
      <c r="B3662" s="63" t="s">
        <v>4347</v>
      </c>
    </row>
    <row r="3663" spans="1:2" x14ac:dyDescent="0.25">
      <c r="A3663" s="62">
        <v>30101816</v>
      </c>
      <c r="B3663" s="63" t="s">
        <v>4348</v>
      </c>
    </row>
    <row r="3664" spans="1:2" x14ac:dyDescent="0.25">
      <c r="A3664" s="62">
        <v>30101817</v>
      </c>
      <c r="B3664" s="63" t="s">
        <v>4349</v>
      </c>
    </row>
    <row r="3665" spans="1:2" x14ac:dyDescent="0.25">
      <c r="A3665" s="62">
        <v>30101901</v>
      </c>
      <c r="B3665" s="63" t="s">
        <v>4350</v>
      </c>
    </row>
    <row r="3666" spans="1:2" x14ac:dyDescent="0.25">
      <c r="A3666" s="62">
        <v>30101902</v>
      </c>
      <c r="B3666" s="63" t="s">
        <v>4351</v>
      </c>
    </row>
    <row r="3667" spans="1:2" x14ac:dyDescent="0.25">
      <c r="A3667" s="62">
        <v>30101903</v>
      </c>
      <c r="B3667" s="63" t="s">
        <v>4352</v>
      </c>
    </row>
    <row r="3668" spans="1:2" x14ac:dyDescent="0.25">
      <c r="A3668" s="62">
        <v>30101904</v>
      </c>
      <c r="B3668" s="63" t="s">
        <v>4353</v>
      </c>
    </row>
    <row r="3669" spans="1:2" x14ac:dyDescent="0.25">
      <c r="A3669" s="62">
        <v>30101905</v>
      </c>
      <c r="B3669" s="63" t="s">
        <v>4354</v>
      </c>
    </row>
    <row r="3670" spans="1:2" x14ac:dyDescent="0.25">
      <c r="A3670" s="62">
        <v>30101906</v>
      </c>
      <c r="B3670" s="63" t="s">
        <v>4355</v>
      </c>
    </row>
    <row r="3671" spans="1:2" x14ac:dyDescent="0.25">
      <c r="A3671" s="62">
        <v>30101907</v>
      </c>
      <c r="B3671" s="63" t="s">
        <v>4356</v>
      </c>
    </row>
    <row r="3672" spans="1:2" x14ac:dyDescent="0.25">
      <c r="A3672" s="62">
        <v>30101908</v>
      </c>
      <c r="B3672" s="63" t="s">
        <v>4357</v>
      </c>
    </row>
    <row r="3673" spans="1:2" x14ac:dyDescent="0.25">
      <c r="A3673" s="62">
        <v>30101909</v>
      </c>
      <c r="B3673" s="63" t="s">
        <v>4358</v>
      </c>
    </row>
    <row r="3674" spans="1:2" x14ac:dyDescent="0.25">
      <c r="A3674" s="62">
        <v>30101910</v>
      </c>
      <c r="B3674" s="63" t="s">
        <v>4359</v>
      </c>
    </row>
    <row r="3675" spans="1:2" x14ac:dyDescent="0.25">
      <c r="A3675" s="62">
        <v>30101911</v>
      </c>
      <c r="B3675" s="63" t="s">
        <v>4360</v>
      </c>
    </row>
    <row r="3676" spans="1:2" x14ac:dyDescent="0.25">
      <c r="A3676" s="62">
        <v>30101912</v>
      </c>
      <c r="B3676" s="63" t="s">
        <v>4361</v>
      </c>
    </row>
    <row r="3677" spans="1:2" x14ac:dyDescent="0.25">
      <c r="A3677" s="62">
        <v>30101913</v>
      </c>
      <c r="B3677" s="63" t="s">
        <v>4362</v>
      </c>
    </row>
    <row r="3678" spans="1:2" x14ac:dyDescent="0.25">
      <c r="A3678" s="62">
        <v>30101914</v>
      </c>
      <c r="B3678" s="63" t="s">
        <v>4363</v>
      </c>
    </row>
    <row r="3679" spans="1:2" x14ac:dyDescent="0.25">
      <c r="A3679" s="62">
        <v>30101915</v>
      </c>
      <c r="B3679" s="63" t="s">
        <v>4364</v>
      </c>
    </row>
    <row r="3680" spans="1:2" x14ac:dyDescent="0.25">
      <c r="A3680" s="62">
        <v>30101916</v>
      </c>
      <c r="B3680" s="63" t="s">
        <v>4365</v>
      </c>
    </row>
    <row r="3681" spans="1:2" x14ac:dyDescent="0.25">
      <c r="A3681" s="62">
        <v>30101918</v>
      </c>
      <c r="B3681" s="63" t="s">
        <v>4366</v>
      </c>
    </row>
    <row r="3682" spans="1:2" x14ac:dyDescent="0.25">
      <c r="A3682" s="62">
        <v>30101919</v>
      </c>
      <c r="B3682" s="63" t="s">
        <v>4367</v>
      </c>
    </row>
    <row r="3683" spans="1:2" x14ac:dyDescent="0.25">
      <c r="A3683" s="62">
        <v>30101920</v>
      </c>
      <c r="B3683" s="63" t="s">
        <v>4368</v>
      </c>
    </row>
    <row r="3684" spans="1:2" x14ac:dyDescent="0.25">
      <c r="A3684" s="62">
        <v>30101921</v>
      </c>
      <c r="B3684" s="63" t="s">
        <v>4369</v>
      </c>
    </row>
    <row r="3685" spans="1:2" x14ac:dyDescent="0.25">
      <c r="A3685" s="62">
        <v>30101922</v>
      </c>
      <c r="B3685" s="63" t="s">
        <v>4370</v>
      </c>
    </row>
    <row r="3686" spans="1:2" x14ac:dyDescent="0.25">
      <c r="A3686" s="62">
        <v>30101923</v>
      </c>
      <c r="B3686" s="63" t="s">
        <v>4371</v>
      </c>
    </row>
    <row r="3687" spans="1:2" x14ac:dyDescent="0.25">
      <c r="A3687" s="62">
        <v>30102001</v>
      </c>
      <c r="B3687" s="63" t="s">
        <v>4372</v>
      </c>
    </row>
    <row r="3688" spans="1:2" x14ac:dyDescent="0.25">
      <c r="A3688" s="62">
        <v>30102002</v>
      </c>
      <c r="B3688" s="63" t="s">
        <v>4373</v>
      </c>
    </row>
    <row r="3689" spans="1:2" x14ac:dyDescent="0.25">
      <c r="A3689" s="62">
        <v>30102003</v>
      </c>
      <c r="B3689" s="63" t="s">
        <v>4374</v>
      </c>
    </row>
    <row r="3690" spans="1:2" x14ac:dyDescent="0.25">
      <c r="A3690" s="62">
        <v>30102004</v>
      </c>
      <c r="B3690" s="63" t="s">
        <v>4375</v>
      </c>
    </row>
    <row r="3691" spans="1:2" x14ac:dyDescent="0.25">
      <c r="A3691" s="62">
        <v>30102005</v>
      </c>
      <c r="B3691" s="63" t="s">
        <v>4376</v>
      </c>
    </row>
    <row r="3692" spans="1:2" x14ac:dyDescent="0.25">
      <c r="A3692" s="62">
        <v>30102006</v>
      </c>
      <c r="B3692" s="63" t="s">
        <v>4377</v>
      </c>
    </row>
    <row r="3693" spans="1:2" x14ac:dyDescent="0.25">
      <c r="A3693" s="62">
        <v>30102007</v>
      </c>
      <c r="B3693" s="63" t="s">
        <v>4378</v>
      </c>
    </row>
    <row r="3694" spans="1:2" x14ac:dyDescent="0.25">
      <c r="A3694" s="62">
        <v>30102008</v>
      </c>
      <c r="B3694" s="63" t="s">
        <v>4379</v>
      </c>
    </row>
    <row r="3695" spans="1:2" x14ac:dyDescent="0.25">
      <c r="A3695" s="62">
        <v>30102009</v>
      </c>
      <c r="B3695" s="63" t="s">
        <v>4380</v>
      </c>
    </row>
    <row r="3696" spans="1:2" x14ac:dyDescent="0.25">
      <c r="A3696" s="62">
        <v>30102010</v>
      </c>
      <c r="B3696" s="63" t="s">
        <v>4381</v>
      </c>
    </row>
    <row r="3697" spans="1:2" x14ac:dyDescent="0.25">
      <c r="A3697" s="62">
        <v>30102011</v>
      </c>
      <c r="B3697" s="63" t="s">
        <v>4382</v>
      </c>
    </row>
    <row r="3698" spans="1:2" x14ac:dyDescent="0.25">
      <c r="A3698" s="62">
        <v>30102012</v>
      </c>
      <c r="B3698" s="63" t="s">
        <v>4383</v>
      </c>
    </row>
    <row r="3699" spans="1:2" x14ac:dyDescent="0.25">
      <c r="A3699" s="62">
        <v>30102013</v>
      </c>
      <c r="B3699" s="63" t="s">
        <v>4384</v>
      </c>
    </row>
    <row r="3700" spans="1:2" x14ac:dyDescent="0.25">
      <c r="A3700" s="62">
        <v>30102014</v>
      </c>
      <c r="B3700" s="63" t="s">
        <v>4385</v>
      </c>
    </row>
    <row r="3701" spans="1:2" x14ac:dyDescent="0.25">
      <c r="A3701" s="62">
        <v>30102015</v>
      </c>
      <c r="B3701" s="63" t="s">
        <v>4386</v>
      </c>
    </row>
    <row r="3702" spans="1:2" x14ac:dyDescent="0.25">
      <c r="A3702" s="62">
        <v>30102201</v>
      </c>
      <c r="B3702" s="63" t="s">
        <v>4387</v>
      </c>
    </row>
    <row r="3703" spans="1:2" x14ac:dyDescent="0.25">
      <c r="A3703" s="62">
        <v>30102202</v>
      </c>
      <c r="B3703" s="63" t="s">
        <v>4388</v>
      </c>
    </row>
    <row r="3704" spans="1:2" x14ac:dyDescent="0.25">
      <c r="A3704" s="62">
        <v>30102203</v>
      </c>
      <c r="B3704" s="63" t="s">
        <v>4389</v>
      </c>
    </row>
    <row r="3705" spans="1:2" x14ac:dyDescent="0.25">
      <c r="A3705" s="62">
        <v>30102204</v>
      </c>
      <c r="B3705" s="63" t="s">
        <v>4390</v>
      </c>
    </row>
    <row r="3706" spans="1:2" x14ac:dyDescent="0.25">
      <c r="A3706" s="62">
        <v>30102205</v>
      </c>
      <c r="B3706" s="63" t="s">
        <v>4391</v>
      </c>
    </row>
    <row r="3707" spans="1:2" x14ac:dyDescent="0.25">
      <c r="A3707" s="62">
        <v>30102206</v>
      </c>
      <c r="B3707" s="63" t="s">
        <v>4392</v>
      </c>
    </row>
    <row r="3708" spans="1:2" x14ac:dyDescent="0.25">
      <c r="A3708" s="62">
        <v>30102207</v>
      </c>
      <c r="B3708" s="63" t="s">
        <v>4393</v>
      </c>
    </row>
    <row r="3709" spans="1:2" x14ac:dyDescent="0.25">
      <c r="A3709" s="62">
        <v>30102208</v>
      </c>
      <c r="B3709" s="63" t="s">
        <v>4394</v>
      </c>
    </row>
    <row r="3710" spans="1:2" x14ac:dyDescent="0.25">
      <c r="A3710" s="62">
        <v>30102209</v>
      </c>
      <c r="B3710" s="63" t="s">
        <v>4395</v>
      </c>
    </row>
    <row r="3711" spans="1:2" x14ac:dyDescent="0.25">
      <c r="A3711" s="62">
        <v>30102210</v>
      </c>
      <c r="B3711" s="63" t="s">
        <v>4396</v>
      </c>
    </row>
    <row r="3712" spans="1:2" x14ac:dyDescent="0.25">
      <c r="A3712" s="62">
        <v>30102211</v>
      </c>
      <c r="B3712" s="63" t="s">
        <v>4397</v>
      </c>
    </row>
    <row r="3713" spans="1:2" x14ac:dyDescent="0.25">
      <c r="A3713" s="62">
        <v>30102212</v>
      </c>
      <c r="B3713" s="63" t="s">
        <v>4398</v>
      </c>
    </row>
    <row r="3714" spans="1:2" x14ac:dyDescent="0.25">
      <c r="A3714" s="62">
        <v>30102213</v>
      </c>
      <c r="B3714" s="63" t="s">
        <v>4399</v>
      </c>
    </row>
    <row r="3715" spans="1:2" x14ac:dyDescent="0.25">
      <c r="A3715" s="62">
        <v>30102214</v>
      </c>
      <c r="B3715" s="63" t="s">
        <v>4400</v>
      </c>
    </row>
    <row r="3716" spans="1:2" x14ac:dyDescent="0.25">
      <c r="A3716" s="62">
        <v>30102215</v>
      </c>
      <c r="B3716" s="63" t="s">
        <v>4401</v>
      </c>
    </row>
    <row r="3717" spans="1:2" x14ac:dyDescent="0.25">
      <c r="A3717" s="62">
        <v>30102216</v>
      </c>
      <c r="B3717" s="63" t="s">
        <v>4402</v>
      </c>
    </row>
    <row r="3718" spans="1:2" x14ac:dyDescent="0.25">
      <c r="A3718" s="62">
        <v>30102217</v>
      </c>
      <c r="B3718" s="63" t="s">
        <v>4403</v>
      </c>
    </row>
    <row r="3719" spans="1:2" x14ac:dyDescent="0.25">
      <c r="A3719" s="62">
        <v>30102218</v>
      </c>
      <c r="B3719" s="63" t="s">
        <v>4404</v>
      </c>
    </row>
    <row r="3720" spans="1:2" x14ac:dyDescent="0.25">
      <c r="A3720" s="62">
        <v>30102220</v>
      </c>
      <c r="B3720" s="63" t="s">
        <v>4405</v>
      </c>
    </row>
    <row r="3721" spans="1:2" x14ac:dyDescent="0.25">
      <c r="A3721" s="62">
        <v>30102301</v>
      </c>
      <c r="B3721" s="63" t="s">
        <v>4406</v>
      </c>
    </row>
    <row r="3722" spans="1:2" x14ac:dyDescent="0.25">
      <c r="A3722" s="62">
        <v>30102302</v>
      </c>
      <c r="B3722" s="63" t="s">
        <v>4407</v>
      </c>
    </row>
    <row r="3723" spans="1:2" x14ac:dyDescent="0.25">
      <c r="A3723" s="62">
        <v>30102303</v>
      </c>
      <c r="B3723" s="63" t="s">
        <v>4408</v>
      </c>
    </row>
    <row r="3724" spans="1:2" x14ac:dyDescent="0.25">
      <c r="A3724" s="62">
        <v>30102304</v>
      </c>
      <c r="B3724" s="63" t="s">
        <v>4409</v>
      </c>
    </row>
    <row r="3725" spans="1:2" x14ac:dyDescent="0.25">
      <c r="A3725" s="62">
        <v>30102305</v>
      </c>
      <c r="B3725" s="63" t="s">
        <v>4410</v>
      </c>
    </row>
    <row r="3726" spans="1:2" x14ac:dyDescent="0.25">
      <c r="A3726" s="62">
        <v>30102306</v>
      </c>
      <c r="B3726" s="63" t="s">
        <v>4411</v>
      </c>
    </row>
    <row r="3727" spans="1:2" x14ac:dyDescent="0.25">
      <c r="A3727" s="62">
        <v>30102307</v>
      </c>
      <c r="B3727" s="63" t="s">
        <v>4412</v>
      </c>
    </row>
    <row r="3728" spans="1:2" x14ac:dyDescent="0.25">
      <c r="A3728" s="62">
        <v>30102308</v>
      </c>
      <c r="B3728" s="63" t="s">
        <v>4413</v>
      </c>
    </row>
    <row r="3729" spans="1:2" x14ac:dyDescent="0.25">
      <c r="A3729" s="62">
        <v>30102309</v>
      </c>
      <c r="B3729" s="63" t="s">
        <v>4414</v>
      </c>
    </row>
    <row r="3730" spans="1:2" x14ac:dyDescent="0.25">
      <c r="A3730" s="62">
        <v>30102310</v>
      </c>
      <c r="B3730" s="63" t="s">
        <v>4415</v>
      </c>
    </row>
    <row r="3731" spans="1:2" x14ac:dyDescent="0.25">
      <c r="A3731" s="62">
        <v>30102311</v>
      </c>
      <c r="B3731" s="63" t="s">
        <v>4416</v>
      </c>
    </row>
    <row r="3732" spans="1:2" x14ac:dyDescent="0.25">
      <c r="A3732" s="62">
        <v>30102312</v>
      </c>
      <c r="B3732" s="63" t="s">
        <v>4417</v>
      </c>
    </row>
    <row r="3733" spans="1:2" x14ac:dyDescent="0.25">
      <c r="A3733" s="62">
        <v>30102313</v>
      </c>
      <c r="B3733" s="63" t="s">
        <v>4418</v>
      </c>
    </row>
    <row r="3734" spans="1:2" x14ac:dyDescent="0.25">
      <c r="A3734" s="62">
        <v>30102314</v>
      </c>
      <c r="B3734" s="63" t="s">
        <v>4419</v>
      </c>
    </row>
    <row r="3735" spans="1:2" x14ac:dyDescent="0.25">
      <c r="A3735" s="62">
        <v>30102315</v>
      </c>
      <c r="B3735" s="63" t="s">
        <v>4420</v>
      </c>
    </row>
    <row r="3736" spans="1:2" x14ac:dyDescent="0.25">
      <c r="A3736" s="62">
        <v>30102316</v>
      </c>
      <c r="B3736" s="63" t="s">
        <v>4421</v>
      </c>
    </row>
    <row r="3737" spans="1:2" x14ac:dyDescent="0.25">
      <c r="A3737" s="62">
        <v>30102401</v>
      </c>
      <c r="B3737" s="63" t="s">
        <v>4422</v>
      </c>
    </row>
    <row r="3738" spans="1:2" x14ac:dyDescent="0.25">
      <c r="A3738" s="62">
        <v>30102402</v>
      </c>
      <c r="B3738" s="63" t="s">
        <v>4423</v>
      </c>
    </row>
    <row r="3739" spans="1:2" x14ac:dyDescent="0.25">
      <c r="A3739" s="62">
        <v>30102403</v>
      </c>
      <c r="B3739" s="63" t="s">
        <v>4424</v>
      </c>
    </row>
    <row r="3740" spans="1:2" x14ac:dyDescent="0.25">
      <c r="A3740" s="62">
        <v>30102404</v>
      </c>
      <c r="B3740" s="63" t="s">
        <v>4425</v>
      </c>
    </row>
    <row r="3741" spans="1:2" x14ac:dyDescent="0.25">
      <c r="A3741" s="62">
        <v>30102405</v>
      </c>
      <c r="B3741" s="63" t="s">
        <v>4426</v>
      </c>
    </row>
    <row r="3742" spans="1:2" x14ac:dyDescent="0.25">
      <c r="A3742" s="62">
        <v>30102406</v>
      </c>
      <c r="B3742" s="63" t="s">
        <v>4427</v>
      </c>
    </row>
    <row r="3743" spans="1:2" x14ac:dyDescent="0.25">
      <c r="A3743" s="62">
        <v>30102407</v>
      </c>
      <c r="B3743" s="63" t="s">
        <v>4428</v>
      </c>
    </row>
    <row r="3744" spans="1:2" x14ac:dyDescent="0.25">
      <c r="A3744" s="62">
        <v>30102408</v>
      </c>
      <c r="B3744" s="63" t="s">
        <v>4429</v>
      </c>
    </row>
    <row r="3745" spans="1:2" x14ac:dyDescent="0.25">
      <c r="A3745" s="62">
        <v>30102409</v>
      </c>
      <c r="B3745" s="63" t="s">
        <v>4430</v>
      </c>
    </row>
    <row r="3746" spans="1:2" x14ac:dyDescent="0.25">
      <c r="A3746" s="62">
        <v>30102410</v>
      </c>
      <c r="B3746" s="63" t="s">
        <v>4431</v>
      </c>
    </row>
    <row r="3747" spans="1:2" x14ac:dyDescent="0.25">
      <c r="A3747" s="62">
        <v>30102411</v>
      </c>
      <c r="B3747" s="63" t="s">
        <v>4432</v>
      </c>
    </row>
    <row r="3748" spans="1:2" x14ac:dyDescent="0.25">
      <c r="A3748" s="62">
        <v>30102412</v>
      </c>
      <c r="B3748" s="63" t="s">
        <v>4433</v>
      </c>
    </row>
    <row r="3749" spans="1:2" x14ac:dyDescent="0.25">
      <c r="A3749" s="62">
        <v>30102413</v>
      </c>
      <c r="B3749" s="63" t="s">
        <v>4434</v>
      </c>
    </row>
    <row r="3750" spans="1:2" x14ac:dyDescent="0.25">
      <c r="A3750" s="62">
        <v>30102414</v>
      </c>
      <c r="B3750" s="63" t="s">
        <v>4435</v>
      </c>
    </row>
    <row r="3751" spans="1:2" x14ac:dyDescent="0.25">
      <c r="A3751" s="62">
        <v>30102415</v>
      </c>
      <c r="B3751" s="63" t="s">
        <v>4436</v>
      </c>
    </row>
    <row r="3752" spans="1:2" x14ac:dyDescent="0.25">
      <c r="A3752" s="62">
        <v>30102416</v>
      </c>
      <c r="B3752" s="63" t="s">
        <v>4437</v>
      </c>
    </row>
    <row r="3753" spans="1:2" x14ac:dyDescent="0.25">
      <c r="A3753" s="62">
        <v>30102417</v>
      </c>
      <c r="B3753" s="63" t="s">
        <v>4438</v>
      </c>
    </row>
    <row r="3754" spans="1:2" x14ac:dyDescent="0.25">
      <c r="A3754" s="62">
        <v>30102501</v>
      </c>
      <c r="B3754" s="63" t="s">
        <v>4439</v>
      </c>
    </row>
    <row r="3755" spans="1:2" x14ac:dyDescent="0.25">
      <c r="A3755" s="62">
        <v>30102502</v>
      </c>
      <c r="B3755" s="63" t="s">
        <v>4440</v>
      </c>
    </row>
    <row r="3756" spans="1:2" x14ac:dyDescent="0.25">
      <c r="A3756" s="62">
        <v>30102503</v>
      </c>
      <c r="B3756" s="63" t="s">
        <v>4441</v>
      </c>
    </row>
    <row r="3757" spans="1:2" x14ac:dyDescent="0.25">
      <c r="A3757" s="62">
        <v>30102504</v>
      </c>
      <c r="B3757" s="63" t="s">
        <v>4442</v>
      </c>
    </row>
    <row r="3758" spans="1:2" x14ac:dyDescent="0.25">
      <c r="A3758" s="62">
        <v>30102505</v>
      </c>
      <c r="B3758" s="63" t="s">
        <v>4443</v>
      </c>
    </row>
    <row r="3759" spans="1:2" x14ac:dyDescent="0.25">
      <c r="A3759" s="62">
        <v>30102506</v>
      </c>
      <c r="B3759" s="63" t="s">
        <v>4444</v>
      </c>
    </row>
    <row r="3760" spans="1:2" x14ac:dyDescent="0.25">
      <c r="A3760" s="62">
        <v>30102507</v>
      </c>
      <c r="B3760" s="63" t="s">
        <v>4445</v>
      </c>
    </row>
    <row r="3761" spans="1:2" x14ac:dyDescent="0.25">
      <c r="A3761" s="62">
        <v>30102508</v>
      </c>
      <c r="B3761" s="63" t="s">
        <v>4446</v>
      </c>
    </row>
    <row r="3762" spans="1:2" x14ac:dyDescent="0.25">
      <c r="A3762" s="62">
        <v>30102509</v>
      </c>
      <c r="B3762" s="63" t="s">
        <v>4447</v>
      </c>
    </row>
    <row r="3763" spans="1:2" x14ac:dyDescent="0.25">
      <c r="A3763" s="62">
        <v>30102510</v>
      </c>
      <c r="B3763" s="63" t="s">
        <v>4448</v>
      </c>
    </row>
    <row r="3764" spans="1:2" x14ac:dyDescent="0.25">
      <c r="A3764" s="62">
        <v>30102511</v>
      </c>
      <c r="B3764" s="63" t="s">
        <v>4449</v>
      </c>
    </row>
    <row r="3765" spans="1:2" x14ac:dyDescent="0.25">
      <c r="A3765" s="62">
        <v>30102512</v>
      </c>
      <c r="B3765" s="63" t="s">
        <v>4450</v>
      </c>
    </row>
    <row r="3766" spans="1:2" x14ac:dyDescent="0.25">
      <c r="A3766" s="62">
        <v>30102513</v>
      </c>
      <c r="B3766" s="63" t="s">
        <v>4451</v>
      </c>
    </row>
    <row r="3767" spans="1:2" x14ac:dyDescent="0.25">
      <c r="A3767" s="62">
        <v>30102514</v>
      </c>
      <c r="B3767" s="63" t="s">
        <v>4452</v>
      </c>
    </row>
    <row r="3768" spans="1:2" x14ac:dyDescent="0.25">
      <c r="A3768" s="62">
        <v>30102515</v>
      </c>
      <c r="B3768" s="63" t="s">
        <v>4453</v>
      </c>
    </row>
    <row r="3769" spans="1:2" x14ac:dyDescent="0.25">
      <c r="A3769" s="62">
        <v>30102516</v>
      </c>
      <c r="B3769" s="63" t="s">
        <v>4454</v>
      </c>
    </row>
    <row r="3770" spans="1:2" x14ac:dyDescent="0.25">
      <c r="A3770" s="62">
        <v>30102517</v>
      </c>
      <c r="B3770" s="63" t="s">
        <v>4455</v>
      </c>
    </row>
    <row r="3771" spans="1:2" x14ac:dyDescent="0.25">
      <c r="A3771" s="62">
        <v>30102518</v>
      </c>
      <c r="B3771" s="63" t="s">
        <v>4456</v>
      </c>
    </row>
    <row r="3772" spans="1:2" x14ac:dyDescent="0.25">
      <c r="A3772" s="62">
        <v>30102519</v>
      </c>
      <c r="B3772" s="63" t="s">
        <v>4457</v>
      </c>
    </row>
    <row r="3773" spans="1:2" x14ac:dyDescent="0.25">
      <c r="A3773" s="62">
        <v>30102520</v>
      </c>
      <c r="B3773" s="63" t="s">
        <v>4458</v>
      </c>
    </row>
    <row r="3774" spans="1:2" x14ac:dyDescent="0.25">
      <c r="A3774" s="62">
        <v>30102521</v>
      </c>
      <c r="B3774" s="63" t="s">
        <v>4459</v>
      </c>
    </row>
    <row r="3775" spans="1:2" x14ac:dyDescent="0.25">
      <c r="A3775" s="62">
        <v>30102522</v>
      </c>
      <c r="B3775" s="63" t="s">
        <v>4460</v>
      </c>
    </row>
    <row r="3776" spans="1:2" x14ac:dyDescent="0.25">
      <c r="A3776" s="62">
        <v>30102523</v>
      </c>
      <c r="B3776" s="63" t="s">
        <v>4461</v>
      </c>
    </row>
    <row r="3777" spans="1:2" x14ac:dyDescent="0.25">
      <c r="A3777" s="62">
        <v>30102524</v>
      </c>
      <c r="B3777" s="63" t="s">
        <v>4462</v>
      </c>
    </row>
    <row r="3778" spans="1:2" x14ac:dyDescent="0.25">
      <c r="A3778" s="62">
        <v>30102525</v>
      </c>
      <c r="B3778" s="63" t="s">
        <v>4463</v>
      </c>
    </row>
    <row r="3779" spans="1:2" x14ac:dyDescent="0.25">
      <c r="A3779" s="62">
        <v>30102526</v>
      </c>
      <c r="B3779" s="63" t="s">
        <v>4464</v>
      </c>
    </row>
    <row r="3780" spans="1:2" x14ac:dyDescent="0.25">
      <c r="A3780" s="62">
        <v>30102601</v>
      </c>
      <c r="B3780" s="63" t="s">
        <v>4465</v>
      </c>
    </row>
    <row r="3781" spans="1:2" x14ac:dyDescent="0.25">
      <c r="A3781" s="62">
        <v>30102602</v>
      </c>
      <c r="B3781" s="63" t="s">
        <v>4466</v>
      </c>
    </row>
    <row r="3782" spans="1:2" x14ac:dyDescent="0.25">
      <c r="A3782" s="62">
        <v>30102603</v>
      </c>
      <c r="B3782" s="63" t="s">
        <v>4467</v>
      </c>
    </row>
    <row r="3783" spans="1:2" x14ac:dyDescent="0.25">
      <c r="A3783" s="62">
        <v>30102604</v>
      </c>
      <c r="B3783" s="63" t="s">
        <v>4468</v>
      </c>
    </row>
    <row r="3784" spans="1:2" x14ac:dyDescent="0.25">
      <c r="A3784" s="62">
        <v>30102605</v>
      </c>
      <c r="B3784" s="63" t="s">
        <v>4469</v>
      </c>
    </row>
    <row r="3785" spans="1:2" x14ac:dyDescent="0.25">
      <c r="A3785" s="62">
        <v>30102606</v>
      </c>
      <c r="B3785" s="63" t="s">
        <v>4470</v>
      </c>
    </row>
    <row r="3786" spans="1:2" x14ac:dyDescent="0.25">
      <c r="A3786" s="62">
        <v>30102607</v>
      </c>
      <c r="B3786" s="63" t="s">
        <v>4471</v>
      </c>
    </row>
    <row r="3787" spans="1:2" x14ac:dyDescent="0.25">
      <c r="A3787" s="62">
        <v>30102608</v>
      </c>
      <c r="B3787" s="63" t="s">
        <v>4472</v>
      </c>
    </row>
    <row r="3788" spans="1:2" x14ac:dyDescent="0.25">
      <c r="A3788" s="62">
        <v>30102609</v>
      </c>
      <c r="B3788" s="63" t="s">
        <v>4473</v>
      </c>
    </row>
    <row r="3789" spans="1:2" x14ac:dyDescent="0.25">
      <c r="A3789" s="62">
        <v>30102610</v>
      </c>
      <c r="B3789" s="63" t="s">
        <v>4474</v>
      </c>
    </row>
    <row r="3790" spans="1:2" x14ac:dyDescent="0.25">
      <c r="A3790" s="62">
        <v>30102611</v>
      </c>
      <c r="B3790" s="63" t="s">
        <v>4475</v>
      </c>
    </row>
    <row r="3791" spans="1:2" x14ac:dyDescent="0.25">
      <c r="A3791" s="62">
        <v>30102612</v>
      </c>
      <c r="B3791" s="63" t="s">
        <v>4476</v>
      </c>
    </row>
    <row r="3792" spans="1:2" x14ac:dyDescent="0.25">
      <c r="A3792" s="62">
        <v>30102613</v>
      </c>
      <c r="B3792" s="63" t="s">
        <v>4477</v>
      </c>
    </row>
    <row r="3793" spans="1:2" x14ac:dyDescent="0.25">
      <c r="A3793" s="62">
        <v>30102614</v>
      </c>
      <c r="B3793" s="63" t="s">
        <v>4478</v>
      </c>
    </row>
    <row r="3794" spans="1:2" x14ac:dyDescent="0.25">
      <c r="A3794" s="62">
        <v>30102615</v>
      </c>
      <c r="B3794" s="63" t="s">
        <v>4479</v>
      </c>
    </row>
    <row r="3795" spans="1:2" x14ac:dyDescent="0.25">
      <c r="A3795" s="62">
        <v>30102616</v>
      </c>
      <c r="B3795" s="63" t="s">
        <v>4480</v>
      </c>
    </row>
    <row r="3796" spans="1:2" x14ac:dyDescent="0.25">
      <c r="A3796" s="62">
        <v>30102801</v>
      </c>
      <c r="B3796" s="63" t="s">
        <v>4481</v>
      </c>
    </row>
    <row r="3797" spans="1:2" x14ac:dyDescent="0.25">
      <c r="A3797" s="62">
        <v>30102802</v>
      </c>
      <c r="B3797" s="63" t="s">
        <v>4482</v>
      </c>
    </row>
    <row r="3798" spans="1:2" x14ac:dyDescent="0.25">
      <c r="A3798" s="62">
        <v>30102803</v>
      </c>
      <c r="B3798" s="63" t="s">
        <v>4483</v>
      </c>
    </row>
    <row r="3799" spans="1:2" x14ac:dyDescent="0.25">
      <c r="A3799" s="62">
        <v>30102901</v>
      </c>
      <c r="B3799" s="63" t="s">
        <v>4484</v>
      </c>
    </row>
    <row r="3800" spans="1:2" x14ac:dyDescent="0.25">
      <c r="A3800" s="62">
        <v>30102903</v>
      </c>
      <c r="B3800" s="63" t="s">
        <v>4485</v>
      </c>
    </row>
    <row r="3801" spans="1:2" x14ac:dyDescent="0.25">
      <c r="A3801" s="62">
        <v>30102904</v>
      </c>
      <c r="B3801" s="63" t="s">
        <v>4486</v>
      </c>
    </row>
    <row r="3802" spans="1:2" x14ac:dyDescent="0.25">
      <c r="A3802" s="62">
        <v>30102905</v>
      </c>
      <c r="B3802" s="63" t="s">
        <v>4487</v>
      </c>
    </row>
    <row r="3803" spans="1:2" x14ac:dyDescent="0.25">
      <c r="A3803" s="62">
        <v>30102906</v>
      </c>
      <c r="B3803" s="63" t="s">
        <v>4488</v>
      </c>
    </row>
    <row r="3804" spans="1:2" x14ac:dyDescent="0.25">
      <c r="A3804" s="62">
        <v>30103001</v>
      </c>
      <c r="B3804" s="63" t="s">
        <v>4489</v>
      </c>
    </row>
    <row r="3805" spans="1:2" x14ac:dyDescent="0.25">
      <c r="A3805" s="62">
        <v>30103002</v>
      </c>
      <c r="B3805" s="63" t="s">
        <v>4490</v>
      </c>
    </row>
    <row r="3806" spans="1:2" x14ac:dyDescent="0.25">
      <c r="A3806" s="62">
        <v>30103101</v>
      </c>
      <c r="B3806" s="63" t="s">
        <v>4491</v>
      </c>
    </row>
    <row r="3807" spans="1:2" x14ac:dyDescent="0.25">
      <c r="A3807" s="62">
        <v>30103102</v>
      </c>
      <c r="B3807" s="63" t="s">
        <v>4492</v>
      </c>
    </row>
    <row r="3808" spans="1:2" x14ac:dyDescent="0.25">
      <c r="A3808" s="62">
        <v>30103103</v>
      </c>
      <c r="B3808" s="63" t="s">
        <v>4493</v>
      </c>
    </row>
    <row r="3809" spans="1:2" x14ac:dyDescent="0.25">
      <c r="A3809" s="62">
        <v>30103201</v>
      </c>
      <c r="B3809" s="63" t="s">
        <v>4494</v>
      </c>
    </row>
    <row r="3810" spans="1:2" x14ac:dyDescent="0.25">
      <c r="A3810" s="62">
        <v>30103202</v>
      </c>
      <c r="B3810" s="63" t="s">
        <v>4495</v>
      </c>
    </row>
    <row r="3811" spans="1:2" x14ac:dyDescent="0.25">
      <c r="A3811" s="62">
        <v>30103203</v>
      </c>
      <c r="B3811" s="63" t="s">
        <v>4496</v>
      </c>
    </row>
    <row r="3812" spans="1:2" x14ac:dyDescent="0.25">
      <c r="A3812" s="62">
        <v>30103204</v>
      </c>
      <c r="B3812" s="63" t="s">
        <v>4497</v>
      </c>
    </row>
    <row r="3813" spans="1:2" x14ac:dyDescent="0.25">
      <c r="A3813" s="62">
        <v>30103205</v>
      </c>
      <c r="B3813" s="63" t="s">
        <v>4498</v>
      </c>
    </row>
    <row r="3814" spans="1:2" x14ac:dyDescent="0.25">
      <c r="A3814" s="62">
        <v>30103206</v>
      </c>
      <c r="B3814" s="63" t="s">
        <v>4499</v>
      </c>
    </row>
    <row r="3815" spans="1:2" x14ac:dyDescent="0.25">
      <c r="A3815" s="62">
        <v>30103301</v>
      </c>
      <c r="B3815" s="63" t="s">
        <v>4500</v>
      </c>
    </row>
    <row r="3816" spans="1:2" x14ac:dyDescent="0.25">
      <c r="A3816" s="62">
        <v>30103302</v>
      </c>
      <c r="B3816" s="63" t="s">
        <v>4501</v>
      </c>
    </row>
    <row r="3817" spans="1:2" x14ac:dyDescent="0.25">
      <c r="A3817" s="62">
        <v>30103303</v>
      </c>
      <c r="B3817" s="63" t="s">
        <v>4502</v>
      </c>
    </row>
    <row r="3818" spans="1:2" x14ac:dyDescent="0.25">
      <c r="A3818" s="62">
        <v>30103304</v>
      </c>
      <c r="B3818" s="63" t="s">
        <v>4503</v>
      </c>
    </row>
    <row r="3819" spans="1:2" x14ac:dyDescent="0.25">
      <c r="A3819" s="62">
        <v>30103305</v>
      </c>
      <c r="B3819" s="63" t="s">
        <v>4504</v>
      </c>
    </row>
    <row r="3820" spans="1:2" x14ac:dyDescent="0.25">
      <c r="A3820" s="62">
        <v>30103306</v>
      </c>
      <c r="B3820" s="63" t="s">
        <v>4505</v>
      </c>
    </row>
    <row r="3821" spans="1:2" x14ac:dyDescent="0.25">
      <c r="A3821" s="62">
        <v>30103307</v>
      </c>
      <c r="B3821" s="63" t="s">
        <v>4506</v>
      </c>
    </row>
    <row r="3822" spans="1:2" x14ac:dyDescent="0.25">
      <c r="A3822" s="62">
        <v>30103308</v>
      </c>
      <c r="B3822" s="63" t="s">
        <v>4507</v>
      </c>
    </row>
    <row r="3823" spans="1:2" x14ac:dyDescent="0.25">
      <c r="A3823" s="62">
        <v>30103309</v>
      </c>
      <c r="B3823" s="63" t="s">
        <v>4508</v>
      </c>
    </row>
    <row r="3824" spans="1:2" x14ac:dyDescent="0.25">
      <c r="A3824" s="62">
        <v>30103310</v>
      </c>
      <c r="B3824" s="63" t="s">
        <v>4509</v>
      </c>
    </row>
    <row r="3825" spans="1:2" x14ac:dyDescent="0.25">
      <c r="A3825" s="62">
        <v>30103311</v>
      </c>
      <c r="B3825" s="63" t="s">
        <v>4510</v>
      </c>
    </row>
    <row r="3826" spans="1:2" x14ac:dyDescent="0.25">
      <c r="A3826" s="62">
        <v>30103312</v>
      </c>
      <c r="B3826" s="63" t="s">
        <v>4511</v>
      </c>
    </row>
    <row r="3827" spans="1:2" x14ac:dyDescent="0.25">
      <c r="A3827" s="62">
        <v>30103313</v>
      </c>
      <c r="B3827" s="63" t="s">
        <v>4512</v>
      </c>
    </row>
    <row r="3828" spans="1:2" x14ac:dyDescent="0.25">
      <c r="A3828" s="62">
        <v>30103401</v>
      </c>
      <c r="B3828" s="63" t="s">
        <v>4513</v>
      </c>
    </row>
    <row r="3829" spans="1:2" x14ac:dyDescent="0.25">
      <c r="A3829" s="62">
        <v>30103402</v>
      </c>
      <c r="B3829" s="63" t="s">
        <v>4514</v>
      </c>
    </row>
    <row r="3830" spans="1:2" x14ac:dyDescent="0.25">
      <c r="A3830" s="62">
        <v>30103403</v>
      </c>
      <c r="B3830" s="63" t="s">
        <v>4515</v>
      </c>
    </row>
    <row r="3831" spans="1:2" x14ac:dyDescent="0.25">
      <c r="A3831" s="62">
        <v>30103404</v>
      </c>
      <c r="B3831" s="63" t="s">
        <v>4516</v>
      </c>
    </row>
    <row r="3832" spans="1:2" x14ac:dyDescent="0.25">
      <c r="A3832" s="62">
        <v>30103405</v>
      </c>
      <c r="B3832" s="63" t="s">
        <v>4517</v>
      </c>
    </row>
    <row r="3833" spans="1:2" x14ac:dyDescent="0.25">
      <c r="A3833" s="62">
        <v>30103406</v>
      </c>
      <c r="B3833" s="63" t="s">
        <v>4518</v>
      </c>
    </row>
    <row r="3834" spans="1:2" x14ac:dyDescent="0.25">
      <c r="A3834" s="62">
        <v>30103407</v>
      </c>
      <c r="B3834" s="63" t="s">
        <v>4519</v>
      </c>
    </row>
    <row r="3835" spans="1:2" x14ac:dyDescent="0.25">
      <c r="A3835" s="62">
        <v>30103408</v>
      </c>
      <c r="B3835" s="63" t="s">
        <v>4520</v>
      </c>
    </row>
    <row r="3836" spans="1:2" x14ac:dyDescent="0.25">
      <c r="A3836" s="62">
        <v>30103409</v>
      </c>
      <c r="B3836" s="63" t="s">
        <v>4521</v>
      </c>
    </row>
    <row r="3837" spans="1:2" x14ac:dyDescent="0.25">
      <c r="A3837" s="62">
        <v>30103410</v>
      </c>
      <c r="B3837" s="63" t="s">
        <v>4522</v>
      </c>
    </row>
    <row r="3838" spans="1:2" x14ac:dyDescent="0.25">
      <c r="A3838" s="62">
        <v>30103411</v>
      </c>
      <c r="B3838" s="63" t="s">
        <v>4523</v>
      </c>
    </row>
    <row r="3839" spans="1:2" x14ac:dyDescent="0.25">
      <c r="A3839" s="62">
        <v>30103412</v>
      </c>
      <c r="B3839" s="63" t="s">
        <v>4524</v>
      </c>
    </row>
    <row r="3840" spans="1:2" x14ac:dyDescent="0.25">
      <c r="A3840" s="62">
        <v>30103413</v>
      </c>
      <c r="B3840" s="63" t="s">
        <v>4525</v>
      </c>
    </row>
    <row r="3841" spans="1:2" x14ac:dyDescent="0.25">
      <c r="A3841" s="62">
        <v>30103501</v>
      </c>
      <c r="B3841" s="63" t="s">
        <v>4526</v>
      </c>
    </row>
    <row r="3842" spans="1:2" x14ac:dyDescent="0.25">
      <c r="A3842" s="62">
        <v>30103502</v>
      </c>
      <c r="B3842" s="63" t="s">
        <v>4527</v>
      </c>
    </row>
    <row r="3843" spans="1:2" x14ac:dyDescent="0.25">
      <c r="A3843" s="62">
        <v>30103503</v>
      </c>
      <c r="B3843" s="63" t="s">
        <v>4528</v>
      </c>
    </row>
    <row r="3844" spans="1:2" x14ac:dyDescent="0.25">
      <c r="A3844" s="62">
        <v>30103504</v>
      </c>
      <c r="B3844" s="63" t="s">
        <v>4529</v>
      </c>
    </row>
    <row r="3845" spans="1:2" x14ac:dyDescent="0.25">
      <c r="A3845" s="62">
        <v>30103505</v>
      </c>
      <c r="B3845" s="63" t="s">
        <v>4530</v>
      </c>
    </row>
    <row r="3846" spans="1:2" x14ac:dyDescent="0.25">
      <c r="A3846" s="62">
        <v>30103506</v>
      </c>
      <c r="B3846" s="63" t="s">
        <v>4531</v>
      </c>
    </row>
    <row r="3847" spans="1:2" x14ac:dyDescent="0.25">
      <c r="A3847" s="62">
        <v>30103507</v>
      </c>
      <c r="B3847" s="63" t="s">
        <v>4532</v>
      </c>
    </row>
    <row r="3848" spans="1:2" x14ac:dyDescent="0.25">
      <c r="A3848" s="62">
        <v>30103508</v>
      </c>
      <c r="B3848" s="63" t="s">
        <v>4533</v>
      </c>
    </row>
    <row r="3849" spans="1:2" x14ac:dyDescent="0.25">
      <c r="A3849" s="62">
        <v>30103509</v>
      </c>
      <c r="B3849" s="63" t="s">
        <v>4534</v>
      </c>
    </row>
    <row r="3850" spans="1:2" x14ac:dyDescent="0.25">
      <c r="A3850" s="62">
        <v>30103510</v>
      </c>
      <c r="B3850" s="63" t="s">
        <v>4535</v>
      </c>
    </row>
    <row r="3851" spans="1:2" x14ac:dyDescent="0.25">
      <c r="A3851" s="62">
        <v>30103511</v>
      </c>
      <c r="B3851" s="63" t="s">
        <v>4536</v>
      </c>
    </row>
    <row r="3852" spans="1:2" x14ac:dyDescent="0.25">
      <c r="A3852" s="62">
        <v>30103512</v>
      </c>
      <c r="B3852" s="63" t="s">
        <v>4537</v>
      </c>
    </row>
    <row r="3853" spans="1:2" x14ac:dyDescent="0.25">
      <c r="A3853" s="62">
        <v>30103513</v>
      </c>
      <c r="B3853" s="63" t="s">
        <v>4538</v>
      </c>
    </row>
    <row r="3854" spans="1:2" x14ac:dyDescent="0.25">
      <c r="A3854" s="62">
        <v>30103514</v>
      </c>
      <c r="B3854" s="63" t="s">
        <v>4539</v>
      </c>
    </row>
    <row r="3855" spans="1:2" x14ac:dyDescent="0.25">
      <c r="A3855" s="62">
        <v>30103515</v>
      </c>
      <c r="B3855" s="63" t="s">
        <v>4540</v>
      </c>
    </row>
    <row r="3856" spans="1:2" x14ac:dyDescent="0.25">
      <c r="A3856" s="62">
        <v>30103601</v>
      </c>
      <c r="B3856" s="63" t="s">
        <v>4541</v>
      </c>
    </row>
    <row r="3857" spans="1:2" x14ac:dyDescent="0.25">
      <c r="A3857" s="62">
        <v>30103602</v>
      </c>
      <c r="B3857" s="63" t="s">
        <v>4542</v>
      </c>
    </row>
    <row r="3858" spans="1:2" x14ac:dyDescent="0.25">
      <c r="A3858" s="62">
        <v>30103603</v>
      </c>
      <c r="B3858" s="63" t="s">
        <v>4543</v>
      </c>
    </row>
    <row r="3859" spans="1:2" x14ac:dyDescent="0.25">
      <c r="A3859" s="62">
        <v>30103604</v>
      </c>
      <c r="B3859" s="63" t="s">
        <v>4544</v>
      </c>
    </row>
    <row r="3860" spans="1:2" x14ac:dyDescent="0.25">
      <c r="A3860" s="62">
        <v>30103605</v>
      </c>
      <c r="B3860" s="63" t="s">
        <v>4545</v>
      </c>
    </row>
    <row r="3861" spans="1:2" x14ac:dyDescent="0.25">
      <c r="A3861" s="62">
        <v>30103606</v>
      </c>
      <c r="B3861" s="63" t="s">
        <v>4546</v>
      </c>
    </row>
    <row r="3862" spans="1:2" x14ac:dyDescent="0.25">
      <c r="A3862" s="62">
        <v>30103607</v>
      </c>
      <c r="B3862" s="63" t="s">
        <v>4547</v>
      </c>
    </row>
    <row r="3863" spans="1:2" x14ac:dyDescent="0.25">
      <c r="A3863" s="62">
        <v>30103608</v>
      </c>
      <c r="B3863" s="63" t="s">
        <v>4548</v>
      </c>
    </row>
    <row r="3864" spans="1:2" x14ac:dyDescent="0.25">
      <c r="A3864" s="62">
        <v>30103701</v>
      </c>
      <c r="B3864" s="63" t="s">
        <v>4549</v>
      </c>
    </row>
    <row r="3865" spans="1:2" x14ac:dyDescent="0.25">
      <c r="A3865" s="62">
        <v>30111501</v>
      </c>
      <c r="B3865" s="63" t="s">
        <v>4550</v>
      </c>
    </row>
    <row r="3866" spans="1:2" x14ac:dyDescent="0.25">
      <c r="A3866" s="62">
        <v>30111502</v>
      </c>
      <c r="B3866" s="63" t="s">
        <v>4551</v>
      </c>
    </row>
    <row r="3867" spans="1:2" x14ac:dyDescent="0.25">
      <c r="A3867" s="62">
        <v>30111503</v>
      </c>
      <c r="B3867" s="63" t="s">
        <v>4552</v>
      </c>
    </row>
    <row r="3868" spans="1:2" x14ac:dyDescent="0.25">
      <c r="A3868" s="62">
        <v>30111504</v>
      </c>
      <c r="B3868" s="63" t="s">
        <v>4553</v>
      </c>
    </row>
    <row r="3869" spans="1:2" x14ac:dyDescent="0.25">
      <c r="A3869" s="62">
        <v>30111601</v>
      </c>
      <c r="B3869" s="63" t="s">
        <v>220</v>
      </c>
    </row>
    <row r="3870" spans="1:2" x14ac:dyDescent="0.25">
      <c r="A3870" s="62">
        <v>30111602</v>
      </c>
      <c r="B3870" s="63" t="s">
        <v>4554</v>
      </c>
    </row>
    <row r="3871" spans="1:2" x14ac:dyDescent="0.25">
      <c r="A3871" s="62">
        <v>30111603</v>
      </c>
      <c r="B3871" s="63" t="s">
        <v>4555</v>
      </c>
    </row>
    <row r="3872" spans="1:2" x14ac:dyDescent="0.25">
      <c r="A3872" s="62">
        <v>30111604</v>
      </c>
      <c r="B3872" s="63" t="s">
        <v>4556</v>
      </c>
    </row>
    <row r="3873" spans="1:2" x14ac:dyDescent="0.25">
      <c r="A3873" s="62">
        <v>30111605</v>
      </c>
      <c r="B3873" s="63" t="s">
        <v>4557</v>
      </c>
    </row>
    <row r="3874" spans="1:2" x14ac:dyDescent="0.25">
      <c r="A3874" s="62">
        <v>30111606</v>
      </c>
      <c r="B3874" s="63" t="s">
        <v>4558</v>
      </c>
    </row>
    <row r="3875" spans="1:2" x14ac:dyDescent="0.25">
      <c r="A3875" s="62">
        <v>30111607</v>
      </c>
      <c r="B3875" s="63" t="s">
        <v>4559</v>
      </c>
    </row>
    <row r="3876" spans="1:2" x14ac:dyDescent="0.25">
      <c r="A3876" s="62">
        <v>30111701</v>
      </c>
      <c r="B3876" s="63" t="s">
        <v>4560</v>
      </c>
    </row>
    <row r="3877" spans="1:2" x14ac:dyDescent="0.25">
      <c r="A3877" s="62">
        <v>30121501</v>
      </c>
      <c r="B3877" s="63" t="s">
        <v>4561</v>
      </c>
    </row>
    <row r="3878" spans="1:2" x14ac:dyDescent="0.25">
      <c r="A3878" s="62">
        <v>30121503</v>
      </c>
      <c r="B3878" s="63" t="s">
        <v>4562</v>
      </c>
    </row>
    <row r="3879" spans="1:2" x14ac:dyDescent="0.25">
      <c r="A3879" s="62">
        <v>30121601</v>
      </c>
      <c r="B3879" s="63" t="s">
        <v>4563</v>
      </c>
    </row>
    <row r="3880" spans="1:2" x14ac:dyDescent="0.25">
      <c r="A3880" s="62">
        <v>30121602</v>
      </c>
      <c r="B3880" s="63" t="s">
        <v>4564</v>
      </c>
    </row>
    <row r="3881" spans="1:2" x14ac:dyDescent="0.25">
      <c r="A3881" s="62">
        <v>30121603</v>
      </c>
      <c r="B3881" s="63" t="s">
        <v>4565</v>
      </c>
    </row>
    <row r="3882" spans="1:2" x14ac:dyDescent="0.25">
      <c r="A3882" s="62">
        <v>30121604</v>
      </c>
      <c r="B3882" s="63" t="s">
        <v>4566</v>
      </c>
    </row>
    <row r="3883" spans="1:2" x14ac:dyDescent="0.25">
      <c r="A3883" s="62">
        <v>30121605</v>
      </c>
      <c r="B3883" s="63" t="s">
        <v>4567</v>
      </c>
    </row>
    <row r="3884" spans="1:2" x14ac:dyDescent="0.25">
      <c r="A3884" s="62">
        <v>30131501</v>
      </c>
      <c r="B3884" s="63" t="s">
        <v>4568</v>
      </c>
    </row>
    <row r="3885" spans="1:2" x14ac:dyDescent="0.25">
      <c r="A3885" s="62">
        <v>30131502</v>
      </c>
      <c r="B3885" s="63" t="s">
        <v>4569</v>
      </c>
    </row>
    <row r="3886" spans="1:2" x14ac:dyDescent="0.25">
      <c r="A3886" s="62">
        <v>30131503</v>
      </c>
      <c r="B3886" s="63" t="s">
        <v>4570</v>
      </c>
    </row>
    <row r="3887" spans="1:2" x14ac:dyDescent="0.25">
      <c r="A3887" s="62">
        <v>30131504</v>
      </c>
      <c r="B3887" s="63" t="s">
        <v>4571</v>
      </c>
    </row>
    <row r="3888" spans="1:2" x14ac:dyDescent="0.25">
      <c r="A3888" s="62">
        <v>30131601</v>
      </c>
      <c r="B3888" s="63" t="s">
        <v>4572</v>
      </c>
    </row>
    <row r="3889" spans="1:2" x14ac:dyDescent="0.25">
      <c r="A3889" s="62">
        <v>30131602</v>
      </c>
      <c r="B3889" s="63" t="s">
        <v>4573</v>
      </c>
    </row>
    <row r="3890" spans="1:2" x14ac:dyDescent="0.25">
      <c r="A3890" s="62">
        <v>30131603</v>
      </c>
      <c r="B3890" s="63" t="s">
        <v>4574</v>
      </c>
    </row>
    <row r="3891" spans="1:2" x14ac:dyDescent="0.25">
      <c r="A3891" s="62">
        <v>30131604</v>
      </c>
      <c r="B3891" s="63" t="s">
        <v>4575</v>
      </c>
    </row>
    <row r="3892" spans="1:2" x14ac:dyDescent="0.25">
      <c r="A3892" s="62">
        <v>30131701</v>
      </c>
      <c r="B3892" s="63" t="s">
        <v>4576</v>
      </c>
    </row>
    <row r="3893" spans="1:2" x14ac:dyDescent="0.25">
      <c r="A3893" s="62">
        <v>30131702</v>
      </c>
      <c r="B3893" s="63" t="s">
        <v>4577</v>
      </c>
    </row>
    <row r="3894" spans="1:2" x14ac:dyDescent="0.25">
      <c r="A3894" s="62">
        <v>30131703</v>
      </c>
      <c r="B3894" s="63" t="s">
        <v>4578</v>
      </c>
    </row>
    <row r="3895" spans="1:2" x14ac:dyDescent="0.25">
      <c r="A3895" s="62">
        <v>30131704</v>
      </c>
      <c r="B3895" s="63" t="s">
        <v>4579</v>
      </c>
    </row>
    <row r="3896" spans="1:2" x14ac:dyDescent="0.25">
      <c r="A3896" s="62">
        <v>30131705</v>
      </c>
      <c r="B3896" s="63" t="s">
        <v>4580</v>
      </c>
    </row>
    <row r="3897" spans="1:2" x14ac:dyDescent="0.25">
      <c r="A3897" s="62">
        <v>30141501</v>
      </c>
      <c r="B3897" s="63" t="s">
        <v>4581</v>
      </c>
    </row>
    <row r="3898" spans="1:2" x14ac:dyDescent="0.25">
      <c r="A3898" s="62">
        <v>30141503</v>
      </c>
      <c r="B3898" s="63" t="s">
        <v>4582</v>
      </c>
    </row>
    <row r="3899" spans="1:2" x14ac:dyDescent="0.25">
      <c r="A3899" s="62">
        <v>30141505</v>
      </c>
      <c r="B3899" s="63" t="s">
        <v>4583</v>
      </c>
    </row>
    <row r="3900" spans="1:2" x14ac:dyDescent="0.25">
      <c r="A3900" s="62">
        <v>30141508</v>
      </c>
      <c r="B3900" s="63" t="s">
        <v>4584</v>
      </c>
    </row>
    <row r="3901" spans="1:2" x14ac:dyDescent="0.25">
      <c r="A3901" s="62">
        <v>30141510</v>
      </c>
      <c r="B3901" s="63" t="s">
        <v>4585</v>
      </c>
    </row>
    <row r="3902" spans="1:2" x14ac:dyDescent="0.25">
      <c r="A3902" s="62">
        <v>30141511</v>
      </c>
      <c r="B3902" s="63" t="s">
        <v>4586</v>
      </c>
    </row>
    <row r="3903" spans="1:2" x14ac:dyDescent="0.25">
      <c r="A3903" s="62">
        <v>30141512</v>
      </c>
      <c r="B3903" s="63" t="s">
        <v>4587</v>
      </c>
    </row>
    <row r="3904" spans="1:2" x14ac:dyDescent="0.25">
      <c r="A3904" s="62">
        <v>30141513</v>
      </c>
      <c r="B3904" s="63" t="s">
        <v>4588</v>
      </c>
    </row>
    <row r="3905" spans="1:2" x14ac:dyDescent="0.25">
      <c r="A3905" s="62">
        <v>30141601</v>
      </c>
      <c r="B3905" s="63" t="s">
        <v>4589</v>
      </c>
    </row>
    <row r="3906" spans="1:2" x14ac:dyDescent="0.25">
      <c r="A3906" s="62">
        <v>30141602</v>
      </c>
      <c r="B3906" s="63" t="s">
        <v>4590</v>
      </c>
    </row>
    <row r="3907" spans="1:2" x14ac:dyDescent="0.25">
      <c r="A3907" s="62">
        <v>30141603</v>
      </c>
      <c r="B3907" s="63" t="s">
        <v>4591</v>
      </c>
    </row>
    <row r="3908" spans="1:2" x14ac:dyDescent="0.25">
      <c r="A3908" s="62">
        <v>30151501</v>
      </c>
      <c r="B3908" s="63" t="s">
        <v>4592</v>
      </c>
    </row>
    <row r="3909" spans="1:2" x14ac:dyDescent="0.25">
      <c r="A3909" s="62">
        <v>30151502</v>
      </c>
      <c r="B3909" s="63" t="s">
        <v>4593</v>
      </c>
    </row>
    <row r="3910" spans="1:2" x14ac:dyDescent="0.25">
      <c r="A3910" s="62">
        <v>30151503</v>
      </c>
      <c r="B3910" s="63" t="s">
        <v>4594</v>
      </c>
    </row>
    <row r="3911" spans="1:2" x14ac:dyDescent="0.25">
      <c r="A3911" s="62">
        <v>30151504</v>
      </c>
      <c r="B3911" s="63" t="s">
        <v>4595</v>
      </c>
    </row>
    <row r="3912" spans="1:2" x14ac:dyDescent="0.25">
      <c r="A3912" s="62">
        <v>30151505</v>
      </c>
      <c r="B3912" s="63" t="s">
        <v>4596</v>
      </c>
    </row>
    <row r="3913" spans="1:2" x14ac:dyDescent="0.25">
      <c r="A3913" s="62">
        <v>30151506</v>
      </c>
      <c r="B3913" s="63" t="s">
        <v>4597</v>
      </c>
    </row>
    <row r="3914" spans="1:2" x14ac:dyDescent="0.25">
      <c r="A3914" s="62">
        <v>30151507</v>
      </c>
      <c r="B3914" s="63" t="s">
        <v>4598</v>
      </c>
    </row>
    <row r="3915" spans="1:2" x14ac:dyDescent="0.25">
      <c r="A3915" s="62">
        <v>30151508</v>
      </c>
      <c r="B3915" s="63" t="s">
        <v>4599</v>
      </c>
    </row>
    <row r="3916" spans="1:2" x14ac:dyDescent="0.25">
      <c r="A3916" s="62">
        <v>30151509</v>
      </c>
      <c r="B3916" s="63" t="s">
        <v>4600</v>
      </c>
    </row>
    <row r="3917" spans="1:2" x14ac:dyDescent="0.25">
      <c r="A3917" s="62">
        <v>30151510</v>
      </c>
      <c r="B3917" s="63" t="s">
        <v>4601</v>
      </c>
    </row>
    <row r="3918" spans="1:2" x14ac:dyDescent="0.25">
      <c r="A3918" s="62">
        <v>30151601</v>
      </c>
      <c r="B3918" s="63" t="s">
        <v>4602</v>
      </c>
    </row>
    <row r="3919" spans="1:2" x14ac:dyDescent="0.25">
      <c r="A3919" s="62">
        <v>30151602</v>
      </c>
      <c r="B3919" s="63" t="s">
        <v>4603</v>
      </c>
    </row>
    <row r="3920" spans="1:2" x14ac:dyDescent="0.25">
      <c r="A3920" s="62">
        <v>30151603</v>
      </c>
      <c r="B3920" s="63" t="s">
        <v>4604</v>
      </c>
    </row>
    <row r="3921" spans="1:2" x14ac:dyDescent="0.25">
      <c r="A3921" s="62">
        <v>30151604</v>
      </c>
      <c r="B3921" s="63" t="s">
        <v>4605</v>
      </c>
    </row>
    <row r="3922" spans="1:2" x14ac:dyDescent="0.25">
      <c r="A3922" s="62">
        <v>30151605</v>
      </c>
      <c r="B3922" s="63" t="s">
        <v>4606</v>
      </c>
    </row>
    <row r="3923" spans="1:2" x14ac:dyDescent="0.25">
      <c r="A3923" s="62">
        <v>30151606</v>
      </c>
      <c r="B3923" s="63" t="s">
        <v>4607</v>
      </c>
    </row>
    <row r="3924" spans="1:2" x14ac:dyDescent="0.25">
      <c r="A3924" s="62">
        <v>30151607</v>
      </c>
      <c r="B3924" s="63" t="s">
        <v>4608</v>
      </c>
    </row>
    <row r="3925" spans="1:2" x14ac:dyDescent="0.25">
      <c r="A3925" s="62">
        <v>30151608</v>
      </c>
      <c r="B3925" s="63" t="s">
        <v>4609</v>
      </c>
    </row>
    <row r="3926" spans="1:2" x14ac:dyDescent="0.25">
      <c r="A3926" s="62">
        <v>30151609</v>
      </c>
      <c r="B3926" s="63" t="s">
        <v>4610</v>
      </c>
    </row>
    <row r="3927" spans="1:2" x14ac:dyDescent="0.25">
      <c r="A3927" s="62">
        <v>30151610</v>
      </c>
      <c r="B3927" s="63" t="s">
        <v>4611</v>
      </c>
    </row>
    <row r="3928" spans="1:2" x14ac:dyDescent="0.25">
      <c r="A3928" s="62">
        <v>30151701</v>
      </c>
      <c r="B3928" s="63" t="s">
        <v>4612</v>
      </c>
    </row>
    <row r="3929" spans="1:2" x14ac:dyDescent="0.25">
      <c r="A3929" s="62">
        <v>30151702</v>
      </c>
      <c r="B3929" s="63" t="s">
        <v>4613</v>
      </c>
    </row>
    <row r="3930" spans="1:2" x14ac:dyDescent="0.25">
      <c r="A3930" s="62">
        <v>30151703</v>
      </c>
      <c r="B3930" s="63" t="s">
        <v>4614</v>
      </c>
    </row>
    <row r="3931" spans="1:2" x14ac:dyDescent="0.25">
      <c r="A3931" s="62">
        <v>30151704</v>
      </c>
      <c r="B3931" s="63" t="s">
        <v>4615</v>
      </c>
    </row>
    <row r="3932" spans="1:2" x14ac:dyDescent="0.25">
      <c r="A3932" s="62">
        <v>30151801</v>
      </c>
      <c r="B3932" s="63" t="s">
        <v>4616</v>
      </c>
    </row>
    <row r="3933" spans="1:2" x14ac:dyDescent="0.25">
      <c r="A3933" s="62">
        <v>30151802</v>
      </c>
      <c r="B3933" s="63" t="s">
        <v>4617</v>
      </c>
    </row>
    <row r="3934" spans="1:2" x14ac:dyDescent="0.25">
      <c r="A3934" s="62">
        <v>30151803</v>
      </c>
      <c r="B3934" s="63" t="s">
        <v>4618</v>
      </c>
    </row>
    <row r="3935" spans="1:2" x14ac:dyDescent="0.25">
      <c r="A3935" s="62">
        <v>30151804</v>
      </c>
      <c r="B3935" s="63" t="s">
        <v>4619</v>
      </c>
    </row>
    <row r="3936" spans="1:2" x14ac:dyDescent="0.25">
      <c r="A3936" s="62">
        <v>30151805</v>
      </c>
      <c r="B3936" s="63" t="s">
        <v>4620</v>
      </c>
    </row>
    <row r="3937" spans="1:2" x14ac:dyDescent="0.25">
      <c r="A3937" s="62">
        <v>30151806</v>
      </c>
      <c r="B3937" s="63" t="s">
        <v>4621</v>
      </c>
    </row>
    <row r="3938" spans="1:2" x14ac:dyDescent="0.25">
      <c r="A3938" s="62">
        <v>30151901</v>
      </c>
      <c r="B3938" s="63" t="s">
        <v>4622</v>
      </c>
    </row>
    <row r="3939" spans="1:2" x14ac:dyDescent="0.25">
      <c r="A3939" s="62">
        <v>30151902</v>
      </c>
      <c r="B3939" s="63" t="s">
        <v>4623</v>
      </c>
    </row>
    <row r="3940" spans="1:2" x14ac:dyDescent="0.25">
      <c r="A3940" s="62">
        <v>30152001</v>
      </c>
      <c r="B3940" s="63" t="s">
        <v>4624</v>
      </c>
    </row>
    <row r="3941" spans="1:2" x14ac:dyDescent="0.25">
      <c r="A3941" s="62">
        <v>30152002</v>
      </c>
      <c r="B3941" s="63" t="s">
        <v>4625</v>
      </c>
    </row>
    <row r="3942" spans="1:2" x14ac:dyDescent="0.25">
      <c r="A3942" s="62">
        <v>30152003</v>
      </c>
      <c r="B3942" s="63" t="s">
        <v>4626</v>
      </c>
    </row>
    <row r="3943" spans="1:2" x14ac:dyDescent="0.25">
      <c r="A3943" s="62">
        <v>30152101</v>
      </c>
      <c r="B3943" s="63" t="s">
        <v>4627</v>
      </c>
    </row>
    <row r="3944" spans="1:2" x14ac:dyDescent="0.25">
      <c r="A3944" s="62">
        <v>30161501</v>
      </c>
      <c r="B3944" s="63" t="s">
        <v>4628</v>
      </c>
    </row>
    <row r="3945" spans="1:2" x14ac:dyDescent="0.25">
      <c r="A3945" s="62">
        <v>30161502</v>
      </c>
      <c r="B3945" s="63" t="s">
        <v>4629</v>
      </c>
    </row>
    <row r="3946" spans="1:2" x14ac:dyDescent="0.25">
      <c r="A3946" s="62">
        <v>30161503</v>
      </c>
      <c r="B3946" s="63" t="s">
        <v>4630</v>
      </c>
    </row>
    <row r="3947" spans="1:2" x14ac:dyDescent="0.25">
      <c r="A3947" s="62">
        <v>30161504</v>
      </c>
      <c r="B3947" s="63" t="s">
        <v>4631</v>
      </c>
    </row>
    <row r="3948" spans="1:2" x14ac:dyDescent="0.25">
      <c r="A3948" s="62">
        <v>30161505</v>
      </c>
      <c r="B3948" s="63" t="s">
        <v>4632</v>
      </c>
    </row>
    <row r="3949" spans="1:2" x14ac:dyDescent="0.25">
      <c r="A3949" s="62">
        <v>30161507</v>
      </c>
      <c r="B3949" s="63" t="s">
        <v>4633</v>
      </c>
    </row>
    <row r="3950" spans="1:2" x14ac:dyDescent="0.25">
      <c r="A3950" s="62">
        <v>30161508</v>
      </c>
      <c r="B3950" s="63" t="s">
        <v>4634</v>
      </c>
    </row>
    <row r="3951" spans="1:2" x14ac:dyDescent="0.25">
      <c r="A3951" s="62">
        <v>30161509</v>
      </c>
      <c r="B3951" s="63" t="s">
        <v>4635</v>
      </c>
    </row>
    <row r="3952" spans="1:2" x14ac:dyDescent="0.25">
      <c r="A3952" s="62">
        <v>30161601</v>
      </c>
      <c r="B3952" s="63" t="s">
        <v>4636</v>
      </c>
    </row>
    <row r="3953" spans="1:2" x14ac:dyDescent="0.25">
      <c r="A3953" s="62">
        <v>30161602</v>
      </c>
      <c r="B3953" s="63" t="s">
        <v>4637</v>
      </c>
    </row>
    <row r="3954" spans="1:2" x14ac:dyDescent="0.25">
      <c r="A3954" s="62">
        <v>30161603</v>
      </c>
      <c r="B3954" s="63" t="s">
        <v>4638</v>
      </c>
    </row>
    <row r="3955" spans="1:2" x14ac:dyDescent="0.25">
      <c r="A3955" s="62">
        <v>30161604</v>
      </c>
      <c r="B3955" s="63" t="s">
        <v>4639</v>
      </c>
    </row>
    <row r="3956" spans="1:2" x14ac:dyDescent="0.25">
      <c r="A3956" s="62">
        <v>30161701</v>
      </c>
      <c r="B3956" s="63" t="s">
        <v>4640</v>
      </c>
    </row>
    <row r="3957" spans="1:2" x14ac:dyDescent="0.25">
      <c r="A3957" s="62">
        <v>30161702</v>
      </c>
      <c r="B3957" s="63" t="s">
        <v>4641</v>
      </c>
    </row>
    <row r="3958" spans="1:2" x14ac:dyDescent="0.25">
      <c r="A3958" s="62">
        <v>30161703</v>
      </c>
      <c r="B3958" s="63" t="s">
        <v>4642</v>
      </c>
    </row>
    <row r="3959" spans="1:2" x14ac:dyDescent="0.25">
      <c r="A3959" s="62">
        <v>30161705</v>
      </c>
      <c r="B3959" s="63" t="s">
        <v>4643</v>
      </c>
    </row>
    <row r="3960" spans="1:2" x14ac:dyDescent="0.25">
      <c r="A3960" s="62">
        <v>30161706</v>
      </c>
      <c r="B3960" s="63" t="s">
        <v>4644</v>
      </c>
    </row>
    <row r="3961" spans="1:2" x14ac:dyDescent="0.25">
      <c r="A3961" s="62">
        <v>30161707</v>
      </c>
      <c r="B3961" s="63" t="s">
        <v>4645</v>
      </c>
    </row>
    <row r="3962" spans="1:2" x14ac:dyDescent="0.25">
      <c r="A3962" s="62">
        <v>30161708</v>
      </c>
      <c r="B3962" s="63" t="s">
        <v>4646</v>
      </c>
    </row>
    <row r="3963" spans="1:2" x14ac:dyDescent="0.25">
      <c r="A3963" s="62">
        <v>30161709</v>
      </c>
      <c r="B3963" s="63" t="s">
        <v>4647</v>
      </c>
    </row>
    <row r="3964" spans="1:2" x14ac:dyDescent="0.25">
      <c r="A3964" s="62">
        <v>30161710</v>
      </c>
      <c r="B3964" s="63" t="s">
        <v>4648</v>
      </c>
    </row>
    <row r="3965" spans="1:2" x14ac:dyDescent="0.25">
      <c r="A3965" s="62">
        <v>30161711</v>
      </c>
      <c r="B3965" s="63" t="s">
        <v>4649</v>
      </c>
    </row>
    <row r="3966" spans="1:2" x14ac:dyDescent="0.25">
      <c r="A3966" s="62">
        <v>30161712</v>
      </c>
      <c r="B3966" s="63" t="s">
        <v>4650</v>
      </c>
    </row>
    <row r="3967" spans="1:2" x14ac:dyDescent="0.25">
      <c r="A3967" s="62">
        <v>30161713</v>
      </c>
      <c r="B3967" s="63" t="s">
        <v>4651</v>
      </c>
    </row>
    <row r="3968" spans="1:2" x14ac:dyDescent="0.25">
      <c r="A3968" s="62">
        <v>30161714</v>
      </c>
      <c r="B3968" s="63" t="s">
        <v>4652</v>
      </c>
    </row>
    <row r="3969" spans="1:2" x14ac:dyDescent="0.25">
      <c r="A3969" s="62">
        <v>30161715</v>
      </c>
      <c r="B3969" s="63" t="s">
        <v>4653</v>
      </c>
    </row>
    <row r="3970" spans="1:2" x14ac:dyDescent="0.25">
      <c r="A3970" s="62">
        <v>30161716</v>
      </c>
      <c r="B3970" s="63" t="s">
        <v>4654</v>
      </c>
    </row>
    <row r="3971" spans="1:2" x14ac:dyDescent="0.25">
      <c r="A3971" s="62">
        <v>30161717</v>
      </c>
      <c r="B3971" s="63" t="s">
        <v>4655</v>
      </c>
    </row>
    <row r="3972" spans="1:2" x14ac:dyDescent="0.25">
      <c r="A3972" s="62">
        <v>30161718</v>
      </c>
      <c r="B3972" s="63" t="s">
        <v>4656</v>
      </c>
    </row>
    <row r="3973" spans="1:2" x14ac:dyDescent="0.25">
      <c r="A3973" s="62">
        <v>30161719</v>
      </c>
      <c r="B3973" s="63" t="s">
        <v>4657</v>
      </c>
    </row>
    <row r="3974" spans="1:2" x14ac:dyDescent="0.25">
      <c r="A3974" s="62">
        <v>30161801</v>
      </c>
      <c r="B3974" s="63" t="s">
        <v>3138</v>
      </c>
    </row>
    <row r="3975" spans="1:2" x14ac:dyDescent="0.25">
      <c r="A3975" s="62">
        <v>30161802</v>
      </c>
      <c r="B3975" s="63" t="s">
        <v>4658</v>
      </c>
    </row>
    <row r="3976" spans="1:2" x14ac:dyDescent="0.25">
      <c r="A3976" s="62">
        <v>30161901</v>
      </c>
      <c r="B3976" s="63" t="s">
        <v>4659</v>
      </c>
    </row>
    <row r="3977" spans="1:2" x14ac:dyDescent="0.25">
      <c r="A3977" s="62">
        <v>30161902</v>
      </c>
      <c r="B3977" s="63" t="s">
        <v>4660</v>
      </c>
    </row>
    <row r="3978" spans="1:2" x14ac:dyDescent="0.25">
      <c r="A3978" s="62">
        <v>30161903</v>
      </c>
      <c r="B3978" s="63" t="s">
        <v>4661</v>
      </c>
    </row>
    <row r="3979" spans="1:2" x14ac:dyDescent="0.25">
      <c r="A3979" s="62">
        <v>30161904</v>
      </c>
      <c r="B3979" s="63" t="s">
        <v>4662</v>
      </c>
    </row>
    <row r="3980" spans="1:2" x14ac:dyDescent="0.25">
      <c r="A3980" s="62">
        <v>30161905</v>
      </c>
      <c r="B3980" s="63" t="s">
        <v>4663</v>
      </c>
    </row>
    <row r="3981" spans="1:2" x14ac:dyDescent="0.25">
      <c r="A3981" s="62">
        <v>30161906</v>
      </c>
      <c r="B3981" s="63" t="s">
        <v>4664</v>
      </c>
    </row>
    <row r="3982" spans="1:2" x14ac:dyDescent="0.25">
      <c r="A3982" s="62">
        <v>30161907</v>
      </c>
      <c r="B3982" s="63" t="s">
        <v>4665</v>
      </c>
    </row>
    <row r="3983" spans="1:2" x14ac:dyDescent="0.25">
      <c r="A3983" s="62">
        <v>30161908</v>
      </c>
      <c r="B3983" s="63" t="s">
        <v>4666</v>
      </c>
    </row>
    <row r="3984" spans="1:2" x14ac:dyDescent="0.25">
      <c r="A3984" s="62">
        <v>30171501</v>
      </c>
      <c r="B3984" s="63" t="s">
        <v>4667</v>
      </c>
    </row>
    <row r="3985" spans="1:2" x14ac:dyDescent="0.25">
      <c r="A3985" s="62">
        <v>30171502</v>
      </c>
      <c r="B3985" s="63" t="s">
        <v>4668</v>
      </c>
    </row>
    <row r="3986" spans="1:2" x14ac:dyDescent="0.25">
      <c r="A3986" s="62">
        <v>30171503</v>
      </c>
      <c r="B3986" s="63" t="s">
        <v>4669</v>
      </c>
    </row>
    <row r="3987" spans="1:2" x14ac:dyDescent="0.25">
      <c r="A3987" s="62">
        <v>30171504</v>
      </c>
      <c r="B3987" s="63" t="s">
        <v>4670</v>
      </c>
    </row>
    <row r="3988" spans="1:2" x14ac:dyDescent="0.25">
      <c r="A3988" s="62">
        <v>30171505</v>
      </c>
      <c r="B3988" s="63" t="s">
        <v>4671</v>
      </c>
    </row>
    <row r="3989" spans="1:2" x14ac:dyDescent="0.25">
      <c r="A3989" s="62">
        <v>30171506</v>
      </c>
      <c r="B3989" s="63" t="s">
        <v>4672</v>
      </c>
    </row>
    <row r="3990" spans="1:2" x14ac:dyDescent="0.25">
      <c r="A3990" s="62">
        <v>30171507</v>
      </c>
      <c r="B3990" s="63" t="s">
        <v>4673</v>
      </c>
    </row>
    <row r="3991" spans="1:2" x14ac:dyDescent="0.25">
      <c r="A3991" s="62">
        <v>30171508</v>
      </c>
      <c r="B3991" s="63" t="s">
        <v>4674</v>
      </c>
    </row>
    <row r="3992" spans="1:2" x14ac:dyDescent="0.25">
      <c r="A3992" s="62">
        <v>30171509</v>
      </c>
      <c r="B3992" s="63" t="s">
        <v>4675</v>
      </c>
    </row>
    <row r="3993" spans="1:2" x14ac:dyDescent="0.25">
      <c r="A3993" s="62">
        <v>30171510</v>
      </c>
      <c r="B3993" s="63" t="s">
        <v>4676</v>
      </c>
    </row>
    <row r="3994" spans="1:2" x14ac:dyDescent="0.25">
      <c r="A3994" s="62">
        <v>30171511</v>
      </c>
      <c r="B3994" s="63" t="s">
        <v>4677</v>
      </c>
    </row>
    <row r="3995" spans="1:2" x14ac:dyDescent="0.25">
      <c r="A3995" s="62">
        <v>30171512</v>
      </c>
      <c r="B3995" s="63" t="s">
        <v>4678</v>
      </c>
    </row>
    <row r="3996" spans="1:2" x14ac:dyDescent="0.25">
      <c r="A3996" s="62">
        <v>30171513</v>
      </c>
      <c r="B3996" s="63" t="s">
        <v>4679</v>
      </c>
    </row>
    <row r="3997" spans="1:2" x14ac:dyDescent="0.25">
      <c r="A3997" s="62">
        <v>30171514</v>
      </c>
      <c r="B3997" s="63" t="s">
        <v>4680</v>
      </c>
    </row>
    <row r="3998" spans="1:2" x14ac:dyDescent="0.25">
      <c r="A3998" s="62">
        <v>30171604</v>
      </c>
      <c r="B3998" s="63" t="s">
        <v>4681</v>
      </c>
    </row>
    <row r="3999" spans="1:2" x14ac:dyDescent="0.25">
      <c r="A3999" s="62">
        <v>30171605</v>
      </c>
      <c r="B3999" s="63" t="s">
        <v>4682</v>
      </c>
    </row>
    <row r="4000" spans="1:2" x14ac:dyDescent="0.25">
      <c r="A4000" s="62">
        <v>30171606</v>
      </c>
      <c r="B4000" s="63" t="s">
        <v>4683</v>
      </c>
    </row>
    <row r="4001" spans="1:2" x14ac:dyDescent="0.25">
      <c r="A4001" s="62">
        <v>30171607</v>
      </c>
      <c r="B4001" s="63" t="s">
        <v>4684</v>
      </c>
    </row>
    <row r="4002" spans="1:2" x14ac:dyDescent="0.25">
      <c r="A4002" s="62">
        <v>30171608</v>
      </c>
      <c r="B4002" s="63" t="s">
        <v>4685</v>
      </c>
    </row>
    <row r="4003" spans="1:2" x14ac:dyDescent="0.25">
      <c r="A4003" s="62">
        <v>30171609</v>
      </c>
      <c r="B4003" s="63" t="s">
        <v>4686</v>
      </c>
    </row>
    <row r="4004" spans="1:2" x14ac:dyDescent="0.25">
      <c r="A4004" s="62">
        <v>30171610</v>
      </c>
      <c r="B4004" s="63" t="s">
        <v>4687</v>
      </c>
    </row>
    <row r="4005" spans="1:2" x14ac:dyDescent="0.25">
      <c r="A4005" s="62">
        <v>30171611</v>
      </c>
      <c r="B4005" s="63" t="s">
        <v>4688</v>
      </c>
    </row>
    <row r="4006" spans="1:2" x14ac:dyDescent="0.25">
      <c r="A4006" s="62">
        <v>30171612</v>
      </c>
      <c r="B4006" s="63" t="s">
        <v>4689</v>
      </c>
    </row>
    <row r="4007" spans="1:2" x14ac:dyDescent="0.25">
      <c r="A4007" s="62">
        <v>30171613</v>
      </c>
      <c r="B4007" s="63" t="s">
        <v>4690</v>
      </c>
    </row>
    <row r="4008" spans="1:2" x14ac:dyDescent="0.25">
      <c r="A4008" s="62">
        <v>30171614</v>
      </c>
      <c r="B4008" s="63" t="s">
        <v>4691</v>
      </c>
    </row>
    <row r="4009" spans="1:2" x14ac:dyDescent="0.25">
      <c r="A4009" s="62">
        <v>30171615</v>
      </c>
      <c r="B4009" s="63" t="s">
        <v>4692</v>
      </c>
    </row>
    <row r="4010" spans="1:2" x14ac:dyDescent="0.25">
      <c r="A4010" s="62">
        <v>30171701</v>
      </c>
      <c r="B4010" s="63" t="s">
        <v>4693</v>
      </c>
    </row>
    <row r="4011" spans="1:2" x14ac:dyDescent="0.25">
      <c r="A4011" s="62">
        <v>30171703</v>
      </c>
      <c r="B4011" s="63" t="s">
        <v>4694</v>
      </c>
    </row>
    <row r="4012" spans="1:2" x14ac:dyDescent="0.25">
      <c r="A4012" s="62">
        <v>30171704</v>
      </c>
      <c r="B4012" s="63" t="s">
        <v>4695</v>
      </c>
    </row>
    <row r="4013" spans="1:2" x14ac:dyDescent="0.25">
      <c r="A4013" s="62">
        <v>30171705</v>
      </c>
      <c r="B4013" s="63" t="s">
        <v>4696</v>
      </c>
    </row>
    <row r="4014" spans="1:2" x14ac:dyDescent="0.25">
      <c r="A4014" s="62">
        <v>30171706</v>
      </c>
      <c r="B4014" s="63" t="s">
        <v>4697</v>
      </c>
    </row>
    <row r="4015" spans="1:2" x14ac:dyDescent="0.25">
      <c r="A4015" s="62">
        <v>30171707</v>
      </c>
      <c r="B4015" s="63" t="s">
        <v>4698</v>
      </c>
    </row>
    <row r="4016" spans="1:2" x14ac:dyDescent="0.25">
      <c r="A4016" s="62">
        <v>30171708</v>
      </c>
      <c r="B4016" s="63" t="s">
        <v>4699</v>
      </c>
    </row>
    <row r="4017" spans="1:2" x14ac:dyDescent="0.25">
      <c r="A4017" s="62">
        <v>30171709</v>
      </c>
      <c r="B4017" s="63" t="s">
        <v>4700</v>
      </c>
    </row>
    <row r="4018" spans="1:2" x14ac:dyDescent="0.25">
      <c r="A4018" s="62">
        <v>30171801</v>
      </c>
      <c r="B4018" s="63" t="s">
        <v>4701</v>
      </c>
    </row>
    <row r="4019" spans="1:2" x14ac:dyDescent="0.25">
      <c r="A4019" s="62">
        <v>30171802</v>
      </c>
      <c r="B4019" s="63" t="s">
        <v>4702</v>
      </c>
    </row>
    <row r="4020" spans="1:2" x14ac:dyDescent="0.25">
      <c r="A4020" s="62">
        <v>30171803</v>
      </c>
      <c r="B4020" s="63" t="s">
        <v>4703</v>
      </c>
    </row>
    <row r="4021" spans="1:2" x14ac:dyDescent="0.25">
      <c r="A4021" s="62">
        <v>30171901</v>
      </c>
      <c r="B4021" s="63" t="s">
        <v>4704</v>
      </c>
    </row>
    <row r="4022" spans="1:2" x14ac:dyDescent="0.25">
      <c r="A4022" s="62">
        <v>30171902</v>
      </c>
      <c r="B4022" s="63" t="s">
        <v>4705</v>
      </c>
    </row>
    <row r="4023" spans="1:2" x14ac:dyDescent="0.25">
      <c r="A4023" s="62">
        <v>30171903</v>
      </c>
      <c r="B4023" s="63" t="s">
        <v>4706</v>
      </c>
    </row>
    <row r="4024" spans="1:2" x14ac:dyDescent="0.25">
      <c r="A4024" s="62">
        <v>30171904</v>
      </c>
      <c r="B4024" s="63" t="s">
        <v>4707</v>
      </c>
    </row>
    <row r="4025" spans="1:2" x14ac:dyDescent="0.25">
      <c r="A4025" s="62">
        <v>30171905</v>
      </c>
      <c r="B4025" s="63" t="s">
        <v>4708</v>
      </c>
    </row>
    <row r="4026" spans="1:2" x14ac:dyDescent="0.25">
      <c r="A4026" s="62">
        <v>30171906</v>
      </c>
      <c r="B4026" s="63" t="s">
        <v>4709</v>
      </c>
    </row>
    <row r="4027" spans="1:2" x14ac:dyDescent="0.25">
      <c r="A4027" s="62">
        <v>30172001</v>
      </c>
      <c r="B4027" s="63" t="s">
        <v>4710</v>
      </c>
    </row>
    <row r="4028" spans="1:2" x14ac:dyDescent="0.25">
      <c r="A4028" s="62">
        <v>30172002</v>
      </c>
      <c r="B4028" s="63" t="s">
        <v>4711</v>
      </c>
    </row>
    <row r="4029" spans="1:2" x14ac:dyDescent="0.25">
      <c r="A4029" s="62">
        <v>30181501</v>
      </c>
      <c r="B4029" s="63" t="s">
        <v>4712</v>
      </c>
    </row>
    <row r="4030" spans="1:2" x14ac:dyDescent="0.25">
      <c r="A4030" s="62">
        <v>30181502</v>
      </c>
      <c r="B4030" s="63" t="s">
        <v>4713</v>
      </c>
    </row>
    <row r="4031" spans="1:2" x14ac:dyDescent="0.25">
      <c r="A4031" s="62">
        <v>30181503</v>
      </c>
      <c r="B4031" s="63" t="s">
        <v>4714</v>
      </c>
    </row>
    <row r="4032" spans="1:2" x14ac:dyDescent="0.25">
      <c r="A4032" s="62">
        <v>30181504</v>
      </c>
      <c r="B4032" s="63" t="s">
        <v>4715</v>
      </c>
    </row>
    <row r="4033" spans="1:2" x14ac:dyDescent="0.25">
      <c r="A4033" s="62">
        <v>30181505</v>
      </c>
      <c r="B4033" s="63" t="s">
        <v>4716</v>
      </c>
    </row>
    <row r="4034" spans="1:2" x14ac:dyDescent="0.25">
      <c r="A4034" s="62">
        <v>30181506</v>
      </c>
      <c r="B4034" s="63" t="s">
        <v>4717</v>
      </c>
    </row>
    <row r="4035" spans="1:2" x14ac:dyDescent="0.25">
      <c r="A4035" s="62">
        <v>30181507</v>
      </c>
      <c r="B4035" s="63" t="s">
        <v>4718</v>
      </c>
    </row>
    <row r="4036" spans="1:2" x14ac:dyDescent="0.25">
      <c r="A4036" s="62">
        <v>30181508</v>
      </c>
      <c r="B4036" s="63" t="s">
        <v>4719</v>
      </c>
    </row>
    <row r="4037" spans="1:2" x14ac:dyDescent="0.25">
      <c r="A4037" s="62">
        <v>30181509</v>
      </c>
      <c r="B4037" s="63" t="s">
        <v>4720</v>
      </c>
    </row>
    <row r="4038" spans="1:2" x14ac:dyDescent="0.25">
      <c r="A4038" s="62">
        <v>30181510</v>
      </c>
      <c r="B4038" s="63" t="s">
        <v>4721</v>
      </c>
    </row>
    <row r="4039" spans="1:2" x14ac:dyDescent="0.25">
      <c r="A4039" s="62">
        <v>30181511</v>
      </c>
      <c r="B4039" s="63" t="s">
        <v>4716</v>
      </c>
    </row>
    <row r="4040" spans="1:2" x14ac:dyDescent="0.25">
      <c r="A4040" s="62">
        <v>30181512</v>
      </c>
      <c r="B4040" s="63" t="s">
        <v>4722</v>
      </c>
    </row>
    <row r="4041" spans="1:2" x14ac:dyDescent="0.25">
      <c r="A4041" s="62">
        <v>30181513</v>
      </c>
      <c r="B4041" s="63" t="s">
        <v>4723</v>
      </c>
    </row>
    <row r="4042" spans="1:2" x14ac:dyDescent="0.25">
      <c r="A4042" s="62">
        <v>30181514</v>
      </c>
      <c r="B4042" s="63" t="s">
        <v>4724</v>
      </c>
    </row>
    <row r="4043" spans="1:2" x14ac:dyDescent="0.25">
      <c r="A4043" s="62">
        <v>30181515</v>
      </c>
      <c r="B4043" s="63" t="s">
        <v>4725</v>
      </c>
    </row>
    <row r="4044" spans="1:2" x14ac:dyDescent="0.25">
      <c r="A4044" s="62">
        <v>30191501</v>
      </c>
      <c r="B4044" s="63" t="s">
        <v>4665</v>
      </c>
    </row>
    <row r="4045" spans="1:2" x14ac:dyDescent="0.25">
      <c r="A4045" s="62">
        <v>30191502</v>
      </c>
      <c r="B4045" s="63" t="s">
        <v>4726</v>
      </c>
    </row>
    <row r="4046" spans="1:2" x14ac:dyDescent="0.25">
      <c r="A4046" s="62">
        <v>30191505</v>
      </c>
      <c r="B4046" s="63" t="s">
        <v>4727</v>
      </c>
    </row>
    <row r="4047" spans="1:2" x14ac:dyDescent="0.25">
      <c r="A4047" s="62">
        <v>30191601</v>
      </c>
      <c r="B4047" s="63" t="s">
        <v>4728</v>
      </c>
    </row>
    <row r="4048" spans="1:2" x14ac:dyDescent="0.25">
      <c r="A4048" s="62">
        <v>30191602</v>
      </c>
      <c r="B4048" s="63" t="s">
        <v>4729</v>
      </c>
    </row>
    <row r="4049" spans="1:2" x14ac:dyDescent="0.25">
      <c r="A4049" s="62">
        <v>30191603</v>
      </c>
      <c r="B4049" s="63" t="s">
        <v>4730</v>
      </c>
    </row>
    <row r="4050" spans="1:2" x14ac:dyDescent="0.25">
      <c r="A4050" s="62">
        <v>30201501</v>
      </c>
      <c r="B4050" s="63" t="s">
        <v>4731</v>
      </c>
    </row>
    <row r="4051" spans="1:2" x14ac:dyDescent="0.25">
      <c r="A4051" s="62">
        <v>30201502</v>
      </c>
      <c r="B4051" s="63" t="s">
        <v>4732</v>
      </c>
    </row>
    <row r="4052" spans="1:2" x14ac:dyDescent="0.25">
      <c r="A4052" s="62">
        <v>30201601</v>
      </c>
      <c r="B4052" s="63" t="s">
        <v>4733</v>
      </c>
    </row>
    <row r="4053" spans="1:2" x14ac:dyDescent="0.25">
      <c r="A4053" s="62">
        <v>30201602</v>
      </c>
      <c r="B4053" s="63" t="s">
        <v>4734</v>
      </c>
    </row>
    <row r="4054" spans="1:2" x14ac:dyDescent="0.25">
      <c r="A4054" s="62">
        <v>30201603</v>
      </c>
      <c r="B4054" s="63" t="s">
        <v>4735</v>
      </c>
    </row>
    <row r="4055" spans="1:2" x14ac:dyDescent="0.25">
      <c r="A4055" s="62">
        <v>30201604</v>
      </c>
      <c r="B4055" s="63" t="s">
        <v>4736</v>
      </c>
    </row>
    <row r="4056" spans="1:2" x14ac:dyDescent="0.25">
      <c r="A4056" s="62">
        <v>30201605</v>
      </c>
      <c r="B4056" s="63" t="s">
        <v>4737</v>
      </c>
    </row>
    <row r="4057" spans="1:2" x14ac:dyDescent="0.25">
      <c r="A4057" s="62">
        <v>30201606</v>
      </c>
      <c r="B4057" s="63" t="s">
        <v>4738</v>
      </c>
    </row>
    <row r="4058" spans="1:2" x14ac:dyDescent="0.25">
      <c r="A4058" s="62">
        <v>30201701</v>
      </c>
      <c r="B4058" s="63" t="s">
        <v>4739</v>
      </c>
    </row>
    <row r="4059" spans="1:2" x14ac:dyDescent="0.25">
      <c r="A4059" s="62">
        <v>30201702</v>
      </c>
      <c r="B4059" s="63" t="s">
        <v>4740</v>
      </c>
    </row>
    <row r="4060" spans="1:2" x14ac:dyDescent="0.25">
      <c r="A4060" s="62">
        <v>30201703</v>
      </c>
      <c r="B4060" s="63" t="s">
        <v>4741</v>
      </c>
    </row>
    <row r="4061" spans="1:2" x14ac:dyDescent="0.25">
      <c r="A4061" s="62">
        <v>30201704</v>
      </c>
      <c r="B4061" s="63" t="s">
        <v>4742</v>
      </c>
    </row>
    <row r="4062" spans="1:2" x14ac:dyDescent="0.25">
      <c r="A4062" s="62">
        <v>30201705</v>
      </c>
      <c r="B4062" s="63" t="s">
        <v>4743</v>
      </c>
    </row>
    <row r="4063" spans="1:2" x14ac:dyDescent="0.25">
      <c r="A4063" s="62">
        <v>30201706</v>
      </c>
      <c r="B4063" s="63" t="s">
        <v>4744</v>
      </c>
    </row>
    <row r="4064" spans="1:2" x14ac:dyDescent="0.25">
      <c r="A4064" s="62">
        <v>30201707</v>
      </c>
      <c r="B4064" s="63" t="s">
        <v>4745</v>
      </c>
    </row>
    <row r="4065" spans="1:2" x14ac:dyDescent="0.25">
      <c r="A4065" s="62">
        <v>30201708</v>
      </c>
      <c r="B4065" s="63" t="s">
        <v>4746</v>
      </c>
    </row>
    <row r="4066" spans="1:2" x14ac:dyDescent="0.25">
      <c r="A4066" s="62">
        <v>30201710</v>
      </c>
      <c r="B4066" s="63" t="s">
        <v>4747</v>
      </c>
    </row>
    <row r="4067" spans="1:2" x14ac:dyDescent="0.25">
      <c r="A4067" s="62">
        <v>30201711</v>
      </c>
      <c r="B4067" s="63" t="s">
        <v>4748</v>
      </c>
    </row>
    <row r="4068" spans="1:2" x14ac:dyDescent="0.25">
      <c r="A4068" s="62">
        <v>30201712</v>
      </c>
      <c r="B4068" s="63" t="s">
        <v>4749</v>
      </c>
    </row>
    <row r="4069" spans="1:2" x14ac:dyDescent="0.25">
      <c r="A4069" s="62">
        <v>30201801</v>
      </c>
      <c r="B4069" s="63" t="s">
        <v>4750</v>
      </c>
    </row>
    <row r="4070" spans="1:2" x14ac:dyDescent="0.25">
      <c r="A4070" s="62">
        <v>30201802</v>
      </c>
      <c r="B4070" s="63" t="s">
        <v>4751</v>
      </c>
    </row>
    <row r="4071" spans="1:2" x14ac:dyDescent="0.25">
      <c r="A4071" s="62">
        <v>30201803</v>
      </c>
      <c r="B4071" s="63" t="s">
        <v>4752</v>
      </c>
    </row>
    <row r="4072" spans="1:2" x14ac:dyDescent="0.25">
      <c r="A4072" s="62">
        <v>30201901</v>
      </c>
      <c r="B4072" s="63" t="s">
        <v>4753</v>
      </c>
    </row>
    <row r="4073" spans="1:2" x14ac:dyDescent="0.25">
      <c r="A4073" s="62">
        <v>30201902</v>
      </c>
      <c r="B4073" s="63" t="s">
        <v>4754</v>
      </c>
    </row>
    <row r="4074" spans="1:2" x14ac:dyDescent="0.25">
      <c r="A4074" s="62">
        <v>30201903</v>
      </c>
      <c r="B4074" s="63" t="s">
        <v>4755</v>
      </c>
    </row>
    <row r="4075" spans="1:2" x14ac:dyDescent="0.25">
      <c r="A4075" s="62">
        <v>30201904</v>
      </c>
      <c r="B4075" s="63" t="s">
        <v>4756</v>
      </c>
    </row>
    <row r="4076" spans="1:2" x14ac:dyDescent="0.25">
      <c r="A4076" s="62">
        <v>30221001</v>
      </c>
      <c r="B4076" s="63" t="s">
        <v>4757</v>
      </c>
    </row>
    <row r="4077" spans="1:2" x14ac:dyDescent="0.25">
      <c r="A4077" s="62">
        <v>30221002</v>
      </c>
      <c r="B4077" s="63" t="s">
        <v>4758</v>
      </c>
    </row>
    <row r="4078" spans="1:2" x14ac:dyDescent="0.25">
      <c r="A4078" s="62">
        <v>30221003</v>
      </c>
      <c r="B4078" s="63" t="s">
        <v>4759</v>
      </c>
    </row>
    <row r="4079" spans="1:2" x14ac:dyDescent="0.25">
      <c r="A4079" s="62">
        <v>30221004</v>
      </c>
      <c r="B4079" s="63" t="s">
        <v>4760</v>
      </c>
    </row>
    <row r="4080" spans="1:2" x14ac:dyDescent="0.25">
      <c r="A4080" s="62">
        <v>30221005</v>
      </c>
      <c r="B4080" s="63" t="s">
        <v>4761</v>
      </c>
    </row>
    <row r="4081" spans="1:2" x14ac:dyDescent="0.25">
      <c r="A4081" s="62">
        <v>30221006</v>
      </c>
      <c r="B4081" s="63" t="s">
        <v>4762</v>
      </c>
    </row>
    <row r="4082" spans="1:2" x14ac:dyDescent="0.25">
      <c r="A4082" s="62">
        <v>30221007</v>
      </c>
      <c r="B4082" s="63" t="s">
        <v>4763</v>
      </c>
    </row>
    <row r="4083" spans="1:2" x14ac:dyDescent="0.25">
      <c r="A4083" s="62">
        <v>30221009</v>
      </c>
      <c r="B4083" s="63" t="s">
        <v>4764</v>
      </c>
    </row>
    <row r="4084" spans="1:2" x14ac:dyDescent="0.25">
      <c r="A4084" s="62">
        <v>30221010</v>
      </c>
      <c r="B4084" s="63" t="s">
        <v>4765</v>
      </c>
    </row>
    <row r="4085" spans="1:2" x14ac:dyDescent="0.25">
      <c r="A4085" s="62">
        <v>30221011</v>
      </c>
      <c r="B4085" s="63" t="s">
        <v>4766</v>
      </c>
    </row>
    <row r="4086" spans="1:2" x14ac:dyDescent="0.25">
      <c r="A4086" s="62">
        <v>30221012</v>
      </c>
      <c r="B4086" s="63" t="s">
        <v>4767</v>
      </c>
    </row>
    <row r="4087" spans="1:2" x14ac:dyDescent="0.25">
      <c r="A4087" s="62">
        <v>30221013</v>
      </c>
      <c r="B4087" s="63" t="s">
        <v>4768</v>
      </c>
    </row>
    <row r="4088" spans="1:2" x14ac:dyDescent="0.25">
      <c r="A4088" s="62">
        <v>30221014</v>
      </c>
      <c r="B4088" s="63" t="s">
        <v>4769</v>
      </c>
    </row>
    <row r="4089" spans="1:2" x14ac:dyDescent="0.25">
      <c r="A4089" s="62">
        <v>30222001</v>
      </c>
      <c r="B4089" s="63" t="s">
        <v>4770</v>
      </c>
    </row>
    <row r="4090" spans="1:2" x14ac:dyDescent="0.25">
      <c r="A4090" s="62">
        <v>30222002</v>
      </c>
      <c r="B4090" s="63" t="s">
        <v>4771</v>
      </c>
    </row>
    <row r="4091" spans="1:2" x14ac:dyDescent="0.25">
      <c r="A4091" s="62">
        <v>30222003</v>
      </c>
      <c r="B4091" s="63" t="s">
        <v>4772</v>
      </c>
    </row>
    <row r="4092" spans="1:2" x14ac:dyDescent="0.25">
      <c r="A4092" s="62">
        <v>30222004</v>
      </c>
      <c r="B4092" s="63" t="s">
        <v>4773</v>
      </c>
    </row>
    <row r="4093" spans="1:2" x14ac:dyDescent="0.25">
      <c r="A4093" s="62">
        <v>30222005</v>
      </c>
      <c r="B4093" s="63" t="s">
        <v>4774</v>
      </c>
    </row>
    <row r="4094" spans="1:2" x14ac:dyDescent="0.25">
      <c r="A4094" s="62">
        <v>30222006</v>
      </c>
      <c r="B4094" s="63" t="s">
        <v>4775</v>
      </c>
    </row>
    <row r="4095" spans="1:2" x14ac:dyDescent="0.25">
      <c r="A4095" s="62">
        <v>30222007</v>
      </c>
      <c r="B4095" s="63" t="s">
        <v>4776</v>
      </c>
    </row>
    <row r="4096" spans="1:2" x14ac:dyDescent="0.25">
      <c r="A4096" s="62">
        <v>30222008</v>
      </c>
      <c r="B4096" s="63" t="s">
        <v>4777</v>
      </c>
    </row>
    <row r="4097" spans="1:2" x14ac:dyDescent="0.25">
      <c r="A4097" s="62">
        <v>30222009</v>
      </c>
      <c r="B4097" s="63" t="s">
        <v>4778</v>
      </c>
    </row>
    <row r="4098" spans="1:2" x14ac:dyDescent="0.25">
      <c r="A4098" s="62">
        <v>30222010</v>
      </c>
      <c r="B4098" s="63" t="s">
        <v>4779</v>
      </c>
    </row>
    <row r="4099" spans="1:2" x14ac:dyDescent="0.25">
      <c r="A4099" s="62">
        <v>30222011</v>
      </c>
      <c r="B4099" s="63" t="s">
        <v>4780</v>
      </c>
    </row>
    <row r="4100" spans="1:2" x14ac:dyDescent="0.25">
      <c r="A4100" s="62">
        <v>30222012</v>
      </c>
      <c r="B4100" s="63" t="s">
        <v>4781</v>
      </c>
    </row>
    <row r="4101" spans="1:2" x14ac:dyDescent="0.25">
      <c r="A4101" s="62">
        <v>30222013</v>
      </c>
      <c r="B4101" s="63" t="s">
        <v>4782</v>
      </c>
    </row>
    <row r="4102" spans="1:2" x14ac:dyDescent="0.25">
      <c r="A4102" s="62">
        <v>30222014</v>
      </c>
      <c r="B4102" s="63" t="s">
        <v>4783</v>
      </c>
    </row>
    <row r="4103" spans="1:2" x14ac:dyDescent="0.25">
      <c r="A4103" s="62">
        <v>30222015</v>
      </c>
      <c r="B4103" s="63" t="s">
        <v>4784</v>
      </c>
    </row>
    <row r="4104" spans="1:2" x14ac:dyDescent="0.25">
      <c r="A4104" s="62">
        <v>30222016</v>
      </c>
      <c r="B4104" s="63" t="s">
        <v>4785</v>
      </c>
    </row>
    <row r="4105" spans="1:2" x14ac:dyDescent="0.25">
      <c r="A4105" s="62">
        <v>30222017</v>
      </c>
      <c r="B4105" s="63" t="s">
        <v>4786</v>
      </c>
    </row>
    <row r="4106" spans="1:2" x14ac:dyDescent="0.25">
      <c r="A4106" s="62">
        <v>30222018</v>
      </c>
      <c r="B4106" s="63" t="s">
        <v>4787</v>
      </c>
    </row>
    <row r="4107" spans="1:2" x14ac:dyDescent="0.25">
      <c r="A4107" s="62">
        <v>30222019</v>
      </c>
      <c r="B4107" s="63" t="s">
        <v>4788</v>
      </c>
    </row>
    <row r="4108" spans="1:2" x14ac:dyDescent="0.25">
      <c r="A4108" s="62">
        <v>30222020</v>
      </c>
      <c r="B4108" s="63" t="s">
        <v>4789</v>
      </c>
    </row>
    <row r="4109" spans="1:2" x14ac:dyDescent="0.25">
      <c r="A4109" s="62">
        <v>30222021</v>
      </c>
      <c r="B4109" s="63" t="s">
        <v>4790</v>
      </c>
    </row>
    <row r="4110" spans="1:2" x14ac:dyDescent="0.25">
      <c r="A4110" s="62">
        <v>30222022</v>
      </c>
      <c r="B4110" s="63" t="s">
        <v>4791</v>
      </c>
    </row>
    <row r="4111" spans="1:2" x14ac:dyDescent="0.25">
      <c r="A4111" s="62">
        <v>30222023</v>
      </c>
      <c r="B4111" s="63" t="s">
        <v>4792</v>
      </c>
    </row>
    <row r="4112" spans="1:2" x14ac:dyDescent="0.25">
      <c r="A4112" s="62">
        <v>30222024</v>
      </c>
      <c r="B4112" s="63" t="s">
        <v>4793</v>
      </c>
    </row>
    <row r="4113" spans="1:2" x14ac:dyDescent="0.25">
      <c r="A4113" s="62">
        <v>30222025</v>
      </c>
      <c r="B4113" s="63" t="s">
        <v>4794</v>
      </c>
    </row>
    <row r="4114" spans="1:2" x14ac:dyDescent="0.25">
      <c r="A4114" s="62">
        <v>30222026</v>
      </c>
      <c r="B4114" s="63" t="s">
        <v>4795</v>
      </c>
    </row>
    <row r="4115" spans="1:2" x14ac:dyDescent="0.25">
      <c r="A4115" s="62">
        <v>30222027</v>
      </c>
      <c r="B4115" s="63" t="s">
        <v>4796</v>
      </c>
    </row>
    <row r="4116" spans="1:2" x14ac:dyDescent="0.25">
      <c r="A4116" s="62">
        <v>30222028</v>
      </c>
      <c r="B4116" s="63" t="s">
        <v>4797</v>
      </c>
    </row>
    <row r="4117" spans="1:2" x14ac:dyDescent="0.25">
      <c r="A4117" s="62">
        <v>30222029</v>
      </c>
      <c r="B4117" s="63" t="s">
        <v>4798</v>
      </c>
    </row>
    <row r="4118" spans="1:2" x14ac:dyDescent="0.25">
      <c r="A4118" s="62">
        <v>30222030</v>
      </c>
      <c r="B4118" s="63" t="s">
        <v>4799</v>
      </c>
    </row>
    <row r="4119" spans="1:2" x14ac:dyDescent="0.25">
      <c r="A4119" s="62">
        <v>30222031</v>
      </c>
      <c r="B4119" s="63" t="s">
        <v>4800</v>
      </c>
    </row>
    <row r="4120" spans="1:2" x14ac:dyDescent="0.25">
      <c r="A4120" s="62">
        <v>30222032</v>
      </c>
      <c r="B4120" s="63" t="s">
        <v>4801</v>
      </c>
    </row>
    <row r="4121" spans="1:2" x14ac:dyDescent="0.25">
      <c r="A4121" s="62">
        <v>30222033</v>
      </c>
      <c r="B4121" s="63" t="s">
        <v>4802</v>
      </c>
    </row>
    <row r="4122" spans="1:2" x14ac:dyDescent="0.25">
      <c r="A4122" s="62">
        <v>30222034</v>
      </c>
      <c r="B4122" s="63" t="s">
        <v>4803</v>
      </c>
    </row>
    <row r="4123" spans="1:2" x14ac:dyDescent="0.25">
      <c r="A4123" s="62">
        <v>30222035</v>
      </c>
      <c r="B4123" s="63" t="s">
        <v>4804</v>
      </c>
    </row>
    <row r="4124" spans="1:2" x14ac:dyDescent="0.25">
      <c r="A4124" s="62">
        <v>30222036</v>
      </c>
      <c r="B4124" s="63" t="s">
        <v>4805</v>
      </c>
    </row>
    <row r="4125" spans="1:2" x14ac:dyDescent="0.25">
      <c r="A4125" s="62">
        <v>30222037</v>
      </c>
      <c r="B4125" s="63" t="s">
        <v>4806</v>
      </c>
    </row>
    <row r="4126" spans="1:2" x14ac:dyDescent="0.25">
      <c r="A4126" s="62">
        <v>30222038</v>
      </c>
      <c r="B4126" s="63" t="s">
        <v>4807</v>
      </c>
    </row>
    <row r="4127" spans="1:2" x14ac:dyDescent="0.25">
      <c r="A4127" s="62">
        <v>30222039</v>
      </c>
      <c r="B4127" s="63" t="s">
        <v>4808</v>
      </c>
    </row>
    <row r="4128" spans="1:2" x14ac:dyDescent="0.25">
      <c r="A4128" s="62">
        <v>30222040</v>
      </c>
      <c r="B4128" s="63" t="s">
        <v>4809</v>
      </c>
    </row>
    <row r="4129" spans="1:2" x14ac:dyDescent="0.25">
      <c r="A4129" s="62">
        <v>30222041</v>
      </c>
      <c r="B4129" s="63" t="s">
        <v>4810</v>
      </c>
    </row>
    <row r="4130" spans="1:2" x14ac:dyDescent="0.25">
      <c r="A4130" s="62">
        <v>30222042</v>
      </c>
      <c r="B4130" s="63" t="s">
        <v>4811</v>
      </c>
    </row>
    <row r="4131" spans="1:2" x14ac:dyDescent="0.25">
      <c r="A4131" s="62">
        <v>30222043</v>
      </c>
      <c r="B4131" s="63" t="s">
        <v>4812</v>
      </c>
    </row>
    <row r="4132" spans="1:2" x14ac:dyDescent="0.25">
      <c r="A4132" s="62">
        <v>30222044</v>
      </c>
      <c r="B4132" s="63" t="s">
        <v>4813</v>
      </c>
    </row>
    <row r="4133" spans="1:2" x14ac:dyDescent="0.25">
      <c r="A4133" s="62">
        <v>30222045</v>
      </c>
      <c r="B4133" s="63" t="s">
        <v>4814</v>
      </c>
    </row>
    <row r="4134" spans="1:2" x14ac:dyDescent="0.25">
      <c r="A4134" s="62">
        <v>30222046</v>
      </c>
      <c r="B4134" s="63" t="s">
        <v>4815</v>
      </c>
    </row>
    <row r="4135" spans="1:2" x14ac:dyDescent="0.25">
      <c r="A4135" s="62">
        <v>30222047</v>
      </c>
      <c r="B4135" s="63" t="s">
        <v>4816</v>
      </c>
    </row>
    <row r="4136" spans="1:2" x14ac:dyDescent="0.25">
      <c r="A4136" s="62">
        <v>30222048</v>
      </c>
      <c r="B4136" s="63" t="s">
        <v>4817</v>
      </c>
    </row>
    <row r="4137" spans="1:2" x14ac:dyDescent="0.25">
      <c r="A4137" s="62">
        <v>30222049</v>
      </c>
      <c r="B4137" s="63" t="s">
        <v>4818</v>
      </c>
    </row>
    <row r="4138" spans="1:2" x14ac:dyDescent="0.25">
      <c r="A4138" s="62">
        <v>30222050</v>
      </c>
      <c r="B4138" s="63" t="s">
        <v>4819</v>
      </c>
    </row>
    <row r="4139" spans="1:2" x14ac:dyDescent="0.25">
      <c r="A4139" s="62">
        <v>30222051</v>
      </c>
      <c r="B4139" s="63" t="s">
        <v>4820</v>
      </c>
    </row>
    <row r="4140" spans="1:2" x14ac:dyDescent="0.25">
      <c r="A4140" s="62">
        <v>30222052</v>
      </c>
      <c r="B4140" s="63" t="s">
        <v>4821</v>
      </c>
    </row>
    <row r="4141" spans="1:2" x14ac:dyDescent="0.25">
      <c r="A4141" s="62">
        <v>30222053</v>
      </c>
      <c r="B4141" s="63" t="s">
        <v>4822</v>
      </c>
    </row>
    <row r="4142" spans="1:2" x14ac:dyDescent="0.25">
      <c r="A4142" s="62">
        <v>30222054</v>
      </c>
      <c r="B4142" s="63" t="s">
        <v>4823</v>
      </c>
    </row>
    <row r="4143" spans="1:2" x14ac:dyDescent="0.25">
      <c r="A4143" s="62">
        <v>30222055</v>
      </c>
      <c r="B4143" s="63" t="s">
        <v>4824</v>
      </c>
    </row>
    <row r="4144" spans="1:2" x14ac:dyDescent="0.25">
      <c r="A4144" s="62">
        <v>30222056</v>
      </c>
      <c r="B4144" s="63" t="s">
        <v>4825</v>
      </c>
    </row>
    <row r="4145" spans="1:2" x14ac:dyDescent="0.25">
      <c r="A4145" s="62">
        <v>30222057</v>
      </c>
      <c r="B4145" s="63" t="s">
        <v>4826</v>
      </c>
    </row>
    <row r="4146" spans="1:2" x14ac:dyDescent="0.25">
      <c r="A4146" s="62">
        <v>30222058</v>
      </c>
      <c r="B4146" s="63" t="s">
        <v>4827</v>
      </c>
    </row>
    <row r="4147" spans="1:2" x14ac:dyDescent="0.25">
      <c r="A4147" s="62">
        <v>30222059</v>
      </c>
      <c r="B4147" s="63" t="s">
        <v>4828</v>
      </c>
    </row>
    <row r="4148" spans="1:2" x14ac:dyDescent="0.25">
      <c r="A4148" s="62">
        <v>30222060</v>
      </c>
      <c r="B4148" s="63" t="s">
        <v>4829</v>
      </c>
    </row>
    <row r="4149" spans="1:2" x14ac:dyDescent="0.25">
      <c r="A4149" s="62">
        <v>30222061</v>
      </c>
      <c r="B4149" s="63" t="s">
        <v>4830</v>
      </c>
    </row>
    <row r="4150" spans="1:2" x14ac:dyDescent="0.25">
      <c r="A4150" s="62">
        <v>30222063</v>
      </c>
      <c r="B4150" s="63" t="s">
        <v>4831</v>
      </c>
    </row>
    <row r="4151" spans="1:2" x14ac:dyDescent="0.25">
      <c r="A4151" s="62">
        <v>30222101</v>
      </c>
      <c r="B4151" s="63" t="s">
        <v>4832</v>
      </c>
    </row>
    <row r="4152" spans="1:2" x14ac:dyDescent="0.25">
      <c r="A4152" s="62">
        <v>30222102</v>
      </c>
      <c r="B4152" s="63" t="s">
        <v>4833</v>
      </c>
    </row>
    <row r="4153" spans="1:2" x14ac:dyDescent="0.25">
      <c r="A4153" s="62">
        <v>30222103</v>
      </c>
      <c r="B4153" s="63" t="s">
        <v>4834</v>
      </c>
    </row>
    <row r="4154" spans="1:2" x14ac:dyDescent="0.25">
      <c r="A4154" s="62">
        <v>30222104</v>
      </c>
      <c r="B4154" s="63" t="s">
        <v>4835</v>
      </c>
    </row>
    <row r="4155" spans="1:2" x14ac:dyDescent="0.25">
      <c r="A4155" s="62">
        <v>30222105</v>
      </c>
      <c r="B4155" s="63" t="s">
        <v>4836</v>
      </c>
    </row>
    <row r="4156" spans="1:2" x14ac:dyDescent="0.25">
      <c r="A4156" s="62">
        <v>30222106</v>
      </c>
      <c r="B4156" s="63" t="s">
        <v>4837</v>
      </c>
    </row>
    <row r="4157" spans="1:2" x14ac:dyDescent="0.25">
      <c r="A4157" s="62">
        <v>30222107</v>
      </c>
      <c r="B4157" s="63" t="s">
        <v>4838</v>
      </c>
    </row>
    <row r="4158" spans="1:2" x14ac:dyDescent="0.25">
      <c r="A4158" s="62">
        <v>30222108</v>
      </c>
      <c r="B4158" s="63" t="s">
        <v>4839</v>
      </c>
    </row>
    <row r="4159" spans="1:2" x14ac:dyDescent="0.25">
      <c r="A4159" s="62">
        <v>30222109</v>
      </c>
      <c r="B4159" s="63" t="s">
        <v>4840</v>
      </c>
    </row>
    <row r="4160" spans="1:2" x14ac:dyDescent="0.25">
      <c r="A4160" s="62">
        <v>30222110</v>
      </c>
      <c r="B4160" s="63" t="s">
        <v>4841</v>
      </c>
    </row>
    <row r="4161" spans="1:2" x14ac:dyDescent="0.25">
      <c r="A4161" s="62">
        <v>30222111</v>
      </c>
      <c r="B4161" s="63" t="s">
        <v>4842</v>
      </c>
    </row>
    <row r="4162" spans="1:2" x14ac:dyDescent="0.25">
      <c r="A4162" s="62">
        <v>30222112</v>
      </c>
      <c r="B4162" s="63" t="s">
        <v>4843</v>
      </c>
    </row>
    <row r="4163" spans="1:2" x14ac:dyDescent="0.25">
      <c r="A4163" s="62">
        <v>30222113</v>
      </c>
      <c r="B4163" s="63" t="s">
        <v>4844</v>
      </c>
    </row>
    <row r="4164" spans="1:2" x14ac:dyDescent="0.25">
      <c r="A4164" s="62">
        <v>30222114</v>
      </c>
      <c r="B4164" s="63" t="s">
        <v>4845</v>
      </c>
    </row>
    <row r="4165" spans="1:2" x14ac:dyDescent="0.25">
      <c r="A4165" s="62">
        <v>30222115</v>
      </c>
      <c r="B4165" s="63" t="s">
        <v>4846</v>
      </c>
    </row>
    <row r="4166" spans="1:2" x14ac:dyDescent="0.25">
      <c r="A4166" s="62">
        <v>30222116</v>
      </c>
      <c r="B4166" s="63" t="s">
        <v>4847</v>
      </c>
    </row>
    <row r="4167" spans="1:2" x14ac:dyDescent="0.25">
      <c r="A4167" s="62">
        <v>30222201</v>
      </c>
      <c r="B4167" s="63" t="s">
        <v>4848</v>
      </c>
    </row>
    <row r="4168" spans="1:2" x14ac:dyDescent="0.25">
      <c r="A4168" s="62">
        <v>30222202</v>
      </c>
      <c r="B4168" s="63" t="s">
        <v>4849</v>
      </c>
    </row>
    <row r="4169" spans="1:2" x14ac:dyDescent="0.25">
      <c r="A4169" s="62">
        <v>30222203</v>
      </c>
      <c r="B4169" s="63" t="s">
        <v>4850</v>
      </c>
    </row>
    <row r="4170" spans="1:2" x14ac:dyDescent="0.25">
      <c r="A4170" s="62">
        <v>30222204</v>
      </c>
      <c r="B4170" s="63" t="s">
        <v>4851</v>
      </c>
    </row>
    <row r="4171" spans="1:2" x14ac:dyDescent="0.25">
      <c r="A4171" s="62">
        <v>30222205</v>
      </c>
      <c r="B4171" s="63" t="s">
        <v>4852</v>
      </c>
    </row>
    <row r="4172" spans="1:2" x14ac:dyDescent="0.25">
      <c r="A4172" s="62">
        <v>30222206</v>
      </c>
      <c r="B4172" s="63" t="s">
        <v>4853</v>
      </c>
    </row>
    <row r="4173" spans="1:2" x14ac:dyDescent="0.25">
      <c r="A4173" s="62">
        <v>30222207</v>
      </c>
      <c r="B4173" s="63" t="s">
        <v>4854</v>
      </c>
    </row>
    <row r="4174" spans="1:2" x14ac:dyDescent="0.25">
      <c r="A4174" s="62">
        <v>30222208</v>
      </c>
      <c r="B4174" s="63" t="s">
        <v>4855</v>
      </c>
    </row>
    <row r="4175" spans="1:2" x14ac:dyDescent="0.25">
      <c r="A4175" s="62">
        <v>30222301</v>
      </c>
      <c r="B4175" s="63" t="s">
        <v>4856</v>
      </c>
    </row>
    <row r="4176" spans="1:2" x14ac:dyDescent="0.25">
      <c r="A4176" s="62">
        <v>30222302</v>
      </c>
      <c r="B4176" s="63" t="s">
        <v>4857</v>
      </c>
    </row>
    <row r="4177" spans="1:2" x14ac:dyDescent="0.25">
      <c r="A4177" s="62">
        <v>30222303</v>
      </c>
      <c r="B4177" s="63" t="s">
        <v>4858</v>
      </c>
    </row>
    <row r="4178" spans="1:2" x14ac:dyDescent="0.25">
      <c r="A4178" s="62">
        <v>30222304</v>
      </c>
      <c r="B4178" s="63" t="s">
        <v>4859</v>
      </c>
    </row>
    <row r="4179" spans="1:2" x14ac:dyDescent="0.25">
      <c r="A4179" s="62">
        <v>30222305</v>
      </c>
      <c r="B4179" s="63" t="s">
        <v>4860</v>
      </c>
    </row>
    <row r="4180" spans="1:2" x14ac:dyDescent="0.25">
      <c r="A4180" s="62">
        <v>30222306</v>
      </c>
      <c r="B4180" s="63" t="s">
        <v>4861</v>
      </c>
    </row>
    <row r="4181" spans="1:2" x14ac:dyDescent="0.25">
      <c r="A4181" s="62">
        <v>30222307</v>
      </c>
      <c r="B4181" s="63" t="s">
        <v>4862</v>
      </c>
    </row>
    <row r="4182" spans="1:2" x14ac:dyDescent="0.25">
      <c r="A4182" s="62">
        <v>30222308</v>
      </c>
      <c r="B4182" s="63" t="s">
        <v>4863</v>
      </c>
    </row>
    <row r="4183" spans="1:2" x14ac:dyDescent="0.25">
      <c r="A4183" s="62">
        <v>30222309</v>
      </c>
      <c r="B4183" s="63" t="s">
        <v>4864</v>
      </c>
    </row>
    <row r="4184" spans="1:2" x14ac:dyDescent="0.25">
      <c r="A4184" s="62">
        <v>30222401</v>
      </c>
      <c r="B4184" s="63" t="s">
        <v>4865</v>
      </c>
    </row>
    <row r="4185" spans="1:2" x14ac:dyDescent="0.25">
      <c r="A4185" s="62">
        <v>30222402</v>
      </c>
      <c r="B4185" s="63" t="s">
        <v>4866</v>
      </c>
    </row>
    <row r="4186" spans="1:2" x14ac:dyDescent="0.25">
      <c r="A4186" s="62">
        <v>30222403</v>
      </c>
      <c r="B4186" s="63" t="s">
        <v>4867</v>
      </c>
    </row>
    <row r="4187" spans="1:2" x14ac:dyDescent="0.25">
      <c r="A4187" s="62">
        <v>30222404</v>
      </c>
      <c r="B4187" s="63" t="s">
        <v>4868</v>
      </c>
    </row>
    <row r="4188" spans="1:2" x14ac:dyDescent="0.25">
      <c r="A4188" s="62">
        <v>30222405</v>
      </c>
      <c r="B4188" s="63" t="s">
        <v>4869</v>
      </c>
    </row>
    <row r="4189" spans="1:2" x14ac:dyDescent="0.25">
      <c r="A4189" s="62">
        <v>30222406</v>
      </c>
      <c r="B4189" s="63" t="s">
        <v>4870</v>
      </c>
    </row>
    <row r="4190" spans="1:2" x14ac:dyDescent="0.25">
      <c r="A4190" s="62">
        <v>30222407</v>
      </c>
      <c r="B4190" s="63" t="s">
        <v>4871</v>
      </c>
    </row>
    <row r="4191" spans="1:2" x14ac:dyDescent="0.25">
      <c r="A4191" s="62">
        <v>30222408</v>
      </c>
      <c r="B4191" s="63" t="s">
        <v>4872</v>
      </c>
    </row>
    <row r="4192" spans="1:2" x14ac:dyDescent="0.25">
      <c r="A4192" s="62">
        <v>30222409</v>
      </c>
      <c r="B4192" s="63" t="s">
        <v>4873</v>
      </c>
    </row>
    <row r="4193" spans="1:2" x14ac:dyDescent="0.25">
      <c r="A4193" s="62">
        <v>30222501</v>
      </c>
      <c r="B4193" s="63" t="s">
        <v>4874</v>
      </c>
    </row>
    <row r="4194" spans="1:2" x14ac:dyDescent="0.25">
      <c r="A4194" s="62">
        <v>30222502</v>
      </c>
      <c r="B4194" s="63" t="s">
        <v>4875</v>
      </c>
    </row>
    <row r="4195" spans="1:2" x14ac:dyDescent="0.25">
      <c r="A4195" s="62">
        <v>30222503</v>
      </c>
      <c r="B4195" s="63" t="s">
        <v>4876</v>
      </c>
    </row>
    <row r="4196" spans="1:2" x14ac:dyDescent="0.25">
      <c r="A4196" s="62">
        <v>30222504</v>
      </c>
      <c r="B4196" s="63" t="s">
        <v>4877</v>
      </c>
    </row>
    <row r="4197" spans="1:2" x14ac:dyDescent="0.25">
      <c r="A4197" s="62">
        <v>30222505</v>
      </c>
      <c r="B4197" s="63" t="s">
        <v>4878</v>
      </c>
    </row>
    <row r="4198" spans="1:2" x14ac:dyDescent="0.25">
      <c r="A4198" s="62">
        <v>30222506</v>
      </c>
      <c r="B4198" s="63" t="s">
        <v>4879</v>
      </c>
    </row>
    <row r="4199" spans="1:2" x14ac:dyDescent="0.25">
      <c r="A4199" s="62">
        <v>30222507</v>
      </c>
      <c r="B4199" s="63" t="s">
        <v>4880</v>
      </c>
    </row>
    <row r="4200" spans="1:2" x14ac:dyDescent="0.25">
      <c r="A4200" s="62">
        <v>30222601</v>
      </c>
      <c r="B4200" s="63" t="s">
        <v>4881</v>
      </c>
    </row>
    <row r="4201" spans="1:2" x14ac:dyDescent="0.25">
      <c r="A4201" s="62">
        <v>30222602</v>
      </c>
      <c r="B4201" s="63" t="s">
        <v>4882</v>
      </c>
    </row>
    <row r="4202" spans="1:2" x14ac:dyDescent="0.25">
      <c r="A4202" s="62">
        <v>30222603</v>
      </c>
      <c r="B4202" s="63" t="s">
        <v>4883</v>
      </c>
    </row>
    <row r="4203" spans="1:2" x14ac:dyDescent="0.25">
      <c r="A4203" s="62">
        <v>30222604</v>
      </c>
      <c r="B4203" s="63" t="s">
        <v>4884</v>
      </c>
    </row>
    <row r="4204" spans="1:2" x14ac:dyDescent="0.25">
      <c r="A4204" s="62">
        <v>30222605</v>
      </c>
      <c r="B4204" s="63" t="s">
        <v>4885</v>
      </c>
    </row>
    <row r="4205" spans="1:2" x14ac:dyDescent="0.25">
      <c r="A4205" s="62">
        <v>30222606</v>
      </c>
      <c r="B4205" s="63" t="s">
        <v>4886</v>
      </c>
    </row>
    <row r="4206" spans="1:2" x14ac:dyDescent="0.25">
      <c r="A4206" s="62">
        <v>30222607</v>
      </c>
      <c r="B4206" s="63" t="s">
        <v>4887</v>
      </c>
    </row>
    <row r="4207" spans="1:2" x14ac:dyDescent="0.25">
      <c r="A4207" s="62">
        <v>30222608</v>
      </c>
      <c r="B4207" s="63" t="s">
        <v>4888</v>
      </c>
    </row>
    <row r="4208" spans="1:2" x14ac:dyDescent="0.25">
      <c r="A4208" s="62">
        <v>30222701</v>
      </c>
      <c r="B4208" s="63" t="s">
        <v>4889</v>
      </c>
    </row>
    <row r="4209" spans="1:2" x14ac:dyDescent="0.25">
      <c r="A4209" s="62">
        <v>30222702</v>
      </c>
      <c r="B4209" s="63" t="s">
        <v>4890</v>
      </c>
    </row>
    <row r="4210" spans="1:2" x14ac:dyDescent="0.25">
      <c r="A4210" s="62">
        <v>30222703</v>
      </c>
      <c r="B4210" s="63" t="s">
        <v>4891</v>
      </c>
    </row>
    <row r="4211" spans="1:2" x14ac:dyDescent="0.25">
      <c r="A4211" s="62">
        <v>30222801</v>
      </c>
      <c r="B4211" s="63" t="s">
        <v>4892</v>
      </c>
    </row>
    <row r="4212" spans="1:2" x14ac:dyDescent="0.25">
      <c r="A4212" s="62">
        <v>30222802</v>
      </c>
      <c r="B4212" s="63" t="s">
        <v>4893</v>
      </c>
    </row>
    <row r="4213" spans="1:2" x14ac:dyDescent="0.25">
      <c r="A4213" s="62">
        <v>30222803</v>
      </c>
      <c r="B4213" s="63" t="s">
        <v>4894</v>
      </c>
    </row>
    <row r="4214" spans="1:2" x14ac:dyDescent="0.25">
      <c r="A4214" s="62">
        <v>30222901</v>
      </c>
      <c r="B4214" s="63" t="s">
        <v>4895</v>
      </c>
    </row>
    <row r="4215" spans="1:2" x14ac:dyDescent="0.25">
      <c r="A4215" s="62">
        <v>30222902</v>
      </c>
      <c r="B4215" s="63" t="s">
        <v>4896</v>
      </c>
    </row>
    <row r="4216" spans="1:2" x14ac:dyDescent="0.25">
      <c r="A4216" s="62">
        <v>30222903</v>
      </c>
      <c r="B4216" s="63" t="s">
        <v>4897</v>
      </c>
    </row>
    <row r="4217" spans="1:2" x14ac:dyDescent="0.25">
      <c r="A4217" s="62">
        <v>30222904</v>
      </c>
      <c r="B4217" s="63" t="s">
        <v>4898</v>
      </c>
    </row>
    <row r="4218" spans="1:2" x14ac:dyDescent="0.25">
      <c r="A4218" s="62">
        <v>30223001</v>
      </c>
      <c r="B4218" s="63" t="s">
        <v>4899</v>
      </c>
    </row>
    <row r="4219" spans="1:2" x14ac:dyDescent="0.25">
      <c r="A4219" s="62">
        <v>30223002</v>
      </c>
      <c r="B4219" s="63" t="s">
        <v>4900</v>
      </c>
    </row>
    <row r="4220" spans="1:2" x14ac:dyDescent="0.25">
      <c r="A4220" s="62">
        <v>30223003</v>
      </c>
      <c r="B4220" s="63" t="s">
        <v>4901</v>
      </c>
    </row>
    <row r="4221" spans="1:2" x14ac:dyDescent="0.25">
      <c r="A4221" s="62">
        <v>31101501</v>
      </c>
      <c r="B4221" s="63" t="s">
        <v>4902</v>
      </c>
    </row>
    <row r="4222" spans="1:2" x14ac:dyDescent="0.25">
      <c r="A4222" s="62">
        <v>31101502</v>
      </c>
      <c r="B4222" s="63" t="s">
        <v>4903</v>
      </c>
    </row>
    <row r="4223" spans="1:2" x14ac:dyDescent="0.25">
      <c r="A4223" s="62">
        <v>31101503</v>
      </c>
      <c r="B4223" s="63" t="s">
        <v>4904</v>
      </c>
    </row>
    <row r="4224" spans="1:2" x14ac:dyDescent="0.25">
      <c r="A4224" s="62">
        <v>31101504</v>
      </c>
      <c r="B4224" s="63" t="s">
        <v>4905</v>
      </c>
    </row>
    <row r="4225" spans="1:2" x14ac:dyDescent="0.25">
      <c r="A4225" s="62">
        <v>31101505</v>
      </c>
      <c r="B4225" s="63" t="s">
        <v>4906</v>
      </c>
    </row>
    <row r="4226" spans="1:2" x14ac:dyDescent="0.25">
      <c r="A4226" s="62">
        <v>31101506</v>
      </c>
      <c r="B4226" s="63" t="s">
        <v>4907</v>
      </c>
    </row>
    <row r="4227" spans="1:2" x14ac:dyDescent="0.25">
      <c r="A4227" s="62">
        <v>31101507</v>
      </c>
      <c r="B4227" s="63" t="s">
        <v>4908</v>
      </c>
    </row>
    <row r="4228" spans="1:2" x14ac:dyDescent="0.25">
      <c r="A4228" s="62">
        <v>31101508</v>
      </c>
      <c r="B4228" s="63" t="s">
        <v>4909</v>
      </c>
    </row>
    <row r="4229" spans="1:2" x14ac:dyDescent="0.25">
      <c r="A4229" s="62">
        <v>31101509</v>
      </c>
      <c r="B4229" s="63" t="s">
        <v>4910</v>
      </c>
    </row>
    <row r="4230" spans="1:2" x14ac:dyDescent="0.25">
      <c r="A4230" s="62">
        <v>31101510</v>
      </c>
      <c r="B4230" s="63" t="s">
        <v>4911</v>
      </c>
    </row>
    <row r="4231" spans="1:2" x14ac:dyDescent="0.25">
      <c r="A4231" s="62">
        <v>31101511</v>
      </c>
      <c r="B4231" s="63" t="s">
        <v>4912</v>
      </c>
    </row>
    <row r="4232" spans="1:2" x14ac:dyDescent="0.25">
      <c r="A4232" s="62">
        <v>31101512</v>
      </c>
      <c r="B4232" s="63" t="s">
        <v>4913</v>
      </c>
    </row>
    <row r="4233" spans="1:2" x14ac:dyDescent="0.25">
      <c r="A4233" s="62">
        <v>31101513</v>
      </c>
      <c r="B4233" s="63" t="s">
        <v>4914</v>
      </c>
    </row>
    <row r="4234" spans="1:2" x14ac:dyDescent="0.25">
      <c r="A4234" s="62">
        <v>31101514</v>
      </c>
      <c r="B4234" s="63" t="s">
        <v>4915</v>
      </c>
    </row>
    <row r="4235" spans="1:2" x14ac:dyDescent="0.25">
      <c r="A4235" s="62">
        <v>31101515</v>
      </c>
      <c r="B4235" s="63" t="s">
        <v>4916</v>
      </c>
    </row>
    <row r="4236" spans="1:2" x14ac:dyDescent="0.25">
      <c r="A4236" s="62">
        <v>31101516</v>
      </c>
      <c r="B4236" s="63" t="s">
        <v>4917</v>
      </c>
    </row>
    <row r="4237" spans="1:2" x14ac:dyDescent="0.25">
      <c r="A4237" s="62">
        <v>31101601</v>
      </c>
      <c r="B4237" s="63" t="s">
        <v>4918</v>
      </c>
    </row>
    <row r="4238" spans="1:2" x14ac:dyDescent="0.25">
      <c r="A4238" s="62">
        <v>31101602</v>
      </c>
      <c r="B4238" s="63" t="s">
        <v>4919</v>
      </c>
    </row>
    <row r="4239" spans="1:2" x14ac:dyDescent="0.25">
      <c r="A4239" s="62">
        <v>31101603</v>
      </c>
      <c r="B4239" s="63" t="s">
        <v>4920</v>
      </c>
    </row>
    <row r="4240" spans="1:2" x14ac:dyDescent="0.25">
      <c r="A4240" s="62">
        <v>31101604</v>
      </c>
      <c r="B4240" s="63" t="s">
        <v>4921</v>
      </c>
    </row>
    <row r="4241" spans="1:2" x14ac:dyDescent="0.25">
      <c r="A4241" s="62">
        <v>31101605</v>
      </c>
      <c r="B4241" s="63" t="s">
        <v>4922</v>
      </c>
    </row>
    <row r="4242" spans="1:2" x14ac:dyDescent="0.25">
      <c r="A4242" s="62">
        <v>31101606</v>
      </c>
      <c r="B4242" s="63" t="s">
        <v>4923</v>
      </c>
    </row>
    <row r="4243" spans="1:2" x14ac:dyDescent="0.25">
      <c r="A4243" s="62">
        <v>31101607</v>
      </c>
      <c r="B4243" s="63" t="s">
        <v>4924</v>
      </c>
    </row>
    <row r="4244" spans="1:2" x14ac:dyDescent="0.25">
      <c r="A4244" s="62">
        <v>31101608</v>
      </c>
      <c r="B4244" s="63" t="s">
        <v>4925</v>
      </c>
    </row>
    <row r="4245" spans="1:2" x14ac:dyDescent="0.25">
      <c r="A4245" s="62">
        <v>31101609</v>
      </c>
      <c r="B4245" s="63" t="s">
        <v>4926</v>
      </c>
    </row>
    <row r="4246" spans="1:2" x14ac:dyDescent="0.25">
      <c r="A4246" s="62">
        <v>31101610</v>
      </c>
      <c r="B4246" s="63" t="s">
        <v>4927</v>
      </c>
    </row>
    <row r="4247" spans="1:2" x14ac:dyDescent="0.25">
      <c r="A4247" s="62">
        <v>31101611</v>
      </c>
      <c r="B4247" s="63" t="s">
        <v>4928</v>
      </c>
    </row>
    <row r="4248" spans="1:2" x14ac:dyDescent="0.25">
      <c r="A4248" s="62">
        <v>31101612</v>
      </c>
      <c r="B4248" s="63" t="s">
        <v>4929</v>
      </c>
    </row>
    <row r="4249" spans="1:2" x14ac:dyDescent="0.25">
      <c r="A4249" s="62">
        <v>31101613</v>
      </c>
      <c r="B4249" s="63" t="s">
        <v>4930</v>
      </c>
    </row>
    <row r="4250" spans="1:2" x14ac:dyDescent="0.25">
      <c r="A4250" s="62">
        <v>31101614</v>
      </c>
      <c r="B4250" s="63" t="s">
        <v>4931</v>
      </c>
    </row>
    <row r="4251" spans="1:2" x14ac:dyDescent="0.25">
      <c r="A4251" s="62">
        <v>31101615</v>
      </c>
      <c r="B4251" s="63" t="s">
        <v>4932</v>
      </c>
    </row>
    <row r="4252" spans="1:2" x14ac:dyDescent="0.25">
      <c r="A4252" s="62">
        <v>31101616</v>
      </c>
      <c r="B4252" s="63" t="s">
        <v>4933</v>
      </c>
    </row>
    <row r="4253" spans="1:2" x14ac:dyDescent="0.25">
      <c r="A4253" s="62">
        <v>31101701</v>
      </c>
      <c r="B4253" s="63" t="s">
        <v>4934</v>
      </c>
    </row>
    <row r="4254" spans="1:2" x14ac:dyDescent="0.25">
      <c r="A4254" s="62">
        <v>31101702</v>
      </c>
      <c r="B4254" s="63" t="s">
        <v>4935</v>
      </c>
    </row>
    <row r="4255" spans="1:2" x14ac:dyDescent="0.25">
      <c r="A4255" s="62">
        <v>31101703</v>
      </c>
      <c r="B4255" s="63" t="s">
        <v>4936</v>
      </c>
    </row>
    <row r="4256" spans="1:2" x14ac:dyDescent="0.25">
      <c r="A4256" s="62">
        <v>31101704</v>
      </c>
      <c r="B4256" s="63" t="s">
        <v>4937</v>
      </c>
    </row>
    <row r="4257" spans="1:2" x14ac:dyDescent="0.25">
      <c r="A4257" s="62">
        <v>31101705</v>
      </c>
      <c r="B4257" s="63" t="s">
        <v>4938</v>
      </c>
    </row>
    <row r="4258" spans="1:2" x14ac:dyDescent="0.25">
      <c r="A4258" s="62">
        <v>31101706</v>
      </c>
      <c r="B4258" s="63" t="s">
        <v>4939</v>
      </c>
    </row>
    <row r="4259" spans="1:2" x14ac:dyDescent="0.25">
      <c r="A4259" s="62">
        <v>31101707</v>
      </c>
      <c r="B4259" s="63" t="s">
        <v>4940</v>
      </c>
    </row>
    <row r="4260" spans="1:2" x14ac:dyDescent="0.25">
      <c r="A4260" s="62">
        <v>31101708</v>
      </c>
      <c r="B4260" s="63" t="s">
        <v>4941</v>
      </c>
    </row>
    <row r="4261" spans="1:2" x14ac:dyDescent="0.25">
      <c r="A4261" s="62">
        <v>31101709</v>
      </c>
      <c r="B4261" s="63" t="s">
        <v>4942</v>
      </c>
    </row>
    <row r="4262" spans="1:2" x14ac:dyDescent="0.25">
      <c r="A4262" s="62">
        <v>31101710</v>
      </c>
      <c r="B4262" s="63" t="s">
        <v>4943</v>
      </c>
    </row>
    <row r="4263" spans="1:2" x14ac:dyDescent="0.25">
      <c r="A4263" s="62">
        <v>31101711</v>
      </c>
      <c r="B4263" s="63" t="s">
        <v>4944</v>
      </c>
    </row>
    <row r="4264" spans="1:2" x14ac:dyDescent="0.25">
      <c r="A4264" s="62">
        <v>31101712</v>
      </c>
      <c r="B4264" s="63" t="s">
        <v>4945</v>
      </c>
    </row>
    <row r="4265" spans="1:2" x14ac:dyDescent="0.25">
      <c r="A4265" s="62">
        <v>31101713</v>
      </c>
      <c r="B4265" s="63" t="s">
        <v>4946</v>
      </c>
    </row>
    <row r="4266" spans="1:2" x14ac:dyDescent="0.25">
      <c r="A4266" s="62">
        <v>31101714</v>
      </c>
      <c r="B4266" s="63" t="s">
        <v>4947</v>
      </c>
    </row>
    <row r="4267" spans="1:2" x14ac:dyDescent="0.25">
      <c r="A4267" s="62">
        <v>31101715</v>
      </c>
      <c r="B4267" s="63" t="s">
        <v>4948</v>
      </c>
    </row>
    <row r="4268" spans="1:2" x14ac:dyDescent="0.25">
      <c r="A4268" s="62">
        <v>31101716</v>
      </c>
      <c r="B4268" s="63" t="s">
        <v>4949</v>
      </c>
    </row>
    <row r="4269" spans="1:2" x14ac:dyDescent="0.25">
      <c r="A4269" s="62">
        <v>31101801</v>
      </c>
      <c r="B4269" s="63" t="s">
        <v>4950</v>
      </c>
    </row>
    <row r="4270" spans="1:2" x14ac:dyDescent="0.25">
      <c r="A4270" s="62">
        <v>31101802</v>
      </c>
      <c r="B4270" s="63" t="s">
        <v>4951</v>
      </c>
    </row>
    <row r="4271" spans="1:2" x14ac:dyDescent="0.25">
      <c r="A4271" s="62">
        <v>31101803</v>
      </c>
      <c r="B4271" s="63" t="s">
        <v>4952</v>
      </c>
    </row>
    <row r="4272" spans="1:2" x14ac:dyDescent="0.25">
      <c r="A4272" s="62">
        <v>31101804</v>
      </c>
      <c r="B4272" s="63" t="s">
        <v>4953</v>
      </c>
    </row>
    <row r="4273" spans="1:2" x14ac:dyDescent="0.25">
      <c r="A4273" s="62">
        <v>31101805</v>
      </c>
      <c r="B4273" s="63" t="s">
        <v>4954</v>
      </c>
    </row>
    <row r="4274" spans="1:2" x14ac:dyDescent="0.25">
      <c r="A4274" s="62">
        <v>31101806</v>
      </c>
      <c r="B4274" s="63" t="s">
        <v>4955</v>
      </c>
    </row>
    <row r="4275" spans="1:2" x14ac:dyDescent="0.25">
      <c r="A4275" s="62">
        <v>31101807</v>
      </c>
      <c r="B4275" s="63" t="s">
        <v>4956</v>
      </c>
    </row>
    <row r="4276" spans="1:2" x14ac:dyDescent="0.25">
      <c r="A4276" s="62">
        <v>31101808</v>
      </c>
      <c r="B4276" s="63" t="s">
        <v>4957</v>
      </c>
    </row>
    <row r="4277" spans="1:2" x14ac:dyDescent="0.25">
      <c r="A4277" s="62">
        <v>31101809</v>
      </c>
      <c r="B4277" s="63" t="s">
        <v>4958</v>
      </c>
    </row>
    <row r="4278" spans="1:2" x14ac:dyDescent="0.25">
      <c r="A4278" s="62">
        <v>31101810</v>
      </c>
      <c r="B4278" s="63" t="s">
        <v>4959</v>
      </c>
    </row>
    <row r="4279" spans="1:2" x14ac:dyDescent="0.25">
      <c r="A4279" s="62">
        <v>31101811</v>
      </c>
      <c r="B4279" s="63" t="s">
        <v>4960</v>
      </c>
    </row>
    <row r="4280" spans="1:2" x14ac:dyDescent="0.25">
      <c r="A4280" s="62">
        <v>31101812</v>
      </c>
      <c r="B4280" s="63" t="s">
        <v>4961</v>
      </c>
    </row>
    <row r="4281" spans="1:2" x14ac:dyDescent="0.25">
      <c r="A4281" s="62">
        <v>31101813</v>
      </c>
      <c r="B4281" s="63" t="s">
        <v>4962</v>
      </c>
    </row>
    <row r="4282" spans="1:2" x14ac:dyDescent="0.25">
      <c r="A4282" s="62">
        <v>31101814</v>
      </c>
      <c r="B4282" s="63" t="s">
        <v>4963</v>
      </c>
    </row>
    <row r="4283" spans="1:2" x14ac:dyDescent="0.25">
      <c r="A4283" s="62">
        <v>31101815</v>
      </c>
      <c r="B4283" s="63" t="s">
        <v>4964</v>
      </c>
    </row>
    <row r="4284" spans="1:2" x14ac:dyDescent="0.25">
      <c r="A4284" s="62">
        <v>31101816</v>
      </c>
      <c r="B4284" s="63" t="s">
        <v>4965</v>
      </c>
    </row>
    <row r="4285" spans="1:2" x14ac:dyDescent="0.25">
      <c r="A4285" s="62">
        <v>31101901</v>
      </c>
      <c r="B4285" s="63" t="s">
        <v>4966</v>
      </c>
    </row>
    <row r="4286" spans="1:2" x14ac:dyDescent="0.25">
      <c r="A4286" s="62">
        <v>31101902</v>
      </c>
      <c r="B4286" s="63" t="s">
        <v>4967</v>
      </c>
    </row>
    <row r="4287" spans="1:2" x14ac:dyDescent="0.25">
      <c r="A4287" s="62">
        <v>31101903</v>
      </c>
      <c r="B4287" s="63" t="s">
        <v>4968</v>
      </c>
    </row>
    <row r="4288" spans="1:2" x14ac:dyDescent="0.25">
      <c r="A4288" s="62">
        <v>31101904</v>
      </c>
      <c r="B4288" s="63" t="s">
        <v>4969</v>
      </c>
    </row>
    <row r="4289" spans="1:2" x14ac:dyDescent="0.25">
      <c r="A4289" s="62">
        <v>31101905</v>
      </c>
      <c r="B4289" s="63" t="s">
        <v>4970</v>
      </c>
    </row>
    <row r="4290" spans="1:2" x14ac:dyDescent="0.25">
      <c r="A4290" s="62">
        <v>31101906</v>
      </c>
      <c r="B4290" s="63" t="s">
        <v>4971</v>
      </c>
    </row>
    <row r="4291" spans="1:2" x14ac:dyDescent="0.25">
      <c r="A4291" s="62">
        <v>31101907</v>
      </c>
      <c r="B4291" s="63" t="s">
        <v>4972</v>
      </c>
    </row>
    <row r="4292" spans="1:2" x14ac:dyDescent="0.25">
      <c r="A4292" s="62">
        <v>31101908</v>
      </c>
      <c r="B4292" s="63" t="s">
        <v>4973</v>
      </c>
    </row>
    <row r="4293" spans="1:2" x14ac:dyDescent="0.25">
      <c r="A4293" s="62">
        <v>31101909</v>
      </c>
      <c r="B4293" s="63" t="s">
        <v>4974</v>
      </c>
    </row>
    <row r="4294" spans="1:2" x14ac:dyDescent="0.25">
      <c r="A4294" s="62">
        <v>31101910</v>
      </c>
      <c r="B4294" s="63" t="s">
        <v>4975</v>
      </c>
    </row>
    <row r="4295" spans="1:2" x14ac:dyDescent="0.25">
      <c r="A4295" s="62">
        <v>31101911</v>
      </c>
      <c r="B4295" s="63" t="s">
        <v>4976</v>
      </c>
    </row>
    <row r="4296" spans="1:2" x14ac:dyDescent="0.25">
      <c r="A4296" s="62">
        <v>31101912</v>
      </c>
      <c r="B4296" s="63" t="s">
        <v>4977</v>
      </c>
    </row>
    <row r="4297" spans="1:2" x14ac:dyDescent="0.25">
      <c r="A4297" s="62">
        <v>31102001</v>
      </c>
      <c r="B4297" s="63" t="s">
        <v>4978</v>
      </c>
    </row>
    <row r="4298" spans="1:2" x14ac:dyDescent="0.25">
      <c r="A4298" s="62">
        <v>31102002</v>
      </c>
      <c r="B4298" s="63" t="s">
        <v>4979</v>
      </c>
    </row>
    <row r="4299" spans="1:2" x14ac:dyDescent="0.25">
      <c r="A4299" s="62">
        <v>31102003</v>
      </c>
      <c r="B4299" s="63" t="s">
        <v>4980</v>
      </c>
    </row>
    <row r="4300" spans="1:2" x14ac:dyDescent="0.25">
      <c r="A4300" s="62">
        <v>31102004</v>
      </c>
      <c r="B4300" s="63" t="s">
        <v>4981</v>
      </c>
    </row>
    <row r="4301" spans="1:2" x14ac:dyDescent="0.25">
      <c r="A4301" s="62">
        <v>31102005</v>
      </c>
      <c r="B4301" s="63" t="s">
        <v>4982</v>
      </c>
    </row>
    <row r="4302" spans="1:2" x14ac:dyDescent="0.25">
      <c r="A4302" s="62">
        <v>31102006</v>
      </c>
      <c r="B4302" s="63" t="s">
        <v>4983</v>
      </c>
    </row>
    <row r="4303" spans="1:2" x14ac:dyDescent="0.25">
      <c r="A4303" s="62">
        <v>31102007</v>
      </c>
      <c r="B4303" s="63" t="s">
        <v>4984</v>
      </c>
    </row>
    <row r="4304" spans="1:2" x14ac:dyDescent="0.25">
      <c r="A4304" s="62">
        <v>31102008</v>
      </c>
      <c r="B4304" s="63" t="s">
        <v>4985</v>
      </c>
    </row>
    <row r="4305" spans="1:2" x14ac:dyDescent="0.25">
      <c r="A4305" s="62">
        <v>31102009</v>
      </c>
      <c r="B4305" s="63" t="s">
        <v>4986</v>
      </c>
    </row>
    <row r="4306" spans="1:2" x14ac:dyDescent="0.25">
      <c r="A4306" s="62">
        <v>31102010</v>
      </c>
      <c r="B4306" s="63" t="s">
        <v>4987</v>
      </c>
    </row>
    <row r="4307" spans="1:2" x14ac:dyDescent="0.25">
      <c r="A4307" s="62">
        <v>31102011</v>
      </c>
      <c r="B4307" s="63" t="s">
        <v>4988</v>
      </c>
    </row>
    <row r="4308" spans="1:2" x14ac:dyDescent="0.25">
      <c r="A4308" s="62">
        <v>31102012</v>
      </c>
      <c r="B4308" s="63" t="s">
        <v>4989</v>
      </c>
    </row>
    <row r="4309" spans="1:2" x14ac:dyDescent="0.25">
      <c r="A4309" s="62">
        <v>31102013</v>
      </c>
      <c r="B4309" s="63" t="s">
        <v>4990</v>
      </c>
    </row>
    <row r="4310" spans="1:2" x14ac:dyDescent="0.25">
      <c r="A4310" s="62">
        <v>31102014</v>
      </c>
      <c r="B4310" s="63" t="s">
        <v>4991</v>
      </c>
    </row>
    <row r="4311" spans="1:2" x14ac:dyDescent="0.25">
      <c r="A4311" s="62">
        <v>31102015</v>
      </c>
      <c r="B4311" s="63" t="s">
        <v>4992</v>
      </c>
    </row>
    <row r="4312" spans="1:2" x14ac:dyDescent="0.25">
      <c r="A4312" s="62">
        <v>31102016</v>
      </c>
      <c r="B4312" s="63" t="s">
        <v>4993</v>
      </c>
    </row>
    <row r="4313" spans="1:2" x14ac:dyDescent="0.25">
      <c r="A4313" s="62">
        <v>31102101</v>
      </c>
      <c r="B4313" s="63" t="s">
        <v>4994</v>
      </c>
    </row>
    <row r="4314" spans="1:2" x14ac:dyDescent="0.25">
      <c r="A4314" s="62">
        <v>31102102</v>
      </c>
      <c r="B4314" s="63" t="s">
        <v>4995</v>
      </c>
    </row>
    <row r="4315" spans="1:2" x14ac:dyDescent="0.25">
      <c r="A4315" s="62">
        <v>31102103</v>
      </c>
      <c r="B4315" s="63" t="s">
        <v>4996</v>
      </c>
    </row>
    <row r="4316" spans="1:2" x14ac:dyDescent="0.25">
      <c r="A4316" s="62">
        <v>31102104</v>
      </c>
      <c r="B4316" s="63" t="s">
        <v>4997</v>
      </c>
    </row>
    <row r="4317" spans="1:2" x14ac:dyDescent="0.25">
      <c r="A4317" s="62">
        <v>31102105</v>
      </c>
      <c r="B4317" s="63" t="s">
        <v>4998</v>
      </c>
    </row>
    <row r="4318" spans="1:2" x14ac:dyDescent="0.25">
      <c r="A4318" s="62">
        <v>31102106</v>
      </c>
      <c r="B4318" s="63" t="s">
        <v>4999</v>
      </c>
    </row>
    <row r="4319" spans="1:2" x14ac:dyDescent="0.25">
      <c r="A4319" s="62">
        <v>31102107</v>
      </c>
      <c r="B4319" s="63" t="s">
        <v>5000</v>
      </c>
    </row>
    <row r="4320" spans="1:2" x14ac:dyDescent="0.25">
      <c r="A4320" s="62">
        <v>31102108</v>
      </c>
      <c r="B4320" s="63" t="s">
        <v>5001</v>
      </c>
    </row>
    <row r="4321" spans="1:2" x14ac:dyDescent="0.25">
      <c r="A4321" s="62">
        <v>31102109</v>
      </c>
      <c r="B4321" s="63" t="s">
        <v>5002</v>
      </c>
    </row>
    <row r="4322" spans="1:2" x14ac:dyDescent="0.25">
      <c r="A4322" s="62">
        <v>31102110</v>
      </c>
      <c r="B4322" s="63" t="s">
        <v>5003</v>
      </c>
    </row>
    <row r="4323" spans="1:2" x14ac:dyDescent="0.25">
      <c r="A4323" s="62">
        <v>31102111</v>
      </c>
      <c r="B4323" s="63" t="s">
        <v>5004</v>
      </c>
    </row>
    <row r="4324" spans="1:2" x14ac:dyDescent="0.25">
      <c r="A4324" s="62">
        <v>31102112</v>
      </c>
      <c r="B4324" s="63" t="s">
        <v>5005</v>
      </c>
    </row>
    <row r="4325" spans="1:2" x14ac:dyDescent="0.25">
      <c r="A4325" s="62">
        <v>31102113</v>
      </c>
      <c r="B4325" s="63" t="s">
        <v>5006</v>
      </c>
    </row>
    <row r="4326" spans="1:2" x14ac:dyDescent="0.25">
      <c r="A4326" s="62">
        <v>31102114</v>
      </c>
      <c r="B4326" s="63" t="s">
        <v>5007</v>
      </c>
    </row>
    <row r="4327" spans="1:2" x14ac:dyDescent="0.25">
      <c r="A4327" s="62">
        <v>31102115</v>
      </c>
      <c r="B4327" s="63" t="s">
        <v>5008</v>
      </c>
    </row>
    <row r="4328" spans="1:2" x14ac:dyDescent="0.25">
      <c r="A4328" s="62">
        <v>31102116</v>
      </c>
      <c r="B4328" s="63" t="s">
        <v>5009</v>
      </c>
    </row>
    <row r="4329" spans="1:2" x14ac:dyDescent="0.25">
      <c r="A4329" s="62">
        <v>31102201</v>
      </c>
      <c r="B4329" s="63" t="s">
        <v>5010</v>
      </c>
    </row>
    <row r="4330" spans="1:2" x14ac:dyDescent="0.25">
      <c r="A4330" s="62">
        <v>31102202</v>
      </c>
      <c r="B4330" s="63" t="s">
        <v>5011</v>
      </c>
    </row>
    <row r="4331" spans="1:2" x14ac:dyDescent="0.25">
      <c r="A4331" s="62">
        <v>31102203</v>
      </c>
      <c r="B4331" s="63" t="s">
        <v>5012</v>
      </c>
    </row>
    <row r="4332" spans="1:2" x14ac:dyDescent="0.25">
      <c r="A4332" s="62">
        <v>31102204</v>
      </c>
      <c r="B4332" s="63" t="s">
        <v>5013</v>
      </c>
    </row>
    <row r="4333" spans="1:2" x14ac:dyDescent="0.25">
      <c r="A4333" s="62">
        <v>31102205</v>
      </c>
      <c r="B4333" s="63" t="s">
        <v>5014</v>
      </c>
    </row>
    <row r="4334" spans="1:2" x14ac:dyDescent="0.25">
      <c r="A4334" s="62">
        <v>31102206</v>
      </c>
      <c r="B4334" s="63" t="s">
        <v>5015</v>
      </c>
    </row>
    <row r="4335" spans="1:2" x14ac:dyDescent="0.25">
      <c r="A4335" s="62">
        <v>31102207</v>
      </c>
      <c r="B4335" s="63" t="s">
        <v>5016</v>
      </c>
    </row>
    <row r="4336" spans="1:2" x14ac:dyDescent="0.25">
      <c r="A4336" s="62">
        <v>31102208</v>
      </c>
      <c r="B4336" s="63" t="s">
        <v>5017</v>
      </c>
    </row>
    <row r="4337" spans="1:2" x14ac:dyDescent="0.25">
      <c r="A4337" s="62">
        <v>31102209</v>
      </c>
      <c r="B4337" s="63" t="s">
        <v>5018</v>
      </c>
    </row>
    <row r="4338" spans="1:2" x14ac:dyDescent="0.25">
      <c r="A4338" s="62">
        <v>31102210</v>
      </c>
      <c r="B4338" s="63" t="s">
        <v>5019</v>
      </c>
    </row>
    <row r="4339" spans="1:2" x14ac:dyDescent="0.25">
      <c r="A4339" s="62">
        <v>31102211</v>
      </c>
      <c r="B4339" s="63" t="s">
        <v>5020</v>
      </c>
    </row>
    <row r="4340" spans="1:2" x14ac:dyDescent="0.25">
      <c r="A4340" s="62">
        <v>31102212</v>
      </c>
      <c r="B4340" s="63" t="s">
        <v>5021</v>
      </c>
    </row>
    <row r="4341" spans="1:2" x14ac:dyDescent="0.25">
      <c r="A4341" s="62">
        <v>31102213</v>
      </c>
      <c r="B4341" s="63" t="s">
        <v>5022</v>
      </c>
    </row>
    <row r="4342" spans="1:2" x14ac:dyDescent="0.25">
      <c r="A4342" s="62">
        <v>31102214</v>
      </c>
      <c r="B4342" s="63" t="s">
        <v>5023</v>
      </c>
    </row>
    <row r="4343" spans="1:2" x14ac:dyDescent="0.25">
      <c r="A4343" s="62">
        <v>31102215</v>
      </c>
      <c r="B4343" s="63" t="s">
        <v>5024</v>
      </c>
    </row>
    <row r="4344" spans="1:2" x14ac:dyDescent="0.25">
      <c r="A4344" s="62">
        <v>31102216</v>
      </c>
      <c r="B4344" s="63" t="s">
        <v>5025</v>
      </c>
    </row>
    <row r="4345" spans="1:2" x14ac:dyDescent="0.25">
      <c r="A4345" s="62">
        <v>31102301</v>
      </c>
      <c r="B4345" s="63" t="s">
        <v>5026</v>
      </c>
    </row>
    <row r="4346" spans="1:2" x14ac:dyDescent="0.25">
      <c r="A4346" s="62">
        <v>31102302</v>
      </c>
      <c r="B4346" s="63" t="s">
        <v>5027</v>
      </c>
    </row>
    <row r="4347" spans="1:2" x14ac:dyDescent="0.25">
      <c r="A4347" s="62">
        <v>31102303</v>
      </c>
      <c r="B4347" s="63" t="s">
        <v>5028</v>
      </c>
    </row>
    <row r="4348" spans="1:2" x14ac:dyDescent="0.25">
      <c r="A4348" s="62">
        <v>31102304</v>
      </c>
      <c r="B4348" s="63" t="s">
        <v>5029</v>
      </c>
    </row>
    <row r="4349" spans="1:2" x14ac:dyDescent="0.25">
      <c r="A4349" s="62">
        <v>31102305</v>
      </c>
      <c r="B4349" s="63" t="s">
        <v>5030</v>
      </c>
    </row>
    <row r="4350" spans="1:2" x14ac:dyDescent="0.25">
      <c r="A4350" s="62">
        <v>31102306</v>
      </c>
      <c r="B4350" s="63" t="s">
        <v>5031</v>
      </c>
    </row>
    <row r="4351" spans="1:2" x14ac:dyDescent="0.25">
      <c r="A4351" s="62">
        <v>31102307</v>
      </c>
      <c r="B4351" s="63" t="s">
        <v>5032</v>
      </c>
    </row>
    <row r="4352" spans="1:2" x14ac:dyDescent="0.25">
      <c r="A4352" s="62">
        <v>31102308</v>
      </c>
      <c r="B4352" s="63" t="s">
        <v>5033</v>
      </c>
    </row>
    <row r="4353" spans="1:2" x14ac:dyDescent="0.25">
      <c r="A4353" s="62">
        <v>31102309</v>
      </c>
      <c r="B4353" s="63" t="s">
        <v>5034</v>
      </c>
    </row>
    <row r="4354" spans="1:2" x14ac:dyDescent="0.25">
      <c r="A4354" s="62">
        <v>31102310</v>
      </c>
      <c r="B4354" s="63" t="s">
        <v>5035</v>
      </c>
    </row>
    <row r="4355" spans="1:2" x14ac:dyDescent="0.25">
      <c r="A4355" s="62">
        <v>31102311</v>
      </c>
      <c r="B4355" s="63" t="s">
        <v>5036</v>
      </c>
    </row>
    <row r="4356" spans="1:2" x14ac:dyDescent="0.25">
      <c r="A4356" s="62">
        <v>31102312</v>
      </c>
      <c r="B4356" s="63" t="s">
        <v>5037</v>
      </c>
    </row>
    <row r="4357" spans="1:2" x14ac:dyDescent="0.25">
      <c r="A4357" s="62">
        <v>31102313</v>
      </c>
      <c r="B4357" s="63" t="s">
        <v>5038</v>
      </c>
    </row>
    <row r="4358" spans="1:2" x14ac:dyDescent="0.25">
      <c r="A4358" s="62">
        <v>31102314</v>
      </c>
      <c r="B4358" s="63" t="s">
        <v>5039</v>
      </c>
    </row>
    <row r="4359" spans="1:2" x14ac:dyDescent="0.25">
      <c r="A4359" s="62">
        <v>31102315</v>
      </c>
      <c r="B4359" s="63" t="s">
        <v>5040</v>
      </c>
    </row>
    <row r="4360" spans="1:2" x14ac:dyDescent="0.25">
      <c r="A4360" s="62">
        <v>31102316</v>
      </c>
      <c r="B4360" s="63" t="s">
        <v>5041</v>
      </c>
    </row>
    <row r="4361" spans="1:2" x14ac:dyDescent="0.25">
      <c r="A4361" s="62">
        <v>31102401</v>
      </c>
      <c r="B4361" s="63" t="s">
        <v>5042</v>
      </c>
    </row>
    <row r="4362" spans="1:2" x14ac:dyDescent="0.25">
      <c r="A4362" s="62">
        <v>31102402</v>
      </c>
      <c r="B4362" s="63" t="s">
        <v>5043</v>
      </c>
    </row>
    <row r="4363" spans="1:2" x14ac:dyDescent="0.25">
      <c r="A4363" s="62">
        <v>31102403</v>
      </c>
      <c r="B4363" s="63" t="s">
        <v>5044</v>
      </c>
    </row>
    <row r="4364" spans="1:2" x14ac:dyDescent="0.25">
      <c r="A4364" s="62">
        <v>31102404</v>
      </c>
      <c r="B4364" s="63" t="s">
        <v>5045</v>
      </c>
    </row>
    <row r="4365" spans="1:2" x14ac:dyDescent="0.25">
      <c r="A4365" s="62">
        <v>31102405</v>
      </c>
      <c r="B4365" s="63" t="s">
        <v>5046</v>
      </c>
    </row>
    <row r="4366" spans="1:2" x14ac:dyDescent="0.25">
      <c r="A4366" s="62">
        <v>31102406</v>
      </c>
      <c r="B4366" s="63" t="s">
        <v>5047</v>
      </c>
    </row>
    <row r="4367" spans="1:2" x14ac:dyDescent="0.25">
      <c r="A4367" s="62">
        <v>31102407</v>
      </c>
      <c r="B4367" s="63" t="s">
        <v>5048</v>
      </c>
    </row>
    <row r="4368" spans="1:2" x14ac:dyDescent="0.25">
      <c r="A4368" s="62">
        <v>31102408</v>
      </c>
      <c r="B4368" s="63" t="s">
        <v>5049</v>
      </c>
    </row>
    <row r="4369" spans="1:2" x14ac:dyDescent="0.25">
      <c r="A4369" s="62">
        <v>31102409</v>
      </c>
      <c r="B4369" s="63" t="s">
        <v>5050</v>
      </c>
    </row>
    <row r="4370" spans="1:2" x14ac:dyDescent="0.25">
      <c r="A4370" s="62">
        <v>31102410</v>
      </c>
      <c r="B4370" s="63" t="s">
        <v>5051</v>
      </c>
    </row>
    <row r="4371" spans="1:2" x14ac:dyDescent="0.25">
      <c r="A4371" s="62">
        <v>31102411</v>
      </c>
      <c r="B4371" s="63" t="s">
        <v>5052</v>
      </c>
    </row>
    <row r="4372" spans="1:2" x14ac:dyDescent="0.25">
      <c r="A4372" s="62">
        <v>31102412</v>
      </c>
      <c r="B4372" s="63" t="s">
        <v>5053</v>
      </c>
    </row>
    <row r="4373" spans="1:2" x14ac:dyDescent="0.25">
      <c r="A4373" s="62">
        <v>31102413</v>
      </c>
      <c r="B4373" s="63" t="s">
        <v>5054</v>
      </c>
    </row>
    <row r="4374" spans="1:2" x14ac:dyDescent="0.25">
      <c r="A4374" s="62">
        <v>31102414</v>
      </c>
      <c r="B4374" s="63" t="s">
        <v>5055</v>
      </c>
    </row>
    <row r="4375" spans="1:2" x14ac:dyDescent="0.25">
      <c r="A4375" s="62">
        <v>31102415</v>
      </c>
      <c r="B4375" s="63" t="s">
        <v>5056</v>
      </c>
    </row>
    <row r="4376" spans="1:2" x14ac:dyDescent="0.25">
      <c r="A4376" s="62">
        <v>31102416</v>
      </c>
      <c r="B4376" s="63" t="s">
        <v>5057</v>
      </c>
    </row>
    <row r="4377" spans="1:2" x14ac:dyDescent="0.25">
      <c r="A4377" s="62">
        <v>31111501</v>
      </c>
      <c r="B4377" s="63" t="s">
        <v>5058</v>
      </c>
    </row>
    <row r="4378" spans="1:2" x14ac:dyDescent="0.25">
      <c r="A4378" s="62">
        <v>31111502</v>
      </c>
      <c r="B4378" s="63" t="s">
        <v>5059</v>
      </c>
    </row>
    <row r="4379" spans="1:2" x14ac:dyDescent="0.25">
      <c r="A4379" s="62">
        <v>31111503</v>
      </c>
      <c r="B4379" s="63" t="s">
        <v>5060</v>
      </c>
    </row>
    <row r="4380" spans="1:2" x14ac:dyDescent="0.25">
      <c r="A4380" s="62">
        <v>31111504</v>
      </c>
      <c r="B4380" s="63" t="s">
        <v>5061</v>
      </c>
    </row>
    <row r="4381" spans="1:2" x14ac:dyDescent="0.25">
      <c r="A4381" s="62">
        <v>31111505</v>
      </c>
      <c r="B4381" s="63" t="s">
        <v>5062</v>
      </c>
    </row>
    <row r="4382" spans="1:2" x14ac:dyDescent="0.25">
      <c r="A4382" s="62">
        <v>31111506</v>
      </c>
      <c r="B4382" s="63" t="s">
        <v>5063</v>
      </c>
    </row>
    <row r="4383" spans="1:2" x14ac:dyDescent="0.25">
      <c r="A4383" s="62">
        <v>31111507</v>
      </c>
      <c r="B4383" s="63" t="s">
        <v>5064</v>
      </c>
    </row>
    <row r="4384" spans="1:2" x14ac:dyDescent="0.25">
      <c r="A4384" s="62">
        <v>31111508</v>
      </c>
      <c r="B4384" s="63" t="s">
        <v>5065</v>
      </c>
    </row>
    <row r="4385" spans="1:2" x14ac:dyDescent="0.25">
      <c r="A4385" s="62">
        <v>31111509</v>
      </c>
      <c r="B4385" s="63" t="s">
        <v>5066</v>
      </c>
    </row>
    <row r="4386" spans="1:2" x14ac:dyDescent="0.25">
      <c r="A4386" s="62">
        <v>31111510</v>
      </c>
      <c r="B4386" s="63" t="s">
        <v>5067</v>
      </c>
    </row>
    <row r="4387" spans="1:2" x14ac:dyDescent="0.25">
      <c r="A4387" s="62">
        <v>31111511</v>
      </c>
      <c r="B4387" s="63" t="s">
        <v>5068</v>
      </c>
    </row>
    <row r="4388" spans="1:2" x14ac:dyDescent="0.25">
      <c r="A4388" s="62">
        <v>31111512</v>
      </c>
      <c r="B4388" s="63" t="s">
        <v>5069</v>
      </c>
    </row>
    <row r="4389" spans="1:2" x14ac:dyDescent="0.25">
      <c r="A4389" s="62">
        <v>31111513</v>
      </c>
      <c r="B4389" s="63" t="s">
        <v>5070</v>
      </c>
    </row>
    <row r="4390" spans="1:2" x14ac:dyDescent="0.25">
      <c r="A4390" s="62">
        <v>31111514</v>
      </c>
      <c r="B4390" s="63" t="s">
        <v>5071</v>
      </c>
    </row>
    <row r="4391" spans="1:2" x14ac:dyDescent="0.25">
      <c r="A4391" s="62">
        <v>31111515</v>
      </c>
      <c r="B4391" s="63" t="s">
        <v>5072</v>
      </c>
    </row>
    <row r="4392" spans="1:2" x14ac:dyDescent="0.25">
      <c r="A4392" s="62">
        <v>31111516</v>
      </c>
      <c r="B4392" s="63" t="s">
        <v>5073</v>
      </c>
    </row>
    <row r="4393" spans="1:2" x14ac:dyDescent="0.25">
      <c r="A4393" s="62">
        <v>31111517</v>
      </c>
      <c r="B4393" s="63" t="s">
        <v>5074</v>
      </c>
    </row>
    <row r="4394" spans="1:2" x14ac:dyDescent="0.25">
      <c r="A4394" s="62">
        <v>31111601</v>
      </c>
      <c r="B4394" s="63" t="s">
        <v>5075</v>
      </c>
    </row>
    <row r="4395" spans="1:2" x14ac:dyDescent="0.25">
      <c r="A4395" s="62">
        <v>31111602</v>
      </c>
      <c r="B4395" s="63" t="s">
        <v>5076</v>
      </c>
    </row>
    <row r="4396" spans="1:2" x14ac:dyDescent="0.25">
      <c r="A4396" s="62">
        <v>31111603</v>
      </c>
      <c r="B4396" s="63" t="s">
        <v>5077</v>
      </c>
    </row>
    <row r="4397" spans="1:2" x14ac:dyDescent="0.25">
      <c r="A4397" s="62">
        <v>31111604</v>
      </c>
      <c r="B4397" s="63" t="s">
        <v>5078</v>
      </c>
    </row>
    <row r="4398" spans="1:2" x14ac:dyDescent="0.25">
      <c r="A4398" s="62">
        <v>31111605</v>
      </c>
      <c r="B4398" s="63" t="s">
        <v>5079</v>
      </c>
    </row>
    <row r="4399" spans="1:2" x14ac:dyDescent="0.25">
      <c r="A4399" s="62">
        <v>31111606</v>
      </c>
      <c r="B4399" s="63" t="s">
        <v>5080</v>
      </c>
    </row>
    <row r="4400" spans="1:2" x14ac:dyDescent="0.25">
      <c r="A4400" s="62">
        <v>31111607</v>
      </c>
      <c r="B4400" s="63" t="s">
        <v>5081</v>
      </c>
    </row>
    <row r="4401" spans="1:2" x14ac:dyDescent="0.25">
      <c r="A4401" s="62">
        <v>31111608</v>
      </c>
      <c r="B4401" s="63" t="s">
        <v>5082</v>
      </c>
    </row>
    <row r="4402" spans="1:2" x14ac:dyDescent="0.25">
      <c r="A4402" s="62">
        <v>31111609</v>
      </c>
      <c r="B4402" s="63" t="s">
        <v>5083</v>
      </c>
    </row>
    <row r="4403" spans="1:2" x14ac:dyDescent="0.25">
      <c r="A4403" s="62">
        <v>31111610</v>
      </c>
      <c r="B4403" s="63" t="s">
        <v>5084</v>
      </c>
    </row>
    <row r="4404" spans="1:2" x14ac:dyDescent="0.25">
      <c r="A4404" s="62">
        <v>31111611</v>
      </c>
      <c r="B4404" s="63" t="s">
        <v>5085</v>
      </c>
    </row>
    <row r="4405" spans="1:2" x14ac:dyDescent="0.25">
      <c r="A4405" s="62">
        <v>31111612</v>
      </c>
      <c r="B4405" s="63" t="s">
        <v>5086</v>
      </c>
    </row>
    <row r="4406" spans="1:2" x14ac:dyDescent="0.25">
      <c r="A4406" s="62">
        <v>31111613</v>
      </c>
      <c r="B4406" s="63" t="s">
        <v>5087</v>
      </c>
    </row>
    <row r="4407" spans="1:2" x14ac:dyDescent="0.25">
      <c r="A4407" s="62">
        <v>31111614</v>
      </c>
      <c r="B4407" s="63" t="s">
        <v>5088</v>
      </c>
    </row>
    <row r="4408" spans="1:2" x14ac:dyDescent="0.25">
      <c r="A4408" s="62">
        <v>31111615</v>
      </c>
      <c r="B4408" s="63" t="s">
        <v>5089</v>
      </c>
    </row>
    <row r="4409" spans="1:2" x14ac:dyDescent="0.25">
      <c r="A4409" s="62">
        <v>31111616</v>
      </c>
      <c r="B4409" s="63" t="s">
        <v>5090</v>
      </c>
    </row>
    <row r="4410" spans="1:2" x14ac:dyDescent="0.25">
      <c r="A4410" s="62">
        <v>31111617</v>
      </c>
      <c r="B4410" s="63" t="s">
        <v>5091</v>
      </c>
    </row>
    <row r="4411" spans="1:2" x14ac:dyDescent="0.25">
      <c r="A4411" s="62">
        <v>31111701</v>
      </c>
      <c r="B4411" s="63" t="s">
        <v>5092</v>
      </c>
    </row>
    <row r="4412" spans="1:2" x14ac:dyDescent="0.25">
      <c r="A4412" s="62">
        <v>31111702</v>
      </c>
      <c r="B4412" s="63" t="s">
        <v>5093</v>
      </c>
    </row>
    <row r="4413" spans="1:2" x14ac:dyDescent="0.25">
      <c r="A4413" s="62">
        <v>31111703</v>
      </c>
      <c r="B4413" s="63" t="s">
        <v>5094</v>
      </c>
    </row>
    <row r="4414" spans="1:2" x14ac:dyDescent="0.25">
      <c r="A4414" s="62">
        <v>31111704</v>
      </c>
      <c r="B4414" s="63" t="s">
        <v>5095</v>
      </c>
    </row>
    <row r="4415" spans="1:2" x14ac:dyDescent="0.25">
      <c r="A4415" s="62">
        <v>31111705</v>
      </c>
      <c r="B4415" s="63" t="s">
        <v>5096</v>
      </c>
    </row>
    <row r="4416" spans="1:2" x14ac:dyDescent="0.25">
      <c r="A4416" s="62">
        <v>31111706</v>
      </c>
      <c r="B4416" s="63" t="s">
        <v>5097</v>
      </c>
    </row>
    <row r="4417" spans="1:2" x14ac:dyDescent="0.25">
      <c r="A4417" s="62">
        <v>31111707</v>
      </c>
      <c r="B4417" s="63" t="s">
        <v>5098</v>
      </c>
    </row>
    <row r="4418" spans="1:2" x14ac:dyDescent="0.25">
      <c r="A4418" s="62">
        <v>31111708</v>
      </c>
      <c r="B4418" s="63" t="s">
        <v>5099</v>
      </c>
    </row>
    <row r="4419" spans="1:2" x14ac:dyDescent="0.25">
      <c r="A4419" s="62">
        <v>31111709</v>
      </c>
      <c r="B4419" s="63" t="s">
        <v>5100</v>
      </c>
    </row>
    <row r="4420" spans="1:2" x14ac:dyDescent="0.25">
      <c r="A4420" s="62">
        <v>31111710</v>
      </c>
      <c r="B4420" s="63" t="s">
        <v>5101</v>
      </c>
    </row>
    <row r="4421" spans="1:2" x14ac:dyDescent="0.25">
      <c r="A4421" s="62">
        <v>31111711</v>
      </c>
      <c r="B4421" s="63" t="s">
        <v>5102</v>
      </c>
    </row>
    <row r="4422" spans="1:2" x14ac:dyDescent="0.25">
      <c r="A4422" s="62">
        <v>31111712</v>
      </c>
      <c r="B4422" s="63" t="s">
        <v>5103</v>
      </c>
    </row>
    <row r="4423" spans="1:2" x14ac:dyDescent="0.25">
      <c r="A4423" s="62">
        <v>31111713</v>
      </c>
      <c r="B4423" s="63" t="s">
        <v>5104</v>
      </c>
    </row>
    <row r="4424" spans="1:2" x14ac:dyDescent="0.25">
      <c r="A4424" s="62">
        <v>31111714</v>
      </c>
      <c r="B4424" s="63" t="s">
        <v>5105</v>
      </c>
    </row>
    <row r="4425" spans="1:2" x14ac:dyDescent="0.25">
      <c r="A4425" s="62">
        <v>31111715</v>
      </c>
      <c r="B4425" s="63" t="s">
        <v>5106</v>
      </c>
    </row>
    <row r="4426" spans="1:2" x14ac:dyDescent="0.25">
      <c r="A4426" s="62">
        <v>31111716</v>
      </c>
      <c r="B4426" s="63" t="s">
        <v>5107</v>
      </c>
    </row>
    <row r="4427" spans="1:2" x14ac:dyDescent="0.25">
      <c r="A4427" s="62">
        <v>31111717</v>
      </c>
      <c r="B4427" s="63" t="s">
        <v>5108</v>
      </c>
    </row>
    <row r="4428" spans="1:2" x14ac:dyDescent="0.25">
      <c r="A4428" s="62">
        <v>31121001</v>
      </c>
      <c r="B4428" s="63" t="s">
        <v>5109</v>
      </c>
    </row>
    <row r="4429" spans="1:2" x14ac:dyDescent="0.25">
      <c r="A4429" s="62">
        <v>31121002</v>
      </c>
      <c r="B4429" s="63" t="s">
        <v>5110</v>
      </c>
    </row>
    <row r="4430" spans="1:2" x14ac:dyDescent="0.25">
      <c r="A4430" s="62">
        <v>31121003</v>
      </c>
      <c r="B4430" s="63" t="s">
        <v>5111</v>
      </c>
    </row>
    <row r="4431" spans="1:2" x14ac:dyDescent="0.25">
      <c r="A4431" s="62">
        <v>31121004</v>
      </c>
      <c r="B4431" s="63" t="s">
        <v>5112</v>
      </c>
    </row>
    <row r="4432" spans="1:2" x14ac:dyDescent="0.25">
      <c r="A4432" s="62">
        <v>31121005</v>
      </c>
      <c r="B4432" s="63" t="s">
        <v>5113</v>
      </c>
    </row>
    <row r="4433" spans="1:2" x14ac:dyDescent="0.25">
      <c r="A4433" s="62">
        <v>31121006</v>
      </c>
      <c r="B4433" s="63" t="s">
        <v>5114</v>
      </c>
    </row>
    <row r="4434" spans="1:2" x14ac:dyDescent="0.25">
      <c r="A4434" s="62">
        <v>31121007</v>
      </c>
      <c r="B4434" s="63" t="s">
        <v>5115</v>
      </c>
    </row>
    <row r="4435" spans="1:2" x14ac:dyDescent="0.25">
      <c r="A4435" s="62">
        <v>31121008</v>
      </c>
      <c r="B4435" s="63" t="s">
        <v>5116</v>
      </c>
    </row>
    <row r="4436" spans="1:2" x14ac:dyDescent="0.25">
      <c r="A4436" s="62">
        <v>31121009</v>
      </c>
      <c r="B4436" s="63" t="s">
        <v>5117</v>
      </c>
    </row>
    <row r="4437" spans="1:2" x14ac:dyDescent="0.25">
      <c r="A4437" s="62">
        <v>31121010</v>
      </c>
      <c r="B4437" s="63" t="s">
        <v>5118</v>
      </c>
    </row>
    <row r="4438" spans="1:2" x14ac:dyDescent="0.25">
      <c r="A4438" s="62">
        <v>31121011</v>
      </c>
      <c r="B4438" s="63" t="s">
        <v>5119</v>
      </c>
    </row>
    <row r="4439" spans="1:2" x14ac:dyDescent="0.25">
      <c r="A4439" s="62">
        <v>31121012</v>
      </c>
      <c r="B4439" s="63" t="s">
        <v>5120</v>
      </c>
    </row>
    <row r="4440" spans="1:2" x14ac:dyDescent="0.25">
      <c r="A4440" s="62">
        <v>31121013</v>
      </c>
      <c r="B4440" s="63" t="s">
        <v>5121</v>
      </c>
    </row>
    <row r="4441" spans="1:2" x14ac:dyDescent="0.25">
      <c r="A4441" s="62">
        <v>31121014</v>
      </c>
      <c r="B4441" s="63" t="s">
        <v>5122</v>
      </c>
    </row>
    <row r="4442" spans="1:2" x14ac:dyDescent="0.25">
      <c r="A4442" s="62">
        <v>31121015</v>
      </c>
      <c r="B4442" s="63" t="s">
        <v>5123</v>
      </c>
    </row>
    <row r="4443" spans="1:2" x14ac:dyDescent="0.25">
      <c r="A4443" s="62">
        <v>31121016</v>
      </c>
      <c r="B4443" s="63" t="s">
        <v>5124</v>
      </c>
    </row>
    <row r="4444" spans="1:2" x14ac:dyDescent="0.25">
      <c r="A4444" s="62">
        <v>31121017</v>
      </c>
      <c r="B4444" s="63" t="s">
        <v>5125</v>
      </c>
    </row>
    <row r="4445" spans="1:2" x14ac:dyDescent="0.25">
      <c r="A4445" s="62">
        <v>31121018</v>
      </c>
      <c r="B4445" s="63" t="s">
        <v>5126</v>
      </c>
    </row>
    <row r="4446" spans="1:2" x14ac:dyDescent="0.25">
      <c r="A4446" s="62">
        <v>31121019</v>
      </c>
      <c r="B4446" s="63" t="s">
        <v>5127</v>
      </c>
    </row>
    <row r="4447" spans="1:2" x14ac:dyDescent="0.25">
      <c r="A4447" s="62">
        <v>31121101</v>
      </c>
      <c r="B4447" s="63" t="s">
        <v>5128</v>
      </c>
    </row>
    <row r="4448" spans="1:2" x14ac:dyDescent="0.25">
      <c r="A4448" s="62">
        <v>31121102</v>
      </c>
      <c r="B4448" s="63" t="s">
        <v>5129</v>
      </c>
    </row>
    <row r="4449" spans="1:2" x14ac:dyDescent="0.25">
      <c r="A4449" s="62">
        <v>31121103</v>
      </c>
      <c r="B4449" s="63" t="s">
        <v>5130</v>
      </c>
    </row>
    <row r="4450" spans="1:2" x14ac:dyDescent="0.25">
      <c r="A4450" s="62">
        <v>31121104</v>
      </c>
      <c r="B4450" s="63" t="s">
        <v>5131</v>
      </c>
    </row>
    <row r="4451" spans="1:2" x14ac:dyDescent="0.25">
      <c r="A4451" s="62">
        <v>31121105</v>
      </c>
      <c r="B4451" s="63" t="s">
        <v>5132</v>
      </c>
    </row>
    <row r="4452" spans="1:2" x14ac:dyDescent="0.25">
      <c r="A4452" s="62">
        <v>31121106</v>
      </c>
      <c r="B4452" s="63" t="s">
        <v>5133</v>
      </c>
    </row>
    <row r="4453" spans="1:2" x14ac:dyDescent="0.25">
      <c r="A4453" s="62">
        <v>31121107</v>
      </c>
      <c r="B4453" s="63" t="s">
        <v>5134</v>
      </c>
    </row>
    <row r="4454" spans="1:2" x14ac:dyDescent="0.25">
      <c r="A4454" s="62">
        <v>31121108</v>
      </c>
      <c r="B4454" s="63" t="s">
        <v>5135</v>
      </c>
    </row>
    <row r="4455" spans="1:2" x14ac:dyDescent="0.25">
      <c r="A4455" s="62">
        <v>31121109</v>
      </c>
      <c r="B4455" s="63" t="s">
        <v>5136</v>
      </c>
    </row>
    <row r="4456" spans="1:2" x14ac:dyDescent="0.25">
      <c r="A4456" s="62">
        <v>31121110</v>
      </c>
      <c r="B4456" s="63" t="s">
        <v>5137</v>
      </c>
    </row>
    <row r="4457" spans="1:2" x14ac:dyDescent="0.25">
      <c r="A4457" s="62">
        <v>31121111</v>
      </c>
      <c r="B4457" s="63" t="s">
        <v>5138</v>
      </c>
    </row>
    <row r="4458" spans="1:2" x14ac:dyDescent="0.25">
      <c r="A4458" s="62">
        <v>31121112</v>
      </c>
      <c r="B4458" s="63" t="s">
        <v>5139</v>
      </c>
    </row>
    <row r="4459" spans="1:2" x14ac:dyDescent="0.25">
      <c r="A4459" s="62">
        <v>31121113</v>
      </c>
      <c r="B4459" s="63" t="s">
        <v>5140</v>
      </c>
    </row>
    <row r="4460" spans="1:2" x14ac:dyDescent="0.25">
      <c r="A4460" s="62">
        <v>31121114</v>
      </c>
      <c r="B4460" s="63" t="s">
        <v>5141</v>
      </c>
    </row>
    <row r="4461" spans="1:2" x14ac:dyDescent="0.25">
      <c r="A4461" s="62">
        <v>31121115</v>
      </c>
      <c r="B4461" s="63" t="s">
        <v>5142</v>
      </c>
    </row>
    <row r="4462" spans="1:2" x14ac:dyDescent="0.25">
      <c r="A4462" s="62">
        <v>31121116</v>
      </c>
      <c r="B4462" s="63" t="s">
        <v>5143</v>
      </c>
    </row>
    <row r="4463" spans="1:2" x14ac:dyDescent="0.25">
      <c r="A4463" s="62">
        <v>31121117</v>
      </c>
      <c r="B4463" s="63" t="s">
        <v>5144</v>
      </c>
    </row>
    <row r="4464" spans="1:2" x14ac:dyDescent="0.25">
      <c r="A4464" s="62">
        <v>31121118</v>
      </c>
      <c r="B4464" s="63" t="s">
        <v>5145</v>
      </c>
    </row>
    <row r="4465" spans="1:2" x14ac:dyDescent="0.25">
      <c r="A4465" s="62">
        <v>31121119</v>
      </c>
      <c r="B4465" s="63" t="s">
        <v>5146</v>
      </c>
    </row>
    <row r="4466" spans="1:2" x14ac:dyDescent="0.25">
      <c r="A4466" s="62">
        <v>31121201</v>
      </c>
      <c r="B4466" s="63" t="s">
        <v>5147</v>
      </c>
    </row>
    <row r="4467" spans="1:2" x14ac:dyDescent="0.25">
      <c r="A4467" s="62">
        <v>31121202</v>
      </c>
      <c r="B4467" s="63" t="s">
        <v>5148</v>
      </c>
    </row>
    <row r="4468" spans="1:2" x14ac:dyDescent="0.25">
      <c r="A4468" s="62">
        <v>31121203</v>
      </c>
      <c r="B4468" s="63" t="s">
        <v>5149</v>
      </c>
    </row>
    <row r="4469" spans="1:2" x14ac:dyDescent="0.25">
      <c r="A4469" s="62">
        <v>31121204</v>
      </c>
      <c r="B4469" s="63" t="s">
        <v>5150</v>
      </c>
    </row>
    <row r="4470" spans="1:2" x14ac:dyDescent="0.25">
      <c r="A4470" s="62">
        <v>31121205</v>
      </c>
      <c r="B4470" s="63" t="s">
        <v>5151</v>
      </c>
    </row>
    <row r="4471" spans="1:2" x14ac:dyDescent="0.25">
      <c r="A4471" s="62">
        <v>31121206</v>
      </c>
      <c r="B4471" s="63" t="s">
        <v>5152</v>
      </c>
    </row>
    <row r="4472" spans="1:2" x14ac:dyDescent="0.25">
      <c r="A4472" s="62">
        <v>31121207</v>
      </c>
      <c r="B4472" s="63" t="s">
        <v>5153</v>
      </c>
    </row>
    <row r="4473" spans="1:2" x14ac:dyDescent="0.25">
      <c r="A4473" s="62">
        <v>31121208</v>
      </c>
      <c r="B4473" s="63" t="s">
        <v>5154</v>
      </c>
    </row>
    <row r="4474" spans="1:2" x14ac:dyDescent="0.25">
      <c r="A4474" s="62">
        <v>31121209</v>
      </c>
      <c r="B4474" s="63" t="s">
        <v>5155</v>
      </c>
    </row>
    <row r="4475" spans="1:2" x14ac:dyDescent="0.25">
      <c r="A4475" s="62">
        <v>31121210</v>
      </c>
      <c r="B4475" s="63" t="s">
        <v>5156</v>
      </c>
    </row>
    <row r="4476" spans="1:2" x14ac:dyDescent="0.25">
      <c r="A4476" s="62">
        <v>31121211</v>
      </c>
      <c r="B4476" s="63" t="s">
        <v>5157</v>
      </c>
    </row>
    <row r="4477" spans="1:2" x14ac:dyDescent="0.25">
      <c r="A4477" s="62">
        <v>31121212</v>
      </c>
      <c r="B4477" s="63" t="s">
        <v>5158</v>
      </c>
    </row>
    <row r="4478" spans="1:2" x14ac:dyDescent="0.25">
      <c r="A4478" s="62">
        <v>31121213</v>
      </c>
      <c r="B4478" s="63" t="s">
        <v>5159</v>
      </c>
    </row>
    <row r="4479" spans="1:2" x14ac:dyDescent="0.25">
      <c r="A4479" s="62">
        <v>31121214</v>
      </c>
      <c r="B4479" s="63" t="s">
        <v>5160</v>
      </c>
    </row>
    <row r="4480" spans="1:2" x14ac:dyDescent="0.25">
      <c r="A4480" s="62">
        <v>31121215</v>
      </c>
      <c r="B4480" s="63" t="s">
        <v>5161</v>
      </c>
    </row>
    <row r="4481" spans="1:2" x14ac:dyDescent="0.25">
      <c r="A4481" s="62">
        <v>31121216</v>
      </c>
      <c r="B4481" s="63" t="s">
        <v>5162</v>
      </c>
    </row>
    <row r="4482" spans="1:2" x14ac:dyDescent="0.25">
      <c r="A4482" s="62">
        <v>31121217</v>
      </c>
      <c r="B4482" s="63" t="s">
        <v>5163</v>
      </c>
    </row>
    <row r="4483" spans="1:2" x14ac:dyDescent="0.25">
      <c r="A4483" s="62">
        <v>31121218</v>
      </c>
      <c r="B4483" s="63" t="s">
        <v>5164</v>
      </c>
    </row>
    <row r="4484" spans="1:2" x14ac:dyDescent="0.25">
      <c r="A4484" s="62">
        <v>31121219</v>
      </c>
      <c r="B4484" s="63" t="s">
        <v>5165</v>
      </c>
    </row>
    <row r="4485" spans="1:2" x14ac:dyDescent="0.25">
      <c r="A4485" s="62">
        <v>31121301</v>
      </c>
      <c r="B4485" s="63" t="s">
        <v>5166</v>
      </c>
    </row>
    <row r="4486" spans="1:2" x14ac:dyDescent="0.25">
      <c r="A4486" s="62">
        <v>31121302</v>
      </c>
      <c r="B4486" s="63" t="s">
        <v>5167</v>
      </c>
    </row>
    <row r="4487" spans="1:2" x14ac:dyDescent="0.25">
      <c r="A4487" s="62">
        <v>31121303</v>
      </c>
      <c r="B4487" s="63" t="s">
        <v>5168</v>
      </c>
    </row>
    <row r="4488" spans="1:2" x14ac:dyDescent="0.25">
      <c r="A4488" s="62">
        <v>31121304</v>
      </c>
      <c r="B4488" s="63" t="s">
        <v>5169</v>
      </c>
    </row>
    <row r="4489" spans="1:2" x14ac:dyDescent="0.25">
      <c r="A4489" s="62">
        <v>31121305</v>
      </c>
      <c r="B4489" s="63" t="s">
        <v>5170</v>
      </c>
    </row>
    <row r="4490" spans="1:2" x14ac:dyDescent="0.25">
      <c r="A4490" s="62">
        <v>31121306</v>
      </c>
      <c r="B4490" s="63" t="s">
        <v>5171</v>
      </c>
    </row>
    <row r="4491" spans="1:2" x14ac:dyDescent="0.25">
      <c r="A4491" s="62">
        <v>31121307</v>
      </c>
      <c r="B4491" s="63" t="s">
        <v>5172</v>
      </c>
    </row>
    <row r="4492" spans="1:2" x14ac:dyDescent="0.25">
      <c r="A4492" s="62">
        <v>31121308</v>
      </c>
      <c r="B4492" s="63" t="s">
        <v>5173</v>
      </c>
    </row>
    <row r="4493" spans="1:2" x14ac:dyDescent="0.25">
      <c r="A4493" s="62">
        <v>31121309</v>
      </c>
      <c r="B4493" s="63" t="s">
        <v>5174</v>
      </c>
    </row>
    <row r="4494" spans="1:2" x14ac:dyDescent="0.25">
      <c r="A4494" s="62">
        <v>31121310</v>
      </c>
      <c r="B4494" s="63" t="s">
        <v>5175</v>
      </c>
    </row>
    <row r="4495" spans="1:2" x14ac:dyDescent="0.25">
      <c r="A4495" s="62">
        <v>31121311</v>
      </c>
      <c r="B4495" s="63" t="s">
        <v>5176</v>
      </c>
    </row>
    <row r="4496" spans="1:2" x14ac:dyDescent="0.25">
      <c r="A4496" s="62">
        <v>31121312</v>
      </c>
      <c r="B4496" s="63" t="s">
        <v>5177</v>
      </c>
    </row>
    <row r="4497" spans="1:2" x14ac:dyDescent="0.25">
      <c r="A4497" s="62">
        <v>31121313</v>
      </c>
      <c r="B4497" s="63" t="s">
        <v>5178</v>
      </c>
    </row>
    <row r="4498" spans="1:2" x14ac:dyDescent="0.25">
      <c r="A4498" s="62">
        <v>31121314</v>
      </c>
      <c r="B4498" s="63" t="s">
        <v>5179</v>
      </c>
    </row>
    <row r="4499" spans="1:2" x14ac:dyDescent="0.25">
      <c r="A4499" s="62">
        <v>31121315</v>
      </c>
      <c r="B4499" s="63" t="s">
        <v>5180</v>
      </c>
    </row>
    <row r="4500" spans="1:2" x14ac:dyDescent="0.25">
      <c r="A4500" s="62">
        <v>31121316</v>
      </c>
      <c r="B4500" s="63" t="s">
        <v>5181</v>
      </c>
    </row>
    <row r="4501" spans="1:2" x14ac:dyDescent="0.25">
      <c r="A4501" s="62">
        <v>31121317</v>
      </c>
      <c r="B4501" s="63" t="s">
        <v>5182</v>
      </c>
    </row>
    <row r="4502" spans="1:2" x14ac:dyDescent="0.25">
      <c r="A4502" s="62">
        <v>31121318</v>
      </c>
      <c r="B4502" s="63" t="s">
        <v>5183</v>
      </c>
    </row>
    <row r="4503" spans="1:2" x14ac:dyDescent="0.25">
      <c r="A4503" s="62">
        <v>31121319</v>
      </c>
      <c r="B4503" s="63" t="s">
        <v>5184</v>
      </c>
    </row>
    <row r="4504" spans="1:2" x14ac:dyDescent="0.25">
      <c r="A4504" s="62">
        <v>31121401</v>
      </c>
      <c r="B4504" s="63" t="s">
        <v>5185</v>
      </c>
    </row>
    <row r="4505" spans="1:2" x14ac:dyDescent="0.25">
      <c r="A4505" s="62">
        <v>31121402</v>
      </c>
      <c r="B4505" s="63" t="s">
        <v>5186</v>
      </c>
    </row>
    <row r="4506" spans="1:2" x14ac:dyDescent="0.25">
      <c r="A4506" s="62">
        <v>31121403</v>
      </c>
      <c r="B4506" s="63" t="s">
        <v>5187</v>
      </c>
    </row>
    <row r="4507" spans="1:2" x14ac:dyDescent="0.25">
      <c r="A4507" s="62">
        <v>31121404</v>
      </c>
      <c r="B4507" s="63" t="s">
        <v>5188</v>
      </c>
    </row>
    <row r="4508" spans="1:2" x14ac:dyDescent="0.25">
      <c r="A4508" s="62">
        <v>31121405</v>
      </c>
      <c r="B4508" s="63" t="s">
        <v>5189</v>
      </c>
    </row>
    <row r="4509" spans="1:2" x14ac:dyDescent="0.25">
      <c r="A4509" s="62">
        <v>31121406</v>
      </c>
      <c r="B4509" s="63" t="s">
        <v>5190</v>
      </c>
    </row>
    <row r="4510" spans="1:2" x14ac:dyDescent="0.25">
      <c r="A4510" s="62">
        <v>31121407</v>
      </c>
      <c r="B4510" s="63" t="s">
        <v>5191</v>
      </c>
    </row>
    <row r="4511" spans="1:2" x14ac:dyDescent="0.25">
      <c r="A4511" s="62">
        <v>31121408</v>
      </c>
      <c r="B4511" s="63" t="s">
        <v>5192</v>
      </c>
    </row>
    <row r="4512" spans="1:2" x14ac:dyDescent="0.25">
      <c r="A4512" s="62">
        <v>31121409</v>
      </c>
      <c r="B4512" s="63" t="s">
        <v>5193</v>
      </c>
    </row>
    <row r="4513" spans="1:2" x14ac:dyDescent="0.25">
      <c r="A4513" s="62">
        <v>31121410</v>
      </c>
      <c r="B4513" s="63" t="s">
        <v>5194</v>
      </c>
    </row>
    <row r="4514" spans="1:2" x14ac:dyDescent="0.25">
      <c r="A4514" s="62">
        <v>31121411</v>
      </c>
      <c r="B4514" s="63" t="s">
        <v>5195</v>
      </c>
    </row>
    <row r="4515" spans="1:2" x14ac:dyDescent="0.25">
      <c r="A4515" s="62">
        <v>31121412</v>
      </c>
      <c r="B4515" s="63" t="s">
        <v>5196</v>
      </c>
    </row>
    <row r="4516" spans="1:2" x14ac:dyDescent="0.25">
      <c r="A4516" s="62">
        <v>31121413</v>
      </c>
      <c r="B4516" s="63" t="s">
        <v>5197</v>
      </c>
    </row>
    <row r="4517" spans="1:2" x14ac:dyDescent="0.25">
      <c r="A4517" s="62">
        <v>31121414</v>
      </c>
      <c r="B4517" s="63" t="s">
        <v>5198</v>
      </c>
    </row>
    <row r="4518" spans="1:2" x14ac:dyDescent="0.25">
      <c r="A4518" s="62">
        <v>31121415</v>
      </c>
      <c r="B4518" s="63" t="s">
        <v>5199</v>
      </c>
    </row>
    <row r="4519" spans="1:2" x14ac:dyDescent="0.25">
      <c r="A4519" s="62">
        <v>31121416</v>
      </c>
      <c r="B4519" s="63" t="s">
        <v>5200</v>
      </c>
    </row>
    <row r="4520" spans="1:2" x14ac:dyDescent="0.25">
      <c r="A4520" s="62">
        <v>31121417</v>
      </c>
      <c r="B4520" s="63" t="s">
        <v>5201</v>
      </c>
    </row>
    <row r="4521" spans="1:2" x14ac:dyDescent="0.25">
      <c r="A4521" s="62">
        <v>31121418</v>
      </c>
      <c r="B4521" s="63" t="s">
        <v>5202</v>
      </c>
    </row>
    <row r="4522" spans="1:2" x14ac:dyDescent="0.25">
      <c r="A4522" s="62">
        <v>31121419</v>
      </c>
      <c r="B4522" s="63" t="s">
        <v>5203</v>
      </c>
    </row>
    <row r="4523" spans="1:2" x14ac:dyDescent="0.25">
      <c r="A4523" s="62">
        <v>31121501</v>
      </c>
      <c r="B4523" s="63" t="s">
        <v>5204</v>
      </c>
    </row>
    <row r="4524" spans="1:2" x14ac:dyDescent="0.25">
      <c r="A4524" s="62">
        <v>31121502</v>
      </c>
      <c r="B4524" s="63" t="s">
        <v>5205</v>
      </c>
    </row>
    <row r="4525" spans="1:2" x14ac:dyDescent="0.25">
      <c r="A4525" s="62">
        <v>31121503</v>
      </c>
      <c r="B4525" s="63" t="s">
        <v>5206</v>
      </c>
    </row>
    <row r="4526" spans="1:2" x14ac:dyDescent="0.25">
      <c r="A4526" s="62">
        <v>31121504</v>
      </c>
      <c r="B4526" s="63" t="s">
        <v>5207</v>
      </c>
    </row>
    <row r="4527" spans="1:2" x14ac:dyDescent="0.25">
      <c r="A4527" s="62">
        <v>31121505</v>
      </c>
      <c r="B4527" s="63" t="s">
        <v>5208</v>
      </c>
    </row>
    <row r="4528" spans="1:2" x14ac:dyDescent="0.25">
      <c r="A4528" s="62">
        <v>31121506</v>
      </c>
      <c r="B4528" s="63" t="s">
        <v>5209</v>
      </c>
    </row>
    <row r="4529" spans="1:2" x14ac:dyDescent="0.25">
      <c r="A4529" s="62">
        <v>31121507</v>
      </c>
      <c r="B4529" s="63" t="s">
        <v>5210</v>
      </c>
    </row>
    <row r="4530" spans="1:2" x14ac:dyDescent="0.25">
      <c r="A4530" s="62">
        <v>31121508</v>
      </c>
      <c r="B4530" s="63" t="s">
        <v>5211</v>
      </c>
    </row>
    <row r="4531" spans="1:2" x14ac:dyDescent="0.25">
      <c r="A4531" s="62">
        <v>31121509</v>
      </c>
      <c r="B4531" s="63" t="s">
        <v>5212</v>
      </c>
    </row>
    <row r="4532" spans="1:2" x14ac:dyDescent="0.25">
      <c r="A4532" s="62">
        <v>31121510</v>
      </c>
      <c r="B4532" s="63" t="s">
        <v>5213</v>
      </c>
    </row>
    <row r="4533" spans="1:2" x14ac:dyDescent="0.25">
      <c r="A4533" s="62">
        <v>31121511</v>
      </c>
      <c r="B4533" s="63" t="s">
        <v>5214</v>
      </c>
    </row>
    <row r="4534" spans="1:2" x14ac:dyDescent="0.25">
      <c r="A4534" s="62">
        <v>31121512</v>
      </c>
      <c r="B4534" s="63" t="s">
        <v>5215</v>
      </c>
    </row>
    <row r="4535" spans="1:2" x14ac:dyDescent="0.25">
      <c r="A4535" s="62">
        <v>31121513</v>
      </c>
      <c r="B4535" s="63" t="s">
        <v>5216</v>
      </c>
    </row>
    <row r="4536" spans="1:2" x14ac:dyDescent="0.25">
      <c r="A4536" s="62">
        <v>31121514</v>
      </c>
      <c r="B4536" s="63" t="s">
        <v>5217</v>
      </c>
    </row>
    <row r="4537" spans="1:2" x14ac:dyDescent="0.25">
      <c r="A4537" s="62">
        <v>31121515</v>
      </c>
      <c r="B4537" s="63" t="s">
        <v>5218</v>
      </c>
    </row>
    <row r="4538" spans="1:2" x14ac:dyDescent="0.25">
      <c r="A4538" s="62">
        <v>31121516</v>
      </c>
      <c r="B4538" s="63" t="s">
        <v>5219</v>
      </c>
    </row>
    <row r="4539" spans="1:2" x14ac:dyDescent="0.25">
      <c r="A4539" s="62">
        <v>31121517</v>
      </c>
      <c r="B4539" s="63" t="s">
        <v>5220</v>
      </c>
    </row>
    <row r="4540" spans="1:2" x14ac:dyDescent="0.25">
      <c r="A4540" s="62">
        <v>31121518</v>
      </c>
      <c r="B4540" s="63" t="s">
        <v>5221</v>
      </c>
    </row>
    <row r="4541" spans="1:2" x14ac:dyDescent="0.25">
      <c r="A4541" s="62">
        <v>31121519</v>
      </c>
      <c r="B4541" s="63" t="s">
        <v>5222</v>
      </c>
    </row>
    <row r="4542" spans="1:2" x14ac:dyDescent="0.25">
      <c r="A4542" s="62">
        <v>31121601</v>
      </c>
      <c r="B4542" s="63" t="s">
        <v>5223</v>
      </c>
    </row>
    <row r="4543" spans="1:2" x14ac:dyDescent="0.25">
      <c r="A4543" s="62">
        <v>31121602</v>
      </c>
      <c r="B4543" s="63" t="s">
        <v>5224</v>
      </c>
    </row>
    <row r="4544" spans="1:2" x14ac:dyDescent="0.25">
      <c r="A4544" s="62">
        <v>31121603</v>
      </c>
      <c r="B4544" s="63" t="s">
        <v>5225</v>
      </c>
    </row>
    <row r="4545" spans="1:2" x14ac:dyDescent="0.25">
      <c r="A4545" s="62">
        <v>31121604</v>
      </c>
      <c r="B4545" s="63" t="s">
        <v>5226</v>
      </c>
    </row>
    <row r="4546" spans="1:2" x14ac:dyDescent="0.25">
      <c r="A4546" s="62">
        <v>31121605</v>
      </c>
      <c r="B4546" s="63" t="s">
        <v>5227</v>
      </c>
    </row>
    <row r="4547" spans="1:2" x14ac:dyDescent="0.25">
      <c r="A4547" s="62">
        <v>31121606</v>
      </c>
      <c r="B4547" s="63" t="s">
        <v>5228</v>
      </c>
    </row>
    <row r="4548" spans="1:2" x14ac:dyDescent="0.25">
      <c r="A4548" s="62">
        <v>31121607</v>
      </c>
      <c r="B4548" s="63" t="s">
        <v>5229</v>
      </c>
    </row>
    <row r="4549" spans="1:2" x14ac:dyDescent="0.25">
      <c r="A4549" s="62">
        <v>31121608</v>
      </c>
      <c r="B4549" s="63" t="s">
        <v>5230</v>
      </c>
    </row>
    <row r="4550" spans="1:2" x14ac:dyDescent="0.25">
      <c r="A4550" s="62">
        <v>31121609</v>
      </c>
      <c r="B4550" s="63" t="s">
        <v>5231</v>
      </c>
    </row>
    <row r="4551" spans="1:2" x14ac:dyDescent="0.25">
      <c r="A4551" s="62">
        <v>31121610</v>
      </c>
      <c r="B4551" s="63" t="s">
        <v>5232</v>
      </c>
    </row>
    <row r="4552" spans="1:2" x14ac:dyDescent="0.25">
      <c r="A4552" s="62">
        <v>31121611</v>
      </c>
      <c r="B4552" s="63" t="s">
        <v>5233</v>
      </c>
    </row>
    <row r="4553" spans="1:2" x14ac:dyDescent="0.25">
      <c r="A4553" s="62">
        <v>31121612</v>
      </c>
      <c r="B4553" s="63" t="s">
        <v>5234</v>
      </c>
    </row>
    <row r="4554" spans="1:2" x14ac:dyDescent="0.25">
      <c r="A4554" s="62">
        <v>31121613</v>
      </c>
      <c r="B4554" s="63" t="s">
        <v>5235</v>
      </c>
    </row>
    <row r="4555" spans="1:2" x14ac:dyDescent="0.25">
      <c r="A4555" s="62">
        <v>31121614</v>
      </c>
      <c r="B4555" s="63" t="s">
        <v>5236</v>
      </c>
    </row>
    <row r="4556" spans="1:2" x14ac:dyDescent="0.25">
      <c r="A4556" s="62">
        <v>31121615</v>
      </c>
      <c r="B4556" s="63" t="s">
        <v>5237</v>
      </c>
    </row>
    <row r="4557" spans="1:2" x14ac:dyDescent="0.25">
      <c r="A4557" s="62">
        <v>31121701</v>
      </c>
      <c r="B4557" s="63" t="s">
        <v>5238</v>
      </c>
    </row>
    <row r="4558" spans="1:2" x14ac:dyDescent="0.25">
      <c r="A4558" s="62">
        <v>31121702</v>
      </c>
      <c r="B4558" s="63" t="s">
        <v>5239</v>
      </c>
    </row>
    <row r="4559" spans="1:2" x14ac:dyDescent="0.25">
      <c r="A4559" s="62">
        <v>31121703</v>
      </c>
      <c r="B4559" s="63" t="s">
        <v>5240</v>
      </c>
    </row>
    <row r="4560" spans="1:2" x14ac:dyDescent="0.25">
      <c r="A4560" s="62">
        <v>31121704</v>
      </c>
      <c r="B4560" s="63" t="s">
        <v>5241</v>
      </c>
    </row>
    <row r="4561" spans="1:2" x14ac:dyDescent="0.25">
      <c r="A4561" s="62">
        <v>31121705</v>
      </c>
      <c r="B4561" s="63" t="s">
        <v>5242</v>
      </c>
    </row>
    <row r="4562" spans="1:2" x14ac:dyDescent="0.25">
      <c r="A4562" s="62">
        <v>31121706</v>
      </c>
      <c r="B4562" s="63" t="s">
        <v>5243</v>
      </c>
    </row>
    <row r="4563" spans="1:2" x14ac:dyDescent="0.25">
      <c r="A4563" s="62">
        <v>31121707</v>
      </c>
      <c r="B4563" s="63" t="s">
        <v>5244</v>
      </c>
    </row>
    <row r="4564" spans="1:2" x14ac:dyDescent="0.25">
      <c r="A4564" s="62">
        <v>31121708</v>
      </c>
      <c r="B4564" s="63" t="s">
        <v>5245</v>
      </c>
    </row>
    <row r="4565" spans="1:2" x14ac:dyDescent="0.25">
      <c r="A4565" s="62">
        <v>31121709</v>
      </c>
      <c r="B4565" s="63" t="s">
        <v>5246</v>
      </c>
    </row>
    <row r="4566" spans="1:2" x14ac:dyDescent="0.25">
      <c r="A4566" s="62">
        <v>31121710</v>
      </c>
      <c r="B4566" s="63" t="s">
        <v>5247</v>
      </c>
    </row>
    <row r="4567" spans="1:2" x14ac:dyDescent="0.25">
      <c r="A4567" s="62">
        <v>31121711</v>
      </c>
      <c r="B4567" s="63" t="s">
        <v>5248</v>
      </c>
    </row>
    <row r="4568" spans="1:2" x14ac:dyDescent="0.25">
      <c r="A4568" s="62">
        <v>31121712</v>
      </c>
      <c r="B4568" s="63" t="s">
        <v>5249</v>
      </c>
    </row>
    <row r="4569" spans="1:2" x14ac:dyDescent="0.25">
      <c r="A4569" s="62">
        <v>31121713</v>
      </c>
      <c r="B4569" s="63" t="s">
        <v>5250</v>
      </c>
    </row>
    <row r="4570" spans="1:2" x14ac:dyDescent="0.25">
      <c r="A4570" s="62">
        <v>31121714</v>
      </c>
      <c r="B4570" s="63" t="s">
        <v>5251</v>
      </c>
    </row>
    <row r="4571" spans="1:2" x14ac:dyDescent="0.25">
      <c r="A4571" s="62">
        <v>31121715</v>
      </c>
      <c r="B4571" s="63" t="s">
        <v>5252</v>
      </c>
    </row>
    <row r="4572" spans="1:2" x14ac:dyDescent="0.25">
      <c r="A4572" s="62">
        <v>31121716</v>
      </c>
      <c r="B4572" s="63" t="s">
        <v>5253</v>
      </c>
    </row>
    <row r="4573" spans="1:2" x14ac:dyDescent="0.25">
      <c r="A4573" s="62">
        <v>31121717</v>
      </c>
      <c r="B4573" s="63" t="s">
        <v>5254</v>
      </c>
    </row>
    <row r="4574" spans="1:2" x14ac:dyDescent="0.25">
      <c r="A4574" s="62">
        <v>31121718</v>
      </c>
      <c r="B4574" s="63" t="s">
        <v>5255</v>
      </c>
    </row>
    <row r="4575" spans="1:2" x14ac:dyDescent="0.25">
      <c r="A4575" s="62">
        <v>31121719</v>
      </c>
      <c r="B4575" s="63" t="s">
        <v>5256</v>
      </c>
    </row>
    <row r="4576" spans="1:2" x14ac:dyDescent="0.25">
      <c r="A4576" s="62">
        <v>31121801</v>
      </c>
      <c r="B4576" s="63" t="s">
        <v>5257</v>
      </c>
    </row>
    <row r="4577" spans="1:2" x14ac:dyDescent="0.25">
      <c r="A4577" s="62">
        <v>31121802</v>
      </c>
      <c r="B4577" s="63" t="s">
        <v>5258</v>
      </c>
    </row>
    <row r="4578" spans="1:2" x14ac:dyDescent="0.25">
      <c r="A4578" s="62">
        <v>31121803</v>
      </c>
      <c r="B4578" s="63" t="s">
        <v>5259</v>
      </c>
    </row>
    <row r="4579" spans="1:2" x14ac:dyDescent="0.25">
      <c r="A4579" s="62">
        <v>31121804</v>
      </c>
      <c r="B4579" s="63" t="s">
        <v>5260</v>
      </c>
    </row>
    <row r="4580" spans="1:2" x14ac:dyDescent="0.25">
      <c r="A4580" s="62">
        <v>31121805</v>
      </c>
      <c r="B4580" s="63" t="s">
        <v>5261</v>
      </c>
    </row>
    <row r="4581" spans="1:2" x14ac:dyDescent="0.25">
      <c r="A4581" s="62">
        <v>31121806</v>
      </c>
      <c r="B4581" s="63" t="s">
        <v>5262</v>
      </c>
    </row>
    <row r="4582" spans="1:2" x14ac:dyDescent="0.25">
      <c r="A4582" s="62">
        <v>31121807</v>
      </c>
      <c r="B4582" s="63" t="s">
        <v>5263</v>
      </c>
    </row>
    <row r="4583" spans="1:2" x14ac:dyDescent="0.25">
      <c r="A4583" s="62">
        <v>31121808</v>
      </c>
      <c r="B4583" s="63" t="s">
        <v>5264</v>
      </c>
    </row>
    <row r="4584" spans="1:2" x14ac:dyDescent="0.25">
      <c r="A4584" s="62">
        <v>31121809</v>
      </c>
      <c r="B4584" s="63" t="s">
        <v>5265</v>
      </c>
    </row>
    <row r="4585" spans="1:2" x14ac:dyDescent="0.25">
      <c r="A4585" s="62">
        <v>31121810</v>
      </c>
      <c r="B4585" s="63" t="s">
        <v>5266</v>
      </c>
    </row>
    <row r="4586" spans="1:2" x14ac:dyDescent="0.25">
      <c r="A4586" s="62">
        <v>31121811</v>
      </c>
      <c r="B4586" s="63" t="s">
        <v>5267</v>
      </c>
    </row>
    <row r="4587" spans="1:2" x14ac:dyDescent="0.25">
      <c r="A4587" s="62">
        <v>31121812</v>
      </c>
      <c r="B4587" s="63" t="s">
        <v>5268</v>
      </c>
    </row>
    <row r="4588" spans="1:2" x14ac:dyDescent="0.25">
      <c r="A4588" s="62">
        <v>31121813</v>
      </c>
      <c r="B4588" s="63" t="s">
        <v>5269</v>
      </c>
    </row>
    <row r="4589" spans="1:2" x14ac:dyDescent="0.25">
      <c r="A4589" s="62">
        <v>31121814</v>
      </c>
      <c r="B4589" s="63" t="s">
        <v>5270</v>
      </c>
    </row>
    <row r="4590" spans="1:2" x14ac:dyDescent="0.25">
      <c r="A4590" s="62">
        <v>31121815</v>
      </c>
      <c r="B4590" s="63" t="s">
        <v>5271</v>
      </c>
    </row>
    <row r="4591" spans="1:2" x14ac:dyDescent="0.25">
      <c r="A4591" s="62">
        <v>31121816</v>
      </c>
      <c r="B4591" s="63" t="s">
        <v>5272</v>
      </c>
    </row>
    <row r="4592" spans="1:2" x14ac:dyDescent="0.25">
      <c r="A4592" s="62">
        <v>31121817</v>
      </c>
      <c r="B4592" s="63" t="s">
        <v>5273</v>
      </c>
    </row>
    <row r="4593" spans="1:2" x14ac:dyDescent="0.25">
      <c r="A4593" s="62">
        <v>31121818</v>
      </c>
      <c r="B4593" s="63" t="s">
        <v>5274</v>
      </c>
    </row>
    <row r="4594" spans="1:2" x14ac:dyDescent="0.25">
      <c r="A4594" s="62">
        <v>31121819</v>
      </c>
      <c r="B4594" s="63" t="s">
        <v>5275</v>
      </c>
    </row>
    <row r="4595" spans="1:2" x14ac:dyDescent="0.25">
      <c r="A4595" s="62">
        <v>31121901</v>
      </c>
      <c r="B4595" s="63" t="s">
        <v>5276</v>
      </c>
    </row>
    <row r="4596" spans="1:2" x14ac:dyDescent="0.25">
      <c r="A4596" s="62">
        <v>31121902</v>
      </c>
      <c r="B4596" s="63" t="s">
        <v>5277</v>
      </c>
    </row>
    <row r="4597" spans="1:2" x14ac:dyDescent="0.25">
      <c r="A4597" s="62">
        <v>31121903</v>
      </c>
      <c r="B4597" s="63" t="s">
        <v>5278</v>
      </c>
    </row>
    <row r="4598" spans="1:2" x14ac:dyDescent="0.25">
      <c r="A4598" s="62">
        <v>31121904</v>
      </c>
      <c r="B4598" s="63" t="s">
        <v>5279</v>
      </c>
    </row>
    <row r="4599" spans="1:2" x14ac:dyDescent="0.25">
      <c r="A4599" s="62">
        <v>31121905</v>
      </c>
      <c r="B4599" s="63" t="s">
        <v>5280</v>
      </c>
    </row>
    <row r="4600" spans="1:2" x14ac:dyDescent="0.25">
      <c r="A4600" s="62">
        <v>31121906</v>
      </c>
      <c r="B4600" s="63" t="s">
        <v>5281</v>
      </c>
    </row>
    <row r="4601" spans="1:2" x14ac:dyDescent="0.25">
      <c r="A4601" s="62">
        <v>31121907</v>
      </c>
      <c r="B4601" s="63" t="s">
        <v>5282</v>
      </c>
    </row>
    <row r="4602" spans="1:2" x14ac:dyDescent="0.25">
      <c r="A4602" s="62">
        <v>31121908</v>
      </c>
      <c r="B4602" s="63" t="s">
        <v>5283</v>
      </c>
    </row>
    <row r="4603" spans="1:2" x14ac:dyDescent="0.25">
      <c r="A4603" s="62">
        <v>31121909</v>
      </c>
      <c r="B4603" s="63" t="s">
        <v>5284</v>
      </c>
    </row>
    <row r="4604" spans="1:2" x14ac:dyDescent="0.25">
      <c r="A4604" s="62">
        <v>31121910</v>
      </c>
      <c r="B4604" s="63" t="s">
        <v>5285</v>
      </c>
    </row>
    <row r="4605" spans="1:2" x14ac:dyDescent="0.25">
      <c r="A4605" s="62">
        <v>31121911</v>
      </c>
      <c r="B4605" s="63" t="s">
        <v>5286</v>
      </c>
    </row>
    <row r="4606" spans="1:2" x14ac:dyDescent="0.25">
      <c r="A4606" s="62">
        <v>31121912</v>
      </c>
      <c r="B4606" s="63" t="s">
        <v>5287</v>
      </c>
    </row>
    <row r="4607" spans="1:2" x14ac:dyDescent="0.25">
      <c r="A4607" s="62">
        <v>31121913</v>
      </c>
      <c r="B4607" s="63" t="s">
        <v>5288</v>
      </c>
    </row>
    <row r="4608" spans="1:2" x14ac:dyDescent="0.25">
      <c r="A4608" s="62">
        <v>31121914</v>
      </c>
      <c r="B4608" s="63" t="s">
        <v>5289</v>
      </c>
    </row>
    <row r="4609" spans="1:2" x14ac:dyDescent="0.25">
      <c r="A4609" s="62">
        <v>31121915</v>
      </c>
      <c r="B4609" s="63" t="s">
        <v>5290</v>
      </c>
    </row>
    <row r="4610" spans="1:2" x14ac:dyDescent="0.25">
      <c r="A4610" s="62">
        <v>31121916</v>
      </c>
      <c r="B4610" s="63" t="s">
        <v>5291</v>
      </c>
    </row>
    <row r="4611" spans="1:2" x14ac:dyDescent="0.25">
      <c r="A4611" s="62">
        <v>31121917</v>
      </c>
      <c r="B4611" s="63" t="s">
        <v>5292</v>
      </c>
    </row>
    <row r="4612" spans="1:2" x14ac:dyDescent="0.25">
      <c r="A4612" s="62">
        <v>31121918</v>
      </c>
      <c r="B4612" s="63" t="s">
        <v>5293</v>
      </c>
    </row>
    <row r="4613" spans="1:2" x14ac:dyDescent="0.25">
      <c r="A4613" s="62">
        <v>31121919</v>
      </c>
      <c r="B4613" s="63" t="s">
        <v>5294</v>
      </c>
    </row>
    <row r="4614" spans="1:2" x14ac:dyDescent="0.25">
      <c r="A4614" s="62">
        <v>31131501</v>
      </c>
      <c r="B4614" s="63" t="s">
        <v>5295</v>
      </c>
    </row>
    <row r="4615" spans="1:2" x14ac:dyDescent="0.25">
      <c r="A4615" s="62">
        <v>31131502</v>
      </c>
      <c r="B4615" s="63" t="s">
        <v>5296</v>
      </c>
    </row>
    <row r="4616" spans="1:2" x14ac:dyDescent="0.25">
      <c r="A4616" s="62">
        <v>31131503</v>
      </c>
      <c r="B4616" s="63" t="s">
        <v>5297</v>
      </c>
    </row>
    <row r="4617" spans="1:2" x14ac:dyDescent="0.25">
      <c r="A4617" s="62">
        <v>31131504</v>
      </c>
      <c r="B4617" s="63" t="s">
        <v>5298</v>
      </c>
    </row>
    <row r="4618" spans="1:2" x14ac:dyDescent="0.25">
      <c r="A4618" s="62">
        <v>31131505</v>
      </c>
      <c r="B4618" s="63" t="s">
        <v>5299</v>
      </c>
    </row>
    <row r="4619" spans="1:2" x14ac:dyDescent="0.25">
      <c r="A4619" s="62">
        <v>31131506</v>
      </c>
      <c r="B4619" s="63" t="s">
        <v>5300</v>
      </c>
    </row>
    <row r="4620" spans="1:2" x14ac:dyDescent="0.25">
      <c r="A4620" s="62">
        <v>31131507</v>
      </c>
      <c r="B4620" s="63" t="s">
        <v>5301</v>
      </c>
    </row>
    <row r="4621" spans="1:2" x14ac:dyDescent="0.25">
      <c r="A4621" s="62">
        <v>31131508</v>
      </c>
      <c r="B4621" s="63" t="s">
        <v>5302</v>
      </c>
    </row>
    <row r="4622" spans="1:2" x14ac:dyDescent="0.25">
      <c r="A4622" s="62">
        <v>31131509</v>
      </c>
      <c r="B4622" s="63" t="s">
        <v>5303</v>
      </c>
    </row>
    <row r="4623" spans="1:2" x14ac:dyDescent="0.25">
      <c r="A4623" s="62">
        <v>31131510</v>
      </c>
      <c r="B4623" s="63" t="s">
        <v>5304</v>
      </c>
    </row>
    <row r="4624" spans="1:2" x14ac:dyDescent="0.25">
      <c r="A4624" s="62">
        <v>31131511</v>
      </c>
      <c r="B4624" s="63" t="s">
        <v>5305</v>
      </c>
    </row>
    <row r="4625" spans="1:2" x14ac:dyDescent="0.25">
      <c r="A4625" s="62">
        <v>31131512</v>
      </c>
      <c r="B4625" s="63" t="s">
        <v>5306</v>
      </c>
    </row>
    <row r="4626" spans="1:2" x14ac:dyDescent="0.25">
      <c r="A4626" s="62">
        <v>31131513</v>
      </c>
      <c r="B4626" s="63" t="s">
        <v>5307</v>
      </c>
    </row>
    <row r="4627" spans="1:2" x14ac:dyDescent="0.25">
      <c r="A4627" s="62">
        <v>31131514</v>
      </c>
      <c r="B4627" s="63" t="s">
        <v>5308</v>
      </c>
    </row>
    <row r="4628" spans="1:2" x14ac:dyDescent="0.25">
      <c r="A4628" s="62">
        <v>31131515</v>
      </c>
      <c r="B4628" s="63" t="s">
        <v>5309</v>
      </c>
    </row>
    <row r="4629" spans="1:2" x14ac:dyDescent="0.25">
      <c r="A4629" s="62">
        <v>31131516</v>
      </c>
      <c r="B4629" s="63" t="s">
        <v>5310</v>
      </c>
    </row>
    <row r="4630" spans="1:2" x14ac:dyDescent="0.25">
      <c r="A4630" s="62">
        <v>31131601</v>
      </c>
      <c r="B4630" s="63" t="s">
        <v>5311</v>
      </c>
    </row>
    <row r="4631" spans="1:2" x14ac:dyDescent="0.25">
      <c r="A4631" s="62">
        <v>31131602</v>
      </c>
      <c r="B4631" s="63" t="s">
        <v>5312</v>
      </c>
    </row>
    <row r="4632" spans="1:2" x14ac:dyDescent="0.25">
      <c r="A4632" s="62">
        <v>31131603</v>
      </c>
      <c r="B4632" s="63" t="s">
        <v>5313</v>
      </c>
    </row>
    <row r="4633" spans="1:2" x14ac:dyDescent="0.25">
      <c r="A4633" s="62">
        <v>31131604</v>
      </c>
      <c r="B4633" s="63" t="s">
        <v>5314</v>
      </c>
    </row>
    <row r="4634" spans="1:2" x14ac:dyDescent="0.25">
      <c r="A4634" s="62">
        <v>31131605</v>
      </c>
      <c r="B4634" s="63" t="s">
        <v>5315</v>
      </c>
    </row>
    <row r="4635" spans="1:2" x14ac:dyDescent="0.25">
      <c r="A4635" s="62">
        <v>31131606</v>
      </c>
      <c r="B4635" s="63" t="s">
        <v>5316</v>
      </c>
    </row>
    <row r="4636" spans="1:2" x14ac:dyDescent="0.25">
      <c r="A4636" s="62">
        <v>31131607</v>
      </c>
      <c r="B4636" s="63" t="s">
        <v>5317</v>
      </c>
    </row>
    <row r="4637" spans="1:2" x14ac:dyDescent="0.25">
      <c r="A4637" s="62">
        <v>31131608</v>
      </c>
      <c r="B4637" s="63" t="s">
        <v>5318</v>
      </c>
    </row>
    <row r="4638" spans="1:2" x14ac:dyDescent="0.25">
      <c r="A4638" s="62">
        <v>31131609</v>
      </c>
      <c r="B4638" s="63" t="s">
        <v>5319</v>
      </c>
    </row>
    <row r="4639" spans="1:2" x14ac:dyDescent="0.25">
      <c r="A4639" s="62">
        <v>31131610</v>
      </c>
      <c r="B4639" s="63" t="s">
        <v>5320</v>
      </c>
    </row>
    <row r="4640" spans="1:2" x14ac:dyDescent="0.25">
      <c r="A4640" s="62">
        <v>31131611</v>
      </c>
      <c r="B4640" s="63" t="s">
        <v>5321</v>
      </c>
    </row>
    <row r="4641" spans="1:2" x14ac:dyDescent="0.25">
      <c r="A4641" s="62">
        <v>31131612</v>
      </c>
      <c r="B4641" s="63" t="s">
        <v>5322</v>
      </c>
    </row>
    <row r="4642" spans="1:2" x14ac:dyDescent="0.25">
      <c r="A4642" s="62">
        <v>31131613</v>
      </c>
      <c r="B4642" s="63" t="s">
        <v>5323</v>
      </c>
    </row>
    <row r="4643" spans="1:2" x14ac:dyDescent="0.25">
      <c r="A4643" s="62">
        <v>31131614</v>
      </c>
      <c r="B4643" s="63" t="s">
        <v>5324</v>
      </c>
    </row>
    <row r="4644" spans="1:2" x14ac:dyDescent="0.25">
      <c r="A4644" s="62">
        <v>31131615</v>
      </c>
      <c r="B4644" s="63" t="s">
        <v>5325</v>
      </c>
    </row>
    <row r="4645" spans="1:2" x14ac:dyDescent="0.25">
      <c r="A4645" s="62">
        <v>31131616</v>
      </c>
      <c r="B4645" s="63" t="s">
        <v>5326</v>
      </c>
    </row>
    <row r="4646" spans="1:2" x14ac:dyDescent="0.25">
      <c r="A4646" s="62">
        <v>31131701</v>
      </c>
      <c r="B4646" s="63" t="s">
        <v>5327</v>
      </c>
    </row>
    <row r="4647" spans="1:2" x14ac:dyDescent="0.25">
      <c r="A4647" s="62">
        <v>31131702</v>
      </c>
      <c r="B4647" s="63" t="s">
        <v>5328</v>
      </c>
    </row>
    <row r="4648" spans="1:2" x14ac:dyDescent="0.25">
      <c r="A4648" s="62">
        <v>31131703</v>
      </c>
      <c r="B4648" s="63" t="s">
        <v>5329</v>
      </c>
    </row>
    <row r="4649" spans="1:2" x14ac:dyDescent="0.25">
      <c r="A4649" s="62">
        <v>31131704</v>
      </c>
      <c r="B4649" s="63" t="s">
        <v>5330</v>
      </c>
    </row>
    <row r="4650" spans="1:2" x14ac:dyDescent="0.25">
      <c r="A4650" s="62">
        <v>31131705</v>
      </c>
      <c r="B4650" s="63" t="s">
        <v>5331</v>
      </c>
    </row>
    <row r="4651" spans="1:2" x14ac:dyDescent="0.25">
      <c r="A4651" s="62">
        <v>31131706</v>
      </c>
      <c r="B4651" s="63" t="s">
        <v>5332</v>
      </c>
    </row>
    <row r="4652" spans="1:2" x14ac:dyDescent="0.25">
      <c r="A4652" s="62">
        <v>31131707</v>
      </c>
      <c r="B4652" s="63" t="s">
        <v>5333</v>
      </c>
    </row>
    <row r="4653" spans="1:2" x14ac:dyDescent="0.25">
      <c r="A4653" s="62">
        <v>31131708</v>
      </c>
      <c r="B4653" s="63" t="s">
        <v>5334</v>
      </c>
    </row>
    <row r="4654" spans="1:2" x14ac:dyDescent="0.25">
      <c r="A4654" s="62">
        <v>31131709</v>
      </c>
      <c r="B4654" s="63" t="s">
        <v>5335</v>
      </c>
    </row>
    <row r="4655" spans="1:2" x14ac:dyDescent="0.25">
      <c r="A4655" s="62">
        <v>31131710</v>
      </c>
      <c r="B4655" s="63" t="s">
        <v>5336</v>
      </c>
    </row>
    <row r="4656" spans="1:2" x14ac:dyDescent="0.25">
      <c r="A4656" s="62">
        <v>31131711</v>
      </c>
      <c r="B4656" s="63" t="s">
        <v>5337</v>
      </c>
    </row>
    <row r="4657" spans="1:2" x14ac:dyDescent="0.25">
      <c r="A4657" s="62">
        <v>31131712</v>
      </c>
      <c r="B4657" s="63" t="s">
        <v>5338</v>
      </c>
    </row>
    <row r="4658" spans="1:2" x14ac:dyDescent="0.25">
      <c r="A4658" s="62">
        <v>31131713</v>
      </c>
      <c r="B4658" s="63" t="s">
        <v>5339</v>
      </c>
    </row>
    <row r="4659" spans="1:2" x14ac:dyDescent="0.25">
      <c r="A4659" s="62">
        <v>31131714</v>
      </c>
      <c r="B4659" s="63" t="s">
        <v>5340</v>
      </c>
    </row>
    <row r="4660" spans="1:2" x14ac:dyDescent="0.25">
      <c r="A4660" s="62">
        <v>31131715</v>
      </c>
      <c r="B4660" s="63" t="s">
        <v>5341</v>
      </c>
    </row>
    <row r="4661" spans="1:2" x14ac:dyDescent="0.25">
      <c r="A4661" s="62">
        <v>31131716</v>
      </c>
      <c r="B4661" s="63" t="s">
        <v>5342</v>
      </c>
    </row>
    <row r="4662" spans="1:2" x14ac:dyDescent="0.25">
      <c r="A4662" s="62">
        <v>31131801</v>
      </c>
      <c r="B4662" s="63" t="s">
        <v>5343</v>
      </c>
    </row>
    <row r="4663" spans="1:2" x14ac:dyDescent="0.25">
      <c r="A4663" s="62">
        <v>31131802</v>
      </c>
      <c r="B4663" s="63" t="s">
        <v>5344</v>
      </c>
    </row>
    <row r="4664" spans="1:2" x14ac:dyDescent="0.25">
      <c r="A4664" s="62">
        <v>31131803</v>
      </c>
      <c r="B4664" s="63" t="s">
        <v>5345</v>
      </c>
    </row>
    <row r="4665" spans="1:2" x14ac:dyDescent="0.25">
      <c r="A4665" s="62">
        <v>31131804</v>
      </c>
      <c r="B4665" s="63" t="s">
        <v>5346</v>
      </c>
    </row>
    <row r="4666" spans="1:2" x14ac:dyDescent="0.25">
      <c r="A4666" s="62">
        <v>31131805</v>
      </c>
      <c r="B4666" s="63" t="s">
        <v>5347</v>
      </c>
    </row>
    <row r="4667" spans="1:2" x14ac:dyDescent="0.25">
      <c r="A4667" s="62">
        <v>31131806</v>
      </c>
      <c r="B4667" s="63" t="s">
        <v>5348</v>
      </c>
    </row>
    <row r="4668" spans="1:2" x14ac:dyDescent="0.25">
      <c r="A4668" s="62">
        <v>31131807</v>
      </c>
      <c r="B4668" s="63" t="s">
        <v>5349</v>
      </c>
    </row>
    <row r="4669" spans="1:2" x14ac:dyDescent="0.25">
      <c r="A4669" s="62">
        <v>31131808</v>
      </c>
      <c r="B4669" s="63" t="s">
        <v>5350</v>
      </c>
    </row>
    <row r="4670" spans="1:2" x14ac:dyDescent="0.25">
      <c r="A4670" s="62">
        <v>31131809</v>
      </c>
      <c r="B4670" s="63" t="s">
        <v>5351</v>
      </c>
    </row>
    <row r="4671" spans="1:2" x14ac:dyDescent="0.25">
      <c r="A4671" s="62">
        <v>31131810</v>
      </c>
      <c r="B4671" s="63" t="s">
        <v>5352</v>
      </c>
    </row>
    <row r="4672" spans="1:2" x14ac:dyDescent="0.25">
      <c r="A4672" s="62">
        <v>31131811</v>
      </c>
      <c r="B4672" s="63" t="s">
        <v>5353</v>
      </c>
    </row>
    <row r="4673" spans="1:2" x14ac:dyDescent="0.25">
      <c r="A4673" s="62">
        <v>31131812</v>
      </c>
      <c r="B4673" s="63" t="s">
        <v>5354</v>
      </c>
    </row>
    <row r="4674" spans="1:2" x14ac:dyDescent="0.25">
      <c r="A4674" s="62">
        <v>31131813</v>
      </c>
      <c r="B4674" s="63" t="s">
        <v>5355</v>
      </c>
    </row>
    <row r="4675" spans="1:2" x14ac:dyDescent="0.25">
      <c r="A4675" s="62">
        <v>31131814</v>
      </c>
      <c r="B4675" s="63" t="s">
        <v>5356</v>
      </c>
    </row>
    <row r="4676" spans="1:2" x14ac:dyDescent="0.25">
      <c r="A4676" s="62">
        <v>31131815</v>
      </c>
      <c r="B4676" s="63" t="s">
        <v>5357</v>
      </c>
    </row>
    <row r="4677" spans="1:2" x14ac:dyDescent="0.25">
      <c r="A4677" s="62">
        <v>31131816</v>
      </c>
      <c r="B4677" s="63" t="s">
        <v>5358</v>
      </c>
    </row>
    <row r="4678" spans="1:2" x14ac:dyDescent="0.25">
      <c r="A4678" s="62">
        <v>31131817</v>
      </c>
      <c r="B4678" s="63" t="s">
        <v>5359</v>
      </c>
    </row>
    <row r="4679" spans="1:2" x14ac:dyDescent="0.25">
      <c r="A4679" s="62">
        <v>31131818</v>
      </c>
      <c r="B4679" s="63" t="s">
        <v>5360</v>
      </c>
    </row>
    <row r="4680" spans="1:2" x14ac:dyDescent="0.25">
      <c r="A4680" s="62">
        <v>31131901</v>
      </c>
      <c r="B4680" s="63" t="s">
        <v>5361</v>
      </c>
    </row>
    <row r="4681" spans="1:2" x14ac:dyDescent="0.25">
      <c r="A4681" s="62">
        <v>31131902</v>
      </c>
      <c r="B4681" s="63" t="s">
        <v>5362</v>
      </c>
    </row>
    <row r="4682" spans="1:2" x14ac:dyDescent="0.25">
      <c r="A4682" s="62">
        <v>31131903</v>
      </c>
      <c r="B4682" s="63" t="s">
        <v>5363</v>
      </c>
    </row>
    <row r="4683" spans="1:2" x14ac:dyDescent="0.25">
      <c r="A4683" s="62">
        <v>31131904</v>
      </c>
      <c r="B4683" s="63" t="s">
        <v>5364</v>
      </c>
    </row>
    <row r="4684" spans="1:2" x14ac:dyDescent="0.25">
      <c r="A4684" s="62">
        <v>31131905</v>
      </c>
      <c r="B4684" s="63" t="s">
        <v>5365</v>
      </c>
    </row>
    <row r="4685" spans="1:2" x14ac:dyDescent="0.25">
      <c r="A4685" s="62">
        <v>31131906</v>
      </c>
      <c r="B4685" s="63" t="s">
        <v>5366</v>
      </c>
    </row>
    <row r="4686" spans="1:2" x14ac:dyDescent="0.25">
      <c r="A4686" s="62">
        <v>31131907</v>
      </c>
      <c r="B4686" s="63" t="s">
        <v>5367</v>
      </c>
    </row>
    <row r="4687" spans="1:2" x14ac:dyDescent="0.25">
      <c r="A4687" s="62">
        <v>31131908</v>
      </c>
      <c r="B4687" s="63" t="s">
        <v>5368</v>
      </c>
    </row>
    <row r="4688" spans="1:2" x14ac:dyDescent="0.25">
      <c r="A4688" s="62">
        <v>31131909</v>
      </c>
      <c r="B4688" s="63" t="s">
        <v>5369</v>
      </c>
    </row>
    <row r="4689" spans="1:2" x14ac:dyDescent="0.25">
      <c r="A4689" s="62">
        <v>31131910</v>
      </c>
      <c r="B4689" s="63" t="s">
        <v>5370</v>
      </c>
    </row>
    <row r="4690" spans="1:2" x14ac:dyDescent="0.25">
      <c r="A4690" s="62">
        <v>31131911</v>
      </c>
      <c r="B4690" s="63" t="s">
        <v>5371</v>
      </c>
    </row>
    <row r="4691" spans="1:2" x14ac:dyDescent="0.25">
      <c r="A4691" s="62">
        <v>31131912</v>
      </c>
      <c r="B4691" s="63" t="s">
        <v>5372</v>
      </c>
    </row>
    <row r="4692" spans="1:2" x14ac:dyDescent="0.25">
      <c r="A4692" s="62">
        <v>31131913</v>
      </c>
      <c r="B4692" s="63" t="s">
        <v>5373</v>
      </c>
    </row>
    <row r="4693" spans="1:2" x14ac:dyDescent="0.25">
      <c r="A4693" s="62">
        <v>31131914</v>
      </c>
      <c r="B4693" s="63" t="s">
        <v>5374</v>
      </c>
    </row>
    <row r="4694" spans="1:2" x14ac:dyDescent="0.25">
      <c r="A4694" s="62">
        <v>31131915</v>
      </c>
      <c r="B4694" s="63" t="s">
        <v>5375</v>
      </c>
    </row>
    <row r="4695" spans="1:2" x14ac:dyDescent="0.25">
      <c r="A4695" s="62">
        <v>31131916</v>
      </c>
      <c r="B4695" s="63" t="s">
        <v>5376</v>
      </c>
    </row>
    <row r="4696" spans="1:2" x14ac:dyDescent="0.25">
      <c r="A4696" s="62">
        <v>31132001</v>
      </c>
      <c r="B4696" s="63" t="s">
        <v>5377</v>
      </c>
    </row>
    <row r="4697" spans="1:2" x14ac:dyDescent="0.25">
      <c r="A4697" s="62">
        <v>31132002</v>
      </c>
      <c r="B4697" s="63" t="s">
        <v>5378</v>
      </c>
    </row>
    <row r="4698" spans="1:2" x14ac:dyDescent="0.25">
      <c r="A4698" s="62">
        <v>31141501</v>
      </c>
      <c r="B4698" s="63" t="s">
        <v>5379</v>
      </c>
    </row>
    <row r="4699" spans="1:2" x14ac:dyDescent="0.25">
      <c r="A4699" s="62">
        <v>31141502</v>
      </c>
      <c r="B4699" s="63" t="s">
        <v>5380</v>
      </c>
    </row>
    <row r="4700" spans="1:2" x14ac:dyDescent="0.25">
      <c r="A4700" s="62">
        <v>31141503</v>
      </c>
      <c r="B4700" s="63" t="s">
        <v>5381</v>
      </c>
    </row>
    <row r="4701" spans="1:2" x14ac:dyDescent="0.25">
      <c r="A4701" s="62">
        <v>31141601</v>
      </c>
      <c r="B4701" s="63" t="s">
        <v>5382</v>
      </c>
    </row>
    <row r="4702" spans="1:2" x14ac:dyDescent="0.25">
      <c r="A4702" s="62">
        <v>31141602</v>
      </c>
      <c r="B4702" s="63" t="s">
        <v>5383</v>
      </c>
    </row>
    <row r="4703" spans="1:2" x14ac:dyDescent="0.25">
      <c r="A4703" s="62">
        <v>31141603</v>
      </c>
      <c r="B4703" s="63" t="s">
        <v>5384</v>
      </c>
    </row>
    <row r="4704" spans="1:2" x14ac:dyDescent="0.25">
      <c r="A4704" s="62">
        <v>31141701</v>
      </c>
      <c r="B4704" s="63" t="s">
        <v>5385</v>
      </c>
    </row>
    <row r="4705" spans="1:2" x14ac:dyDescent="0.25">
      <c r="A4705" s="62">
        <v>31141702</v>
      </c>
      <c r="B4705" s="63" t="s">
        <v>5386</v>
      </c>
    </row>
    <row r="4706" spans="1:2" x14ac:dyDescent="0.25">
      <c r="A4706" s="62">
        <v>31141801</v>
      </c>
      <c r="B4706" s="63" t="s">
        <v>5387</v>
      </c>
    </row>
    <row r="4707" spans="1:2" x14ac:dyDescent="0.25">
      <c r="A4707" s="62">
        <v>31141802</v>
      </c>
      <c r="B4707" s="63" t="s">
        <v>5388</v>
      </c>
    </row>
    <row r="4708" spans="1:2" x14ac:dyDescent="0.25">
      <c r="A4708" s="62">
        <v>31151501</v>
      </c>
      <c r="B4708" s="63" t="s">
        <v>5389</v>
      </c>
    </row>
    <row r="4709" spans="1:2" x14ac:dyDescent="0.25">
      <c r="A4709" s="62">
        <v>31151502</v>
      </c>
      <c r="B4709" s="63" t="s">
        <v>5390</v>
      </c>
    </row>
    <row r="4710" spans="1:2" x14ac:dyDescent="0.25">
      <c r="A4710" s="62">
        <v>31151503</v>
      </c>
      <c r="B4710" s="63" t="s">
        <v>5391</v>
      </c>
    </row>
    <row r="4711" spans="1:2" x14ac:dyDescent="0.25">
      <c r="A4711" s="62">
        <v>31151504</v>
      </c>
      <c r="B4711" s="63" t="s">
        <v>5392</v>
      </c>
    </row>
    <row r="4712" spans="1:2" x14ac:dyDescent="0.25">
      <c r="A4712" s="62">
        <v>31151505</v>
      </c>
      <c r="B4712" s="63" t="s">
        <v>5393</v>
      </c>
    </row>
    <row r="4713" spans="1:2" x14ac:dyDescent="0.25">
      <c r="A4713" s="62">
        <v>31151506</v>
      </c>
      <c r="B4713" s="63" t="s">
        <v>5394</v>
      </c>
    </row>
    <row r="4714" spans="1:2" x14ac:dyDescent="0.25">
      <c r="A4714" s="62">
        <v>31151507</v>
      </c>
      <c r="B4714" s="63" t="s">
        <v>5395</v>
      </c>
    </row>
    <row r="4715" spans="1:2" x14ac:dyDescent="0.25">
      <c r="A4715" s="62">
        <v>31151508</v>
      </c>
      <c r="B4715" s="63" t="s">
        <v>5396</v>
      </c>
    </row>
    <row r="4716" spans="1:2" x14ac:dyDescent="0.25">
      <c r="A4716" s="62">
        <v>31151509</v>
      </c>
      <c r="B4716" s="63" t="s">
        <v>5397</v>
      </c>
    </row>
    <row r="4717" spans="1:2" x14ac:dyDescent="0.25">
      <c r="A4717" s="62">
        <v>31151601</v>
      </c>
      <c r="B4717" s="63" t="s">
        <v>5398</v>
      </c>
    </row>
    <row r="4718" spans="1:2" x14ac:dyDescent="0.25">
      <c r="A4718" s="62">
        <v>31151603</v>
      </c>
      <c r="B4718" s="63" t="s">
        <v>5399</v>
      </c>
    </row>
    <row r="4719" spans="1:2" x14ac:dyDescent="0.25">
      <c r="A4719" s="62">
        <v>31151604</v>
      </c>
      <c r="B4719" s="63" t="s">
        <v>5400</v>
      </c>
    </row>
    <row r="4720" spans="1:2" x14ac:dyDescent="0.25">
      <c r="A4720" s="62">
        <v>31151605</v>
      </c>
      <c r="B4720" s="63" t="s">
        <v>5401</v>
      </c>
    </row>
    <row r="4721" spans="1:2" x14ac:dyDescent="0.25">
      <c r="A4721" s="62">
        <v>31151606</v>
      </c>
      <c r="B4721" s="63" t="s">
        <v>5402</v>
      </c>
    </row>
    <row r="4722" spans="1:2" x14ac:dyDescent="0.25">
      <c r="A4722" s="62">
        <v>31151607</v>
      </c>
      <c r="B4722" s="63" t="s">
        <v>5403</v>
      </c>
    </row>
    <row r="4723" spans="1:2" x14ac:dyDescent="0.25">
      <c r="A4723" s="62">
        <v>31151608</v>
      </c>
      <c r="B4723" s="63" t="s">
        <v>5404</v>
      </c>
    </row>
    <row r="4724" spans="1:2" x14ac:dyDescent="0.25">
      <c r="A4724" s="62">
        <v>31151609</v>
      </c>
      <c r="B4724" s="63" t="s">
        <v>5405</v>
      </c>
    </row>
    <row r="4725" spans="1:2" x14ac:dyDescent="0.25">
      <c r="A4725" s="62">
        <v>31151702</v>
      </c>
      <c r="B4725" s="63" t="s">
        <v>5406</v>
      </c>
    </row>
    <row r="4726" spans="1:2" x14ac:dyDescent="0.25">
      <c r="A4726" s="62">
        <v>31151703</v>
      </c>
      <c r="B4726" s="63" t="s">
        <v>5407</v>
      </c>
    </row>
    <row r="4727" spans="1:2" x14ac:dyDescent="0.25">
      <c r="A4727" s="62">
        <v>31151704</v>
      </c>
      <c r="B4727" s="63" t="s">
        <v>5408</v>
      </c>
    </row>
    <row r="4728" spans="1:2" x14ac:dyDescent="0.25">
      <c r="A4728" s="62">
        <v>31151705</v>
      </c>
      <c r="B4728" s="63" t="s">
        <v>5409</v>
      </c>
    </row>
    <row r="4729" spans="1:2" x14ac:dyDescent="0.25">
      <c r="A4729" s="62">
        <v>31151706</v>
      </c>
      <c r="B4729" s="63" t="s">
        <v>5410</v>
      </c>
    </row>
    <row r="4730" spans="1:2" x14ac:dyDescent="0.25">
      <c r="A4730" s="62">
        <v>31151707</v>
      </c>
      <c r="B4730" s="63" t="s">
        <v>5411</v>
      </c>
    </row>
    <row r="4731" spans="1:2" x14ac:dyDescent="0.25">
      <c r="A4731" s="62">
        <v>31151803</v>
      </c>
      <c r="B4731" s="63" t="s">
        <v>5412</v>
      </c>
    </row>
    <row r="4732" spans="1:2" x14ac:dyDescent="0.25">
      <c r="A4732" s="62">
        <v>31151804</v>
      </c>
      <c r="B4732" s="63" t="s">
        <v>5413</v>
      </c>
    </row>
    <row r="4733" spans="1:2" x14ac:dyDescent="0.25">
      <c r="A4733" s="62">
        <v>31151901</v>
      </c>
      <c r="B4733" s="63" t="s">
        <v>5414</v>
      </c>
    </row>
    <row r="4734" spans="1:2" x14ac:dyDescent="0.25">
      <c r="A4734" s="62">
        <v>31151902</v>
      </c>
      <c r="B4734" s="63" t="s">
        <v>5415</v>
      </c>
    </row>
    <row r="4735" spans="1:2" x14ac:dyDescent="0.25">
      <c r="A4735" s="62">
        <v>31151903</v>
      </c>
      <c r="B4735" s="63" t="s">
        <v>5416</v>
      </c>
    </row>
    <row r="4736" spans="1:2" x14ac:dyDescent="0.25">
      <c r="A4736" s="62">
        <v>31151904</v>
      </c>
      <c r="B4736" s="63" t="s">
        <v>5417</v>
      </c>
    </row>
    <row r="4737" spans="1:2" x14ac:dyDescent="0.25">
      <c r="A4737" s="62">
        <v>31151905</v>
      </c>
      <c r="B4737" s="63" t="s">
        <v>5418</v>
      </c>
    </row>
    <row r="4738" spans="1:2" x14ac:dyDescent="0.25">
      <c r="A4738" s="62">
        <v>31152001</v>
      </c>
      <c r="B4738" s="63" t="s">
        <v>5419</v>
      </c>
    </row>
    <row r="4739" spans="1:2" x14ac:dyDescent="0.25">
      <c r="A4739" s="62">
        <v>31152002</v>
      </c>
      <c r="B4739" s="63" t="s">
        <v>5420</v>
      </c>
    </row>
    <row r="4740" spans="1:2" x14ac:dyDescent="0.25">
      <c r="A4740" s="62">
        <v>31161501</v>
      </c>
      <c r="B4740" s="63" t="s">
        <v>5421</v>
      </c>
    </row>
    <row r="4741" spans="1:2" x14ac:dyDescent="0.25">
      <c r="A4741" s="62">
        <v>31161502</v>
      </c>
      <c r="B4741" s="63" t="s">
        <v>5422</v>
      </c>
    </row>
    <row r="4742" spans="1:2" x14ac:dyDescent="0.25">
      <c r="A4742" s="62">
        <v>31161503</v>
      </c>
      <c r="B4742" s="63" t="s">
        <v>5423</v>
      </c>
    </row>
    <row r="4743" spans="1:2" x14ac:dyDescent="0.25">
      <c r="A4743" s="62">
        <v>31161504</v>
      </c>
      <c r="B4743" s="63" t="s">
        <v>5424</v>
      </c>
    </row>
    <row r="4744" spans="1:2" x14ac:dyDescent="0.25">
      <c r="A4744" s="62">
        <v>31161505</v>
      </c>
      <c r="B4744" s="63" t="s">
        <v>5425</v>
      </c>
    </row>
    <row r="4745" spans="1:2" x14ac:dyDescent="0.25">
      <c r="A4745" s="62">
        <v>31161506</v>
      </c>
      <c r="B4745" s="63" t="s">
        <v>5426</v>
      </c>
    </row>
    <row r="4746" spans="1:2" x14ac:dyDescent="0.25">
      <c r="A4746" s="62">
        <v>31161507</v>
      </c>
      <c r="B4746" s="63" t="s">
        <v>5427</v>
      </c>
    </row>
    <row r="4747" spans="1:2" x14ac:dyDescent="0.25">
      <c r="A4747" s="62">
        <v>31161508</v>
      </c>
      <c r="B4747" s="63" t="s">
        <v>5428</v>
      </c>
    </row>
    <row r="4748" spans="1:2" x14ac:dyDescent="0.25">
      <c r="A4748" s="62">
        <v>31161509</v>
      </c>
      <c r="B4748" s="63" t="s">
        <v>5429</v>
      </c>
    </row>
    <row r="4749" spans="1:2" x14ac:dyDescent="0.25">
      <c r="A4749" s="62">
        <v>31161510</v>
      </c>
      <c r="B4749" s="63" t="s">
        <v>5430</v>
      </c>
    </row>
    <row r="4750" spans="1:2" x14ac:dyDescent="0.25">
      <c r="A4750" s="62">
        <v>31161511</v>
      </c>
      <c r="B4750" s="63" t="s">
        <v>5431</v>
      </c>
    </row>
    <row r="4751" spans="1:2" x14ac:dyDescent="0.25">
      <c r="A4751" s="62">
        <v>31161512</v>
      </c>
      <c r="B4751" s="63" t="s">
        <v>5432</v>
      </c>
    </row>
    <row r="4752" spans="1:2" x14ac:dyDescent="0.25">
      <c r="A4752" s="62">
        <v>31161513</v>
      </c>
      <c r="B4752" s="63" t="s">
        <v>5433</v>
      </c>
    </row>
    <row r="4753" spans="1:2" x14ac:dyDescent="0.25">
      <c r="A4753" s="62">
        <v>31161514</v>
      </c>
      <c r="B4753" s="63" t="s">
        <v>5434</v>
      </c>
    </row>
    <row r="4754" spans="1:2" x14ac:dyDescent="0.25">
      <c r="A4754" s="62">
        <v>31161516</v>
      </c>
      <c r="B4754" s="63" t="s">
        <v>5435</v>
      </c>
    </row>
    <row r="4755" spans="1:2" x14ac:dyDescent="0.25">
      <c r="A4755" s="62">
        <v>31161517</v>
      </c>
      <c r="B4755" s="63" t="s">
        <v>5436</v>
      </c>
    </row>
    <row r="4756" spans="1:2" x14ac:dyDescent="0.25">
      <c r="A4756" s="62">
        <v>31161518</v>
      </c>
      <c r="B4756" s="63" t="s">
        <v>5437</v>
      </c>
    </row>
    <row r="4757" spans="1:2" x14ac:dyDescent="0.25">
      <c r="A4757" s="62">
        <v>31161601</v>
      </c>
      <c r="B4757" s="63" t="s">
        <v>5438</v>
      </c>
    </row>
    <row r="4758" spans="1:2" x14ac:dyDescent="0.25">
      <c r="A4758" s="62">
        <v>31161602</v>
      </c>
      <c r="B4758" s="63" t="s">
        <v>5439</v>
      </c>
    </row>
    <row r="4759" spans="1:2" x14ac:dyDescent="0.25">
      <c r="A4759" s="62">
        <v>31161603</v>
      </c>
      <c r="B4759" s="63" t="s">
        <v>5440</v>
      </c>
    </row>
    <row r="4760" spans="1:2" x14ac:dyDescent="0.25">
      <c r="A4760" s="62">
        <v>31161604</v>
      </c>
      <c r="B4760" s="63" t="s">
        <v>5441</v>
      </c>
    </row>
    <row r="4761" spans="1:2" x14ac:dyDescent="0.25">
      <c r="A4761" s="62">
        <v>31161605</v>
      </c>
      <c r="B4761" s="63" t="s">
        <v>5442</v>
      </c>
    </row>
    <row r="4762" spans="1:2" x14ac:dyDescent="0.25">
      <c r="A4762" s="62">
        <v>31161606</v>
      </c>
      <c r="B4762" s="63" t="s">
        <v>5443</v>
      </c>
    </row>
    <row r="4763" spans="1:2" x14ac:dyDescent="0.25">
      <c r="A4763" s="62">
        <v>31161607</v>
      </c>
      <c r="B4763" s="63" t="s">
        <v>5444</v>
      </c>
    </row>
    <row r="4764" spans="1:2" x14ac:dyDescent="0.25">
      <c r="A4764" s="62">
        <v>31161608</v>
      </c>
      <c r="B4764" s="63" t="s">
        <v>5445</v>
      </c>
    </row>
    <row r="4765" spans="1:2" x14ac:dyDescent="0.25">
      <c r="A4765" s="62">
        <v>31161609</v>
      </c>
      <c r="B4765" s="63" t="s">
        <v>5446</v>
      </c>
    </row>
    <row r="4766" spans="1:2" x14ac:dyDescent="0.25">
      <c r="A4766" s="62">
        <v>31161610</v>
      </c>
      <c r="B4766" s="63" t="s">
        <v>5447</v>
      </c>
    </row>
    <row r="4767" spans="1:2" x14ac:dyDescent="0.25">
      <c r="A4767" s="62">
        <v>31161611</v>
      </c>
      <c r="B4767" s="63" t="s">
        <v>5448</v>
      </c>
    </row>
    <row r="4768" spans="1:2" x14ac:dyDescent="0.25">
      <c r="A4768" s="62">
        <v>31161612</v>
      </c>
      <c r="B4768" s="63" t="s">
        <v>5449</v>
      </c>
    </row>
    <row r="4769" spans="1:2" x14ac:dyDescent="0.25">
      <c r="A4769" s="62">
        <v>31161613</v>
      </c>
      <c r="B4769" s="63" t="s">
        <v>5450</v>
      </c>
    </row>
    <row r="4770" spans="1:2" x14ac:dyDescent="0.25">
      <c r="A4770" s="62">
        <v>31161614</v>
      </c>
      <c r="B4770" s="63" t="s">
        <v>5451</v>
      </c>
    </row>
    <row r="4771" spans="1:2" x14ac:dyDescent="0.25">
      <c r="A4771" s="62">
        <v>31161616</v>
      </c>
      <c r="B4771" s="63" t="s">
        <v>5452</v>
      </c>
    </row>
    <row r="4772" spans="1:2" x14ac:dyDescent="0.25">
      <c r="A4772" s="62">
        <v>31161617</v>
      </c>
      <c r="B4772" s="63" t="s">
        <v>5453</v>
      </c>
    </row>
    <row r="4773" spans="1:2" x14ac:dyDescent="0.25">
      <c r="A4773" s="62">
        <v>31161618</v>
      </c>
      <c r="B4773" s="63" t="s">
        <v>5454</v>
      </c>
    </row>
    <row r="4774" spans="1:2" x14ac:dyDescent="0.25">
      <c r="A4774" s="62">
        <v>31161619</v>
      </c>
      <c r="B4774" s="63" t="s">
        <v>5455</v>
      </c>
    </row>
    <row r="4775" spans="1:2" x14ac:dyDescent="0.25">
      <c r="A4775" s="62">
        <v>31161620</v>
      </c>
      <c r="B4775" s="63" t="s">
        <v>5456</v>
      </c>
    </row>
    <row r="4776" spans="1:2" x14ac:dyDescent="0.25">
      <c r="A4776" s="62">
        <v>31161621</v>
      </c>
      <c r="B4776" s="63" t="s">
        <v>5457</v>
      </c>
    </row>
    <row r="4777" spans="1:2" x14ac:dyDescent="0.25">
      <c r="A4777" s="62">
        <v>31161701</v>
      </c>
      <c r="B4777" s="63" t="s">
        <v>5458</v>
      </c>
    </row>
    <row r="4778" spans="1:2" x14ac:dyDescent="0.25">
      <c r="A4778" s="62">
        <v>31161702</v>
      </c>
      <c r="B4778" s="63" t="s">
        <v>5459</v>
      </c>
    </row>
    <row r="4779" spans="1:2" x14ac:dyDescent="0.25">
      <c r="A4779" s="62">
        <v>31161703</v>
      </c>
      <c r="B4779" s="63" t="s">
        <v>5460</v>
      </c>
    </row>
    <row r="4780" spans="1:2" x14ac:dyDescent="0.25">
      <c r="A4780" s="62">
        <v>31161704</v>
      </c>
      <c r="B4780" s="63" t="s">
        <v>5461</v>
      </c>
    </row>
    <row r="4781" spans="1:2" x14ac:dyDescent="0.25">
      <c r="A4781" s="62">
        <v>31161705</v>
      </c>
      <c r="B4781" s="63" t="s">
        <v>5462</v>
      </c>
    </row>
    <row r="4782" spans="1:2" x14ac:dyDescent="0.25">
      <c r="A4782" s="62">
        <v>31161706</v>
      </c>
      <c r="B4782" s="63" t="s">
        <v>5463</v>
      </c>
    </row>
    <row r="4783" spans="1:2" x14ac:dyDescent="0.25">
      <c r="A4783" s="62">
        <v>31161707</v>
      </c>
      <c r="B4783" s="63" t="s">
        <v>5464</v>
      </c>
    </row>
    <row r="4784" spans="1:2" x14ac:dyDescent="0.25">
      <c r="A4784" s="62">
        <v>31161708</v>
      </c>
      <c r="B4784" s="63" t="s">
        <v>5465</v>
      </c>
    </row>
    <row r="4785" spans="1:2" x14ac:dyDescent="0.25">
      <c r="A4785" s="62">
        <v>31161709</v>
      </c>
      <c r="B4785" s="63" t="s">
        <v>5466</v>
      </c>
    </row>
    <row r="4786" spans="1:2" x14ac:dyDescent="0.25">
      <c r="A4786" s="62">
        <v>31161710</v>
      </c>
      <c r="B4786" s="63" t="s">
        <v>5467</v>
      </c>
    </row>
    <row r="4787" spans="1:2" x14ac:dyDescent="0.25">
      <c r="A4787" s="62">
        <v>31161711</v>
      </c>
      <c r="B4787" s="63" t="s">
        <v>5468</v>
      </c>
    </row>
    <row r="4788" spans="1:2" x14ac:dyDescent="0.25">
      <c r="A4788" s="62">
        <v>31161712</v>
      </c>
      <c r="B4788" s="63" t="s">
        <v>5469</v>
      </c>
    </row>
    <row r="4789" spans="1:2" x14ac:dyDescent="0.25">
      <c r="A4789" s="62">
        <v>31161713</v>
      </c>
      <c r="B4789" s="63" t="s">
        <v>5470</v>
      </c>
    </row>
    <row r="4790" spans="1:2" x14ac:dyDescent="0.25">
      <c r="A4790" s="62">
        <v>31161714</v>
      </c>
      <c r="B4790" s="63" t="s">
        <v>5471</v>
      </c>
    </row>
    <row r="4791" spans="1:2" x14ac:dyDescent="0.25">
      <c r="A4791" s="62">
        <v>31161716</v>
      </c>
      <c r="B4791" s="63" t="s">
        <v>5472</v>
      </c>
    </row>
    <row r="4792" spans="1:2" x14ac:dyDescent="0.25">
      <c r="A4792" s="62">
        <v>31161717</v>
      </c>
      <c r="B4792" s="63" t="s">
        <v>5473</v>
      </c>
    </row>
    <row r="4793" spans="1:2" x14ac:dyDescent="0.25">
      <c r="A4793" s="62">
        <v>31161718</v>
      </c>
      <c r="B4793" s="63" t="s">
        <v>5474</v>
      </c>
    </row>
    <row r="4794" spans="1:2" x14ac:dyDescent="0.25">
      <c r="A4794" s="62">
        <v>31161719</v>
      </c>
      <c r="B4794" s="63" t="s">
        <v>5475</v>
      </c>
    </row>
    <row r="4795" spans="1:2" x14ac:dyDescent="0.25">
      <c r="A4795" s="62">
        <v>31161720</v>
      </c>
      <c r="B4795" s="63" t="s">
        <v>5476</v>
      </c>
    </row>
    <row r="4796" spans="1:2" x14ac:dyDescent="0.25">
      <c r="A4796" s="62">
        <v>31161721</v>
      </c>
      <c r="B4796" s="63" t="s">
        <v>5477</v>
      </c>
    </row>
    <row r="4797" spans="1:2" x14ac:dyDescent="0.25">
      <c r="A4797" s="62">
        <v>31161722</v>
      </c>
      <c r="B4797" s="63" t="s">
        <v>5478</v>
      </c>
    </row>
    <row r="4798" spans="1:2" x14ac:dyDescent="0.25">
      <c r="A4798" s="62">
        <v>31161723</v>
      </c>
      <c r="B4798" s="63" t="s">
        <v>5479</v>
      </c>
    </row>
    <row r="4799" spans="1:2" x14ac:dyDescent="0.25">
      <c r="A4799" s="62">
        <v>31161724</v>
      </c>
      <c r="B4799" s="63" t="s">
        <v>5480</v>
      </c>
    </row>
    <row r="4800" spans="1:2" x14ac:dyDescent="0.25">
      <c r="A4800" s="62">
        <v>31161725</v>
      </c>
      <c r="B4800" s="63" t="s">
        <v>5481</v>
      </c>
    </row>
    <row r="4801" spans="1:2" x14ac:dyDescent="0.25">
      <c r="A4801" s="62">
        <v>31161726</v>
      </c>
      <c r="B4801" s="63" t="s">
        <v>5482</v>
      </c>
    </row>
    <row r="4802" spans="1:2" x14ac:dyDescent="0.25">
      <c r="A4802" s="62">
        <v>31161727</v>
      </c>
      <c r="B4802" s="63" t="s">
        <v>5483</v>
      </c>
    </row>
    <row r="4803" spans="1:2" x14ac:dyDescent="0.25">
      <c r="A4803" s="62">
        <v>31161728</v>
      </c>
      <c r="B4803" s="63" t="s">
        <v>5484</v>
      </c>
    </row>
    <row r="4804" spans="1:2" x14ac:dyDescent="0.25">
      <c r="A4804" s="62">
        <v>31161729</v>
      </c>
      <c r="B4804" s="63" t="s">
        <v>5485</v>
      </c>
    </row>
    <row r="4805" spans="1:2" x14ac:dyDescent="0.25">
      <c r="A4805" s="62">
        <v>31161730</v>
      </c>
      <c r="B4805" s="63" t="s">
        <v>5486</v>
      </c>
    </row>
    <row r="4806" spans="1:2" x14ac:dyDescent="0.25">
      <c r="A4806" s="62">
        <v>31161731</v>
      </c>
      <c r="B4806" s="63" t="s">
        <v>5487</v>
      </c>
    </row>
    <row r="4807" spans="1:2" x14ac:dyDescent="0.25">
      <c r="A4807" s="62">
        <v>31161801</v>
      </c>
      <c r="B4807" s="63" t="s">
        <v>5488</v>
      </c>
    </row>
    <row r="4808" spans="1:2" x14ac:dyDescent="0.25">
      <c r="A4808" s="62">
        <v>31161802</v>
      </c>
      <c r="B4808" s="63" t="s">
        <v>5489</v>
      </c>
    </row>
    <row r="4809" spans="1:2" x14ac:dyDescent="0.25">
      <c r="A4809" s="62">
        <v>31161803</v>
      </c>
      <c r="B4809" s="63" t="s">
        <v>5490</v>
      </c>
    </row>
    <row r="4810" spans="1:2" x14ac:dyDescent="0.25">
      <c r="A4810" s="62">
        <v>31161804</v>
      </c>
      <c r="B4810" s="63" t="s">
        <v>5491</v>
      </c>
    </row>
    <row r="4811" spans="1:2" x14ac:dyDescent="0.25">
      <c r="A4811" s="62">
        <v>31161805</v>
      </c>
      <c r="B4811" s="63" t="s">
        <v>5492</v>
      </c>
    </row>
    <row r="4812" spans="1:2" x14ac:dyDescent="0.25">
      <c r="A4812" s="62">
        <v>31161806</v>
      </c>
      <c r="B4812" s="63" t="s">
        <v>5493</v>
      </c>
    </row>
    <row r="4813" spans="1:2" x14ac:dyDescent="0.25">
      <c r="A4813" s="62">
        <v>31161807</v>
      </c>
      <c r="B4813" s="63" t="s">
        <v>5494</v>
      </c>
    </row>
    <row r="4814" spans="1:2" x14ac:dyDescent="0.25">
      <c r="A4814" s="62">
        <v>31161808</v>
      </c>
      <c r="B4814" s="63" t="s">
        <v>5495</v>
      </c>
    </row>
    <row r="4815" spans="1:2" x14ac:dyDescent="0.25">
      <c r="A4815" s="62">
        <v>31161809</v>
      </c>
      <c r="B4815" s="63" t="s">
        <v>5496</v>
      </c>
    </row>
    <row r="4816" spans="1:2" x14ac:dyDescent="0.25">
      <c r="A4816" s="62">
        <v>31161810</v>
      </c>
      <c r="B4816" s="63" t="s">
        <v>5497</v>
      </c>
    </row>
    <row r="4817" spans="1:2" x14ac:dyDescent="0.25">
      <c r="A4817" s="62">
        <v>31161811</v>
      </c>
      <c r="B4817" s="63" t="s">
        <v>5498</v>
      </c>
    </row>
    <row r="4818" spans="1:2" x14ac:dyDescent="0.25">
      <c r="A4818" s="62">
        <v>31161812</v>
      </c>
      <c r="B4818" s="63" t="s">
        <v>5499</v>
      </c>
    </row>
    <row r="4819" spans="1:2" x14ac:dyDescent="0.25">
      <c r="A4819" s="62">
        <v>31161813</v>
      </c>
      <c r="B4819" s="63" t="s">
        <v>5500</v>
      </c>
    </row>
    <row r="4820" spans="1:2" x14ac:dyDescent="0.25">
      <c r="A4820" s="62">
        <v>31161814</v>
      </c>
      <c r="B4820" s="63" t="s">
        <v>5501</v>
      </c>
    </row>
    <row r="4821" spans="1:2" x14ac:dyDescent="0.25">
      <c r="A4821" s="62">
        <v>31161815</v>
      </c>
      <c r="B4821" s="63" t="s">
        <v>5502</v>
      </c>
    </row>
    <row r="4822" spans="1:2" x14ac:dyDescent="0.25">
      <c r="A4822" s="62">
        <v>31161816</v>
      </c>
      <c r="B4822" s="63" t="s">
        <v>5503</v>
      </c>
    </row>
    <row r="4823" spans="1:2" x14ac:dyDescent="0.25">
      <c r="A4823" s="62">
        <v>31161817</v>
      </c>
      <c r="B4823" s="63" t="s">
        <v>5504</v>
      </c>
    </row>
    <row r="4824" spans="1:2" x14ac:dyDescent="0.25">
      <c r="A4824" s="62">
        <v>31161818</v>
      </c>
      <c r="B4824" s="63" t="s">
        <v>5505</v>
      </c>
    </row>
    <row r="4825" spans="1:2" x14ac:dyDescent="0.25">
      <c r="A4825" s="62">
        <v>31161819</v>
      </c>
      <c r="B4825" s="63" t="s">
        <v>5506</v>
      </c>
    </row>
    <row r="4826" spans="1:2" x14ac:dyDescent="0.25">
      <c r="A4826" s="62">
        <v>31161820</v>
      </c>
      <c r="B4826" s="63" t="s">
        <v>5507</v>
      </c>
    </row>
    <row r="4827" spans="1:2" x14ac:dyDescent="0.25">
      <c r="A4827" s="62">
        <v>31161901</v>
      </c>
      <c r="B4827" s="63" t="s">
        <v>5508</v>
      </c>
    </row>
    <row r="4828" spans="1:2" x14ac:dyDescent="0.25">
      <c r="A4828" s="62">
        <v>31161902</v>
      </c>
      <c r="B4828" s="63" t="s">
        <v>5509</v>
      </c>
    </row>
    <row r="4829" spans="1:2" x14ac:dyDescent="0.25">
      <c r="A4829" s="62">
        <v>31161903</v>
      </c>
      <c r="B4829" s="63" t="s">
        <v>5510</v>
      </c>
    </row>
    <row r="4830" spans="1:2" x14ac:dyDescent="0.25">
      <c r="A4830" s="62">
        <v>31161904</v>
      </c>
      <c r="B4830" s="63" t="s">
        <v>5511</v>
      </c>
    </row>
    <row r="4831" spans="1:2" x14ac:dyDescent="0.25">
      <c r="A4831" s="62">
        <v>31161905</v>
      </c>
      <c r="B4831" s="63" t="s">
        <v>5512</v>
      </c>
    </row>
    <row r="4832" spans="1:2" x14ac:dyDescent="0.25">
      <c r="A4832" s="62">
        <v>31161906</v>
      </c>
      <c r="B4832" s="63" t="s">
        <v>5513</v>
      </c>
    </row>
    <row r="4833" spans="1:2" x14ac:dyDescent="0.25">
      <c r="A4833" s="62">
        <v>31161907</v>
      </c>
      <c r="B4833" s="63" t="s">
        <v>5514</v>
      </c>
    </row>
    <row r="4834" spans="1:2" x14ac:dyDescent="0.25">
      <c r="A4834" s="62">
        <v>31161908</v>
      </c>
      <c r="B4834" s="63" t="s">
        <v>5515</v>
      </c>
    </row>
    <row r="4835" spans="1:2" x14ac:dyDescent="0.25">
      <c r="A4835" s="62">
        <v>31162001</v>
      </c>
      <c r="B4835" s="63" t="s">
        <v>5516</v>
      </c>
    </row>
    <row r="4836" spans="1:2" x14ac:dyDescent="0.25">
      <c r="A4836" s="62">
        <v>31162002</v>
      </c>
      <c r="B4836" s="63" t="s">
        <v>5517</v>
      </c>
    </row>
    <row r="4837" spans="1:2" x14ac:dyDescent="0.25">
      <c r="A4837" s="62">
        <v>31162003</v>
      </c>
      <c r="B4837" s="63" t="s">
        <v>5518</v>
      </c>
    </row>
    <row r="4838" spans="1:2" x14ac:dyDescent="0.25">
      <c r="A4838" s="62">
        <v>31162004</v>
      </c>
      <c r="B4838" s="63" t="s">
        <v>5519</v>
      </c>
    </row>
    <row r="4839" spans="1:2" x14ac:dyDescent="0.25">
      <c r="A4839" s="62">
        <v>31162005</v>
      </c>
      <c r="B4839" s="63" t="s">
        <v>5520</v>
      </c>
    </row>
    <row r="4840" spans="1:2" x14ac:dyDescent="0.25">
      <c r="A4840" s="62">
        <v>31162006</v>
      </c>
      <c r="B4840" s="63" t="s">
        <v>5521</v>
      </c>
    </row>
    <row r="4841" spans="1:2" x14ac:dyDescent="0.25">
      <c r="A4841" s="62">
        <v>31162007</v>
      </c>
      <c r="B4841" s="63" t="s">
        <v>5522</v>
      </c>
    </row>
    <row r="4842" spans="1:2" x14ac:dyDescent="0.25">
      <c r="A4842" s="62">
        <v>31162008</v>
      </c>
      <c r="B4842" s="63" t="s">
        <v>5523</v>
      </c>
    </row>
    <row r="4843" spans="1:2" x14ac:dyDescent="0.25">
      <c r="A4843" s="62">
        <v>31162101</v>
      </c>
      <c r="B4843" s="63" t="s">
        <v>5524</v>
      </c>
    </row>
    <row r="4844" spans="1:2" x14ac:dyDescent="0.25">
      <c r="A4844" s="62">
        <v>31162102</v>
      </c>
      <c r="B4844" s="63" t="s">
        <v>5525</v>
      </c>
    </row>
    <row r="4845" spans="1:2" x14ac:dyDescent="0.25">
      <c r="A4845" s="62">
        <v>31162103</v>
      </c>
      <c r="B4845" s="63" t="s">
        <v>5526</v>
      </c>
    </row>
    <row r="4846" spans="1:2" x14ac:dyDescent="0.25">
      <c r="A4846" s="62">
        <v>31162104</v>
      </c>
      <c r="B4846" s="63" t="s">
        <v>5527</v>
      </c>
    </row>
    <row r="4847" spans="1:2" x14ac:dyDescent="0.25">
      <c r="A4847" s="62">
        <v>31162105</v>
      </c>
      <c r="B4847" s="63" t="s">
        <v>5528</v>
      </c>
    </row>
    <row r="4848" spans="1:2" x14ac:dyDescent="0.25">
      <c r="A4848" s="62">
        <v>31162106</v>
      </c>
      <c r="B4848" s="63" t="s">
        <v>5529</v>
      </c>
    </row>
    <row r="4849" spans="1:2" x14ac:dyDescent="0.25">
      <c r="A4849" s="62">
        <v>31162107</v>
      </c>
      <c r="B4849" s="63" t="s">
        <v>5530</v>
      </c>
    </row>
    <row r="4850" spans="1:2" x14ac:dyDescent="0.25">
      <c r="A4850" s="62">
        <v>31162108</v>
      </c>
      <c r="B4850" s="63" t="s">
        <v>5531</v>
      </c>
    </row>
    <row r="4851" spans="1:2" x14ac:dyDescent="0.25">
      <c r="A4851" s="62">
        <v>31162201</v>
      </c>
      <c r="B4851" s="63" t="s">
        <v>5532</v>
      </c>
    </row>
    <row r="4852" spans="1:2" x14ac:dyDescent="0.25">
      <c r="A4852" s="62">
        <v>31162202</v>
      </c>
      <c r="B4852" s="63" t="s">
        <v>5533</v>
      </c>
    </row>
    <row r="4853" spans="1:2" x14ac:dyDescent="0.25">
      <c r="A4853" s="62">
        <v>31162203</v>
      </c>
      <c r="B4853" s="63" t="s">
        <v>5534</v>
      </c>
    </row>
    <row r="4854" spans="1:2" x14ac:dyDescent="0.25">
      <c r="A4854" s="62">
        <v>31162204</v>
      </c>
      <c r="B4854" s="63" t="s">
        <v>5535</v>
      </c>
    </row>
    <row r="4855" spans="1:2" x14ac:dyDescent="0.25">
      <c r="A4855" s="62">
        <v>31162205</v>
      </c>
      <c r="B4855" s="63" t="s">
        <v>5536</v>
      </c>
    </row>
    <row r="4856" spans="1:2" x14ac:dyDescent="0.25">
      <c r="A4856" s="62">
        <v>31162206</v>
      </c>
      <c r="B4856" s="63" t="s">
        <v>5537</v>
      </c>
    </row>
    <row r="4857" spans="1:2" x14ac:dyDescent="0.25">
      <c r="A4857" s="62">
        <v>31162207</v>
      </c>
      <c r="B4857" s="63" t="s">
        <v>5538</v>
      </c>
    </row>
    <row r="4858" spans="1:2" x14ac:dyDescent="0.25">
      <c r="A4858" s="62">
        <v>31162208</v>
      </c>
      <c r="B4858" s="63" t="s">
        <v>5539</v>
      </c>
    </row>
    <row r="4859" spans="1:2" x14ac:dyDescent="0.25">
      <c r="A4859" s="62">
        <v>31162209</v>
      </c>
      <c r="B4859" s="63" t="s">
        <v>5540</v>
      </c>
    </row>
    <row r="4860" spans="1:2" x14ac:dyDescent="0.25">
      <c r="A4860" s="62">
        <v>31162210</v>
      </c>
      <c r="B4860" s="63" t="s">
        <v>5541</v>
      </c>
    </row>
    <row r="4861" spans="1:2" x14ac:dyDescent="0.25">
      <c r="A4861" s="62">
        <v>31162301</v>
      </c>
      <c r="B4861" s="63" t="s">
        <v>5542</v>
      </c>
    </row>
    <row r="4862" spans="1:2" x14ac:dyDescent="0.25">
      <c r="A4862" s="62">
        <v>31162303</v>
      </c>
      <c r="B4862" s="63" t="s">
        <v>5543</v>
      </c>
    </row>
    <row r="4863" spans="1:2" x14ac:dyDescent="0.25">
      <c r="A4863" s="62">
        <v>31162304</v>
      </c>
      <c r="B4863" s="63" t="s">
        <v>5544</v>
      </c>
    </row>
    <row r="4864" spans="1:2" x14ac:dyDescent="0.25">
      <c r="A4864" s="62">
        <v>31162305</v>
      </c>
      <c r="B4864" s="63" t="s">
        <v>5545</v>
      </c>
    </row>
    <row r="4865" spans="1:2" x14ac:dyDescent="0.25">
      <c r="A4865" s="62">
        <v>31162306</v>
      </c>
      <c r="B4865" s="63" t="s">
        <v>5546</v>
      </c>
    </row>
    <row r="4866" spans="1:2" x14ac:dyDescent="0.25">
      <c r="A4866" s="62">
        <v>31162307</v>
      </c>
      <c r="B4866" s="63" t="s">
        <v>5547</v>
      </c>
    </row>
    <row r="4867" spans="1:2" x14ac:dyDescent="0.25">
      <c r="A4867" s="62">
        <v>31162308</v>
      </c>
      <c r="B4867" s="63" t="s">
        <v>5548</v>
      </c>
    </row>
    <row r="4868" spans="1:2" x14ac:dyDescent="0.25">
      <c r="A4868" s="62">
        <v>31162309</v>
      </c>
      <c r="B4868" s="63" t="s">
        <v>5549</v>
      </c>
    </row>
    <row r="4869" spans="1:2" x14ac:dyDescent="0.25">
      <c r="A4869" s="62">
        <v>31162310</v>
      </c>
      <c r="B4869" s="63" t="s">
        <v>5550</v>
      </c>
    </row>
    <row r="4870" spans="1:2" x14ac:dyDescent="0.25">
      <c r="A4870" s="62">
        <v>31162311</v>
      </c>
      <c r="B4870" s="63" t="s">
        <v>5551</v>
      </c>
    </row>
    <row r="4871" spans="1:2" x14ac:dyDescent="0.25">
      <c r="A4871" s="62">
        <v>31162312</v>
      </c>
      <c r="B4871" s="63" t="s">
        <v>5552</v>
      </c>
    </row>
    <row r="4872" spans="1:2" x14ac:dyDescent="0.25">
      <c r="A4872" s="62">
        <v>31162313</v>
      </c>
      <c r="B4872" s="63" t="s">
        <v>5553</v>
      </c>
    </row>
    <row r="4873" spans="1:2" x14ac:dyDescent="0.25">
      <c r="A4873" s="62">
        <v>31162401</v>
      </c>
      <c r="B4873" s="63" t="s">
        <v>5554</v>
      </c>
    </row>
    <row r="4874" spans="1:2" x14ac:dyDescent="0.25">
      <c r="A4874" s="62">
        <v>31162402</v>
      </c>
      <c r="B4874" s="63" t="s">
        <v>5555</v>
      </c>
    </row>
    <row r="4875" spans="1:2" x14ac:dyDescent="0.25">
      <c r="A4875" s="62">
        <v>31162403</v>
      </c>
      <c r="B4875" s="63" t="s">
        <v>5556</v>
      </c>
    </row>
    <row r="4876" spans="1:2" x14ac:dyDescent="0.25">
      <c r="A4876" s="62">
        <v>31162404</v>
      </c>
      <c r="B4876" s="63" t="s">
        <v>5557</v>
      </c>
    </row>
    <row r="4877" spans="1:2" x14ac:dyDescent="0.25">
      <c r="A4877" s="62">
        <v>31162405</v>
      </c>
      <c r="B4877" s="63" t="s">
        <v>5558</v>
      </c>
    </row>
    <row r="4878" spans="1:2" x14ac:dyDescent="0.25">
      <c r="A4878" s="62">
        <v>31162406</v>
      </c>
      <c r="B4878" s="63" t="s">
        <v>5559</v>
      </c>
    </row>
    <row r="4879" spans="1:2" x14ac:dyDescent="0.25">
      <c r="A4879" s="62">
        <v>31162407</v>
      </c>
      <c r="B4879" s="63" t="s">
        <v>5560</v>
      </c>
    </row>
    <row r="4880" spans="1:2" x14ac:dyDescent="0.25">
      <c r="A4880" s="62">
        <v>31162409</v>
      </c>
      <c r="B4880" s="63" t="s">
        <v>5561</v>
      </c>
    </row>
    <row r="4881" spans="1:2" x14ac:dyDescent="0.25">
      <c r="A4881" s="62">
        <v>31162410</v>
      </c>
      <c r="B4881" s="63" t="s">
        <v>5562</v>
      </c>
    </row>
    <row r="4882" spans="1:2" x14ac:dyDescent="0.25">
      <c r="A4882" s="62">
        <v>31162411</v>
      </c>
      <c r="B4882" s="63" t="s">
        <v>5563</v>
      </c>
    </row>
    <row r="4883" spans="1:2" x14ac:dyDescent="0.25">
      <c r="A4883" s="62">
        <v>31162412</v>
      </c>
      <c r="B4883" s="63" t="s">
        <v>5564</v>
      </c>
    </row>
    <row r="4884" spans="1:2" x14ac:dyDescent="0.25">
      <c r="A4884" s="62">
        <v>31162413</v>
      </c>
      <c r="B4884" s="63" t="s">
        <v>5565</v>
      </c>
    </row>
    <row r="4885" spans="1:2" x14ac:dyDescent="0.25">
      <c r="A4885" s="62">
        <v>31162414</v>
      </c>
      <c r="B4885" s="63" t="s">
        <v>5566</v>
      </c>
    </row>
    <row r="4886" spans="1:2" x14ac:dyDescent="0.25">
      <c r="A4886" s="62">
        <v>31162415</v>
      </c>
      <c r="B4886" s="63" t="s">
        <v>5567</v>
      </c>
    </row>
    <row r="4887" spans="1:2" x14ac:dyDescent="0.25">
      <c r="A4887" s="62">
        <v>31162416</v>
      </c>
      <c r="B4887" s="63" t="s">
        <v>5568</v>
      </c>
    </row>
    <row r="4888" spans="1:2" x14ac:dyDescent="0.25">
      <c r="A4888" s="62">
        <v>31162417</v>
      </c>
      <c r="B4888" s="63" t="s">
        <v>5569</v>
      </c>
    </row>
    <row r="4889" spans="1:2" x14ac:dyDescent="0.25">
      <c r="A4889" s="62">
        <v>31162418</v>
      </c>
      <c r="B4889" s="63" t="s">
        <v>5570</v>
      </c>
    </row>
    <row r="4890" spans="1:2" x14ac:dyDescent="0.25">
      <c r="A4890" s="62">
        <v>31162501</v>
      </c>
      <c r="B4890" s="63" t="s">
        <v>5571</v>
      </c>
    </row>
    <row r="4891" spans="1:2" x14ac:dyDescent="0.25">
      <c r="A4891" s="62">
        <v>31162502</v>
      </c>
      <c r="B4891" s="63" t="s">
        <v>5572</v>
      </c>
    </row>
    <row r="4892" spans="1:2" x14ac:dyDescent="0.25">
      <c r="A4892" s="62">
        <v>31162503</v>
      </c>
      <c r="B4892" s="63" t="s">
        <v>3432</v>
      </c>
    </row>
    <row r="4893" spans="1:2" x14ac:dyDescent="0.25">
      <c r="A4893" s="62">
        <v>31162504</v>
      </c>
      <c r="B4893" s="63" t="s">
        <v>5573</v>
      </c>
    </row>
    <row r="4894" spans="1:2" x14ac:dyDescent="0.25">
      <c r="A4894" s="62">
        <v>31162505</v>
      </c>
      <c r="B4894" s="63" t="s">
        <v>5574</v>
      </c>
    </row>
    <row r="4895" spans="1:2" x14ac:dyDescent="0.25">
      <c r="A4895" s="62">
        <v>31162506</v>
      </c>
      <c r="B4895" s="63" t="s">
        <v>5575</v>
      </c>
    </row>
    <row r="4896" spans="1:2" x14ac:dyDescent="0.25">
      <c r="A4896" s="62">
        <v>31162507</v>
      </c>
      <c r="B4896" s="63" t="s">
        <v>5576</v>
      </c>
    </row>
    <row r="4897" spans="1:2" x14ac:dyDescent="0.25">
      <c r="A4897" s="62">
        <v>31162601</v>
      </c>
      <c r="B4897" s="63" t="s">
        <v>5577</v>
      </c>
    </row>
    <row r="4898" spans="1:2" x14ac:dyDescent="0.25">
      <c r="A4898" s="62">
        <v>31162602</v>
      </c>
      <c r="B4898" s="63" t="s">
        <v>5578</v>
      </c>
    </row>
    <row r="4899" spans="1:2" x14ac:dyDescent="0.25">
      <c r="A4899" s="62">
        <v>31162603</v>
      </c>
      <c r="B4899" s="63" t="s">
        <v>5579</v>
      </c>
    </row>
    <row r="4900" spans="1:2" x14ac:dyDescent="0.25">
      <c r="A4900" s="62">
        <v>31162604</v>
      </c>
      <c r="B4900" s="63" t="s">
        <v>5580</v>
      </c>
    </row>
    <row r="4901" spans="1:2" x14ac:dyDescent="0.25">
      <c r="A4901" s="62">
        <v>31162605</v>
      </c>
      <c r="B4901" s="63" t="s">
        <v>5581</v>
      </c>
    </row>
    <row r="4902" spans="1:2" x14ac:dyDescent="0.25">
      <c r="A4902" s="62">
        <v>31162606</v>
      </c>
      <c r="B4902" s="63" t="s">
        <v>5582</v>
      </c>
    </row>
    <row r="4903" spans="1:2" x14ac:dyDescent="0.25">
      <c r="A4903" s="62">
        <v>31162607</v>
      </c>
      <c r="B4903" s="63" t="s">
        <v>5583</v>
      </c>
    </row>
    <row r="4904" spans="1:2" x14ac:dyDescent="0.25">
      <c r="A4904" s="62">
        <v>31162608</v>
      </c>
      <c r="B4904" s="63" t="s">
        <v>5584</v>
      </c>
    </row>
    <row r="4905" spans="1:2" x14ac:dyDescent="0.25">
      <c r="A4905" s="62">
        <v>31162609</v>
      </c>
      <c r="B4905" s="63" t="s">
        <v>5585</v>
      </c>
    </row>
    <row r="4906" spans="1:2" x14ac:dyDescent="0.25">
      <c r="A4906" s="62">
        <v>31162610</v>
      </c>
      <c r="B4906" s="63" t="s">
        <v>5586</v>
      </c>
    </row>
    <row r="4907" spans="1:2" x14ac:dyDescent="0.25">
      <c r="A4907" s="62">
        <v>31162611</v>
      </c>
      <c r="B4907" s="63" t="s">
        <v>5587</v>
      </c>
    </row>
    <row r="4908" spans="1:2" x14ac:dyDescent="0.25">
      <c r="A4908" s="62">
        <v>31162701</v>
      </c>
      <c r="B4908" s="63" t="s">
        <v>5588</v>
      </c>
    </row>
    <row r="4909" spans="1:2" x14ac:dyDescent="0.25">
      <c r="A4909" s="62">
        <v>31162702</v>
      </c>
      <c r="B4909" s="63" t="s">
        <v>5589</v>
      </c>
    </row>
    <row r="4910" spans="1:2" x14ac:dyDescent="0.25">
      <c r="A4910" s="62">
        <v>31162703</v>
      </c>
      <c r="B4910" s="63" t="s">
        <v>5590</v>
      </c>
    </row>
    <row r="4911" spans="1:2" x14ac:dyDescent="0.25">
      <c r="A4911" s="62">
        <v>31162704</v>
      </c>
      <c r="B4911" s="63" t="s">
        <v>5591</v>
      </c>
    </row>
    <row r="4912" spans="1:2" x14ac:dyDescent="0.25">
      <c r="A4912" s="62">
        <v>31162801</v>
      </c>
      <c r="B4912" s="63" t="s">
        <v>5592</v>
      </c>
    </row>
    <row r="4913" spans="1:2" x14ac:dyDescent="0.25">
      <c r="A4913" s="62">
        <v>31162802</v>
      </c>
      <c r="B4913" s="63" t="s">
        <v>5593</v>
      </c>
    </row>
    <row r="4914" spans="1:2" x14ac:dyDescent="0.25">
      <c r="A4914" s="62">
        <v>31162803</v>
      </c>
      <c r="B4914" s="63" t="s">
        <v>5594</v>
      </c>
    </row>
    <row r="4915" spans="1:2" x14ac:dyDescent="0.25">
      <c r="A4915" s="62">
        <v>31162804</v>
      </c>
      <c r="B4915" s="63" t="s">
        <v>5595</v>
      </c>
    </row>
    <row r="4916" spans="1:2" x14ac:dyDescent="0.25">
      <c r="A4916" s="62">
        <v>31162805</v>
      </c>
      <c r="B4916" s="63" t="s">
        <v>5596</v>
      </c>
    </row>
    <row r="4917" spans="1:2" x14ac:dyDescent="0.25">
      <c r="A4917" s="62">
        <v>31162806</v>
      </c>
      <c r="B4917" s="63" t="s">
        <v>5597</v>
      </c>
    </row>
    <row r="4918" spans="1:2" x14ac:dyDescent="0.25">
      <c r="A4918" s="62">
        <v>31162807</v>
      </c>
      <c r="B4918" s="63" t="s">
        <v>4163</v>
      </c>
    </row>
    <row r="4919" spans="1:2" x14ac:dyDescent="0.25">
      <c r="A4919" s="62">
        <v>31162808</v>
      </c>
      <c r="B4919" s="63" t="s">
        <v>5598</v>
      </c>
    </row>
    <row r="4920" spans="1:2" x14ac:dyDescent="0.25">
      <c r="A4920" s="62">
        <v>31162809</v>
      </c>
      <c r="B4920" s="63" t="s">
        <v>5599</v>
      </c>
    </row>
    <row r="4921" spans="1:2" x14ac:dyDescent="0.25">
      <c r="A4921" s="62">
        <v>31162810</v>
      </c>
      <c r="B4921" s="63" t="s">
        <v>5600</v>
      </c>
    </row>
    <row r="4922" spans="1:2" x14ac:dyDescent="0.25">
      <c r="A4922" s="62">
        <v>31162811</v>
      </c>
      <c r="B4922" s="63" t="s">
        <v>5601</v>
      </c>
    </row>
    <row r="4923" spans="1:2" x14ac:dyDescent="0.25">
      <c r="A4923" s="62">
        <v>31162901</v>
      </c>
      <c r="B4923" s="63" t="s">
        <v>5602</v>
      </c>
    </row>
    <row r="4924" spans="1:2" x14ac:dyDescent="0.25">
      <c r="A4924" s="62">
        <v>31162902</v>
      </c>
      <c r="B4924" s="63" t="s">
        <v>5603</v>
      </c>
    </row>
    <row r="4925" spans="1:2" x14ac:dyDescent="0.25">
      <c r="A4925" s="62">
        <v>31162903</v>
      </c>
      <c r="B4925" s="63" t="s">
        <v>5604</v>
      </c>
    </row>
    <row r="4926" spans="1:2" x14ac:dyDescent="0.25">
      <c r="A4926" s="62">
        <v>31162904</v>
      </c>
      <c r="B4926" s="63" t="s">
        <v>5605</v>
      </c>
    </row>
    <row r="4927" spans="1:2" x14ac:dyDescent="0.25">
      <c r="A4927" s="62">
        <v>31162905</v>
      </c>
      <c r="B4927" s="63" t="s">
        <v>5606</v>
      </c>
    </row>
    <row r="4928" spans="1:2" x14ac:dyDescent="0.25">
      <c r="A4928" s="62">
        <v>31162906</v>
      </c>
      <c r="B4928" s="63" t="s">
        <v>5607</v>
      </c>
    </row>
    <row r="4929" spans="1:2" x14ac:dyDescent="0.25">
      <c r="A4929" s="62">
        <v>31163001</v>
      </c>
      <c r="B4929" s="63" t="s">
        <v>5608</v>
      </c>
    </row>
    <row r="4930" spans="1:2" x14ac:dyDescent="0.25">
      <c r="A4930" s="62">
        <v>31163002</v>
      </c>
      <c r="B4930" s="63" t="s">
        <v>5609</v>
      </c>
    </row>
    <row r="4931" spans="1:2" x14ac:dyDescent="0.25">
      <c r="A4931" s="62">
        <v>31163003</v>
      </c>
      <c r="B4931" s="63" t="s">
        <v>5610</v>
      </c>
    </row>
    <row r="4932" spans="1:2" x14ac:dyDescent="0.25">
      <c r="A4932" s="62">
        <v>31163004</v>
      </c>
      <c r="B4932" s="63" t="s">
        <v>5611</v>
      </c>
    </row>
    <row r="4933" spans="1:2" x14ac:dyDescent="0.25">
      <c r="A4933" s="62">
        <v>31163005</v>
      </c>
      <c r="B4933" s="63" t="s">
        <v>5612</v>
      </c>
    </row>
    <row r="4934" spans="1:2" x14ac:dyDescent="0.25">
      <c r="A4934" s="62">
        <v>31163101</v>
      </c>
      <c r="B4934" s="63" t="s">
        <v>5613</v>
      </c>
    </row>
    <row r="4935" spans="1:2" x14ac:dyDescent="0.25">
      <c r="A4935" s="62">
        <v>31163102</v>
      </c>
      <c r="B4935" s="63" t="s">
        <v>5614</v>
      </c>
    </row>
    <row r="4936" spans="1:2" x14ac:dyDescent="0.25">
      <c r="A4936" s="62">
        <v>31163103</v>
      </c>
      <c r="B4936" s="63" t="s">
        <v>5615</v>
      </c>
    </row>
    <row r="4937" spans="1:2" x14ac:dyDescent="0.25">
      <c r="A4937" s="62">
        <v>31163201</v>
      </c>
      <c r="B4937" s="63" t="s">
        <v>5616</v>
      </c>
    </row>
    <row r="4938" spans="1:2" x14ac:dyDescent="0.25">
      <c r="A4938" s="62">
        <v>31163202</v>
      </c>
      <c r="B4938" s="63" t="s">
        <v>5617</v>
      </c>
    </row>
    <row r="4939" spans="1:2" x14ac:dyDescent="0.25">
      <c r="A4939" s="62">
        <v>31163203</v>
      </c>
      <c r="B4939" s="63" t="s">
        <v>5618</v>
      </c>
    </row>
    <row r="4940" spans="1:2" x14ac:dyDescent="0.25">
      <c r="A4940" s="62">
        <v>31163204</v>
      </c>
      <c r="B4940" s="63" t="s">
        <v>5561</v>
      </c>
    </row>
    <row r="4941" spans="1:2" x14ac:dyDescent="0.25">
      <c r="A4941" s="62">
        <v>31163205</v>
      </c>
      <c r="B4941" s="63" t="s">
        <v>5619</v>
      </c>
    </row>
    <row r="4942" spans="1:2" x14ac:dyDescent="0.25">
      <c r="A4942" s="62">
        <v>31163207</v>
      </c>
      <c r="B4942" s="63" t="s">
        <v>5620</v>
      </c>
    </row>
    <row r="4943" spans="1:2" x14ac:dyDescent="0.25">
      <c r="A4943" s="62">
        <v>31163208</v>
      </c>
      <c r="B4943" s="63" t="s">
        <v>5621</v>
      </c>
    </row>
    <row r="4944" spans="1:2" x14ac:dyDescent="0.25">
      <c r="A4944" s="62">
        <v>31163209</v>
      </c>
      <c r="B4944" s="63" t="s">
        <v>5622</v>
      </c>
    </row>
    <row r="4945" spans="1:2" x14ac:dyDescent="0.25">
      <c r="A4945" s="62">
        <v>31163210</v>
      </c>
      <c r="B4945" s="63" t="s">
        <v>5623</v>
      </c>
    </row>
    <row r="4946" spans="1:2" x14ac:dyDescent="0.25">
      <c r="A4946" s="62">
        <v>31163211</v>
      </c>
      <c r="B4946" s="63" t="s">
        <v>5624</v>
      </c>
    </row>
    <row r="4947" spans="1:2" x14ac:dyDescent="0.25">
      <c r="A4947" s="62">
        <v>31163212</v>
      </c>
      <c r="B4947" s="63" t="s">
        <v>5625</v>
      </c>
    </row>
    <row r="4948" spans="1:2" x14ac:dyDescent="0.25">
      <c r="A4948" s="62">
        <v>31163213</v>
      </c>
      <c r="B4948" s="63" t="s">
        <v>5626</v>
      </c>
    </row>
    <row r="4949" spans="1:2" x14ac:dyDescent="0.25">
      <c r="A4949" s="62">
        <v>31163214</v>
      </c>
      <c r="B4949" s="63" t="s">
        <v>5627</v>
      </c>
    </row>
    <row r="4950" spans="1:2" x14ac:dyDescent="0.25">
      <c r="A4950" s="62">
        <v>31163215</v>
      </c>
      <c r="B4950" s="63" t="s">
        <v>5562</v>
      </c>
    </row>
    <row r="4951" spans="1:2" x14ac:dyDescent="0.25">
      <c r="A4951" s="62">
        <v>31163301</v>
      </c>
      <c r="B4951" s="63" t="s">
        <v>5628</v>
      </c>
    </row>
    <row r="4952" spans="1:2" x14ac:dyDescent="0.25">
      <c r="A4952" s="62">
        <v>31171501</v>
      </c>
      <c r="B4952" s="63" t="s">
        <v>5629</v>
      </c>
    </row>
    <row r="4953" spans="1:2" x14ac:dyDescent="0.25">
      <c r="A4953" s="62">
        <v>31171502</v>
      </c>
      <c r="B4953" s="63" t="s">
        <v>5630</v>
      </c>
    </row>
    <row r="4954" spans="1:2" x14ac:dyDescent="0.25">
      <c r="A4954" s="62">
        <v>31171503</v>
      </c>
      <c r="B4954" s="63" t="s">
        <v>5631</v>
      </c>
    </row>
    <row r="4955" spans="1:2" x14ac:dyDescent="0.25">
      <c r="A4955" s="62">
        <v>31171504</v>
      </c>
      <c r="B4955" s="63" t="s">
        <v>5632</v>
      </c>
    </row>
    <row r="4956" spans="1:2" x14ac:dyDescent="0.25">
      <c r="A4956" s="62">
        <v>31171505</v>
      </c>
      <c r="B4956" s="63" t="s">
        <v>5633</v>
      </c>
    </row>
    <row r="4957" spans="1:2" x14ac:dyDescent="0.25">
      <c r="A4957" s="62">
        <v>31171506</v>
      </c>
      <c r="B4957" s="63" t="s">
        <v>5634</v>
      </c>
    </row>
    <row r="4958" spans="1:2" x14ac:dyDescent="0.25">
      <c r="A4958" s="62">
        <v>31171507</v>
      </c>
      <c r="B4958" s="63" t="s">
        <v>5635</v>
      </c>
    </row>
    <row r="4959" spans="1:2" x14ac:dyDescent="0.25">
      <c r="A4959" s="62">
        <v>31171508</v>
      </c>
      <c r="B4959" s="63" t="s">
        <v>5636</v>
      </c>
    </row>
    <row r="4960" spans="1:2" x14ac:dyDescent="0.25">
      <c r="A4960" s="62">
        <v>31171509</v>
      </c>
      <c r="B4960" s="63" t="s">
        <v>5637</v>
      </c>
    </row>
    <row r="4961" spans="1:2" x14ac:dyDescent="0.25">
      <c r="A4961" s="62">
        <v>31171510</v>
      </c>
      <c r="B4961" s="63" t="s">
        <v>5638</v>
      </c>
    </row>
    <row r="4962" spans="1:2" x14ac:dyDescent="0.25">
      <c r="A4962" s="62">
        <v>31171511</v>
      </c>
      <c r="B4962" s="63" t="s">
        <v>5639</v>
      </c>
    </row>
    <row r="4963" spans="1:2" x14ac:dyDescent="0.25">
      <c r="A4963" s="62">
        <v>31171512</v>
      </c>
      <c r="B4963" s="63" t="s">
        <v>5640</v>
      </c>
    </row>
    <row r="4964" spans="1:2" x14ac:dyDescent="0.25">
      <c r="A4964" s="62">
        <v>31171513</v>
      </c>
      <c r="B4964" s="63" t="s">
        <v>5641</v>
      </c>
    </row>
    <row r="4965" spans="1:2" x14ac:dyDescent="0.25">
      <c r="A4965" s="62">
        <v>31171515</v>
      </c>
      <c r="B4965" s="63" t="s">
        <v>5642</v>
      </c>
    </row>
    <row r="4966" spans="1:2" x14ac:dyDescent="0.25">
      <c r="A4966" s="62">
        <v>31171516</v>
      </c>
      <c r="B4966" s="63" t="s">
        <v>5643</v>
      </c>
    </row>
    <row r="4967" spans="1:2" x14ac:dyDescent="0.25">
      <c r="A4967" s="62">
        <v>31171518</v>
      </c>
      <c r="B4967" s="63" t="s">
        <v>5644</v>
      </c>
    </row>
    <row r="4968" spans="1:2" x14ac:dyDescent="0.25">
      <c r="A4968" s="62">
        <v>31171519</v>
      </c>
      <c r="B4968" s="63" t="s">
        <v>5645</v>
      </c>
    </row>
    <row r="4969" spans="1:2" x14ac:dyDescent="0.25">
      <c r="A4969" s="62">
        <v>31171520</v>
      </c>
      <c r="B4969" s="63" t="s">
        <v>5646</v>
      </c>
    </row>
    <row r="4970" spans="1:2" x14ac:dyDescent="0.25">
      <c r="A4970" s="62">
        <v>31171521</v>
      </c>
      <c r="B4970" s="63" t="s">
        <v>5647</v>
      </c>
    </row>
    <row r="4971" spans="1:2" x14ac:dyDescent="0.25">
      <c r="A4971" s="62">
        <v>31171522</v>
      </c>
      <c r="B4971" s="63" t="s">
        <v>5648</v>
      </c>
    </row>
    <row r="4972" spans="1:2" x14ac:dyDescent="0.25">
      <c r="A4972" s="62">
        <v>31171523</v>
      </c>
      <c r="B4972" s="63" t="s">
        <v>5649</v>
      </c>
    </row>
    <row r="4973" spans="1:2" x14ac:dyDescent="0.25">
      <c r="A4973" s="62">
        <v>31171524</v>
      </c>
      <c r="B4973" s="63" t="s">
        <v>5650</v>
      </c>
    </row>
    <row r="4974" spans="1:2" x14ac:dyDescent="0.25">
      <c r="A4974" s="62">
        <v>31171525</v>
      </c>
      <c r="B4974" s="63" t="s">
        <v>5651</v>
      </c>
    </row>
    <row r="4975" spans="1:2" x14ac:dyDescent="0.25">
      <c r="A4975" s="62">
        <v>31171526</v>
      </c>
      <c r="B4975" s="63" t="s">
        <v>5652</v>
      </c>
    </row>
    <row r="4976" spans="1:2" x14ac:dyDescent="0.25">
      <c r="A4976" s="62">
        <v>31171527</v>
      </c>
      <c r="B4976" s="63" t="s">
        <v>5653</v>
      </c>
    </row>
    <row r="4977" spans="1:2" x14ac:dyDescent="0.25">
      <c r="A4977" s="62">
        <v>31171528</v>
      </c>
      <c r="B4977" s="63" t="s">
        <v>5654</v>
      </c>
    </row>
    <row r="4978" spans="1:2" x14ac:dyDescent="0.25">
      <c r="A4978" s="62">
        <v>31171529</v>
      </c>
      <c r="B4978" s="63" t="s">
        <v>5655</v>
      </c>
    </row>
    <row r="4979" spans="1:2" x14ac:dyDescent="0.25">
      <c r="A4979" s="62">
        <v>31171603</v>
      </c>
      <c r="B4979" s="63" t="s">
        <v>5656</v>
      </c>
    </row>
    <row r="4980" spans="1:2" x14ac:dyDescent="0.25">
      <c r="A4980" s="62">
        <v>31171604</v>
      </c>
      <c r="B4980" s="63" t="s">
        <v>5657</v>
      </c>
    </row>
    <row r="4981" spans="1:2" x14ac:dyDescent="0.25">
      <c r="A4981" s="62">
        <v>31171605</v>
      </c>
      <c r="B4981" s="63" t="s">
        <v>5658</v>
      </c>
    </row>
    <row r="4982" spans="1:2" x14ac:dyDescent="0.25">
      <c r="A4982" s="62">
        <v>31171606</v>
      </c>
      <c r="B4982" s="63" t="s">
        <v>5659</v>
      </c>
    </row>
    <row r="4983" spans="1:2" x14ac:dyDescent="0.25">
      <c r="A4983" s="62">
        <v>31171704</v>
      </c>
      <c r="B4983" s="63" t="s">
        <v>5660</v>
      </c>
    </row>
    <row r="4984" spans="1:2" x14ac:dyDescent="0.25">
      <c r="A4984" s="62">
        <v>31171706</v>
      </c>
      <c r="B4984" s="63" t="s">
        <v>5661</v>
      </c>
    </row>
    <row r="4985" spans="1:2" x14ac:dyDescent="0.25">
      <c r="A4985" s="62">
        <v>31171707</v>
      </c>
      <c r="B4985" s="63" t="s">
        <v>5662</v>
      </c>
    </row>
    <row r="4986" spans="1:2" x14ac:dyDescent="0.25">
      <c r="A4986" s="62">
        <v>31171708</v>
      </c>
      <c r="B4986" s="63" t="s">
        <v>5663</v>
      </c>
    </row>
    <row r="4987" spans="1:2" x14ac:dyDescent="0.25">
      <c r="A4987" s="62">
        <v>31171709</v>
      </c>
      <c r="B4987" s="63" t="s">
        <v>5664</v>
      </c>
    </row>
    <row r="4988" spans="1:2" x14ac:dyDescent="0.25">
      <c r="A4988" s="62">
        <v>31171710</v>
      </c>
      <c r="B4988" s="63" t="s">
        <v>5665</v>
      </c>
    </row>
    <row r="4989" spans="1:2" x14ac:dyDescent="0.25">
      <c r="A4989" s="62">
        <v>31171711</v>
      </c>
      <c r="B4989" s="63" t="s">
        <v>5666</v>
      </c>
    </row>
    <row r="4990" spans="1:2" x14ac:dyDescent="0.25">
      <c r="A4990" s="62">
        <v>31171712</v>
      </c>
      <c r="B4990" s="63" t="s">
        <v>5667</v>
      </c>
    </row>
    <row r="4991" spans="1:2" x14ac:dyDescent="0.25">
      <c r="A4991" s="62">
        <v>31171713</v>
      </c>
      <c r="B4991" s="63" t="s">
        <v>5668</v>
      </c>
    </row>
    <row r="4992" spans="1:2" x14ac:dyDescent="0.25">
      <c r="A4992" s="62">
        <v>31171714</v>
      </c>
      <c r="B4992" s="63" t="s">
        <v>5669</v>
      </c>
    </row>
    <row r="4993" spans="1:2" x14ac:dyDescent="0.25">
      <c r="A4993" s="62">
        <v>31171801</v>
      </c>
      <c r="B4993" s="63" t="s">
        <v>5670</v>
      </c>
    </row>
    <row r="4994" spans="1:2" x14ac:dyDescent="0.25">
      <c r="A4994" s="62">
        <v>31171802</v>
      </c>
      <c r="B4994" s="63" t="s">
        <v>5671</v>
      </c>
    </row>
    <row r="4995" spans="1:2" x14ac:dyDescent="0.25">
      <c r="A4995" s="62">
        <v>31171803</v>
      </c>
      <c r="B4995" s="63" t="s">
        <v>5672</v>
      </c>
    </row>
    <row r="4996" spans="1:2" x14ac:dyDescent="0.25">
      <c r="A4996" s="62">
        <v>31171804</v>
      </c>
      <c r="B4996" s="63" t="s">
        <v>5673</v>
      </c>
    </row>
    <row r="4997" spans="1:2" x14ac:dyDescent="0.25">
      <c r="A4997" s="62">
        <v>31171805</v>
      </c>
      <c r="B4997" s="63" t="s">
        <v>5674</v>
      </c>
    </row>
    <row r="4998" spans="1:2" x14ac:dyDescent="0.25">
      <c r="A4998" s="62">
        <v>31171806</v>
      </c>
      <c r="B4998" s="63" t="s">
        <v>5675</v>
      </c>
    </row>
    <row r="4999" spans="1:2" x14ac:dyDescent="0.25">
      <c r="A4999" s="62">
        <v>31171901</v>
      </c>
      <c r="B4999" s="63" t="s">
        <v>5676</v>
      </c>
    </row>
    <row r="5000" spans="1:2" x14ac:dyDescent="0.25">
      <c r="A5000" s="62">
        <v>31181501</v>
      </c>
      <c r="B5000" s="63" t="s">
        <v>5677</v>
      </c>
    </row>
    <row r="5001" spans="1:2" x14ac:dyDescent="0.25">
      <c r="A5001" s="62">
        <v>31181502</v>
      </c>
      <c r="B5001" s="63" t="s">
        <v>5678</v>
      </c>
    </row>
    <row r="5002" spans="1:2" x14ac:dyDescent="0.25">
      <c r="A5002" s="62">
        <v>31181503</v>
      </c>
      <c r="B5002" s="63" t="s">
        <v>5679</v>
      </c>
    </row>
    <row r="5003" spans="1:2" x14ac:dyDescent="0.25">
      <c r="A5003" s="62">
        <v>31181504</v>
      </c>
      <c r="B5003" s="63" t="s">
        <v>5680</v>
      </c>
    </row>
    <row r="5004" spans="1:2" x14ac:dyDescent="0.25">
      <c r="A5004" s="62">
        <v>31181505</v>
      </c>
      <c r="B5004" s="63" t="s">
        <v>5681</v>
      </c>
    </row>
    <row r="5005" spans="1:2" x14ac:dyDescent="0.25">
      <c r="A5005" s="62">
        <v>31181506</v>
      </c>
      <c r="B5005" s="63" t="s">
        <v>5682</v>
      </c>
    </row>
    <row r="5006" spans="1:2" x14ac:dyDescent="0.25">
      <c r="A5006" s="62">
        <v>31181507</v>
      </c>
      <c r="B5006" s="63" t="s">
        <v>5683</v>
      </c>
    </row>
    <row r="5007" spans="1:2" x14ac:dyDescent="0.25">
      <c r="A5007" s="62">
        <v>31181508</v>
      </c>
      <c r="B5007" s="63" t="s">
        <v>5684</v>
      </c>
    </row>
    <row r="5008" spans="1:2" x14ac:dyDescent="0.25">
      <c r="A5008" s="62">
        <v>31181509</v>
      </c>
      <c r="B5008" s="63" t="s">
        <v>5685</v>
      </c>
    </row>
    <row r="5009" spans="1:2" x14ac:dyDescent="0.25">
      <c r="A5009" s="62">
        <v>31181510</v>
      </c>
      <c r="B5009" s="63" t="s">
        <v>5686</v>
      </c>
    </row>
    <row r="5010" spans="1:2" x14ac:dyDescent="0.25">
      <c r="A5010" s="62">
        <v>31181511</v>
      </c>
      <c r="B5010" s="63" t="s">
        <v>5687</v>
      </c>
    </row>
    <row r="5011" spans="1:2" x14ac:dyDescent="0.25">
      <c r="A5011" s="62">
        <v>31181512</v>
      </c>
      <c r="B5011" s="63" t="s">
        <v>5688</v>
      </c>
    </row>
    <row r="5012" spans="1:2" x14ac:dyDescent="0.25">
      <c r="A5012" s="62">
        <v>31181601</v>
      </c>
      <c r="B5012" s="63" t="s">
        <v>5689</v>
      </c>
    </row>
    <row r="5013" spans="1:2" x14ac:dyDescent="0.25">
      <c r="A5013" s="62">
        <v>31181602</v>
      </c>
      <c r="B5013" s="63" t="s">
        <v>5690</v>
      </c>
    </row>
    <row r="5014" spans="1:2" x14ac:dyDescent="0.25">
      <c r="A5014" s="62">
        <v>31181603</v>
      </c>
      <c r="B5014" s="63" t="s">
        <v>5691</v>
      </c>
    </row>
    <row r="5015" spans="1:2" x14ac:dyDescent="0.25">
      <c r="A5015" s="62">
        <v>31181604</v>
      </c>
      <c r="B5015" s="63" t="s">
        <v>5692</v>
      </c>
    </row>
    <row r="5016" spans="1:2" x14ac:dyDescent="0.25">
      <c r="A5016" s="62">
        <v>31181605</v>
      </c>
      <c r="B5016" s="63" t="s">
        <v>5693</v>
      </c>
    </row>
    <row r="5017" spans="1:2" x14ac:dyDescent="0.25">
      <c r="A5017" s="62">
        <v>31181606</v>
      </c>
      <c r="B5017" s="63" t="s">
        <v>5694</v>
      </c>
    </row>
    <row r="5018" spans="1:2" x14ac:dyDescent="0.25">
      <c r="A5018" s="62">
        <v>31181607</v>
      </c>
      <c r="B5018" s="63" t="s">
        <v>5695</v>
      </c>
    </row>
    <row r="5019" spans="1:2" x14ac:dyDescent="0.25">
      <c r="A5019" s="62">
        <v>31181701</v>
      </c>
      <c r="B5019" s="63" t="s">
        <v>5696</v>
      </c>
    </row>
    <row r="5020" spans="1:2" x14ac:dyDescent="0.25">
      <c r="A5020" s="62">
        <v>31181702</v>
      </c>
      <c r="B5020" s="63" t="s">
        <v>5697</v>
      </c>
    </row>
    <row r="5021" spans="1:2" x14ac:dyDescent="0.25">
      <c r="A5021" s="62">
        <v>31181703</v>
      </c>
      <c r="B5021" s="63" t="s">
        <v>5698</v>
      </c>
    </row>
    <row r="5022" spans="1:2" x14ac:dyDescent="0.25">
      <c r="A5022" s="62">
        <v>31191501</v>
      </c>
      <c r="B5022" s="63" t="s">
        <v>5699</v>
      </c>
    </row>
    <row r="5023" spans="1:2" x14ac:dyDescent="0.25">
      <c r="A5023" s="62">
        <v>31191502</v>
      </c>
      <c r="B5023" s="63" t="s">
        <v>5700</v>
      </c>
    </row>
    <row r="5024" spans="1:2" x14ac:dyDescent="0.25">
      <c r="A5024" s="62">
        <v>31191504</v>
      </c>
      <c r="B5024" s="63" t="s">
        <v>5701</v>
      </c>
    </row>
    <row r="5025" spans="1:2" x14ac:dyDescent="0.25">
      <c r="A5025" s="62">
        <v>31191505</v>
      </c>
      <c r="B5025" s="63" t="s">
        <v>5702</v>
      </c>
    </row>
    <row r="5026" spans="1:2" x14ac:dyDescent="0.25">
      <c r="A5026" s="62">
        <v>31191506</v>
      </c>
      <c r="B5026" s="63" t="s">
        <v>5703</v>
      </c>
    </row>
    <row r="5027" spans="1:2" x14ac:dyDescent="0.25">
      <c r="A5027" s="62">
        <v>31191507</v>
      </c>
      <c r="B5027" s="63" t="s">
        <v>5704</v>
      </c>
    </row>
    <row r="5028" spans="1:2" x14ac:dyDescent="0.25">
      <c r="A5028" s="62">
        <v>31191508</v>
      </c>
      <c r="B5028" s="63" t="s">
        <v>5705</v>
      </c>
    </row>
    <row r="5029" spans="1:2" x14ac:dyDescent="0.25">
      <c r="A5029" s="62">
        <v>31191509</v>
      </c>
      <c r="B5029" s="63" t="s">
        <v>5706</v>
      </c>
    </row>
    <row r="5030" spans="1:2" x14ac:dyDescent="0.25">
      <c r="A5030" s="62">
        <v>31191510</v>
      </c>
      <c r="B5030" s="63" t="s">
        <v>5707</v>
      </c>
    </row>
    <row r="5031" spans="1:2" x14ac:dyDescent="0.25">
      <c r="A5031" s="62">
        <v>31191511</v>
      </c>
      <c r="B5031" s="63" t="s">
        <v>5708</v>
      </c>
    </row>
    <row r="5032" spans="1:2" x14ac:dyDescent="0.25">
      <c r="A5032" s="62">
        <v>31191512</v>
      </c>
      <c r="B5032" s="63" t="s">
        <v>5709</v>
      </c>
    </row>
    <row r="5033" spans="1:2" x14ac:dyDescent="0.25">
      <c r="A5033" s="62">
        <v>31191513</v>
      </c>
      <c r="B5033" s="63" t="s">
        <v>5710</v>
      </c>
    </row>
    <row r="5034" spans="1:2" x14ac:dyDescent="0.25">
      <c r="A5034" s="62">
        <v>31191514</v>
      </c>
      <c r="B5034" s="63" t="s">
        <v>5711</v>
      </c>
    </row>
    <row r="5035" spans="1:2" x14ac:dyDescent="0.25">
      <c r="A5035" s="62">
        <v>31191515</v>
      </c>
      <c r="B5035" s="63" t="s">
        <v>5712</v>
      </c>
    </row>
    <row r="5036" spans="1:2" x14ac:dyDescent="0.25">
      <c r="A5036" s="62">
        <v>31191516</v>
      </c>
      <c r="B5036" s="63" t="s">
        <v>5713</v>
      </c>
    </row>
    <row r="5037" spans="1:2" x14ac:dyDescent="0.25">
      <c r="A5037" s="62">
        <v>31191517</v>
      </c>
      <c r="B5037" s="63" t="s">
        <v>5714</v>
      </c>
    </row>
    <row r="5038" spans="1:2" x14ac:dyDescent="0.25">
      <c r="A5038" s="62">
        <v>31191518</v>
      </c>
      <c r="B5038" s="63" t="s">
        <v>5715</v>
      </c>
    </row>
    <row r="5039" spans="1:2" x14ac:dyDescent="0.25">
      <c r="A5039" s="62">
        <v>31191519</v>
      </c>
      <c r="B5039" s="63" t="s">
        <v>5716</v>
      </c>
    </row>
    <row r="5040" spans="1:2" x14ac:dyDescent="0.25">
      <c r="A5040" s="62">
        <v>31191601</v>
      </c>
      <c r="B5040" s="63" t="s">
        <v>5717</v>
      </c>
    </row>
    <row r="5041" spans="1:2" x14ac:dyDescent="0.25">
      <c r="A5041" s="62">
        <v>31191602</v>
      </c>
      <c r="B5041" s="63" t="s">
        <v>5718</v>
      </c>
    </row>
    <row r="5042" spans="1:2" x14ac:dyDescent="0.25">
      <c r="A5042" s="62">
        <v>31191603</v>
      </c>
      <c r="B5042" s="63" t="s">
        <v>5719</v>
      </c>
    </row>
    <row r="5043" spans="1:2" x14ac:dyDescent="0.25">
      <c r="A5043" s="62">
        <v>31201501</v>
      </c>
      <c r="B5043" s="63" t="s">
        <v>5720</v>
      </c>
    </row>
    <row r="5044" spans="1:2" x14ac:dyDescent="0.25">
      <c r="A5044" s="62">
        <v>31201502</v>
      </c>
      <c r="B5044" s="63" t="s">
        <v>5721</v>
      </c>
    </row>
    <row r="5045" spans="1:2" x14ac:dyDescent="0.25">
      <c r="A5045" s="62">
        <v>31201503</v>
      </c>
      <c r="B5045" s="63" t="s">
        <v>5722</v>
      </c>
    </row>
    <row r="5046" spans="1:2" x14ac:dyDescent="0.25">
      <c r="A5046" s="62">
        <v>31201504</v>
      </c>
      <c r="B5046" s="63" t="s">
        <v>5723</v>
      </c>
    </row>
    <row r="5047" spans="1:2" x14ac:dyDescent="0.25">
      <c r="A5047" s="62">
        <v>31201505</v>
      </c>
      <c r="B5047" s="63" t="s">
        <v>5724</v>
      </c>
    </row>
    <row r="5048" spans="1:2" x14ac:dyDescent="0.25">
      <c r="A5048" s="62">
        <v>31201506</v>
      </c>
      <c r="B5048" s="63" t="s">
        <v>5725</v>
      </c>
    </row>
    <row r="5049" spans="1:2" x14ac:dyDescent="0.25">
      <c r="A5049" s="62">
        <v>31201507</v>
      </c>
      <c r="B5049" s="63" t="s">
        <v>5726</v>
      </c>
    </row>
    <row r="5050" spans="1:2" x14ac:dyDescent="0.25">
      <c r="A5050" s="62">
        <v>31201508</v>
      </c>
      <c r="B5050" s="63" t="s">
        <v>5727</v>
      </c>
    </row>
    <row r="5051" spans="1:2" x14ac:dyDescent="0.25">
      <c r="A5051" s="62">
        <v>31201509</v>
      </c>
      <c r="B5051" s="63" t="s">
        <v>5728</v>
      </c>
    </row>
    <row r="5052" spans="1:2" x14ac:dyDescent="0.25">
      <c r="A5052" s="62">
        <v>31201510</v>
      </c>
      <c r="B5052" s="63" t="s">
        <v>5729</v>
      </c>
    </row>
    <row r="5053" spans="1:2" x14ac:dyDescent="0.25">
      <c r="A5053" s="62">
        <v>31201511</v>
      </c>
      <c r="B5053" s="63" t="s">
        <v>5730</v>
      </c>
    </row>
    <row r="5054" spans="1:2" x14ac:dyDescent="0.25">
      <c r="A5054" s="62">
        <v>31201512</v>
      </c>
      <c r="B5054" s="63" t="s">
        <v>5731</v>
      </c>
    </row>
    <row r="5055" spans="1:2" x14ac:dyDescent="0.25">
      <c r="A5055" s="62">
        <v>31201513</v>
      </c>
      <c r="B5055" s="63" t="s">
        <v>5732</v>
      </c>
    </row>
    <row r="5056" spans="1:2" x14ac:dyDescent="0.25">
      <c r="A5056" s="62">
        <v>31201514</v>
      </c>
      <c r="B5056" s="63" t="s">
        <v>5733</v>
      </c>
    </row>
    <row r="5057" spans="1:2" x14ac:dyDescent="0.25">
      <c r="A5057" s="62">
        <v>31201515</v>
      </c>
      <c r="B5057" s="63" t="s">
        <v>5734</v>
      </c>
    </row>
    <row r="5058" spans="1:2" x14ac:dyDescent="0.25">
      <c r="A5058" s="62">
        <v>31201516</v>
      </c>
      <c r="B5058" s="63" t="s">
        <v>5735</v>
      </c>
    </row>
    <row r="5059" spans="1:2" x14ac:dyDescent="0.25">
      <c r="A5059" s="62">
        <v>31201517</v>
      </c>
      <c r="B5059" s="63" t="s">
        <v>5736</v>
      </c>
    </row>
    <row r="5060" spans="1:2" x14ac:dyDescent="0.25">
      <c r="A5060" s="62">
        <v>31201518</v>
      </c>
      <c r="B5060" s="63" t="s">
        <v>5737</v>
      </c>
    </row>
    <row r="5061" spans="1:2" x14ac:dyDescent="0.25">
      <c r="A5061" s="62">
        <v>31201519</v>
      </c>
      <c r="B5061" s="63" t="s">
        <v>5738</v>
      </c>
    </row>
    <row r="5062" spans="1:2" x14ac:dyDescent="0.25">
      <c r="A5062" s="62">
        <v>31201520</v>
      </c>
      <c r="B5062" s="63" t="s">
        <v>5739</v>
      </c>
    </row>
    <row r="5063" spans="1:2" x14ac:dyDescent="0.25">
      <c r="A5063" s="62">
        <v>31201521</v>
      </c>
      <c r="B5063" s="63" t="s">
        <v>5740</v>
      </c>
    </row>
    <row r="5064" spans="1:2" x14ac:dyDescent="0.25">
      <c r="A5064" s="62">
        <v>31201522</v>
      </c>
      <c r="B5064" s="63" t="s">
        <v>5741</v>
      </c>
    </row>
    <row r="5065" spans="1:2" x14ac:dyDescent="0.25">
      <c r="A5065" s="62">
        <v>31201523</v>
      </c>
      <c r="B5065" s="63" t="s">
        <v>5742</v>
      </c>
    </row>
    <row r="5066" spans="1:2" x14ac:dyDescent="0.25">
      <c r="A5066" s="62">
        <v>31201524</v>
      </c>
      <c r="B5066" s="63" t="s">
        <v>5743</v>
      </c>
    </row>
    <row r="5067" spans="1:2" x14ac:dyDescent="0.25">
      <c r="A5067" s="62">
        <v>31201525</v>
      </c>
      <c r="B5067" s="63" t="s">
        <v>5744</v>
      </c>
    </row>
    <row r="5068" spans="1:2" x14ac:dyDescent="0.25">
      <c r="A5068" s="62">
        <v>31201526</v>
      </c>
      <c r="B5068" s="63" t="s">
        <v>5745</v>
      </c>
    </row>
    <row r="5069" spans="1:2" x14ac:dyDescent="0.25">
      <c r="A5069" s="62">
        <v>31201527</v>
      </c>
      <c r="B5069" s="63" t="s">
        <v>5746</v>
      </c>
    </row>
    <row r="5070" spans="1:2" x14ac:dyDescent="0.25">
      <c r="A5070" s="62">
        <v>31201528</v>
      </c>
      <c r="B5070" s="63" t="s">
        <v>5747</v>
      </c>
    </row>
    <row r="5071" spans="1:2" x14ac:dyDescent="0.25">
      <c r="A5071" s="62">
        <v>31201601</v>
      </c>
      <c r="B5071" s="63" t="s">
        <v>5748</v>
      </c>
    </row>
    <row r="5072" spans="1:2" x14ac:dyDescent="0.25">
      <c r="A5072" s="62">
        <v>31201602</v>
      </c>
      <c r="B5072" s="63" t="s">
        <v>5749</v>
      </c>
    </row>
    <row r="5073" spans="1:2" x14ac:dyDescent="0.25">
      <c r="A5073" s="62">
        <v>31201603</v>
      </c>
      <c r="B5073" s="63" t="s">
        <v>5750</v>
      </c>
    </row>
    <row r="5074" spans="1:2" x14ac:dyDescent="0.25">
      <c r="A5074" s="62">
        <v>31201604</v>
      </c>
      <c r="B5074" s="63" t="s">
        <v>5751</v>
      </c>
    </row>
    <row r="5075" spans="1:2" x14ac:dyDescent="0.25">
      <c r="A5075" s="62">
        <v>31201605</v>
      </c>
      <c r="B5075" s="63" t="s">
        <v>5752</v>
      </c>
    </row>
    <row r="5076" spans="1:2" x14ac:dyDescent="0.25">
      <c r="A5076" s="62">
        <v>31201606</v>
      </c>
      <c r="B5076" s="63" t="s">
        <v>5753</v>
      </c>
    </row>
    <row r="5077" spans="1:2" x14ac:dyDescent="0.25">
      <c r="A5077" s="62">
        <v>31201607</v>
      </c>
      <c r="B5077" s="63" t="s">
        <v>5754</v>
      </c>
    </row>
    <row r="5078" spans="1:2" x14ac:dyDescent="0.25">
      <c r="A5078" s="62">
        <v>31201608</v>
      </c>
      <c r="B5078" s="63" t="s">
        <v>5755</v>
      </c>
    </row>
    <row r="5079" spans="1:2" x14ac:dyDescent="0.25">
      <c r="A5079" s="62">
        <v>31201609</v>
      </c>
      <c r="B5079" s="63" t="s">
        <v>5756</v>
      </c>
    </row>
    <row r="5080" spans="1:2" x14ac:dyDescent="0.25">
      <c r="A5080" s="62">
        <v>31201610</v>
      </c>
      <c r="B5080" s="63" t="s">
        <v>5757</v>
      </c>
    </row>
    <row r="5081" spans="1:2" x14ac:dyDescent="0.25">
      <c r="A5081" s="62">
        <v>31201611</v>
      </c>
      <c r="B5081" s="63" t="s">
        <v>5758</v>
      </c>
    </row>
    <row r="5082" spans="1:2" x14ac:dyDescent="0.25">
      <c r="A5082" s="62">
        <v>31201612</v>
      </c>
      <c r="B5082" s="63" t="s">
        <v>5759</v>
      </c>
    </row>
    <row r="5083" spans="1:2" x14ac:dyDescent="0.25">
      <c r="A5083" s="62">
        <v>31201613</v>
      </c>
      <c r="B5083" s="63" t="s">
        <v>5760</v>
      </c>
    </row>
    <row r="5084" spans="1:2" x14ac:dyDescent="0.25">
      <c r="A5084" s="62">
        <v>31201614</v>
      </c>
      <c r="B5084" s="63" t="s">
        <v>5761</v>
      </c>
    </row>
    <row r="5085" spans="1:2" x14ac:dyDescent="0.25">
      <c r="A5085" s="62">
        <v>31201615</v>
      </c>
      <c r="B5085" s="63" t="s">
        <v>5762</v>
      </c>
    </row>
    <row r="5086" spans="1:2" x14ac:dyDescent="0.25">
      <c r="A5086" s="62">
        <v>31201616</v>
      </c>
      <c r="B5086" s="63" t="s">
        <v>5763</v>
      </c>
    </row>
    <row r="5087" spans="1:2" x14ac:dyDescent="0.25">
      <c r="A5087" s="62">
        <v>31201617</v>
      </c>
      <c r="B5087" s="63" t="s">
        <v>5764</v>
      </c>
    </row>
    <row r="5088" spans="1:2" x14ac:dyDescent="0.25">
      <c r="A5088" s="62">
        <v>31211501</v>
      </c>
      <c r="B5088" s="63" t="s">
        <v>5765</v>
      </c>
    </row>
    <row r="5089" spans="1:2" x14ac:dyDescent="0.25">
      <c r="A5089" s="62">
        <v>31211502</v>
      </c>
      <c r="B5089" s="63" t="s">
        <v>5766</v>
      </c>
    </row>
    <row r="5090" spans="1:2" x14ac:dyDescent="0.25">
      <c r="A5090" s="62">
        <v>31211503</v>
      </c>
      <c r="B5090" s="63" t="s">
        <v>5767</v>
      </c>
    </row>
    <row r="5091" spans="1:2" x14ac:dyDescent="0.25">
      <c r="A5091" s="62">
        <v>31211504</v>
      </c>
      <c r="B5091" s="63" t="s">
        <v>5768</v>
      </c>
    </row>
    <row r="5092" spans="1:2" x14ac:dyDescent="0.25">
      <c r="A5092" s="62">
        <v>31211505</v>
      </c>
      <c r="B5092" s="63" t="s">
        <v>5769</v>
      </c>
    </row>
    <row r="5093" spans="1:2" x14ac:dyDescent="0.25">
      <c r="A5093" s="62">
        <v>31211506</v>
      </c>
      <c r="B5093" s="63" t="s">
        <v>5770</v>
      </c>
    </row>
    <row r="5094" spans="1:2" x14ac:dyDescent="0.25">
      <c r="A5094" s="62">
        <v>31211507</v>
      </c>
      <c r="B5094" s="63" t="s">
        <v>5771</v>
      </c>
    </row>
    <row r="5095" spans="1:2" x14ac:dyDescent="0.25">
      <c r="A5095" s="62">
        <v>31211508</v>
      </c>
      <c r="B5095" s="63" t="s">
        <v>5772</v>
      </c>
    </row>
    <row r="5096" spans="1:2" x14ac:dyDescent="0.25">
      <c r="A5096" s="62">
        <v>31211509</v>
      </c>
      <c r="B5096" s="63" t="s">
        <v>5773</v>
      </c>
    </row>
    <row r="5097" spans="1:2" x14ac:dyDescent="0.25">
      <c r="A5097" s="62">
        <v>31211510</v>
      </c>
      <c r="B5097" s="63" t="s">
        <v>5774</v>
      </c>
    </row>
    <row r="5098" spans="1:2" x14ac:dyDescent="0.25">
      <c r="A5098" s="62">
        <v>31211511</v>
      </c>
      <c r="B5098" s="63" t="s">
        <v>5775</v>
      </c>
    </row>
    <row r="5099" spans="1:2" x14ac:dyDescent="0.25">
      <c r="A5099" s="62">
        <v>31211512</v>
      </c>
      <c r="B5099" s="63" t="s">
        <v>5776</v>
      </c>
    </row>
    <row r="5100" spans="1:2" x14ac:dyDescent="0.25">
      <c r="A5100" s="62">
        <v>31211601</v>
      </c>
      <c r="B5100" s="63" t="s">
        <v>5777</v>
      </c>
    </row>
    <row r="5101" spans="1:2" x14ac:dyDescent="0.25">
      <c r="A5101" s="62">
        <v>31211602</v>
      </c>
      <c r="B5101" s="63" t="s">
        <v>5777</v>
      </c>
    </row>
    <row r="5102" spans="1:2" x14ac:dyDescent="0.25">
      <c r="A5102" s="62">
        <v>31211603</v>
      </c>
      <c r="B5102" s="63" t="s">
        <v>5778</v>
      </c>
    </row>
    <row r="5103" spans="1:2" x14ac:dyDescent="0.25">
      <c r="A5103" s="62">
        <v>31211604</v>
      </c>
      <c r="B5103" s="63" t="s">
        <v>5779</v>
      </c>
    </row>
    <row r="5104" spans="1:2" x14ac:dyDescent="0.25">
      <c r="A5104" s="62">
        <v>31211605</v>
      </c>
      <c r="B5104" s="63" t="s">
        <v>5780</v>
      </c>
    </row>
    <row r="5105" spans="1:2" x14ac:dyDescent="0.25">
      <c r="A5105" s="62">
        <v>31211606</v>
      </c>
      <c r="B5105" s="63" t="s">
        <v>5781</v>
      </c>
    </row>
    <row r="5106" spans="1:2" x14ac:dyDescent="0.25">
      <c r="A5106" s="62">
        <v>31211701</v>
      </c>
      <c r="B5106" s="63" t="s">
        <v>5782</v>
      </c>
    </row>
    <row r="5107" spans="1:2" x14ac:dyDescent="0.25">
      <c r="A5107" s="62">
        <v>31211702</v>
      </c>
      <c r="B5107" s="63" t="s">
        <v>5783</v>
      </c>
    </row>
    <row r="5108" spans="1:2" x14ac:dyDescent="0.25">
      <c r="A5108" s="62">
        <v>31211703</v>
      </c>
      <c r="B5108" s="63" t="s">
        <v>5784</v>
      </c>
    </row>
    <row r="5109" spans="1:2" x14ac:dyDescent="0.25">
      <c r="A5109" s="62">
        <v>31211704</v>
      </c>
      <c r="B5109" s="63" t="s">
        <v>5785</v>
      </c>
    </row>
    <row r="5110" spans="1:2" x14ac:dyDescent="0.25">
      <c r="A5110" s="62">
        <v>31211705</v>
      </c>
      <c r="B5110" s="63" t="s">
        <v>5786</v>
      </c>
    </row>
    <row r="5111" spans="1:2" x14ac:dyDescent="0.25">
      <c r="A5111" s="62">
        <v>31211706</v>
      </c>
      <c r="B5111" s="63" t="s">
        <v>5787</v>
      </c>
    </row>
    <row r="5112" spans="1:2" x14ac:dyDescent="0.25">
      <c r="A5112" s="62">
        <v>31211707</v>
      </c>
      <c r="B5112" s="63" t="s">
        <v>5788</v>
      </c>
    </row>
    <row r="5113" spans="1:2" x14ac:dyDescent="0.25">
      <c r="A5113" s="62">
        <v>31211708</v>
      </c>
      <c r="B5113" s="63" t="s">
        <v>5789</v>
      </c>
    </row>
    <row r="5114" spans="1:2" x14ac:dyDescent="0.25">
      <c r="A5114" s="62">
        <v>31211801</v>
      </c>
      <c r="B5114" s="63" t="s">
        <v>5790</v>
      </c>
    </row>
    <row r="5115" spans="1:2" x14ac:dyDescent="0.25">
      <c r="A5115" s="62">
        <v>31211802</v>
      </c>
      <c r="B5115" s="63" t="s">
        <v>5791</v>
      </c>
    </row>
    <row r="5116" spans="1:2" x14ac:dyDescent="0.25">
      <c r="A5116" s="62">
        <v>31211803</v>
      </c>
      <c r="B5116" s="63" t="s">
        <v>5792</v>
      </c>
    </row>
    <row r="5117" spans="1:2" x14ac:dyDescent="0.25">
      <c r="A5117" s="62">
        <v>31211901</v>
      </c>
      <c r="B5117" s="63" t="s">
        <v>5793</v>
      </c>
    </row>
    <row r="5118" spans="1:2" x14ac:dyDescent="0.25">
      <c r="A5118" s="62">
        <v>31211902</v>
      </c>
      <c r="B5118" s="63" t="s">
        <v>5794</v>
      </c>
    </row>
    <row r="5119" spans="1:2" x14ac:dyDescent="0.25">
      <c r="A5119" s="62">
        <v>31211903</v>
      </c>
      <c r="B5119" s="63" t="s">
        <v>5795</v>
      </c>
    </row>
    <row r="5120" spans="1:2" x14ac:dyDescent="0.25">
      <c r="A5120" s="62">
        <v>31211904</v>
      </c>
      <c r="B5120" s="63" t="s">
        <v>5796</v>
      </c>
    </row>
    <row r="5121" spans="1:2" x14ac:dyDescent="0.25">
      <c r="A5121" s="62">
        <v>31211905</v>
      </c>
      <c r="B5121" s="63" t="s">
        <v>5797</v>
      </c>
    </row>
    <row r="5122" spans="1:2" x14ac:dyDescent="0.25">
      <c r="A5122" s="62">
        <v>31211906</v>
      </c>
      <c r="B5122" s="63" t="s">
        <v>5798</v>
      </c>
    </row>
    <row r="5123" spans="1:2" x14ac:dyDescent="0.25">
      <c r="A5123" s="62">
        <v>31211908</v>
      </c>
      <c r="B5123" s="63" t="s">
        <v>5799</v>
      </c>
    </row>
    <row r="5124" spans="1:2" x14ac:dyDescent="0.25">
      <c r="A5124" s="62">
        <v>31211909</v>
      </c>
      <c r="B5124" s="63" t="s">
        <v>5800</v>
      </c>
    </row>
    <row r="5125" spans="1:2" x14ac:dyDescent="0.25">
      <c r="A5125" s="62">
        <v>31211910</v>
      </c>
      <c r="B5125" s="63" t="s">
        <v>5801</v>
      </c>
    </row>
    <row r="5126" spans="1:2" x14ac:dyDescent="0.25">
      <c r="A5126" s="62">
        <v>31211912</v>
      </c>
      <c r="B5126" s="63" t="s">
        <v>5802</v>
      </c>
    </row>
    <row r="5127" spans="1:2" x14ac:dyDescent="0.25">
      <c r="A5127" s="62">
        <v>31211913</v>
      </c>
      <c r="B5127" s="63" t="s">
        <v>5803</v>
      </c>
    </row>
    <row r="5128" spans="1:2" x14ac:dyDescent="0.25">
      <c r="A5128" s="62">
        <v>31211914</v>
      </c>
      <c r="B5128" s="63" t="s">
        <v>5804</v>
      </c>
    </row>
    <row r="5129" spans="1:2" x14ac:dyDescent="0.25">
      <c r="A5129" s="62">
        <v>31211915</v>
      </c>
      <c r="B5129" s="63" t="s">
        <v>5805</v>
      </c>
    </row>
    <row r="5130" spans="1:2" x14ac:dyDescent="0.25">
      <c r="A5130" s="62">
        <v>31211916</v>
      </c>
      <c r="B5130" s="63" t="s">
        <v>5806</v>
      </c>
    </row>
    <row r="5131" spans="1:2" x14ac:dyDescent="0.25">
      <c r="A5131" s="62">
        <v>31211917</v>
      </c>
      <c r="B5131" s="63" t="s">
        <v>5807</v>
      </c>
    </row>
    <row r="5132" spans="1:2" x14ac:dyDescent="0.25">
      <c r="A5132" s="62">
        <v>31221601</v>
      </c>
      <c r="B5132" s="63" t="s">
        <v>5808</v>
      </c>
    </row>
    <row r="5133" spans="1:2" x14ac:dyDescent="0.25">
      <c r="A5133" s="62">
        <v>31221602</v>
      </c>
      <c r="B5133" s="63" t="s">
        <v>5809</v>
      </c>
    </row>
    <row r="5134" spans="1:2" x14ac:dyDescent="0.25">
      <c r="A5134" s="62">
        <v>31221603</v>
      </c>
      <c r="B5134" s="63" t="s">
        <v>5810</v>
      </c>
    </row>
    <row r="5135" spans="1:2" x14ac:dyDescent="0.25">
      <c r="A5135" s="62">
        <v>31231101</v>
      </c>
      <c r="B5135" s="63" t="s">
        <v>5811</v>
      </c>
    </row>
    <row r="5136" spans="1:2" x14ac:dyDescent="0.25">
      <c r="A5136" s="62">
        <v>31231102</v>
      </c>
      <c r="B5136" s="63" t="s">
        <v>5812</v>
      </c>
    </row>
    <row r="5137" spans="1:2" x14ac:dyDescent="0.25">
      <c r="A5137" s="62">
        <v>31231103</v>
      </c>
      <c r="B5137" s="63" t="s">
        <v>5813</v>
      </c>
    </row>
    <row r="5138" spans="1:2" x14ac:dyDescent="0.25">
      <c r="A5138" s="62">
        <v>31231104</v>
      </c>
      <c r="B5138" s="63" t="s">
        <v>5814</v>
      </c>
    </row>
    <row r="5139" spans="1:2" x14ac:dyDescent="0.25">
      <c r="A5139" s="62">
        <v>31231105</v>
      </c>
      <c r="B5139" s="63" t="s">
        <v>5815</v>
      </c>
    </row>
    <row r="5140" spans="1:2" x14ac:dyDescent="0.25">
      <c r="A5140" s="62">
        <v>31231106</v>
      </c>
      <c r="B5140" s="63" t="s">
        <v>5816</v>
      </c>
    </row>
    <row r="5141" spans="1:2" x14ac:dyDescent="0.25">
      <c r="A5141" s="62">
        <v>31231107</v>
      </c>
      <c r="B5141" s="63" t="s">
        <v>5817</v>
      </c>
    </row>
    <row r="5142" spans="1:2" x14ac:dyDescent="0.25">
      <c r="A5142" s="62">
        <v>31231108</v>
      </c>
      <c r="B5142" s="63" t="s">
        <v>5818</v>
      </c>
    </row>
    <row r="5143" spans="1:2" x14ac:dyDescent="0.25">
      <c r="A5143" s="62">
        <v>31231109</v>
      </c>
      <c r="B5143" s="63" t="s">
        <v>5819</v>
      </c>
    </row>
    <row r="5144" spans="1:2" x14ac:dyDescent="0.25">
      <c r="A5144" s="62">
        <v>31231110</v>
      </c>
      <c r="B5144" s="63" t="s">
        <v>5820</v>
      </c>
    </row>
    <row r="5145" spans="1:2" x14ac:dyDescent="0.25">
      <c r="A5145" s="62">
        <v>31231111</v>
      </c>
      <c r="B5145" s="63" t="s">
        <v>5821</v>
      </c>
    </row>
    <row r="5146" spans="1:2" x14ac:dyDescent="0.25">
      <c r="A5146" s="62">
        <v>31231112</v>
      </c>
      <c r="B5146" s="63" t="s">
        <v>5822</v>
      </c>
    </row>
    <row r="5147" spans="1:2" x14ac:dyDescent="0.25">
      <c r="A5147" s="62">
        <v>31231113</v>
      </c>
      <c r="B5147" s="63" t="s">
        <v>5823</v>
      </c>
    </row>
    <row r="5148" spans="1:2" x14ac:dyDescent="0.25">
      <c r="A5148" s="62">
        <v>31231114</v>
      </c>
      <c r="B5148" s="63" t="s">
        <v>5824</v>
      </c>
    </row>
    <row r="5149" spans="1:2" x14ac:dyDescent="0.25">
      <c r="A5149" s="62">
        <v>31231115</v>
      </c>
      <c r="B5149" s="63" t="s">
        <v>5825</v>
      </c>
    </row>
    <row r="5150" spans="1:2" x14ac:dyDescent="0.25">
      <c r="A5150" s="62">
        <v>31231116</v>
      </c>
      <c r="B5150" s="63" t="s">
        <v>5826</v>
      </c>
    </row>
    <row r="5151" spans="1:2" x14ac:dyDescent="0.25">
      <c r="A5151" s="62">
        <v>31231117</v>
      </c>
      <c r="B5151" s="63" t="s">
        <v>5827</v>
      </c>
    </row>
    <row r="5152" spans="1:2" x14ac:dyDescent="0.25">
      <c r="A5152" s="62">
        <v>31231118</v>
      </c>
      <c r="B5152" s="63" t="s">
        <v>5828</v>
      </c>
    </row>
    <row r="5153" spans="1:2" x14ac:dyDescent="0.25">
      <c r="A5153" s="62">
        <v>31231119</v>
      </c>
      <c r="B5153" s="63" t="s">
        <v>5829</v>
      </c>
    </row>
    <row r="5154" spans="1:2" x14ac:dyDescent="0.25">
      <c r="A5154" s="62">
        <v>31231201</v>
      </c>
      <c r="B5154" s="63" t="s">
        <v>5830</v>
      </c>
    </row>
    <row r="5155" spans="1:2" x14ac:dyDescent="0.25">
      <c r="A5155" s="62">
        <v>31231202</v>
      </c>
      <c r="B5155" s="63" t="s">
        <v>5831</v>
      </c>
    </row>
    <row r="5156" spans="1:2" x14ac:dyDescent="0.25">
      <c r="A5156" s="62">
        <v>31231203</v>
      </c>
      <c r="B5156" s="63" t="s">
        <v>5832</v>
      </c>
    </row>
    <row r="5157" spans="1:2" x14ac:dyDescent="0.25">
      <c r="A5157" s="62">
        <v>31231204</v>
      </c>
      <c r="B5157" s="63" t="s">
        <v>5833</v>
      </c>
    </row>
    <row r="5158" spans="1:2" x14ac:dyDescent="0.25">
      <c r="A5158" s="62">
        <v>31231205</v>
      </c>
      <c r="B5158" s="63" t="s">
        <v>5834</v>
      </c>
    </row>
    <row r="5159" spans="1:2" x14ac:dyDescent="0.25">
      <c r="A5159" s="62">
        <v>31231206</v>
      </c>
      <c r="B5159" s="63" t="s">
        <v>5835</v>
      </c>
    </row>
    <row r="5160" spans="1:2" x14ac:dyDescent="0.25">
      <c r="A5160" s="62">
        <v>31231207</v>
      </c>
      <c r="B5160" s="63" t="s">
        <v>5836</v>
      </c>
    </row>
    <row r="5161" spans="1:2" x14ac:dyDescent="0.25">
      <c r="A5161" s="62">
        <v>31231208</v>
      </c>
      <c r="B5161" s="63" t="s">
        <v>5837</v>
      </c>
    </row>
    <row r="5162" spans="1:2" x14ac:dyDescent="0.25">
      <c r="A5162" s="62">
        <v>31231209</v>
      </c>
      <c r="B5162" s="63" t="s">
        <v>5838</v>
      </c>
    </row>
    <row r="5163" spans="1:2" x14ac:dyDescent="0.25">
      <c r="A5163" s="62">
        <v>31231210</v>
      </c>
      <c r="B5163" s="63" t="s">
        <v>5839</v>
      </c>
    </row>
    <row r="5164" spans="1:2" x14ac:dyDescent="0.25">
      <c r="A5164" s="62">
        <v>31231211</v>
      </c>
      <c r="B5164" s="63" t="s">
        <v>5840</v>
      </c>
    </row>
    <row r="5165" spans="1:2" x14ac:dyDescent="0.25">
      <c r="A5165" s="62">
        <v>31231212</v>
      </c>
      <c r="B5165" s="63" t="s">
        <v>5841</v>
      </c>
    </row>
    <row r="5166" spans="1:2" x14ac:dyDescent="0.25">
      <c r="A5166" s="62">
        <v>31231213</v>
      </c>
      <c r="B5166" s="63" t="s">
        <v>5842</v>
      </c>
    </row>
    <row r="5167" spans="1:2" x14ac:dyDescent="0.25">
      <c r="A5167" s="62">
        <v>31231214</v>
      </c>
      <c r="B5167" s="63" t="s">
        <v>5843</v>
      </c>
    </row>
    <row r="5168" spans="1:2" x14ac:dyDescent="0.25">
      <c r="A5168" s="62">
        <v>31231215</v>
      </c>
      <c r="B5168" s="63" t="s">
        <v>5844</v>
      </c>
    </row>
    <row r="5169" spans="1:2" x14ac:dyDescent="0.25">
      <c r="A5169" s="62">
        <v>31231216</v>
      </c>
      <c r="B5169" s="63" t="s">
        <v>5845</v>
      </c>
    </row>
    <row r="5170" spans="1:2" x14ac:dyDescent="0.25">
      <c r="A5170" s="62">
        <v>31231217</v>
      </c>
      <c r="B5170" s="63" t="s">
        <v>5846</v>
      </c>
    </row>
    <row r="5171" spans="1:2" x14ac:dyDescent="0.25">
      <c r="A5171" s="62">
        <v>31231218</v>
      </c>
      <c r="B5171" s="63" t="s">
        <v>5847</v>
      </c>
    </row>
    <row r="5172" spans="1:2" x14ac:dyDescent="0.25">
      <c r="A5172" s="62">
        <v>31231219</v>
      </c>
      <c r="B5172" s="63" t="s">
        <v>5848</v>
      </c>
    </row>
    <row r="5173" spans="1:2" x14ac:dyDescent="0.25">
      <c r="A5173" s="62">
        <v>31231301</v>
      </c>
      <c r="B5173" s="63" t="s">
        <v>5849</v>
      </c>
    </row>
    <row r="5174" spans="1:2" x14ac:dyDescent="0.25">
      <c r="A5174" s="62">
        <v>31231302</v>
      </c>
      <c r="B5174" s="63" t="s">
        <v>5850</v>
      </c>
    </row>
    <row r="5175" spans="1:2" x14ac:dyDescent="0.25">
      <c r="A5175" s="62">
        <v>31231303</v>
      </c>
      <c r="B5175" s="63" t="s">
        <v>5851</v>
      </c>
    </row>
    <row r="5176" spans="1:2" x14ac:dyDescent="0.25">
      <c r="A5176" s="62">
        <v>31231304</v>
      </c>
      <c r="B5176" s="63" t="s">
        <v>5852</v>
      </c>
    </row>
    <row r="5177" spans="1:2" x14ac:dyDescent="0.25">
      <c r="A5177" s="62">
        <v>31231305</v>
      </c>
      <c r="B5177" s="63" t="s">
        <v>5853</v>
      </c>
    </row>
    <row r="5178" spans="1:2" x14ac:dyDescent="0.25">
      <c r="A5178" s="62">
        <v>31231306</v>
      </c>
      <c r="B5178" s="63" t="s">
        <v>5854</v>
      </c>
    </row>
    <row r="5179" spans="1:2" x14ac:dyDescent="0.25">
      <c r="A5179" s="62">
        <v>31231307</v>
      </c>
      <c r="B5179" s="63" t="s">
        <v>5855</v>
      </c>
    </row>
    <row r="5180" spans="1:2" x14ac:dyDescent="0.25">
      <c r="A5180" s="62">
        <v>31231308</v>
      </c>
      <c r="B5180" s="63" t="s">
        <v>5856</v>
      </c>
    </row>
    <row r="5181" spans="1:2" x14ac:dyDescent="0.25">
      <c r="A5181" s="62">
        <v>31231309</v>
      </c>
      <c r="B5181" s="63" t="s">
        <v>5857</v>
      </c>
    </row>
    <row r="5182" spans="1:2" x14ac:dyDescent="0.25">
      <c r="A5182" s="62">
        <v>31231310</v>
      </c>
      <c r="B5182" s="63" t="s">
        <v>5858</v>
      </c>
    </row>
    <row r="5183" spans="1:2" x14ac:dyDescent="0.25">
      <c r="A5183" s="62">
        <v>31231311</v>
      </c>
      <c r="B5183" s="63" t="s">
        <v>5859</v>
      </c>
    </row>
    <row r="5184" spans="1:2" x14ac:dyDescent="0.25">
      <c r="A5184" s="62">
        <v>31231312</v>
      </c>
      <c r="B5184" s="63" t="s">
        <v>5860</v>
      </c>
    </row>
    <row r="5185" spans="1:2" x14ac:dyDescent="0.25">
      <c r="A5185" s="62">
        <v>31231313</v>
      </c>
      <c r="B5185" s="63" t="s">
        <v>5861</v>
      </c>
    </row>
    <row r="5186" spans="1:2" x14ac:dyDescent="0.25">
      <c r="A5186" s="62">
        <v>31231314</v>
      </c>
      <c r="B5186" s="63" t="s">
        <v>5862</v>
      </c>
    </row>
    <row r="5187" spans="1:2" x14ac:dyDescent="0.25">
      <c r="A5187" s="62">
        <v>31231315</v>
      </c>
      <c r="B5187" s="63" t="s">
        <v>5863</v>
      </c>
    </row>
    <row r="5188" spans="1:2" x14ac:dyDescent="0.25">
      <c r="A5188" s="62">
        <v>31231316</v>
      </c>
      <c r="B5188" s="63" t="s">
        <v>5864</v>
      </c>
    </row>
    <row r="5189" spans="1:2" x14ac:dyDescent="0.25">
      <c r="A5189" s="62">
        <v>31231317</v>
      </c>
      <c r="B5189" s="63" t="s">
        <v>5865</v>
      </c>
    </row>
    <row r="5190" spans="1:2" x14ac:dyDescent="0.25">
      <c r="A5190" s="62">
        <v>31231318</v>
      </c>
      <c r="B5190" s="63" t="s">
        <v>5866</v>
      </c>
    </row>
    <row r="5191" spans="1:2" x14ac:dyDescent="0.25">
      <c r="A5191" s="62">
        <v>31231319</v>
      </c>
      <c r="B5191" s="63" t="s">
        <v>5867</v>
      </c>
    </row>
    <row r="5192" spans="1:2" x14ac:dyDescent="0.25">
      <c r="A5192" s="62">
        <v>31231320</v>
      </c>
      <c r="B5192" s="63" t="s">
        <v>5868</v>
      </c>
    </row>
    <row r="5193" spans="1:2" x14ac:dyDescent="0.25">
      <c r="A5193" s="62">
        <v>31231321</v>
      </c>
      <c r="B5193" s="63" t="s">
        <v>5869</v>
      </c>
    </row>
    <row r="5194" spans="1:2" x14ac:dyDescent="0.25">
      <c r="A5194" s="62">
        <v>31231401</v>
      </c>
      <c r="B5194" s="63" t="s">
        <v>5870</v>
      </c>
    </row>
    <row r="5195" spans="1:2" x14ac:dyDescent="0.25">
      <c r="A5195" s="62">
        <v>31231402</v>
      </c>
      <c r="B5195" s="63" t="s">
        <v>5871</v>
      </c>
    </row>
    <row r="5196" spans="1:2" x14ac:dyDescent="0.25">
      <c r="A5196" s="62">
        <v>31231403</v>
      </c>
      <c r="B5196" s="63" t="s">
        <v>5872</v>
      </c>
    </row>
    <row r="5197" spans="1:2" x14ac:dyDescent="0.25">
      <c r="A5197" s="62">
        <v>31231404</v>
      </c>
      <c r="B5197" s="63" t="s">
        <v>5873</v>
      </c>
    </row>
    <row r="5198" spans="1:2" x14ac:dyDescent="0.25">
      <c r="A5198" s="62">
        <v>31231405</v>
      </c>
      <c r="B5198" s="63" t="s">
        <v>5874</v>
      </c>
    </row>
    <row r="5199" spans="1:2" x14ac:dyDescent="0.25">
      <c r="A5199" s="62">
        <v>31241501</v>
      </c>
      <c r="B5199" s="63" t="s">
        <v>5875</v>
      </c>
    </row>
    <row r="5200" spans="1:2" x14ac:dyDescent="0.25">
      <c r="A5200" s="62">
        <v>31241502</v>
      </c>
      <c r="B5200" s="63" t="s">
        <v>5876</v>
      </c>
    </row>
    <row r="5201" spans="1:2" x14ac:dyDescent="0.25">
      <c r="A5201" s="62">
        <v>31241601</v>
      </c>
      <c r="B5201" s="63" t="s">
        <v>5877</v>
      </c>
    </row>
    <row r="5202" spans="1:2" x14ac:dyDescent="0.25">
      <c r="A5202" s="62">
        <v>31241602</v>
      </c>
      <c r="B5202" s="63" t="s">
        <v>5878</v>
      </c>
    </row>
    <row r="5203" spans="1:2" x14ac:dyDescent="0.25">
      <c r="A5203" s="62">
        <v>31241603</v>
      </c>
      <c r="B5203" s="63" t="s">
        <v>5879</v>
      </c>
    </row>
    <row r="5204" spans="1:2" x14ac:dyDescent="0.25">
      <c r="A5204" s="62">
        <v>31241604</v>
      </c>
      <c r="B5204" s="63" t="s">
        <v>5880</v>
      </c>
    </row>
    <row r="5205" spans="1:2" x14ac:dyDescent="0.25">
      <c r="A5205" s="62">
        <v>31241605</v>
      </c>
      <c r="B5205" s="63" t="s">
        <v>5881</v>
      </c>
    </row>
    <row r="5206" spans="1:2" x14ac:dyDescent="0.25">
      <c r="A5206" s="62">
        <v>31241606</v>
      </c>
      <c r="B5206" s="63" t="s">
        <v>5882</v>
      </c>
    </row>
    <row r="5207" spans="1:2" x14ac:dyDescent="0.25">
      <c r="A5207" s="62">
        <v>31241607</v>
      </c>
      <c r="B5207" s="63" t="s">
        <v>5883</v>
      </c>
    </row>
    <row r="5208" spans="1:2" x14ac:dyDescent="0.25">
      <c r="A5208" s="62">
        <v>31241608</v>
      </c>
      <c r="B5208" s="63" t="s">
        <v>5884</v>
      </c>
    </row>
    <row r="5209" spans="1:2" x14ac:dyDescent="0.25">
      <c r="A5209" s="62">
        <v>31241609</v>
      </c>
      <c r="B5209" s="63" t="s">
        <v>5885</v>
      </c>
    </row>
    <row r="5210" spans="1:2" x14ac:dyDescent="0.25">
      <c r="A5210" s="62">
        <v>31241610</v>
      </c>
      <c r="B5210" s="63" t="s">
        <v>5886</v>
      </c>
    </row>
    <row r="5211" spans="1:2" x14ac:dyDescent="0.25">
      <c r="A5211" s="62">
        <v>31241701</v>
      </c>
      <c r="B5211" s="63" t="s">
        <v>5887</v>
      </c>
    </row>
    <row r="5212" spans="1:2" x14ac:dyDescent="0.25">
      <c r="A5212" s="62">
        <v>31241702</v>
      </c>
      <c r="B5212" s="63" t="s">
        <v>5888</v>
      </c>
    </row>
    <row r="5213" spans="1:2" x14ac:dyDescent="0.25">
      <c r="A5213" s="62">
        <v>31241703</v>
      </c>
      <c r="B5213" s="63" t="s">
        <v>5889</v>
      </c>
    </row>
    <row r="5214" spans="1:2" x14ac:dyDescent="0.25">
      <c r="A5214" s="62">
        <v>31241704</v>
      </c>
      <c r="B5214" s="63" t="s">
        <v>5890</v>
      </c>
    </row>
    <row r="5215" spans="1:2" x14ac:dyDescent="0.25">
      <c r="A5215" s="62">
        <v>31241705</v>
      </c>
      <c r="B5215" s="63" t="s">
        <v>5891</v>
      </c>
    </row>
    <row r="5216" spans="1:2" x14ac:dyDescent="0.25">
      <c r="A5216" s="62">
        <v>31241801</v>
      </c>
      <c r="B5216" s="63" t="s">
        <v>5892</v>
      </c>
    </row>
    <row r="5217" spans="1:2" x14ac:dyDescent="0.25">
      <c r="A5217" s="62">
        <v>31241802</v>
      </c>
      <c r="B5217" s="63" t="s">
        <v>5893</v>
      </c>
    </row>
    <row r="5218" spans="1:2" x14ac:dyDescent="0.25">
      <c r="A5218" s="62">
        <v>31241803</v>
      </c>
      <c r="B5218" s="63" t="s">
        <v>5894</v>
      </c>
    </row>
    <row r="5219" spans="1:2" x14ac:dyDescent="0.25">
      <c r="A5219" s="62">
        <v>31241804</v>
      </c>
      <c r="B5219" s="63" t="s">
        <v>5895</v>
      </c>
    </row>
    <row r="5220" spans="1:2" x14ac:dyDescent="0.25">
      <c r="A5220" s="62">
        <v>31241805</v>
      </c>
      <c r="B5220" s="63" t="s">
        <v>5896</v>
      </c>
    </row>
    <row r="5221" spans="1:2" x14ac:dyDescent="0.25">
      <c r="A5221" s="62">
        <v>31241806</v>
      </c>
      <c r="B5221" s="63" t="s">
        <v>5897</v>
      </c>
    </row>
    <row r="5222" spans="1:2" x14ac:dyDescent="0.25">
      <c r="A5222" s="62">
        <v>31241807</v>
      </c>
      <c r="B5222" s="63" t="s">
        <v>5898</v>
      </c>
    </row>
    <row r="5223" spans="1:2" x14ac:dyDescent="0.25">
      <c r="A5223" s="62">
        <v>31241901</v>
      </c>
      <c r="B5223" s="63" t="s">
        <v>5899</v>
      </c>
    </row>
    <row r="5224" spans="1:2" x14ac:dyDescent="0.25">
      <c r="A5224" s="62">
        <v>31241902</v>
      </c>
      <c r="B5224" s="63" t="s">
        <v>5900</v>
      </c>
    </row>
    <row r="5225" spans="1:2" x14ac:dyDescent="0.25">
      <c r="A5225" s="62">
        <v>31241903</v>
      </c>
      <c r="B5225" s="63" t="s">
        <v>5901</v>
      </c>
    </row>
    <row r="5226" spans="1:2" x14ac:dyDescent="0.25">
      <c r="A5226" s="62">
        <v>31241904</v>
      </c>
      <c r="B5226" s="63" t="s">
        <v>5902</v>
      </c>
    </row>
    <row r="5227" spans="1:2" x14ac:dyDescent="0.25">
      <c r="A5227" s="62">
        <v>31241905</v>
      </c>
      <c r="B5227" s="63" t="s">
        <v>5903</v>
      </c>
    </row>
    <row r="5228" spans="1:2" x14ac:dyDescent="0.25">
      <c r="A5228" s="62">
        <v>31241906</v>
      </c>
      <c r="B5228" s="63" t="s">
        <v>5904</v>
      </c>
    </row>
    <row r="5229" spans="1:2" x14ac:dyDescent="0.25">
      <c r="A5229" s="62">
        <v>31241907</v>
      </c>
      <c r="B5229" s="63" t="s">
        <v>5905</v>
      </c>
    </row>
    <row r="5230" spans="1:2" x14ac:dyDescent="0.25">
      <c r="A5230" s="62">
        <v>31241908</v>
      </c>
      <c r="B5230" s="63" t="s">
        <v>5906</v>
      </c>
    </row>
    <row r="5231" spans="1:2" x14ac:dyDescent="0.25">
      <c r="A5231" s="62">
        <v>31242001</v>
      </c>
      <c r="B5231" s="63" t="s">
        <v>5907</v>
      </c>
    </row>
    <row r="5232" spans="1:2" x14ac:dyDescent="0.25">
      <c r="A5232" s="62">
        <v>31242002</v>
      </c>
      <c r="B5232" s="63" t="s">
        <v>5908</v>
      </c>
    </row>
    <row r="5233" spans="1:2" x14ac:dyDescent="0.25">
      <c r="A5233" s="62">
        <v>31242003</v>
      </c>
      <c r="B5233" s="63" t="s">
        <v>5909</v>
      </c>
    </row>
    <row r="5234" spans="1:2" x14ac:dyDescent="0.25">
      <c r="A5234" s="62">
        <v>31242101</v>
      </c>
      <c r="B5234" s="63" t="s">
        <v>5910</v>
      </c>
    </row>
    <row r="5235" spans="1:2" x14ac:dyDescent="0.25">
      <c r="A5235" s="62">
        <v>31242103</v>
      </c>
      <c r="B5235" s="63" t="s">
        <v>5911</v>
      </c>
    </row>
    <row r="5236" spans="1:2" x14ac:dyDescent="0.25">
      <c r="A5236" s="62">
        <v>31242104</v>
      </c>
      <c r="B5236" s="63" t="s">
        <v>5912</v>
      </c>
    </row>
    <row r="5237" spans="1:2" x14ac:dyDescent="0.25">
      <c r="A5237" s="62">
        <v>31242105</v>
      </c>
      <c r="B5237" s="63" t="s">
        <v>5913</v>
      </c>
    </row>
    <row r="5238" spans="1:2" x14ac:dyDescent="0.25">
      <c r="A5238" s="62">
        <v>31242106</v>
      </c>
      <c r="B5238" s="63" t="s">
        <v>5914</v>
      </c>
    </row>
    <row r="5239" spans="1:2" x14ac:dyDescent="0.25">
      <c r="A5239" s="62">
        <v>31242201</v>
      </c>
      <c r="B5239" s="63" t="s">
        <v>5915</v>
      </c>
    </row>
    <row r="5240" spans="1:2" x14ac:dyDescent="0.25">
      <c r="A5240" s="62">
        <v>31242202</v>
      </c>
      <c r="B5240" s="63" t="s">
        <v>5916</v>
      </c>
    </row>
    <row r="5241" spans="1:2" x14ac:dyDescent="0.25">
      <c r="A5241" s="62">
        <v>31242203</v>
      </c>
      <c r="B5241" s="63" t="s">
        <v>5917</v>
      </c>
    </row>
    <row r="5242" spans="1:2" x14ac:dyDescent="0.25">
      <c r="A5242" s="62">
        <v>31242204</v>
      </c>
      <c r="B5242" s="63" t="s">
        <v>5918</v>
      </c>
    </row>
    <row r="5243" spans="1:2" x14ac:dyDescent="0.25">
      <c r="A5243" s="62">
        <v>31242205</v>
      </c>
      <c r="B5243" s="63" t="s">
        <v>5919</v>
      </c>
    </row>
    <row r="5244" spans="1:2" x14ac:dyDescent="0.25">
      <c r="A5244" s="62">
        <v>31242206</v>
      </c>
      <c r="B5244" s="63" t="s">
        <v>5920</v>
      </c>
    </row>
    <row r="5245" spans="1:2" x14ac:dyDescent="0.25">
      <c r="A5245" s="62">
        <v>31242207</v>
      </c>
      <c r="B5245" s="63" t="s">
        <v>5921</v>
      </c>
    </row>
    <row r="5246" spans="1:2" x14ac:dyDescent="0.25">
      <c r="A5246" s="62">
        <v>31242208</v>
      </c>
      <c r="B5246" s="63" t="s">
        <v>5922</v>
      </c>
    </row>
    <row r="5247" spans="1:2" x14ac:dyDescent="0.25">
      <c r="A5247" s="62">
        <v>31251501</v>
      </c>
      <c r="B5247" s="63" t="s">
        <v>5923</v>
      </c>
    </row>
    <row r="5248" spans="1:2" x14ac:dyDescent="0.25">
      <c r="A5248" s="62">
        <v>31251502</v>
      </c>
      <c r="B5248" s="63" t="s">
        <v>5924</v>
      </c>
    </row>
    <row r="5249" spans="1:2" x14ac:dyDescent="0.25">
      <c r="A5249" s="62">
        <v>31251503</v>
      </c>
      <c r="B5249" s="63" t="s">
        <v>5925</v>
      </c>
    </row>
    <row r="5250" spans="1:2" x14ac:dyDescent="0.25">
      <c r="A5250" s="62">
        <v>31251504</v>
      </c>
      <c r="B5250" s="63" t="s">
        <v>5926</v>
      </c>
    </row>
    <row r="5251" spans="1:2" x14ac:dyDescent="0.25">
      <c r="A5251" s="62">
        <v>31251505</v>
      </c>
      <c r="B5251" s="63" t="s">
        <v>5927</v>
      </c>
    </row>
    <row r="5252" spans="1:2" x14ac:dyDescent="0.25">
      <c r="A5252" s="62">
        <v>31251506</v>
      </c>
      <c r="B5252" s="63" t="s">
        <v>5928</v>
      </c>
    </row>
    <row r="5253" spans="1:2" x14ac:dyDescent="0.25">
      <c r="A5253" s="62">
        <v>31251507</v>
      </c>
      <c r="B5253" s="63" t="s">
        <v>5929</v>
      </c>
    </row>
    <row r="5254" spans="1:2" x14ac:dyDescent="0.25">
      <c r="A5254" s="62">
        <v>31251508</v>
      </c>
      <c r="B5254" s="63" t="s">
        <v>5930</v>
      </c>
    </row>
    <row r="5255" spans="1:2" x14ac:dyDescent="0.25">
      <c r="A5255" s="62">
        <v>31251509</v>
      </c>
      <c r="B5255" s="63" t="s">
        <v>5931</v>
      </c>
    </row>
    <row r="5256" spans="1:2" x14ac:dyDescent="0.25">
      <c r="A5256" s="62">
        <v>31251510</v>
      </c>
      <c r="B5256" s="63" t="s">
        <v>5932</v>
      </c>
    </row>
    <row r="5257" spans="1:2" x14ac:dyDescent="0.25">
      <c r="A5257" s="62">
        <v>31251511</v>
      </c>
      <c r="B5257" s="63" t="s">
        <v>5933</v>
      </c>
    </row>
    <row r="5258" spans="1:2" x14ac:dyDescent="0.25">
      <c r="A5258" s="62">
        <v>31251601</v>
      </c>
      <c r="B5258" s="63" t="s">
        <v>5934</v>
      </c>
    </row>
    <row r="5259" spans="1:2" x14ac:dyDescent="0.25">
      <c r="A5259" s="62">
        <v>31261501</v>
      </c>
      <c r="B5259" s="63" t="s">
        <v>5935</v>
      </c>
    </row>
    <row r="5260" spans="1:2" x14ac:dyDescent="0.25">
      <c r="A5260" s="62">
        <v>31261502</v>
      </c>
      <c r="B5260" s="63" t="s">
        <v>5936</v>
      </c>
    </row>
    <row r="5261" spans="1:2" x14ac:dyDescent="0.25">
      <c r="A5261" s="62">
        <v>31261503</v>
      </c>
      <c r="B5261" s="63" t="s">
        <v>5937</v>
      </c>
    </row>
    <row r="5262" spans="1:2" x14ac:dyDescent="0.25">
      <c r="A5262" s="62">
        <v>31261504</v>
      </c>
      <c r="B5262" s="63" t="s">
        <v>5938</v>
      </c>
    </row>
    <row r="5263" spans="1:2" x14ac:dyDescent="0.25">
      <c r="A5263" s="62">
        <v>31261505</v>
      </c>
      <c r="B5263" s="63" t="s">
        <v>5939</v>
      </c>
    </row>
    <row r="5264" spans="1:2" x14ac:dyDescent="0.25">
      <c r="A5264" s="62">
        <v>31261601</v>
      </c>
      <c r="B5264" s="63" t="s">
        <v>5940</v>
      </c>
    </row>
    <row r="5265" spans="1:2" x14ac:dyDescent="0.25">
      <c r="A5265" s="62">
        <v>31261602</v>
      </c>
      <c r="B5265" s="63" t="s">
        <v>5941</v>
      </c>
    </row>
    <row r="5266" spans="1:2" x14ac:dyDescent="0.25">
      <c r="A5266" s="62">
        <v>31261603</v>
      </c>
      <c r="B5266" s="63" t="s">
        <v>5942</v>
      </c>
    </row>
    <row r="5267" spans="1:2" x14ac:dyDescent="0.25">
      <c r="A5267" s="62">
        <v>31261701</v>
      </c>
      <c r="B5267" s="63" t="s">
        <v>5943</v>
      </c>
    </row>
    <row r="5268" spans="1:2" x14ac:dyDescent="0.25">
      <c r="A5268" s="62">
        <v>31261702</v>
      </c>
      <c r="B5268" s="63" t="s">
        <v>5944</v>
      </c>
    </row>
    <row r="5269" spans="1:2" x14ac:dyDescent="0.25">
      <c r="A5269" s="62">
        <v>31261703</v>
      </c>
      <c r="B5269" s="63" t="s">
        <v>5945</v>
      </c>
    </row>
    <row r="5270" spans="1:2" x14ac:dyDescent="0.25">
      <c r="A5270" s="62">
        <v>31261704</v>
      </c>
      <c r="B5270" s="63" t="s">
        <v>5946</v>
      </c>
    </row>
    <row r="5271" spans="1:2" x14ac:dyDescent="0.25">
      <c r="A5271" s="62">
        <v>31271601</v>
      </c>
      <c r="B5271" s="63" t="s">
        <v>5947</v>
      </c>
    </row>
    <row r="5272" spans="1:2" x14ac:dyDescent="0.25">
      <c r="A5272" s="62">
        <v>31271602</v>
      </c>
      <c r="B5272" s="63" t="s">
        <v>5948</v>
      </c>
    </row>
    <row r="5273" spans="1:2" x14ac:dyDescent="0.25">
      <c r="A5273" s="62">
        <v>31281502</v>
      </c>
      <c r="B5273" s="63" t="s">
        <v>5949</v>
      </c>
    </row>
    <row r="5274" spans="1:2" x14ac:dyDescent="0.25">
      <c r="A5274" s="62">
        <v>31281503</v>
      </c>
      <c r="B5274" s="63" t="s">
        <v>5950</v>
      </c>
    </row>
    <row r="5275" spans="1:2" x14ac:dyDescent="0.25">
      <c r="A5275" s="62">
        <v>31281504</v>
      </c>
      <c r="B5275" s="63" t="s">
        <v>5951</v>
      </c>
    </row>
    <row r="5276" spans="1:2" x14ac:dyDescent="0.25">
      <c r="A5276" s="62">
        <v>31281505</v>
      </c>
      <c r="B5276" s="63" t="s">
        <v>5952</v>
      </c>
    </row>
    <row r="5277" spans="1:2" x14ac:dyDescent="0.25">
      <c r="A5277" s="62">
        <v>31281506</v>
      </c>
      <c r="B5277" s="63" t="s">
        <v>5953</v>
      </c>
    </row>
    <row r="5278" spans="1:2" x14ac:dyDescent="0.25">
      <c r="A5278" s="62">
        <v>31281507</v>
      </c>
      <c r="B5278" s="63" t="s">
        <v>5954</v>
      </c>
    </row>
    <row r="5279" spans="1:2" x14ac:dyDescent="0.25">
      <c r="A5279" s="62">
        <v>31281508</v>
      </c>
      <c r="B5279" s="63" t="s">
        <v>5955</v>
      </c>
    </row>
    <row r="5280" spans="1:2" x14ac:dyDescent="0.25">
      <c r="A5280" s="62">
        <v>31281509</v>
      </c>
      <c r="B5280" s="63" t="s">
        <v>5956</v>
      </c>
    </row>
    <row r="5281" spans="1:2" x14ac:dyDescent="0.25">
      <c r="A5281" s="62">
        <v>31281510</v>
      </c>
      <c r="B5281" s="63" t="s">
        <v>5957</v>
      </c>
    </row>
    <row r="5282" spans="1:2" x14ac:dyDescent="0.25">
      <c r="A5282" s="62">
        <v>31281511</v>
      </c>
      <c r="B5282" s="63" t="s">
        <v>5958</v>
      </c>
    </row>
    <row r="5283" spans="1:2" x14ac:dyDescent="0.25">
      <c r="A5283" s="62">
        <v>31281512</v>
      </c>
      <c r="B5283" s="63" t="s">
        <v>5959</v>
      </c>
    </row>
    <row r="5284" spans="1:2" x14ac:dyDescent="0.25">
      <c r="A5284" s="62">
        <v>31281513</v>
      </c>
      <c r="B5284" s="63" t="s">
        <v>5960</v>
      </c>
    </row>
    <row r="5285" spans="1:2" x14ac:dyDescent="0.25">
      <c r="A5285" s="62">
        <v>31281514</v>
      </c>
      <c r="B5285" s="63" t="s">
        <v>5961</v>
      </c>
    </row>
    <row r="5286" spans="1:2" x14ac:dyDescent="0.25">
      <c r="A5286" s="62">
        <v>31281515</v>
      </c>
      <c r="B5286" s="63" t="s">
        <v>5962</v>
      </c>
    </row>
    <row r="5287" spans="1:2" x14ac:dyDescent="0.25">
      <c r="A5287" s="62">
        <v>31281516</v>
      </c>
      <c r="B5287" s="63" t="s">
        <v>5963</v>
      </c>
    </row>
    <row r="5288" spans="1:2" x14ac:dyDescent="0.25">
      <c r="A5288" s="62">
        <v>31281517</v>
      </c>
      <c r="B5288" s="63" t="s">
        <v>5964</v>
      </c>
    </row>
    <row r="5289" spans="1:2" x14ac:dyDescent="0.25">
      <c r="A5289" s="62">
        <v>31281518</v>
      </c>
      <c r="B5289" s="63" t="s">
        <v>5965</v>
      </c>
    </row>
    <row r="5290" spans="1:2" x14ac:dyDescent="0.25">
      <c r="A5290" s="62">
        <v>31281519</v>
      </c>
      <c r="B5290" s="63" t="s">
        <v>5966</v>
      </c>
    </row>
    <row r="5291" spans="1:2" x14ac:dyDescent="0.25">
      <c r="A5291" s="62">
        <v>31281520</v>
      </c>
      <c r="B5291" s="63" t="s">
        <v>5967</v>
      </c>
    </row>
    <row r="5292" spans="1:2" x14ac:dyDescent="0.25">
      <c r="A5292" s="62">
        <v>31281521</v>
      </c>
      <c r="B5292" s="63" t="s">
        <v>5968</v>
      </c>
    </row>
    <row r="5293" spans="1:2" x14ac:dyDescent="0.25">
      <c r="A5293" s="62">
        <v>31281701</v>
      </c>
      <c r="B5293" s="63" t="s">
        <v>5969</v>
      </c>
    </row>
    <row r="5294" spans="1:2" x14ac:dyDescent="0.25">
      <c r="A5294" s="62">
        <v>31281801</v>
      </c>
      <c r="B5294" s="63" t="s">
        <v>5970</v>
      </c>
    </row>
    <row r="5295" spans="1:2" x14ac:dyDescent="0.25">
      <c r="A5295" s="62">
        <v>31281802</v>
      </c>
      <c r="B5295" s="63" t="s">
        <v>5971</v>
      </c>
    </row>
    <row r="5296" spans="1:2" x14ac:dyDescent="0.25">
      <c r="A5296" s="62">
        <v>31281803</v>
      </c>
      <c r="B5296" s="63" t="s">
        <v>5972</v>
      </c>
    </row>
    <row r="5297" spans="1:2" x14ac:dyDescent="0.25">
      <c r="A5297" s="62">
        <v>31281804</v>
      </c>
      <c r="B5297" s="63" t="s">
        <v>5973</v>
      </c>
    </row>
    <row r="5298" spans="1:2" x14ac:dyDescent="0.25">
      <c r="A5298" s="62">
        <v>31281805</v>
      </c>
      <c r="B5298" s="63" t="s">
        <v>5974</v>
      </c>
    </row>
    <row r="5299" spans="1:2" x14ac:dyDescent="0.25">
      <c r="A5299" s="62">
        <v>31281806</v>
      </c>
      <c r="B5299" s="63" t="s">
        <v>5975</v>
      </c>
    </row>
    <row r="5300" spans="1:2" x14ac:dyDescent="0.25">
      <c r="A5300" s="62">
        <v>31281807</v>
      </c>
      <c r="B5300" s="63" t="s">
        <v>5976</v>
      </c>
    </row>
    <row r="5301" spans="1:2" x14ac:dyDescent="0.25">
      <c r="A5301" s="62">
        <v>31281808</v>
      </c>
      <c r="B5301" s="63" t="s">
        <v>5977</v>
      </c>
    </row>
    <row r="5302" spans="1:2" x14ac:dyDescent="0.25">
      <c r="A5302" s="62">
        <v>31281809</v>
      </c>
      <c r="B5302" s="63" t="s">
        <v>5978</v>
      </c>
    </row>
    <row r="5303" spans="1:2" x14ac:dyDescent="0.25">
      <c r="A5303" s="62">
        <v>31281810</v>
      </c>
      <c r="B5303" s="63" t="s">
        <v>5979</v>
      </c>
    </row>
    <row r="5304" spans="1:2" x14ac:dyDescent="0.25">
      <c r="A5304" s="62">
        <v>31281811</v>
      </c>
      <c r="B5304" s="63" t="s">
        <v>5980</v>
      </c>
    </row>
    <row r="5305" spans="1:2" x14ac:dyDescent="0.25">
      <c r="A5305" s="62">
        <v>31281812</v>
      </c>
      <c r="B5305" s="63" t="s">
        <v>5981</v>
      </c>
    </row>
    <row r="5306" spans="1:2" x14ac:dyDescent="0.25">
      <c r="A5306" s="62">
        <v>31281813</v>
      </c>
      <c r="B5306" s="63" t="s">
        <v>5982</v>
      </c>
    </row>
    <row r="5307" spans="1:2" x14ac:dyDescent="0.25">
      <c r="A5307" s="62">
        <v>31281814</v>
      </c>
      <c r="B5307" s="63" t="s">
        <v>5983</v>
      </c>
    </row>
    <row r="5308" spans="1:2" x14ac:dyDescent="0.25">
      <c r="A5308" s="62">
        <v>31281815</v>
      </c>
      <c r="B5308" s="63" t="s">
        <v>5984</v>
      </c>
    </row>
    <row r="5309" spans="1:2" x14ac:dyDescent="0.25">
      <c r="A5309" s="62">
        <v>31281816</v>
      </c>
      <c r="B5309" s="63" t="s">
        <v>5985</v>
      </c>
    </row>
    <row r="5310" spans="1:2" x14ac:dyDescent="0.25">
      <c r="A5310" s="62">
        <v>31281817</v>
      </c>
      <c r="B5310" s="63" t="s">
        <v>5986</v>
      </c>
    </row>
    <row r="5311" spans="1:2" x14ac:dyDescent="0.25">
      <c r="A5311" s="62">
        <v>31281818</v>
      </c>
      <c r="B5311" s="63" t="s">
        <v>5987</v>
      </c>
    </row>
    <row r="5312" spans="1:2" x14ac:dyDescent="0.25">
      <c r="A5312" s="62">
        <v>31281819</v>
      </c>
      <c r="B5312" s="63" t="s">
        <v>5988</v>
      </c>
    </row>
    <row r="5313" spans="1:2" x14ac:dyDescent="0.25">
      <c r="A5313" s="62">
        <v>31281901</v>
      </c>
      <c r="B5313" s="63" t="s">
        <v>5989</v>
      </c>
    </row>
    <row r="5314" spans="1:2" x14ac:dyDescent="0.25">
      <c r="A5314" s="62">
        <v>31281902</v>
      </c>
      <c r="B5314" s="63" t="s">
        <v>5990</v>
      </c>
    </row>
    <row r="5315" spans="1:2" x14ac:dyDescent="0.25">
      <c r="A5315" s="62">
        <v>31281903</v>
      </c>
      <c r="B5315" s="63" t="s">
        <v>5991</v>
      </c>
    </row>
    <row r="5316" spans="1:2" x14ac:dyDescent="0.25">
      <c r="A5316" s="62">
        <v>31281904</v>
      </c>
      <c r="B5316" s="63" t="s">
        <v>5992</v>
      </c>
    </row>
    <row r="5317" spans="1:2" x14ac:dyDescent="0.25">
      <c r="A5317" s="62">
        <v>31281905</v>
      </c>
      <c r="B5317" s="63" t="s">
        <v>5993</v>
      </c>
    </row>
    <row r="5318" spans="1:2" x14ac:dyDescent="0.25">
      <c r="A5318" s="62">
        <v>31281906</v>
      </c>
      <c r="B5318" s="63" t="s">
        <v>5994</v>
      </c>
    </row>
    <row r="5319" spans="1:2" x14ac:dyDescent="0.25">
      <c r="A5319" s="62">
        <v>31281907</v>
      </c>
      <c r="B5319" s="63" t="s">
        <v>5995</v>
      </c>
    </row>
    <row r="5320" spans="1:2" x14ac:dyDescent="0.25">
      <c r="A5320" s="62">
        <v>31281908</v>
      </c>
      <c r="B5320" s="63" t="s">
        <v>5996</v>
      </c>
    </row>
    <row r="5321" spans="1:2" x14ac:dyDescent="0.25">
      <c r="A5321" s="62">
        <v>31281909</v>
      </c>
      <c r="B5321" s="63" t="s">
        <v>5997</v>
      </c>
    </row>
    <row r="5322" spans="1:2" x14ac:dyDescent="0.25">
      <c r="A5322" s="62">
        <v>31281910</v>
      </c>
      <c r="B5322" s="63" t="s">
        <v>5998</v>
      </c>
    </row>
    <row r="5323" spans="1:2" x14ac:dyDescent="0.25">
      <c r="A5323" s="62">
        <v>31281911</v>
      </c>
      <c r="B5323" s="63" t="s">
        <v>5999</v>
      </c>
    </row>
    <row r="5324" spans="1:2" x14ac:dyDescent="0.25">
      <c r="A5324" s="62">
        <v>31281912</v>
      </c>
      <c r="B5324" s="63" t="s">
        <v>6000</v>
      </c>
    </row>
    <row r="5325" spans="1:2" x14ac:dyDescent="0.25">
      <c r="A5325" s="62">
        <v>31281913</v>
      </c>
      <c r="B5325" s="63" t="s">
        <v>6001</v>
      </c>
    </row>
    <row r="5326" spans="1:2" x14ac:dyDescent="0.25">
      <c r="A5326" s="62">
        <v>31281914</v>
      </c>
      <c r="B5326" s="63" t="s">
        <v>6002</v>
      </c>
    </row>
    <row r="5327" spans="1:2" x14ac:dyDescent="0.25">
      <c r="A5327" s="62">
        <v>31281915</v>
      </c>
      <c r="B5327" s="63" t="s">
        <v>6003</v>
      </c>
    </row>
    <row r="5328" spans="1:2" x14ac:dyDescent="0.25">
      <c r="A5328" s="62">
        <v>31281916</v>
      </c>
      <c r="B5328" s="63" t="s">
        <v>6004</v>
      </c>
    </row>
    <row r="5329" spans="1:2" x14ac:dyDescent="0.25">
      <c r="A5329" s="62">
        <v>31281917</v>
      </c>
      <c r="B5329" s="63" t="s">
        <v>6005</v>
      </c>
    </row>
    <row r="5330" spans="1:2" x14ac:dyDescent="0.25">
      <c r="A5330" s="62">
        <v>31281918</v>
      </c>
      <c r="B5330" s="63" t="s">
        <v>6006</v>
      </c>
    </row>
    <row r="5331" spans="1:2" x14ac:dyDescent="0.25">
      <c r="A5331" s="62">
        <v>31281919</v>
      </c>
      <c r="B5331" s="63" t="s">
        <v>6007</v>
      </c>
    </row>
    <row r="5332" spans="1:2" x14ac:dyDescent="0.25">
      <c r="A5332" s="62">
        <v>31282001</v>
      </c>
      <c r="B5332" s="63" t="s">
        <v>6008</v>
      </c>
    </row>
    <row r="5333" spans="1:2" x14ac:dyDescent="0.25">
      <c r="A5333" s="62">
        <v>31282002</v>
      </c>
      <c r="B5333" s="63" t="s">
        <v>6009</v>
      </c>
    </row>
    <row r="5334" spans="1:2" x14ac:dyDescent="0.25">
      <c r="A5334" s="62">
        <v>31282003</v>
      </c>
      <c r="B5334" s="63" t="s">
        <v>6010</v>
      </c>
    </row>
    <row r="5335" spans="1:2" x14ac:dyDescent="0.25">
      <c r="A5335" s="62">
        <v>31282004</v>
      </c>
      <c r="B5335" s="63" t="s">
        <v>6011</v>
      </c>
    </row>
    <row r="5336" spans="1:2" x14ac:dyDescent="0.25">
      <c r="A5336" s="62">
        <v>31282005</v>
      </c>
      <c r="B5336" s="63" t="s">
        <v>6012</v>
      </c>
    </row>
    <row r="5337" spans="1:2" x14ac:dyDescent="0.25">
      <c r="A5337" s="62">
        <v>31282006</v>
      </c>
      <c r="B5337" s="63" t="s">
        <v>6013</v>
      </c>
    </row>
    <row r="5338" spans="1:2" x14ac:dyDescent="0.25">
      <c r="A5338" s="62">
        <v>31282007</v>
      </c>
      <c r="B5338" s="63" t="s">
        <v>6014</v>
      </c>
    </row>
    <row r="5339" spans="1:2" x14ac:dyDescent="0.25">
      <c r="A5339" s="62">
        <v>31282008</v>
      </c>
      <c r="B5339" s="63" t="s">
        <v>6015</v>
      </c>
    </row>
    <row r="5340" spans="1:2" x14ac:dyDescent="0.25">
      <c r="A5340" s="62">
        <v>31282009</v>
      </c>
      <c r="B5340" s="63" t="s">
        <v>6016</v>
      </c>
    </row>
    <row r="5341" spans="1:2" x14ac:dyDescent="0.25">
      <c r="A5341" s="62">
        <v>31282010</v>
      </c>
      <c r="B5341" s="63" t="s">
        <v>6017</v>
      </c>
    </row>
    <row r="5342" spans="1:2" x14ac:dyDescent="0.25">
      <c r="A5342" s="62">
        <v>31282011</v>
      </c>
      <c r="B5342" s="63" t="s">
        <v>6018</v>
      </c>
    </row>
    <row r="5343" spans="1:2" x14ac:dyDescent="0.25">
      <c r="A5343" s="62">
        <v>31282012</v>
      </c>
      <c r="B5343" s="63" t="s">
        <v>6019</v>
      </c>
    </row>
    <row r="5344" spans="1:2" x14ac:dyDescent="0.25">
      <c r="A5344" s="62">
        <v>31282013</v>
      </c>
      <c r="B5344" s="63" t="s">
        <v>6020</v>
      </c>
    </row>
    <row r="5345" spans="1:2" x14ac:dyDescent="0.25">
      <c r="A5345" s="62">
        <v>31282014</v>
      </c>
      <c r="B5345" s="63" t="s">
        <v>6021</v>
      </c>
    </row>
    <row r="5346" spans="1:2" x14ac:dyDescent="0.25">
      <c r="A5346" s="62">
        <v>31282015</v>
      </c>
      <c r="B5346" s="63" t="s">
        <v>6022</v>
      </c>
    </row>
    <row r="5347" spans="1:2" x14ac:dyDescent="0.25">
      <c r="A5347" s="62">
        <v>31282016</v>
      </c>
      <c r="B5347" s="63" t="s">
        <v>6023</v>
      </c>
    </row>
    <row r="5348" spans="1:2" x14ac:dyDescent="0.25">
      <c r="A5348" s="62">
        <v>31282017</v>
      </c>
      <c r="B5348" s="63" t="s">
        <v>6024</v>
      </c>
    </row>
    <row r="5349" spans="1:2" x14ac:dyDescent="0.25">
      <c r="A5349" s="62">
        <v>31282018</v>
      </c>
      <c r="B5349" s="63" t="s">
        <v>6025</v>
      </c>
    </row>
    <row r="5350" spans="1:2" x14ac:dyDescent="0.25">
      <c r="A5350" s="62">
        <v>31282019</v>
      </c>
      <c r="B5350" s="63" t="s">
        <v>6026</v>
      </c>
    </row>
    <row r="5351" spans="1:2" x14ac:dyDescent="0.25">
      <c r="A5351" s="62">
        <v>31282101</v>
      </c>
      <c r="B5351" s="63" t="s">
        <v>6027</v>
      </c>
    </row>
    <row r="5352" spans="1:2" x14ac:dyDescent="0.25">
      <c r="A5352" s="62">
        <v>31282102</v>
      </c>
      <c r="B5352" s="63" t="s">
        <v>6028</v>
      </c>
    </row>
    <row r="5353" spans="1:2" x14ac:dyDescent="0.25">
      <c r="A5353" s="62">
        <v>31282103</v>
      </c>
      <c r="B5353" s="63" t="s">
        <v>6029</v>
      </c>
    </row>
    <row r="5354" spans="1:2" x14ac:dyDescent="0.25">
      <c r="A5354" s="62">
        <v>31282104</v>
      </c>
      <c r="B5354" s="63" t="s">
        <v>6030</v>
      </c>
    </row>
    <row r="5355" spans="1:2" x14ac:dyDescent="0.25">
      <c r="A5355" s="62">
        <v>31282105</v>
      </c>
      <c r="B5355" s="63" t="s">
        <v>6031</v>
      </c>
    </row>
    <row r="5356" spans="1:2" x14ac:dyDescent="0.25">
      <c r="A5356" s="62">
        <v>31282106</v>
      </c>
      <c r="B5356" s="63" t="s">
        <v>6032</v>
      </c>
    </row>
    <row r="5357" spans="1:2" x14ac:dyDescent="0.25">
      <c r="A5357" s="62">
        <v>31282107</v>
      </c>
      <c r="B5357" s="63" t="s">
        <v>6033</v>
      </c>
    </row>
    <row r="5358" spans="1:2" x14ac:dyDescent="0.25">
      <c r="A5358" s="62">
        <v>31282108</v>
      </c>
      <c r="B5358" s="63" t="s">
        <v>6034</v>
      </c>
    </row>
    <row r="5359" spans="1:2" x14ac:dyDescent="0.25">
      <c r="A5359" s="62">
        <v>31282109</v>
      </c>
      <c r="B5359" s="63" t="s">
        <v>6035</v>
      </c>
    </row>
    <row r="5360" spans="1:2" x14ac:dyDescent="0.25">
      <c r="A5360" s="62">
        <v>31282110</v>
      </c>
      <c r="B5360" s="63" t="s">
        <v>6036</v>
      </c>
    </row>
    <row r="5361" spans="1:2" x14ac:dyDescent="0.25">
      <c r="A5361" s="62">
        <v>31282111</v>
      </c>
      <c r="B5361" s="63" t="s">
        <v>6037</v>
      </c>
    </row>
    <row r="5362" spans="1:2" x14ac:dyDescent="0.25">
      <c r="A5362" s="62">
        <v>31282112</v>
      </c>
      <c r="B5362" s="63" t="s">
        <v>6038</v>
      </c>
    </row>
    <row r="5363" spans="1:2" x14ac:dyDescent="0.25">
      <c r="A5363" s="62">
        <v>31282113</v>
      </c>
      <c r="B5363" s="63" t="s">
        <v>6039</v>
      </c>
    </row>
    <row r="5364" spans="1:2" x14ac:dyDescent="0.25">
      <c r="A5364" s="62">
        <v>31282114</v>
      </c>
      <c r="B5364" s="63" t="s">
        <v>6040</v>
      </c>
    </row>
    <row r="5365" spans="1:2" x14ac:dyDescent="0.25">
      <c r="A5365" s="62">
        <v>31282115</v>
      </c>
      <c r="B5365" s="63" t="s">
        <v>6041</v>
      </c>
    </row>
    <row r="5366" spans="1:2" x14ac:dyDescent="0.25">
      <c r="A5366" s="62">
        <v>31282116</v>
      </c>
      <c r="B5366" s="63" t="s">
        <v>6042</v>
      </c>
    </row>
    <row r="5367" spans="1:2" x14ac:dyDescent="0.25">
      <c r="A5367" s="62">
        <v>31282117</v>
      </c>
      <c r="B5367" s="63" t="s">
        <v>6043</v>
      </c>
    </row>
    <row r="5368" spans="1:2" x14ac:dyDescent="0.25">
      <c r="A5368" s="62">
        <v>31282118</v>
      </c>
      <c r="B5368" s="63" t="s">
        <v>6044</v>
      </c>
    </row>
    <row r="5369" spans="1:2" x14ac:dyDescent="0.25">
      <c r="A5369" s="62">
        <v>31282119</v>
      </c>
      <c r="B5369" s="63" t="s">
        <v>6045</v>
      </c>
    </row>
    <row r="5370" spans="1:2" x14ac:dyDescent="0.25">
      <c r="A5370" s="62">
        <v>31282201</v>
      </c>
      <c r="B5370" s="63" t="s">
        <v>6046</v>
      </c>
    </row>
    <row r="5371" spans="1:2" x14ac:dyDescent="0.25">
      <c r="A5371" s="62">
        <v>31282202</v>
      </c>
      <c r="B5371" s="63" t="s">
        <v>6047</v>
      </c>
    </row>
    <row r="5372" spans="1:2" x14ac:dyDescent="0.25">
      <c r="A5372" s="62">
        <v>31282203</v>
      </c>
      <c r="B5372" s="63" t="s">
        <v>6048</v>
      </c>
    </row>
    <row r="5373" spans="1:2" x14ac:dyDescent="0.25">
      <c r="A5373" s="62">
        <v>31282204</v>
      </c>
      <c r="B5373" s="63" t="s">
        <v>6049</v>
      </c>
    </row>
    <row r="5374" spans="1:2" x14ac:dyDescent="0.25">
      <c r="A5374" s="62">
        <v>31282205</v>
      </c>
      <c r="B5374" s="63" t="s">
        <v>6050</v>
      </c>
    </row>
    <row r="5375" spans="1:2" x14ac:dyDescent="0.25">
      <c r="A5375" s="62">
        <v>31282206</v>
      </c>
      <c r="B5375" s="63" t="s">
        <v>6051</v>
      </c>
    </row>
    <row r="5376" spans="1:2" x14ac:dyDescent="0.25">
      <c r="A5376" s="62">
        <v>31282207</v>
      </c>
      <c r="B5376" s="63" t="s">
        <v>6052</v>
      </c>
    </row>
    <row r="5377" spans="1:2" x14ac:dyDescent="0.25">
      <c r="A5377" s="62">
        <v>31282208</v>
      </c>
      <c r="B5377" s="63" t="s">
        <v>6053</v>
      </c>
    </row>
    <row r="5378" spans="1:2" x14ac:dyDescent="0.25">
      <c r="A5378" s="62">
        <v>31282209</v>
      </c>
      <c r="B5378" s="63" t="s">
        <v>6054</v>
      </c>
    </row>
    <row r="5379" spans="1:2" x14ac:dyDescent="0.25">
      <c r="A5379" s="62">
        <v>31282210</v>
      </c>
      <c r="B5379" s="63" t="s">
        <v>6055</v>
      </c>
    </row>
    <row r="5380" spans="1:2" x14ac:dyDescent="0.25">
      <c r="A5380" s="62">
        <v>31282211</v>
      </c>
      <c r="B5380" s="63" t="s">
        <v>6056</v>
      </c>
    </row>
    <row r="5381" spans="1:2" x14ac:dyDescent="0.25">
      <c r="A5381" s="62">
        <v>31282212</v>
      </c>
      <c r="B5381" s="63" t="s">
        <v>6057</v>
      </c>
    </row>
    <row r="5382" spans="1:2" x14ac:dyDescent="0.25">
      <c r="A5382" s="62">
        <v>31282213</v>
      </c>
      <c r="B5382" s="63" t="s">
        <v>6058</v>
      </c>
    </row>
    <row r="5383" spans="1:2" x14ac:dyDescent="0.25">
      <c r="A5383" s="62">
        <v>31282214</v>
      </c>
      <c r="B5383" s="63" t="s">
        <v>6059</v>
      </c>
    </row>
    <row r="5384" spans="1:2" x14ac:dyDescent="0.25">
      <c r="A5384" s="62">
        <v>31282215</v>
      </c>
      <c r="B5384" s="63" t="s">
        <v>6060</v>
      </c>
    </row>
    <row r="5385" spans="1:2" x14ac:dyDescent="0.25">
      <c r="A5385" s="62">
        <v>31282216</v>
      </c>
      <c r="B5385" s="63" t="s">
        <v>6061</v>
      </c>
    </row>
    <row r="5386" spans="1:2" x14ac:dyDescent="0.25">
      <c r="A5386" s="62">
        <v>31282217</v>
      </c>
      <c r="B5386" s="63" t="s">
        <v>6062</v>
      </c>
    </row>
    <row r="5387" spans="1:2" x14ac:dyDescent="0.25">
      <c r="A5387" s="62">
        <v>31282218</v>
      </c>
      <c r="B5387" s="63" t="s">
        <v>6063</v>
      </c>
    </row>
    <row r="5388" spans="1:2" x14ac:dyDescent="0.25">
      <c r="A5388" s="62">
        <v>31282219</v>
      </c>
      <c r="B5388" s="63" t="s">
        <v>6064</v>
      </c>
    </row>
    <row r="5389" spans="1:2" x14ac:dyDescent="0.25">
      <c r="A5389" s="62">
        <v>31282301</v>
      </c>
      <c r="B5389" s="63" t="s">
        <v>6065</v>
      </c>
    </row>
    <row r="5390" spans="1:2" x14ac:dyDescent="0.25">
      <c r="A5390" s="62">
        <v>31282302</v>
      </c>
      <c r="B5390" s="63" t="s">
        <v>6066</v>
      </c>
    </row>
    <row r="5391" spans="1:2" x14ac:dyDescent="0.25">
      <c r="A5391" s="62">
        <v>31282303</v>
      </c>
      <c r="B5391" s="63" t="s">
        <v>6067</v>
      </c>
    </row>
    <row r="5392" spans="1:2" x14ac:dyDescent="0.25">
      <c r="A5392" s="62">
        <v>31282304</v>
      </c>
      <c r="B5392" s="63" t="s">
        <v>6068</v>
      </c>
    </row>
    <row r="5393" spans="1:2" x14ac:dyDescent="0.25">
      <c r="A5393" s="62">
        <v>31282305</v>
      </c>
      <c r="B5393" s="63" t="s">
        <v>6069</v>
      </c>
    </row>
    <row r="5394" spans="1:2" x14ac:dyDescent="0.25">
      <c r="A5394" s="62">
        <v>31282306</v>
      </c>
      <c r="B5394" s="63" t="s">
        <v>6070</v>
      </c>
    </row>
    <row r="5395" spans="1:2" x14ac:dyDescent="0.25">
      <c r="A5395" s="62">
        <v>31282307</v>
      </c>
      <c r="B5395" s="63" t="s">
        <v>6071</v>
      </c>
    </row>
    <row r="5396" spans="1:2" x14ac:dyDescent="0.25">
      <c r="A5396" s="62">
        <v>31282308</v>
      </c>
      <c r="B5396" s="63" t="s">
        <v>6072</v>
      </c>
    </row>
    <row r="5397" spans="1:2" x14ac:dyDescent="0.25">
      <c r="A5397" s="62">
        <v>31282309</v>
      </c>
      <c r="B5397" s="63" t="s">
        <v>6073</v>
      </c>
    </row>
    <row r="5398" spans="1:2" x14ac:dyDescent="0.25">
      <c r="A5398" s="62">
        <v>31282310</v>
      </c>
      <c r="B5398" s="63" t="s">
        <v>6074</v>
      </c>
    </row>
    <row r="5399" spans="1:2" x14ac:dyDescent="0.25">
      <c r="A5399" s="62">
        <v>31282311</v>
      </c>
      <c r="B5399" s="63" t="s">
        <v>6075</v>
      </c>
    </row>
    <row r="5400" spans="1:2" x14ac:dyDescent="0.25">
      <c r="A5400" s="62">
        <v>31282312</v>
      </c>
      <c r="B5400" s="63" t="s">
        <v>6076</v>
      </c>
    </row>
    <row r="5401" spans="1:2" x14ac:dyDescent="0.25">
      <c r="A5401" s="62">
        <v>31282313</v>
      </c>
      <c r="B5401" s="63" t="s">
        <v>6077</v>
      </c>
    </row>
    <row r="5402" spans="1:2" x14ac:dyDescent="0.25">
      <c r="A5402" s="62">
        <v>31282314</v>
      </c>
      <c r="B5402" s="63" t="s">
        <v>6078</v>
      </c>
    </row>
    <row r="5403" spans="1:2" x14ac:dyDescent="0.25">
      <c r="A5403" s="62">
        <v>31282315</v>
      </c>
      <c r="B5403" s="63" t="s">
        <v>6079</v>
      </c>
    </row>
    <row r="5404" spans="1:2" x14ac:dyDescent="0.25">
      <c r="A5404" s="62">
        <v>31282316</v>
      </c>
      <c r="B5404" s="63" t="s">
        <v>6080</v>
      </c>
    </row>
    <row r="5405" spans="1:2" x14ac:dyDescent="0.25">
      <c r="A5405" s="62">
        <v>31282317</v>
      </c>
      <c r="B5405" s="63" t="s">
        <v>6081</v>
      </c>
    </row>
    <row r="5406" spans="1:2" x14ac:dyDescent="0.25">
      <c r="A5406" s="62">
        <v>31282318</v>
      </c>
      <c r="B5406" s="63" t="s">
        <v>6082</v>
      </c>
    </row>
    <row r="5407" spans="1:2" x14ac:dyDescent="0.25">
      <c r="A5407" s="62">
        <v>31282319</v>
      </c>
      <c r="B5407" s="63" t="s">
        <v>6083</v>
      </c>
    </row>
    <row r="5408" spans="1:2" x14ac:dyDescent="0.25">
      <c r="A5408" s="62">
        <v>31282401</v>
      </c>
      <c r="B5408" s="63" t="s">
        <v>6084</v>
      </c>
    </row>
    <row r="5409" spans="1:2" x14ac:dyDescent="0.25">
      <c r="A5409" s="62">
        <v>31282402</v>
      </c>
      <c r="B5409" s="63" t="s">
        <v>6085</v>
      </c>
    </row>
    <row r="5410" spans="1:2" x14ac:dyDescent="0.25">
      <c r="A5410" s="62">
        <v>31282403</v>
      </c>
      <c r="B5410" s="63" t="s">
        <v>6086</v>
      </c>
    </row>
    <row r="5411" spans="1:2" x14ac:dyDescent="0.25">
      <c r="A5411" s="62">
        <v>31282404</v>
      </c>
      <c r="B5411" s="63" t="s">
        <v>6087</v>
      </c>
    </row>
    <row r="5412" spans="1:2" x14ac:dyDescent="0.25">
      <c r="A5412" s="62">
        <v>31282405</v>
      </c>
      <c r="B5412" s="63" t="s">
        <v>6088</v>
      </c>
    </row>
    <row r="5413" spans="1:2" x14ac:dyDescent="0.25">
      <c r="A5413" s="62">
        <v>31282406</v>
      </c>
      <c r="B5413" s="63" t="s">
        <v>6089</v>
      </c>
    </row>
    <row r="5414" spans="1:2" x14ac:dyDescent="0.25">
      <c r="A5414" s="62">
        <v>31282407</v>
      </c>
      <c r="B5414" s="63" t="s">
        <v>6090</v>
      </c>
    </row>
    <row r="5415" spans="1:2" x14ac:dyDescent="0.25">
      <c r="A5415" s="62">
        <v>31282408</v>
      </c>
      <c r="B5415" s="63" t="s">
        <v>6091</v>
      </c>
    </row>
    <row r="5416" spans="1:2" x14ac:dyDescent="0.25">
      <c r="A5416" s="62">
        <v>31282409</v>
      </c>
      <c r="B5416" s="63" t="s">
        <v>6092</v>
      </c>
    </row>
    <row r="5417" spans="1:2" x14ac:dyDescent="0.25">
      <c r="A5417" s="62">
        <v>31282410</v>
      </c>
      <c r="B5417" s="63" t="s">
        <v>6093</v>
      </c>
    </row>
    <row r="5418" spans="1:2" x14ac:dyDescent="0.25">
      <c r="A5418" s="62">
        <v>31282411</v>
      </c>
      <c r="B5418" s="63" t="s">
        <v>6094</v>
      </c>
    </row>
    <row r="5419" spans="1:2" x14ac:dyDescent="0.25">
      <c r="A5419" s="62">
        <v>31282412</v>
      </c>
      <c r="B5419" s="63" t="s">
        <v>6095</v>
      </c>
    </row>
    <row r="5420" spans="1:2" x14ac:dyDescent="0.25">
      <c r="A5420" s="62">
        <v>31282413</v>
      </c>
      <c r="B5420" s="63" t="s">
        <v>6096</v>
      </c>
    </row>
    <row r="5421" spans="1:2" x14ac:dyDescent="0.25">
      <c r="A5421" s="62">
        <v>31282414</v>
      </c>
      <c r="B5421" s="63" t="s">
        <v>6097</v>
      </c>
    </row>
    <row r="5422" spans="1:2" x14ac:dyDescent="0.25">
      <c r="A5422" s="62">
        <v>31282415</v>
      </c>
      <c r="B5422" s="63" t="s">
        <v>6098</v>
      </c>
    </row>
    <row r="5423" spans="1:2" x14ac:dyDescent="0.25">
      <c r="A5423" s="62">
        <v>31282416</v>
      </c>
      <c r="B5423" s="63" t="s">
        <v>6099</v>
      </c>
    </row>
    <row r="5424" spans="1:2" x14ac:dyDescent="0.25">
      <c r="A5424" s="62">
        <v>31282417</v>
      </c>
      <c r="B5424" s="63" t="s">
        <v>6100</v>
      </c>
    </row>
    <row r="5425" spans="1:2" x14ac:dyDescent="0.25">
      <c r="A5425" s="62">
        <v>31282418</v>
      </c>
      <c r="B5425" s="63" t="s">
        <v>6101</v>
      </c>
    </row>
    <row r="5426" spans="1:2" x14ac:dyDescent="0.25">
      <c r="A5426" s="62">
        <v>31282419</v>
      </c>
      <c r="B5426" s="63" t="s">
        <v>6102</v>
      </c>
    </row>
    <row r="5427" spans="1:2" x14ac:dyDescent="0.25">
      <c r="A5427" s="62">
        <v>31291101</v>
      </c>
      <c r="B5427" s="63" t="s">
        <v>6103</v>
      </c>
    </row>
    <row r="5428" spans="1:2" x14ac:dyDescent="0.25">
      <c r="A5428" s="62">
        <v>31291102</v>
      </c>
      <c r="B5428" s="63" t="s">
        <v>6104</v>
      </c>
    </row>
    <row r="5429" spans="1:2" x14ac:dyDescent="0.25">
      <c r="A5429" s="62">
        <v>31291103</v>
      </c>
      <c r="B5429" s="63" t="s">
        <v>6105</v>
      </c>
    </row>
    <row r="5430" spans="1:2" x14ac:dyDescent="0.25">
      <c r="A5430" s="62">
        <v>31291104</v>
      </c>
      <c r="B5430" s="63" t="s">
        <v>6106</v>
      </c>
    </row>
    <row r="5431" spans="1:2" x14ac:dyDescent="0.25">
      <c r="A5431" s="62">
        <v>31291105</v>
      </c>
      <c r="B5431" s="63" t="s">
        <v>6107</v>
      </c>
    </row>
    <row r="5432" spans="1:2" x14ac:dyDescent="0.25">
      <c r="A5432" s="62">
        <v>31291106</v>
      </c>
      <c r="B5432" s="63" t="s">
        <v>6108</v>
      </c>
    </row>
    <row r="5433" spans="1:2" x14ac:dyDescent="0.25">
      <c r="A5433" s="62">
        <v>31291107</v>
      </c>
      <c r="B5433" s="63" t="s">
        <v>6109</v>
      </c>
    </row>
    <row r="5434" spans="1:2" x14ac:dyDescent="0.25">
      <c r="A5434" s="62">
        <v>31291108</v>
      </c>
      <c r="B5434" s="63" t="s">
        <v>6110</v>
      </c>
    </row>
    <row r="5435" spans="1:2" x14ac:dyDescent="0.25">
      <c r="A5435" s="62">
        <v>31291109</v>
      </c>
      <c r="B5435" s="63" t="s">
        <v>6111</v>
      </c>
    </row>
    <row r="5436" spans="1:2" x14ac:dyDescent="0.25">
      <c r="A5436" s="62">
        <v>31291110</v>
      </c>
      <c r="B5436" s="63" t="s">
        <v>6112</v>
      </c>
    </row>
    <row r="5437" spans="1:2" x14ac:dyDescent="0.25">
      <c r="A5437" s="62">
        <v>31291111</v>
      </c>
      <c r="B5437" s="63" t="s">
        <v>6113</v>
      </c>
    </row>
    <row r="5438" spans="1:2" x14ac:dyDescent="0.25">
      <c r="A5438" s="62">
        <v>31291112</v>
      </c>
      <c r="B5438" s="63" t="s">
        <v>6114</v>
      </c>
    </row>
    <row r="5439" spans="1:2" x14ac:dyDescent="0.25">
      <c r="A5439" s="62">
        <v>31291113</v>
      </c>
      <c r="B5439" s="63" t="s">
        <v>6115</v>
      </c>
    </row>
    <row r="5440" spans="1:2" x14ac:dyDescent="0.25">
      <c r="A5440" s="62">
        <v>31291114</v>
      </c>
      <c r="B5440" s="63" t="s">
        <v>6116</v>
      </c>
    </row>
    <row r="5441" spans="1:2" x14ac:dyDescent="0.25">
      <c r="A5441" s="62">
        <v>31291115</v>
      </c>
      <c r="B5441" s="63" t="s">
        <v>6117</v>
      </c>
    </row>
    <row r="5442" spans="1:2" x14ac:dyDescent="0.25">
      <c r="A5442" s="62">
        <v>31291116</v>
      </c>
      <c r="B5442" s="63" t="s">
        <v>6118</v>
      </c>
    </row>
    <row r="5443" spans="1:2" x14ac:dyDescent="0.25">
      <c r="A5443" s="62">
        <v>31291117</v>
      </c>
      <c r="B5443" s="63" t="s">
        <v>6119</v>
      </c>
    </row>
    <row r="5444" spans="1:2" x14ac:dyDescent="0.25">
      <c r="A5444" s="62">
        <v>31291118</v>
      </c>
      <c r="B5444" s="63" t="s">
        <v>6120</v>
      </c>
    </row>
    <row r="5445" spans="1:2" x14ac:dyDescent="0.25">
      <c r="A5445" s="62">
        <v>31291119</v>
      </c>
      <c r="B5445" s="63" t="s">
        <v>6121</v>
      </c>
    </row>
    <row r="5446" spans="1:2" x14ac:dyDescent="0.25">
      <c r="A5446" s="62">
        <v>31291120</v>
      </c>
      <c r="B5446" s="63" t="s">
        <v>6122</v>
      </c>
    </row>
    <row r="5447" spans="1:2" x14ac:dyDescent="0.25">
      <c r="A5447" s="62">
        <v>31291201</v>
      </c>
      <c r="B5447" s="63" t="s">
        <v>6123</v>
      </c>
    </row>
    <row r="5448" spans="1:2" x14ac:dyDescent="0.25">
      <c r="A5448" s="62">
        <v>31291202</v>
      </c>
      <c r="B5448" s="63" t="s">
        <v>6124</v>
      </c>
    </row>
    <row r="5449" spans="1:2" x14ac:dyDescent="0.25">
      <c r="A5449" s="62">
        <v>31291203</v>
      </c>
      <c r="B5449" s="63" t="s">
        <v>6125</v>
      </c>
    </row>
    <row r="5450" spans="1:2" x14ac:dyDescent="0.25">
      <c r="A5450" s="62">
        <v>31291204</v>
      </c>
      <c r="B5450" s="63" t="s">
        <v>6126</v>
      </c>
    </row>
    <row r="5451" spans="1:2" x14ac:dyDescent="0.25">
      <c r="A5451" s="62">
        <v>31291205</v>
      </c>
      <c r="B5451" s="63" t="s">
        <v>6127</v>
      </c>
    </row>
    <row r="5452" spans="1:2" x14ac:dyDescent="0.25">
      <c r="A5452" s="62">
        <v>31291206</v>
      </c>
      <c r="B5452" s="63" t="s">
        <v>6128</v>
      </c>
    </row>
    <row r="5453" spans="1:2" x14ac:dyDescent="0.25">
      <c r="A5453" s="62">
        <v>31291207</v>
      </c>
      <c r="B5453" s="63" t="s">
        <v>6129</v>
      </c>
    </row>
    <row r="5454" spans="1:2" x14ac:dyDescent="0.25">
      <c r="A5454" s="62">
        <v>31291208</v>
      </c>
      <c r="B5454" s="63" t="s">
        <v>6130</v>
      </c>
    </row>
    <row r="5455" spans="1:2" x14ac:dyDescent="0.25">
      <c r="A5455" s="62">
        <v>31291209</v>
      </c>
      <c r="B5455" s="63" t="s">
        <v>6131</v>
      </c>
    </row>
    <row r="5456" spans="1:2" x14ac:dyDescent="0.25">
      <c r="A5456" s="62">
        <v>31291210</v>
      </c>
      <c r="B5456" s="63" t="s">
        <v>6132</v>
      </c>
    </row>
    <row r="5457" spans="1:2" x14ac:dyDescent="0.25">
      <c r="A5457" s="62">
        <v>31291211</v>
      </c>
      <c r="B5457" s="63" t="s">
        <v>6133</v>
      </c>
    </row>
    <row r="5458" spans="1:2" x14ac:dyDescent="0.25">
      <c r="A5458" s="62">
        <v>31291212</v>
      </c>
      <c r="B5458" s="63" t="s">
        <v>6134</v>
      </c>
    </row>
    <row r="5459" spans="1:2" x14ac:dyDescent="0.25">
      <c r="A5459" s="62">
        <v>31291213</v>
      </c>
      <c r="B5459" s="63" t="s">
        <v>6135</v>
      </c>
    </row>
    <row r="5460" spans="1:2" x14ac:dyDescent="0.25">
      <c r="A5460" s="62">
        <v>31291214</v>
      </c>
      <c r="B5460" s="63" t="s">
        <v>6136</v>
      </c>
    </row>
    <row r="5461" spans="1:2" x14ac:dyDescent="0.25">
      <c r="A5461" s="62">
        <v>31291215</v>
      </c>
      <c r="B5461" s="63" t="s">
        <v>6137</v>
      </c>
    </row>
    <row r="5462" spans="1:2" x14ac:dyDescent="0.25">
      <c r="A5462" s="62">
        <v>31291216</v>
      </c>
      <c r="B5462" s="63" t="s">
        <v>6138</v>
      </c>
    </row>
    <row r="5463" spans="1:2" x14ac:dyDescent="0.25">
      <c r="A5463" s="62">
        <v>31291217</v>
      </c>
      <c r="B5463" s="63" t="s">
        <v>6139</v>
      </c>
    </row>
    <row r="5464" spans="1:2" x14ac:dyDescent="0.25">
      <c r="A5464" s="62">
        <v>31291218</v>
      </c>
      <c r="B5464" s="63" t="s">
        <v>6140</v>
      </c>
    </row>
    <row r="5465" spans="1:2" x14ac:dyDescent="0.25">
      <c r="A5465" s="62">
        <v>31291219</v>
      </c>
      <c r="B5465" s="63" t="s">
        <v>6141</v>
      </c>
    </row>
    <row r="5466" spans="1:2" x14ac:dyDescent="0.25">
      <c r="A5466" s="62">
        <v>31291220</v>
      </c>
      <c r="B5466" s="63" t="s">
        <v>6142</v>
      </c>
    </row>
    <row r="5467" spans="1:2" x14ac:dyDescent="0.25">
      <c r="A5467" s="62">
        <v>31291301</v>
      </c>
      <c r="B5467" s="63" t="s">
        <v>6143</v>
      </c>
    </row>
    <row r="5468" spans="1:2" x14ac:dyDescent="0.25">
      <c r="A5468" s="62">
        <v>31291302</v>
      </c>
      <c r="B5468" s="63" t="s">
        <v>6144</v>
      </c>
    </row>
    <row r="5469" spans="1:2" x14ac:dyDescent="0.25">
      <c r="A5469" s="62">
        <v>31291303</v>
      </c>
      <c r="B5469" s="63" t="s">
        <v>6145</v>
      </c>
    </row>
    <row r="5470" spans="1:2" x14ac:dyDescent="0.25">
      <c r="A5470" s="62">
        <v>31291304</v>
      </c>
      <c r="B5470" s="63" t="s">
        <v>6146</v>
      </c>
    </row>
    <row r="5471" spans="1:2" x14ac:dyDescent="0.25">
      <c r="A5471" s="62">
        <v>31291305</v>
      </c>
      <c r="B5471" s="63" t="s">
        <v>6147</v>
      </c>
    </row>
    <row r="5472" spans="1:2" x14ac:dyDescent="0.25">
      <c r="A5472" s="62">
        <v>31291306</v>
      </c>
      <c r="B5472" s="63" t="s">
        <v>6148</v>
      </c>
    </row>
    <row r="5473" spans="1:2" x14ac:dyDescent="0.25">
      <c r="A5473" s="62">
        <v>31291307</v>
      </c>
      <c r="B5473" s="63" t="s">
        <v>6149</v>
      </c>
    </row>
    <row r="5474" spans="1:2" x14ac:dyDescent="0.25">
      <c r="A5474" s="62">
        <v>31291308</v>
      </c>
      <c r="B5474" s="63" t="s">
        <v>6150</v>
      </c>
    </row>
    <row r="5475" spans="1:2" x14ac:dyDescent="0.25">
      <c r="A5475" s="62">
        <v>31291309</v>
      </c>
      <c r="B5475" s="63" t="s">
        <v>6151</v>
      </c>
    </row>
    <row r="5476" spans="1:2" x14ac:dyDescent="0.25">
      <c r="A5476" s="62">
        <v>31291310</v>
      </c>
      <c r="B5476" s="63" t="s">
        <v>6152</v>
      </c>
    </row>
    <row r="5477" spans="1:2" x14ac:dyDescent="0.25">
      <c r="A5477" s="62">
        <v>31291311</v>
      </c>
      <c r="B5477" s="63" t="s">
        <v>6153</v>
      </c>
    </row>
    <row r="5478" spans="1:2" x14ac:dyDescent="0.25">
      <c r="A5478" s="62">
        <v>31291312</v>
      </c>
      <c r="B5478" s="63" t="s">
        <v>6154</v>
      </c>
    </row>
    <row r="5479" spans="1:2" x14ac:dyDescent="0.25">
      <c r="A5479" s="62">
        <v>31291313</v>
      </c>
      <c r="B5479" s="63" t="s">
        <v>6155</v>
      </c>
    </row>
    <row r="5480" spans="1:2" x14ac:dyDescent="0.25">
      <c r="A5480" s="62">
        <v>31291314</v>
      </c>
      <c r="B5480" s="63" t="s">
        <v>6156</v>
      </c>
    </row>
    <row r="5481" spans="1:2" x14ac:dyDescent="0.25">
      <c r="A5481" s="62">
        <v>31291315</v>
      </c>
      <c r="B5481" s="63" t="s">
        <v>6157</v>
      </c>
    </row>
    <row r="5482" spans="1:2" x14ac:dyDescent="0.25">
      <c r="A5482" s="62">
        <v>31291316</v>
      </c>
      <c r="B5482" s="63" t="s">
        <v>6158</v>
      </c>
    </row>
    <row r="5483" spans="1:2" x14ac:dyDescent="0.25">
      <c r="A5483" s="62">
        <v>31291317</v>
      </c>
      <c r="B5483" s="63" t="s">
        <v>6159</v>
      </c>
    </row>
    <row r="5484" spans="1:2" x14ac:dyDescent="0.25">
      <c r="A5484" s="62">
        <v>31291318</v>
      </c>
      <c r="B5484" s="63" t="s">
        <v>6160</v>
      </c>
    </row>
    <row r="5485" spans="1:2" x14ac:dyDescent="0.25">
      <c r="A5485" s="62">
        <v>31291319</v>
      </c>
      <c r="B5485" s="63" t="s">
        <v>6161</v>
      </c>
    </row>
    <row r="5486" spans="1:2" x14ac:dyDescent="0.25">
      <c r="A5486" s="62">
        <v>31291320</v>
      </c>
      <c r="B5486" s="63" t="s">
        <v>6162</v>
      </c>
    </row>
    <row r="5487" spans="1:2" x14ac:dyDescent="0.25">
      <c r="A5487" s="62">
        <v>31291401</v>
      </c>
      <c r="B5487" s="63" t="s">
        <v>6163</v>
      </c>
    </row>
    <row r="5488" spans="1:2" x14ac:dyDescent="0.25">
      <c r="A5488" s="62">
        <v>31291402</v>
      </c>
      <c r="B5488" s="63" t="s">
        <v>6164</v>
      </c>
    </row>
    <row r="5489" spans="1:2" x14ac:dyDescent="0.25">
      <c r="A5489" s="62">
        <v>31291403</v>
      </c>
      <c r="B5489" s="63" t="s">
        <v>6165</v>
      </c>
    </row>
    <row r="5490" spans="1:2" x14ac:dyDescent="0.25">
      <c r="A5490" s="62">
        <v>31291404</v>
      </c>
      <c r="B5490" s="63" t="s">
        <v>6166</v>
      </c>
    </row>
    <row r="5491" spans="1:2" x14ac:dyDescent="0.25">
      <c r="A5491" s="62">
        <v>31291405</v>
      </c>
      <c r="B5491" s="63" t="s">
        <v>6167</v>
      </c>
    </row>
    <row r="5492" spans="1:2" x14ac:dyDescent="0.25">
      <c r="A5492" s="62">
        <v>31291406</v>
      </c>
      <c r="B5492" s="63" t="s">
        <v>6168</v>
      </c>
    </row>
    <row r="5493" spans="1:2" x14ac:dyDescent="0.25">
      <c r="A5493" s="62">
        <v>31291407</v>
      </c>
      <c r="B5493" s="63" t="s">
        <v>6169</v>
      </c>
    </row>
    <row r="5494" spans="1:2" x14ac:dyDescent="0.25">
      <c r="A5494" s="62">
        <v>31291408</v>
      </c>
      <c r="B5494" s="63" t="s">
        <v>6170</v>
      </c>
    </row>
    <row r="5495" spans="1:2" x14ac:dyDescent="0.25">
      <c r="A5495" s="62">
        <v>31291409</v>
      </c>
      <c r="B5495" s="63" t="s">
        <v>6171</v>
      </c>
    </row>
    <row r="5496" spans="1:2" x14ac:dyDescent="0.25">
      <c r="A5496" s="62">
        <v>31291410</v>
      </c>
      <c r="B5496" s="63" t="s">
        <v>6172</v>
      </c>
    </row>
    <row r="5497" spans="1:2" x14ac:dyDescent="0.25">
      <c r="A5497" s="62">
        <v>31291411</v>
      </c>
      <c r="B5497" s="63" t="s">
        <v>6173</v>
      </c>
    </row>
    <row r="5498" spans="1:2" x14ac:dyDescent="0.25">
      <c r="A5498" s="62">
        <v>31291412</v>
      </c>
      <c r="B5498" s="63" t="s">
        <v>6174</v>
      </c>
    </row>
    <row r="5499" spans="1:2" x14ac:dyDescent="0.25">
      <c r="A5499" s="62">
        <v>31291413</v>
      </c>
      <c r="B5499" s="63" t="s">
        <v>6175</v>
      </c>
    </row>
    <row r="5500" spans="1:2" x14ac:dyDescent="0.25">
      <c r="A5500" s="62">
        <v>31291414</v>
      </c>
      <c r="B5500" s="63" t="s">
        <v>6176</v>
      </c>
    </row>
    <row r="5501" spans="1:2" x14ac:dyDescent="0.25">
      <c r="A5501" s="62">
        <v>31291415</v>
      </c>
      <c r="B5501" s="63" t="s">
        <v>6177</v>
      </c>
    </row>
    <row r="5502" spans="1:2" x14ac:dyDescent="0.25">
      <c r="A5502" s="62">
        <v>31291416</v>
      </c>
      <c r="B5502" s="63" t="s">
        <v>6178</v>
      </c>
    </row>
    <row r="5503" spans="1:2" x14ac:dyDescent="0.25">
      <c r="A5503" s="62">
        <v>31291417</v>
      </c>
      <c r="B5503" s="63" t="s">
        <v>6179</v>
      </c>
    </row>
    <row r="5504" spans="1:2" x14ac:dyDescent="0.25">
      <c r="A5504" s="62">
        <v>31291418</v>
      </c>
      <c r="B5504" s="63" t="s">
        <v>6180</v>
      </c>
    </row>
    <row r="5505" spans="1:2" x14ac:dyDescent="0.25">
      <c r="A5505" s="62">
        <v>31291419</v>
      </c>
      <c r="B5505" s="63" t="s">
        <v>6181</v>
      </c>
    </row>
    <row r="5506" spans="1:2" x14ac:dyDescent="0.25">
      <c r="A5506" s="62">
        <v>31291420</v>
      </c>
      <c r="B5506" s="63" t="s">
        <v>6182</v>
      </c>
    </row>
    <row r="5507" spans="1:2" x14ac:dyDescent="0.25">
      <c r="A5507" s="62">
        <v>31301101</v>
      </c>
      <c r="B5507" s="63" t="s">
        <v>6183</v>
      </c>
    </row>
    <row r="5508" spans="1:2" x14ac:dyDescent="0.25">
      <c r="A5508" s="62">
        <v>31301102</v>
      </c>
      <c r="B5508" s="63" t="s">
        <v>6184</v>
      </c>
    </row>
    <row r="5509" spans="1:2" x14ac:dyDescent="0.25">
      <c r="A5509" s="62">
        <v>31301103</v>
      </c>
      <c r="B5509" s="63" t="s">
        <v>6185</v>
      </c>
    </row>
    <row r="5510" spans="1:2" x14ac:dyDescent="0.25">
      <c r="A5510" s="62">
        <v>31301104</v>
      </c>
      <c r="B5510" s="63" t="s">
        <v>6186</v>
      </c>
    </row>
    <row r="5511" spans="1:2" x14ac:dyDescent="0.25">
      <c r="A5511" s="62">
        <v>31301105</v>
      </c>
      <c r="B5511" s="63" t="s">
        <v>6187</v>
      </c>
    </row>
    <row r="5512" spans="1:2" x14ac:dyDescent="0.25">
      <c r="A5512" s="62">
        <v>31301106</v>
      </c>
      <c r="B5512" s="63" t="s">
        <v>6188</v>
      </c>
    </row>
    <row r="5513" spans="1:2" x14ac:dyDescent="0.25">
      <c r="A5513" s="62">
        <v>31301107</v>
      </c>
      <c r="B5513" s="63" t="s">
        <v>6189</v>
      </c>
    </row>
    <row r="5514" spans="1:2" x14ac:dyDescent="0.25">
      <c r="A5514" s="62">
        <v>31301108</v>
      </c>
      <c r="B5514" s="63" t="s">
        <v>6190</v>
      </c>
    </row>
    <row r="5515" spans="1:2" x14ac:dyDescent="0.25">
      <c r="A5515" s="62">
        <v>31301109</v>
      </c>
      <c r="B5515" s="63" t="s">
        <v>6191</v>
      </c>
    </row>
    <row r="5516" spans="1:2" x14ac:dyDescent="0.25">
      <c r="A5516" s="62">
        <v>31301110</v>
      </c>
      <c r="B5516" s="63" t="s">
        <v>6192</v>
      </c>
    </row>
    <row r="5517" spans="1:2" x14ac:dyDescent="0.25">
      <c r="A5517" s="62">
        <v>31301111</v>
      </c>
      <c r="B5517" s="63" t="s">
        <v>6193</v>
      </c>
    </row>
    <row r="5518" spans="1:2" x14ac:dyDescent="0.25">
      <c r="A5518" s="62">
        <v>31301112</v>
      </c>
      <c r="B5518" s="63" t="s">
        <v>6194</v>
      </c>
    </row>
    <row r="5519" spans="1:2" x14ac:dyDescent="0.25">
      <c r="A5519" s="62">
        <v>31301113</v>
      </c>
      <c r="B5519" s="63" t="s">
        <v>6195</v>
      </c>
    </row>
    <row r="5520" spans="1:2" x14ac:dyDescent="0.25">
      <c r="A5520" s="62">
        <v>31301114</v>
      </c>
      <c r="B5520" s="63" t="s">
        <v>6196</v>
      </c>
    </row>
    <row r="5521" spans="1:2" x14ac:dyDescent="0.25">
      <c r="A5521" s="62">
        <v>31301115</v>
      </c>
      <c r="B5521" s="63" t="s">
        <v>6197</v>
      </c>
    </row>
    <row r="5522" spans="1:2" x14ac:dyDescent="0.25">
      <c r="A5522" s="62">
        <v>31301116</v>
      </c>
      <c r="B5522" s="63" t="s">
        <v>6198</v>
      </c>
    </row>
    <row r="5523" spans="1:2" x14ac:dyDescent="0.25">
      <c r="A5523" s="62">
        <v>31301117</v>
      </c>
      <c r="B5523" s="63" t="s">
        <v>6199</v>
      </c>
    </row>
    <row r="5524" spans="1:2" x14ac:dyDescent="0.25">
      <c r="A5524" s="62">
        <v>31301118</v>
      </c>
      <c r="B5524" s="63" t="s">
        <v>6200</v>
      </c>
    </row>
    <row r="5525" spans="1:2" x14ac:dyDescent="0.25">
      <c r="A5525" s="62">
        <v>31301119</v>
      </c>
      <c r="B5525" s="63" t="s">
        <v>6201</v>
      </c>
    </row>
    <row r="5526" spans="1:2" x14ac:dyDescent="0.25">
      <c r="A5526" s="62">
        <v>31301201</v>
      </c>
      <c r="B5526" s="63" t="s">
        <v>6202</v>
      </c>
    </row>
    <row r="5527" spans="1:2" x14ac:dyDescent="0.25">
      <c r="A5527" s="62">
        <v>31301202</v>
      </c>
      <c r="B5527" s="63" t="s">
        <v>6203</v>
      </c>
    </row>
    <row r="5528" spans="1:2" x14ac:dyDescent="0.25">
      <c r="A5528" s="62">
        <v>31301203</v>
      </c>
      <c r="B5528" s="63" t="s">
        <v>6204</v>
      </c>
    </row>
    <row r="5529" spans="1:2" x14ac:dyDescent="0.25">
      <c r="A5529" s="62">
        <v>31301204</v>
      </c>
      <c r="B5529" s="63" t="s">
        <v>6205</v>
      </c>
    </row>
    <row r="5530" spans="1:2" x14ac:dyDescent="0.25">
      <c r="A5530" s="62">
        <v>31301205</v>
      </c>
      <c r="B5530" s="63" t="s">
        <v>6206</v>
      </c>
    </row>
    <row r="5531" spans="1:2" x14ac:dyDescent="0.25">
      <c r="A5531" s="62">
        <v>31301206</v>
      </c>
      <c r="B5531" s="63" t="s">
        <v>6207</v>
      </c>
    </row>
    <row r="5532" spans="1:2" x14ac:dyDescent="0.25">
      <c r="A5532" s="62">
        <v>31301207</v>
      </c>
      <c r="B5532" s="63" t="s">
        <v>6208</v>
      </c>
    </row>
    <row r="5533" spans="1:2" x14ac:dyDescent="0.25">
      <c r="A5533" s="62">
        <v>31301208</v>
      </c>
      <c r="B5533" s="63" t="s">
        <v>6209</v>
      </c>
    </row>
    <row r="5534" spans="1:2" x14ac:dyDescent="0.25">
      <c r="A5534" s="62">
        <v>31301209</v>
      </c>
      <c r="B5534" s="63" t="s">
        <v>6210</v>
      </c>
    </row>
    <row r="5535" spans="1:2" x14ac:dyDescent="0.25">
      <c r="A5535" s="62">
        <v>31301210</v>
      </c>
      <c r="B5535" s="63" t="s">
        <v>6211</v>
      </c>
    </row>
    <row r="5536" spans="1:2" x14ac:dyDescent="0.25">
      <c r="A5536" s="62">
        <v>31301211</v>
      </c>
      <c r="B5536" s="63" t="s">
        <v>6212</v>
      </c>
    </row>
    <row r="5537" spans="1:2" x14ac:dyDescent="0.25">
      <c r="A5537" s="62">
        <v>31301212</v>
      </c>
      <c r="B5537" s="63" t="s">
        <v>6213</v>
      </c>
    </row>
    <row r="5538" spans="1:2" x14ac:dyDescent="0.25">
      <c r="A5538" s="62">
        <v>31301213</v>
      </c>
      <c r="B5538" s="63" t="s">
        <v>6214</v>
      </c>
    </row>
    <row r="5539" spans="1:2" x14ac:dyDescent="0.25">
      <c r="A5539" s="62">
        <v>31301214</v>
      </c>
      <c r="B5539" s="63" t="s">
        <v>6215</v>
      </c>
    </row>
    <row r="5540" spans="1:2" x14ac:dyDescent="0.25">
      <c r="A5540" s="62">
        <v>31301215</v>
      </c>
      <c r="B5540" s="63" t="s">
        <v>6216</v>
      </c>
    </row>
    <row r="5541" spans="1:2" x14ac:dyDescent="0.25">
      <c r="A5541" s="62">
        <v>31301216</v>
      </c>
      <c r="B5541" s="63" t="s">
        <v>6217</v>
      </c>
    </row>
    <row r="5542" spans="1:2" x14ac:dyDescent="0.25">
      <c r="A5542" s="62">
        <v>31301217</v>
      </c>
      <c r="B5542" s="63" t="s">
        <v>6218</v>
      </c>
    </row>
    <row r="5543" spans="1:2" x14ac:dyDescent="0.25">
      <c r="A5543" s="62">
        <v>31301218</v>
      </c>
      <c r="B5543" s="63" t="s">
        <v>6219</v>
      </c>
    </row>
    <row r="5544" spans="1:2" x14ac:dyDescent="0.25">
      <c r="A5544" s="62">
        <v>31301219</v>
      </c>
      <c r="B5544" s="63" t="s">
        <v>6220</v>
      </c>
    </row>
    <row r="5545" spans="1:2" x14ac:dyDescent="0.25">
      <c r="A5545" s="62">
        <v>31301301</v>
      </c>
      <c r="B5545" s="63" t="s">
        <v>6221</v>
      </c>
    </row>
    <row r="5546" spans="1:2" x14ac:dyDescent="0.25">
      <c r="A5546" s="62">
        <v>31301302</v>
      </c>
      <c r="B5546" s="63" t="s">
        <v>6222</v>
      </c>
    </row>
    <row r="5547" spans="1:2" x14ac:dyDescent="0.25">
      <c r="A5547" s="62">
        <v>31301303</v>
      </c>
      <c r="B5547" s="63" t="s">
        <v>6223</v>
      </c>
    </row>
    <row r="5548" spans="1:2" x14ac:dyDescent="0.25">
      <c r="A5548" s="62">
        <v>31301304</v>
      </c>
      <c r="B5548" s="63" t="s">
        <v>6224</v>
      </c>
    </row>
    <row r="5549" spans="1:2" x14ac:dyDescent="0.25">
      <c r="A5549" s="62">
        <v>31301305</v>
      </c>
      <c r="B5549" s="63" t="s">
        <v>6225</v>
      </c>
    </row>
    <row r="5550" spans="1:2" x14ac:dyDescent="0.25">
      <c r="A5550" s="62">
        <v>31301306</v>
      </c>
      <c r="B5550" s="63" t="s">
        <v>6226</v>
      </c>
    </row>
    <row r="5551" spans="1:2" x14ac:dyDescent="0.25">
      <c r="A5551" s="62">
        <v>31301307</v>
      </c>
      <c r="B5551" s="63" t="s">
        <v>6227</v>
      </c>
    </row>
    <row r="5552" spans="1:2" x14ac:dyDescent="0.25">
      <c r="A5552" s="62">
        <v>31301308</v>
      </c>
      <c r="B5552" s="63" t="s">
        <v>6228</v>
      </c>
    </row>
    <row r="5553" spans="1:2" x14ac:dyDescent="0.25">
      <c r="A5553" s="62">
        <v>31301309</v>
      </c>
      <c r="B5553" s="63" t="s">
        <v>6229</v>
      </c>
    </row>
    <row r="5554" spans="1:2" x14ac:dyDescent="0.25">
      <c r="A5554" s="62">
        <v>31301310</v>
      </c>
      <c r="B5554" s="63" t="s">
        <v>6230</v>
      </c>
    </row>
    <row r="5555" spans="1:2" x14ac:dyDescent="0.25">
      <c r="A5555" s="62">
        <v>31301311</v>
      </c>
      <c r="B5555" s="63" t="s">
        <v>6231</v>
      </c>
    </row>
    <row r="5556" spans="1:2" x14ac:dyDescent="0.25">
      <c r="A5556" s="62">
        <v>31301312</v>
      </c>
      <c r="B5556" s="63" t="s">
        <v>6232</v>
      </c>
    </row>
    <row r="5557" spans="1:2" x14ac:dyDescent="0.25">
      <c r="A5557" s="62">
        <v>31301313</v>
      </c>
      <c r="B5557" s="63" t="s">
        <v>6233</v>
      </c>
    </row>
    <row r="5558" spans="1:2" x14ac:dyDescent="0.25">
      <c r="A5558" s="62">
        <v>31301314</v>
      </c>
      <c r="B5558" s="63" t="s">
        <v>6234</v>
      </c>
    </row>
    <row r="5559" spans="1:2" x14ac:dyDescent="0.25">
      <c r="A5559" s="62">
        <v>31301315</v>
      </c>
      <c r="B5559" s="63" t="s">
        <v>6235</v>
      </c>
    </row>
    <row r="5560" spans="1:2" x14ac:dyDescent="0.25">
      <c r="A5560" s="62">
        <v>31301316</v>
      </c>
      <c r="B5560" s="63" t="s">
        <v>6236</v>
      </c>
    </row>
    <row r="5561" spans="1:2" x14ac:dyDescent="0.25">
      <c r="A5561" s="62">
        <v>31301317</v>
      </c>
      <c r="B5561" s="63" t="s">
        <v>6237</v>
      </c>
    </row>
    <row r="5562" spans="1:2" x14ac:dyDescent="0.25">
      <c r="A5562" s="62">
        <v>31301318</v>
      </c>
      <c r="B5562" s="63" t="s">
        <v>6238</v>
      </c>
    </row>
    <row r="5563" spans="1:2" x14ac:dyDescent="0.25">
      <c r="A5563" s="62">
        <v>31301319</v>
      </c>
      <c r="B5563" s="63" t="s">
        <v>6239</v>
      </c>
    </row>
    <row r="5564" spans="1:2" x14ac:dyDescent="0.25">
      <c r="A5564" s="62">
        <v>31301401</v>
      </c>
      <c r="B5564" s="63" t="s">
        <v>6240</v>
      </c>
    </row>
    <row r="5565" spans="1:2" x14ac:dyDescent="0.25">
      <c r="A5565" s="62">
        <v>31301402</v>
      </c>
      <c r="B5565" s="63" t="s">
        <v>6241</v>
      </c>
    </row>
    <row r="5566" spans="1:2" x14ac:dyDescent="0.25">
      <c r="A5566" s="62">
        <v>31301403</v>
      </c>
      <c r="B5566" s="63" t="s">
        <v>6242</v>
      </c>
    </row>
    <row r="5567" spans="1:2" x14ac:dyDescent="0.25">
      <c r="A5567" s="62">
        <v>31301404</v>
      </c>
      <c r="B5567" s="63" t="s">
        <v>6243</v>
      </c>
    </row>
    <row r="5568" spans="1:2" x14ac:dyDescent="0.25">
      <c r="A5568" s="62">
        <v>31301405</v>
      </c>
      <c r="B5568" s="63" t="s">
        <v>6244</v>
      </c>
    </row>
    <row r="5569" spans="1:2" x14ac:dyDescent="0.25">
      <c r="A5569" s="62">
        <v>31301406</v>
      </c>
      <c r="B5569" s="63" t="s">
        <v>6245</v>
      </c>
    </row>
    <row r="5570" spans="1:2" x14ac:dyDescent="0.25">
      <c r="A5570" s="62">
        <v>31301407</v>
      </c>
      <c r="B5570" s="63" t="s">
        <v>6246</v>
      </c>
    </row>
    <row r="5571" spans="1:2" x14ac:dyDescent="0.25">
      <c r="A5571" s="62">
        <v>31301408</v>
      </c>
      <c r="B5571" s="63" t="s">
        <v>6247</v>
      </c>
    </row>
    <row r="5572" spans="1:2" x14ac:dyDescent="0.25">
      <c r="A5572" s="62">
        <v>31301409</v>
      </c>
      <c r="B5572" s="63" t="s">
        <v>6248</v>
      </c>
    </row>
    <row r="5573" spans="1:2" x14ac:dyDescent="0.25">
      <c r="A5573" s="62">
        <v>31301410</v>
      </c>
      <c r="B5573" s="63" t="s">
        <v>6249</v>
      </c>
    </row>
    <row r="5574" spans="1:2" x14ac:dyDescent="0.25">
      <c r="A5574" s="62">
        <v>31301411</v>
      </c>
      <c r="B5574" s="63" t="s">
        <v>6250</v>
      </c>
    </row>
    <row r="5575" spans="1:2" x14ac:dyDescent="0.25">
      <c r="A5575" s="62">
        <v>31301412</v>
      </c>
      <c r="B5575" s="63" t="s">
        <v>6251</v>
      </c>
    </row>
    <row r="5576" spans="1:2" x14ac:dyDescent="0.25">
      <c r="A5576" s="62">
        <v>31301413</v>
      </c>
      <c r="B5576" s="63" t="s">
        <v>6252</v>
      </c>
    </row>
    <row r="5577" spans="1:2" x14ac:dyDescent="0.25">
      <c r="A5577" s="62">
        <v>31301414</v>
      </c>
      <c r="B5577" s="63" t="s">
        <v>6253</v>
      </c>
    </row>
    <row r="5578" spans="1:2" x14ac:dyDescent="0.25">
      <c r="A5578" s="62">
        <v>31301415</v>
      </c>
      <c r="B5578" s="63" t="s">
        <v>6254</v>
      </c>
    </row>
    <row r="5579" spans="1:2" x14ac:dyDescent="0.25">
      <c r="A5579" s="62">
        <v>31301416</v>
      </c>
      <c r="B5579" s="63" t="s">
        <v>6255</v>
      </c>
    </row>
    <row r="5580" spans="1:2" x14ac:dyDescent="0.25">
      <c r="A5580" s="62">
        <v>31301417</v>
      </c>
      <c r="B5580" s="63" t="s">
        <v>6256</v>
      </c>
    </row>
    <row r="5581" spans="1:2" x14ac:dyDescent="0.25">
      <c r="A5581" s="62">
        <v>31301418</v>
      </c>
      <c r="B5581" s="63" t="s">
        <v>6257</v>
      </c>
    </row>
    <row r="5582" spans="1:2" x14ac:dyDescent="0.25">
      <c r="A5582" s="62">
        <v>31301419</v>
      </c>
      <c r="B5582" s="63" t="s">
        <v>6258</v>
      </c>
    </row>
    <row r="5583" spans="1:2" x14ac:dyDescent="0.25">
      <c r="A5583" s="62">
        <v>31301501</v>
      </c>
      <c r="B5583" s="63" t="s">
        <v>6259</v>
      </c>
    </row>
    <row r="5584" spans="1:2" x14ac:dyDescent="0.25">
      <c r="A5584" s="62">
        <v>31301502</v>
      </c>
      <c r="B5584" s="63" t="s">
        <v>6260</v>
      </c>
    </row>
    <row r="5585" spans="1:2" x14ac:dyDescent="0.25">
      <c r="A5585" s="62">
        <v>31301503</v>
      </c>
      <c r="B5585" s="63" t="s">
        <v>6261</v>
      </c>
    </row>
    <row r="5586" spans="1:2" x14ac:dyDescent="0.25">
      <c r="A5586" s="62">
        <v>31301504</v>
      </c>
      <c r="B5586" s="63" t="s">
        <v>6262</v>
      </c>
    </row>
    <row r="5587" spans="1:2" x14ac:dyDescent="0.25">
      <c r="A5587" s="62">
        <v>31301505</v>
      </c>
      <c r="B5587" s="63" t="s">
        <v>6263</v>
      </c>
    </row>
    <row r="5588" spans="1:2" x14ac:dyDescent="0.25">
      <c r="A5588" s="62">
        <v>31301506</v>
      </c>
      <c r="B5588" s="63" t="s">
        <v>6264</v>
      </c>
    </row>
    <row r="5589" spans="1:2" x14ac:dyDescent="0.25">
      <c r="A5589" s="62">
        <v>31301507</v>
      </c>
      <c r="B5589" s="63" t="s">
        <v>6265</v>
      </c>
    </row>
    <row r="5590" spans="1:2" x14ac:dyDescent="0.25">
      <c r="A5590" s="62">
        <v>31301508</v>
      </c>
      <c r="B5590" s="63" t="s">
        <v>6266</v>
      </c>
    </row>
    <row r="5591" spans="1:2" x14ac:dyDescent="0.25">
      <c r="A5591" s="62">
        <v>31301509</v>
      </c>
      <c r="B5591" s="63" t="s">
        <v>6267</v>
      </c>
    </row>
    <row r="5592" spans="1:2" x14ac:dyDescent="0.25">
      <c r="A5592" s="62">
        <v>31301510</v>
      </c>
      <c r="B5592" s="63" t="s">
        <v>6268</v>
      </c>
    </row>
    <row r="5593" spans="1:2" x14ac:dyDescent="0.25">
      <c r="A5593" s="62">
        <v>31301511</v>
      </c>
      <c r="B5593" s="63" t="s">
        <v>6269</v>
      </c>
    </row>
    <row r="5594" spans="1:2" x14ac:dyDescent="0.25">
      <c r="A5594" s="62">
        <v>31301512</v>
      </c>
      <c r="B5594" s="63" t="s">
        <v>6270</v>
      </c>
    </row>
    <row r="5595" spans="1:2" x14ac:dyDescent="0.25">
      <c r="A5595" s="62">
        <v>31301513</v>
      </c>
      <c r="B5595" s="63" t="s">
        <v>6271</v>
      </c>
    </row>
    <row r="5596" spans="1:2" x14ac:dyDescent="0.25">
      <c r="A5596" s="62">
        <v>31301514</v>
      </c>
      <c r="B5596" s="63" t="s">
        <v>6272</v>
      </c>
    </row>
    <row r="5597" spans="1:2" x14ac:dyDescent="0.25">
      <c r="A5597" s="62">
        <v>31301515</v>
      </c>
      <c r="B5597" s="63" t="s">
        <v>6273</v>
      </c>
    </row>
    <row r="5598" spans="1:2" x14ac:dyDescent="0.25">
      <c r="A5598" s="62">
        <v>31301516</v>
      </c>
      <c r="B5598" s="63" t="s">
        <v>6274</v>
      </c>
    </row>
    <row r="5599" spans="1:2" x14ac:dyDescent="0.25">
      <c r="A5599" s="62">
        <v>31301517</v>
      </c>
      <c r="B5599" s="63" t="s">
        <v>6275</v>
      </c>
    </row>
    <row r="5600" spans="1:2" x14ac:dyDescent="0.25">
      <c r="A5600" s="62">
        <v>31301518</v>
      </c>
      <c r="B5600" s="63" t="s">
        <v>6276</v>
      </c>
    </row>
    <row r="5601" spans="1:2" x14ac:dyDescent="0.25">
      <c r="A5601" s="62">
        <v>31301519</v>
      </c>
      <c r="B5601" s="63" t="s">
        <v>6277</v>
      </c>
    </row>
    <row r="5602" spans="1:2" x14ac:dyDescent="0.25">
      <c r="A5602" s="62">
        <v>31311101</v>
      </c>
      <c r="B5602" s="63" t="s">
        <v>6278</v>
      </c>
    </row>
    <row r="5603" spans="1:2" x14ac:dyDescent="0.25">
      <c r="A5603" s="62">
        <v>31311102</v>
      </c>
      <c r="B5603" s="63" t="s">
        <v>6279</v>
      </c>
    </row>
    <row r="5604" spans="1:2" x14ac:dyDescent="0.25">
      <c r="A5604" s="62">
        <v>31311103</v>
      </c>
      <c r="B5604" s="63" t="s">
        <v>6280</v>
      </c>
    </row>
    <row r="5605" spans="1:2" x14ac:dyDescent="0.25">
      <c r="A5605" s="62">
        <v>31311104</v>
      </c>
      <c r="B5605" s="63" t="s">
        <v>6281</v>
      </c>
    </row>
    <row r="5606" spans="1:2" x14ac:dyDescent="0.25">
      <c r="A5606" s="62">
        <v>31311105</v>
      </c>
      <c r="B5606" s="63" t="s">
        <v>6282</v>
      </c>
    </row>
    <row r="5607" spans="1:2" x14ac:dyDescent="0.25">
      <c r="A5607" s="62">
        <v>31311106</v>
      </c>
      <c r="B5607" s="63" t="s">
        <v>6283</v>
      </c>
    </row>
    <row r="5608" spans="1:2" x14ac:dyDescent="0.25">
      <c r="A5608" s="62">
        <v>31311109</v>
      </c>
      <c r="B5608" s="63" t="s">
        <v>6284</v>
      </c>
    </row>
    <row r="5609" spans="1:2" x14ac:dyDescent="0.25">
      <c r="A5609" s="62">
        <v>31311110</v>
      </c>
      <c r="B5609" s="63" t="s">
        <v>6285</v>
      </c>
    </row>
    <row r="5610" spans="1:2" x14ac:dyDescent="0.25">
      <c r="A5610" s="62">
        <v>31311111</v>
      </c>
      <c r="B5610" s="63" t="s">
        <v>6286</v>
      </c>
    </row>
    <row r="5611" spans="1:2" x14ac:dyDescent="0.25">
      <c r="A5611" s="62">
        <v>31311112</v>
      </c>
      <c r="B5611" s="63" t="s">
        <v>6287</v>
      </c>
    </row>
    <row r="5612" spans="1:2" x14ac:dyDescent="0.25">
      <c r="A5612" s="62">
        <v>31311113</v>
      </c>
      <c r="B5612" s="63" t="s">
        <v>6288</v>
      </c>
    </row>
    <row r="5613" spans="1:2" x14ac:dyDescent="0.25">
      <c r="A5613" s="62">
        <v>31311201</v>
      </c>
      <c r="B5613" s="63" t="s">
        <v>6289</v>
      </c>
    </row>
    <row r="5614" spans="1:2" x14ac:dyDescent="0.25">
      <c r="A5614" s="62">
        <v>31311202</v>
      </c>
      <c r="B5614" s="63" t="s">
        <v>6290</v>
      </c>
    </row>
    <row r="5615" spans="1:2" x14ac:dyDescent="0.25">
      <c r="A5615" s="62">
        <v>31311203</v>
      </c>
      <c r="B5615" s="63" t="s">
        <v>6291</v>
      </c>
    </row>
    <row r="5616" spans="1:2" x14ac:dyDescent="0.25">
      <c r="A5616" s="62">
        <v>31311204</v>
      </c>
      <c r="B5616" s="63" t="s">
        <v>6292</v>
      </c>
    </row>
    <row r="5617" spans="1:2" x14ac:dyDescent="0.25">
      <c r="A5617" s="62">
        <v>31311205</v>
      </c>
      <c r="B5617" s="63" t="s">
        <v>6293</v>
      </c>
    </row>
    <row r="5618" spans="1:2" x14ac:dyDescent="0.25">
      <c r="A5618" s="62">
        <v>31311206</v>
      </c>
      <c r="B5618" s="63" t="s">
        <v>6294</v>
      </c>
    </row>
    <row r="5619" spans="1:2" x14ac:dyDescent="0.25">
      <c r="A5619" s="62">
        <v>31311209</v>
      </c>
      <c r="B5619" s="63" t="s">
        <v>6295</v>
      </c>
    </row>
    <row r="5620" spans="1:2" x14ac:dyDescent="0.25">
      <c r="A5620" s="62">
        <v>31311210</v>
      </c>
      <c r="B5620" s="63" t="s">
        <v>6296</v>
      </c>
    </row>
    <row r="5621" spans="1:2" x14ac:dyDescent="0.25">
      <c r="A5621" s="62">
        <v>31311211</v>
      </c>
      <c r="B5621" s="63" t="s">
        <v>6297</v>
      </c>
    </row>
    <row r="5622" spans="1:2" x14ac:dyDescent="0.25">
      <c r="A5622" s="62">
        <v>31311212</v>
      </c>
      <c r="B5622" s="63" t="s">
        <v>6298</v>
      </c>
    </row>
    <row r="5623" spans="1:2" x14ac:dyDescent="0.25">
      <c r="A5623" s="62">
        <v>31311213</v>
      </c>
      <c r="B5623" s="63" t="s">
        <v>6299</v>
      </c>
    </row>
    <row r="5624" spans="1:2" x14ac:dyDescent="0.25">
      <c r="A5624" s="62">
        <v>31311301</v>
      </c>
      <c r="B5624" s="63" t="s">
        <v>6300</v>
      </c>
    </row>
    <row r="5625" spans="1:2" x14ac:dyDescent="0.25">
      <c r="A5625" s="62">
        <v>31311302</v>
      </c>
      <c r="B5625" s="63" t="s">
        <v>6301</v>
      </c>
    </row>
    <row r="5626" spans="1:2" x14ac:dyDescent="0.25">
      <c r="A5626" s="62">
        <v>31311303</v>
      </c>
      <c r="B5626" s="63" t="s">
        <v>6302</v>
      </c>
    </row>
    <row r="5627" spans="1:2" x14ac:dyDescent="0.25">
      <c r="A5627" s="62">
        <v>31311304</v>
      </c>
      <c r="B5627" s="63" t="s">
        <v>6303</v>
      </c>
    </row>
    <row r="5628" spans="1:2" x14ac:dyDescent="0.25">
      <c r="A5628" s="62">
        <v>31311305</v>
      </c>
      <c r="B5628" s="63" t="s">
        <v>6304</v>
      </c>
    </row>
    <row r="5629" spans="1:2" x14ac:dyDescent="0.25">
      <c r="A5629" s="62">
        <v>31311306</v>
      </c>
      <c r="B5629" s="63" t="s">
        <v>6305</v>
      </c>
    </row>
    <row r="5630" spans="1:2" x14ac:dyDescent="0.25">
      <c r="A5630" s="62">
        <v>31311309</v>
      </c>
      <c r="B5630" s="63" t="s">
        <v>6306</v>
      </c>
    </row>
    <row r="5631" spans="1:2" x14ac:dyDescent="0.25">
      <c r="A5631" s="62">
        <v>31311310</v>
      </c>
      <c r="B5631" s="63" t="s">
        <v>6307</v>
      </c>
    </row>
    <row r="5632" spans="1:2" x14ac:dyDescent="0.25">
      <c r="A5632" s="62">
        <v>31311311</v>
      </c>
      <c r="B5632" s="63" t="s">
        <v>6308</v>
      </c>
    </row>
    <row r="5633" spans="1:2" x14ac:dyDescent="0.25">
      <c r="A5633" s="62">
        <v>31311312</v>
      </c>
      <c r="B5633" s="63" t="s">
        <v>6309</v>
      </c>
    </row>
    <row r="5634" spans="1:2" x14ac:dyDescent="0.25">
      <c r="A5634" s="62">
        <v>31311313</v>
      </c>
      <c r="B5634" s="63" t="s">
        <v>6310</v>
      </c>
    </row>
    <row r="5635" spans="1:2" x14ac:dyDescent="0.25">
      <c r="A5635" s="62">
        <v>31311401</v>
      </c>
      <c r="B5635" s="63" t="s">
        <v>6311</v>
      </c>
    </row>
    <row r="5636" spans="1:2" x14ac:dyDescent="0.25">
      <c r="A5636" s="62">
        <v>31311402</v>
      </c>
      <c r="B5636" s="63" t="s">
        <v>6312</v>
      </c>
    </row>
    <row r="5637" spans="1:2" x14ac:dyDescent="0.25">
      <c r="A5637" s="62">
        <v>31311403</v>
      </c>
      <c r="B5637" s="63" t="s">
        <v>6313</v>
      </c>
    </row>
    <row r="5638" spans="1:2" x14ac:dyDescent="0.25">
      <c r="A5638" s="62">
        <v>31311404</v>
      </c>
      <c r="B5638" s="63" t="s">
        <v>6314</v>
      </c>
    </row>
    <row r="5639" spans="1:2" x14ac:dyDescent="0.25">
      <c r="A5639" s="62">
        <v>31311405</v>
      </c>
      <c r="B5639" s="63" t="s">
        <v>6315</v>
      </c>
    </row>
    <row r="5640" spans="1:2" x14ac:dyDescent="0.25">
      <c r="A5640" s="62">
        <v>31311406</v>
      </c>
      <c r="B5640" s="63" t="s">
        <v>6316</v>
      </c>
    </row>
    <row r="5641" spans="1:2" x14ac:dyDescent="0.25">
      <c r="A5641" s="62">
        <v>31311409</v>
      </c>
      <c r="B5641" s="63" t="s">
        <v>6317</v>
      </c>
    </row>
    <row r="5642" spans="1:2" x14ac:dyDescent="0.25">
      <c r="A5642" s="62">
        <v>31311410</v>
      </c>
      <c r="B5642" s="63" t="s">
        <v>6318</v>
      </c>
    </row>
    <row r="5643" spans="1:2" x14ac:dyDescent="0.25">
      <c r="A5643" s="62">
        <v>31311411</v>
      </c>
      <c r="B5643" s="63" t="s">
        <v>6319</v>
      </c>
    </row>
    <row r="5644" spans="1:2" x14ac:dyDescent="0.25">
      <c r="A5644" s="62">
        <v>31311412</v>
      </c>
      <c r="B5644" s="63" t="s">
        <v>6320</v>
      </c>
    </row>
    <row r="5645" spans="1:2" x14ac:dyDescent="0.25">
      <c r="A5645" s="62">
        <v>31311413</v>
      </c>
      <c r="B5645" s="63" t="s">
        <v>6321</v>
      </c>
    </row>
    <row r="5646" spans="1:2" x14ac:dyDescent="0.25">
      <c r="A5646" s="62">
        <v>31311501</v>
      </c>
      <c r="B5646" s="63" t="s">
        <v>6322</v>
      </c>
    </row>
    <row r="5647" spans="1:2" x14ac:dyDescent="0.25">
      <c r="A5647" s="62">
        <v>31311502</v>
      </c>
      <c r="B5647" s="63" t="s">
        <v>6323</v>
      </c>
    </row>
    <row r="5648" spans="1:2" x14ac:dyDescent="0.25">
      <c r="A5648" s="62">
        <v>31311503</v>
      </c>
      <c r="B5648" s="63" t="s">
        <v>6324</v>
      </c>
    </row>
    <row r="5649" spans="1:2" x14ac:dyDescent="0.25">
      <c r="A5649" s="62">
        <v>31311504</v>
      </c>
      <c r="B5649" s="63" t="s">
        <v>6325</v>
      </c>
    </row>
    <row r="5650" spans="1:2" x14ac:dyDescent="0.25">
      <c r="A5650" s="62">
        <v>31311505</v>
      </c>
      <c r="B5650" s="63" t="s">
        <v>6326</v>
      </c>
    </row>
    <row r="5651" spans="1:2" x14ac:dyDescent="0.25">
      <c r="A5651" s="62">
        <v>31311506</v>
      </c>
      <c r="B5651" s="63" t="s">
        <v>6327</v>
      </c>
    </row>
    <row r="5652" spans="1:2" x14ac:dyDescent="0.25">
      <c r="A5652" s="62">
        <v>31311509</v>
      </c>
      <c r="B5652" s="63" t="s">
        <v>6328</v>
      </c>
    </row>
    <row r="5653" spans="1:2" x14ac:dyDescent="0.25">
      <c r="A5653" s="62">
        <v>31311510</v>
      </c>
      <c r="B5653" s="63" t="s">
        <v>6329</v>
      </c>
    </row>
    <row r="5654" spans="1:2" x14ac:dyDescent="0.25">
      <c r="A5654" s="62">
        <v>31311511</v>
      </c>
      <c r="B5654" s="63" t="s">
        <v>6330</v>
      </c>
    </row>
    <row r="5655" spans="1:2" x14ac:dyDescent="0.25">
      <c r="A5655" s="62">
        <v>31311512</v>
      </c>
      <c r="B5655" s="63" t="s">
        <v>6331</v>
      </c>
    </row>
    <row r="5656" spans="1:2" x14ac:dyDescent="0.25">
      <c r="A5656" s="62">
        <v>31311513</v>
      </c>
      <c r="B5656" s="63" t="s">
        <v>6332</v>
      </c>
    </row>
    <row r="5657" spans="1:2" x14ac:dyDescent="0.25">
      <c r="A5657" s="62">
        <v>31311601</v>
      </c>
      <c r="B5657" s="63" t="s">
        <v>6333</v>
      </c>
    </row>
    <row r="5658" spans="1:2" x14ac:dyDescent="0.25">
      <c r="A5658" s="62">
        <v>31311602</v>
      </c>
      <c r="B5658" s="63" t="s">
        <v>6334</v>
      </c>
    </row>
    <row r="5659" spans="1:2" x14ac:dyDescent="0.25">
      <c r="A5659" s="62">
        <v>31311603</v>
      </c>
      <c r="B5659" s="63" t="s">
        <v>6335</v>
      </c>
    </row>
    <row r="5660" spans="1:2" x14ac:dyDescent="0.25">
      <c r="A5660" s="62">
        <v>31311604</v>
      </c>
      <c r="B5660" s="63" t="s">
        <v>6336</v>
      </c>
    </row>
    <row r="5661" spans="1:2" x14ac:dyDescent="0.25">
      <c r="A5661" s="62">
        <v>31311605</v>
      </c>
      <c r="B5661" s="63" t="s">
        <v>6337</v>
      </c>
    </row>
    <row r="5662" spans="1:2" x14ac:dyDescent="0.25">
      <c r="A5662" s="62">
        <v>31311606</v>
      </c>
      <c r="B5662" s="63" t="s">
        <v>6338</v>
      </c>
    </row>
    <row r="5663" spans="1:2" x14ac:dyDescent="0.25">
      <c r="A5663" s="62">
        <v>31311609</v>
      </c>
      <c r="B5663" s="63" t="s">
        <v>6339</v>
      </c>
    </row>
    <row r="5664" spans="1:2" x14ac:dyDescent="0.25">
      <c r="A5664" s="62">
        <v>31311610</v>
      </c>
      <c r="B5664" s="63" t="s">
        <v>6340</v>
      </c>
    </row>
    <row r="5665" spans="1:2" x14ac:dyDescent="0.25">
      <c r="A5665" s="62">
        <v>31311611</v>
      </c>
      <c r="B5665" s="63" t="s">
        <v>6341</v>
      </c>
    </row>
    <row r="5666" spans="1:2" x14ac:dyDescent="0.25">
      <c r="A5666" s="62">
        <v>31311612</v>
      </c>
      <c r="B5666" s="63" t="s">
        <v>6342</v>
      </c>
    </row>
    <row r="5667" spans="1:2" x14ac:dyDescent="0.25">
      <c r="A5667" s="62">
        <v>31311613</v>
      </c>
      <c r="B5667" s="63" t="s">
        <v>6343</v>
      </c>
    </row>
    <row r="5668" spans="1:2" x14ac:dyDescent="0.25">
      <c r="A5668" s="62">
        <v>31311701</v>
      </c>
      <c r="B5668" s="63" t="s">
        <v>6344</v>
      </c>
    </row>
    <row r="5669" spans="1:2" x14ac:dyDescent="0.25">
      <c r="A5669" s="62">
        <v>31311702</v>
      </c>
      <c r="B5669" s="63" t="s">
        <v>6345</v>
      </c>
    </row>
    <row r="5670" spans="1:2" x14ac:dyDescent="0.25">
      <c r="A5670" s="62">
        <v>31311703</v>
      </c>
      <c r="B5670" s="63" t="s">
        <v>6346</v>
      </c>
    </row>
    <row r="5671" spans="1:2" x14ac:dyDescent="0.25">
      <c r="A5671" s="62">
        <v>31311704</v>
      </c>
      <c r="B5671" s="63" t="s">
        <v>6347</v>
      </c>
    </row>
    <row r="5672" spans="1:2" x14ac:dyDescent="0.25">
      <c r="A5672" s="62">
        <v>31311705</v>
      </c>
      <c r="B5672" s="63" t="s">
        <v>6348</v>
      </c>
    </row>
    <row r="5673" spans="1:2" x14ac:dyDescent="0.25">
      <c r="A5673" s="62">
        <v>31311706</v>
      </c>
      <c r="B5673" s="63" t="s">
        <v>6349</v>
      </c>
    </row>
    <row r="5674" spans="1:2" x14ac:dyDescent="0.25">
      <c r="A5674" s="62">
        <v>31311709</v>
      </c>
      <c r="B5674" s="63" t="s">
        <v>6350</v>
      </c>
    </row>
    <row r="5675" spans="1:2" x14ac:dyDescent="0.25">
      <c r="A5675" s="62">
        <v>31311710</v>
      </c>
      <c r="B5675" s="63" t="s">
        <v>6351</v>
      </c>
    </row>
    <row r="5676" spans="1:2" x14ac:dyDescent="0.25">
      <c r="A5676" s="62">
        <v>31311711</v>
      </c>
      <c r="B5676" s="63" t="s">
        <v>6352</v>
      </c>
    </row>
    <row r="5677" spans="1:2" x14ac:dyDescent="0.25">
      <c r="A5677" s="62">
        <v>31311712</v>
      </c>
      <c r="B5677" s="63" t="s">
        <v>6353</v>
      </c>
    </row>
    <row r="5678" spans="1:2" x14ac:dyDescent="0.25">
      <c r="A5678" s="62">
        <v>31311713</v>
      </c>
      <c r="B5678" s="63" t="s">
        <v>6354</v>
      </c>
    </row>
    <row r="5679" spans="1:2" x14ac:dyDescent="0.25">
      <c r="A5679" s="62">
        <v>31321101</v>
      </c>
      <c r="B5679" s="63" t="s">
        <v>6355</v>
      </c>
    </row>
    <row r="5680" spans="1:2" x14ac:dyDescent="0.25">
      <c r="A5680" s="62">
        <v>31321102</v>
      </c>
      <c r="B5680" s="63" t="s">
        <v>6356</v>
      </c>
    </row>
    <row r="5681" spans="1:2" x14ac:dyDescent="0.25">
      <c r="A5681" s="62">
        <v>31321103</v>
      </c>
      <c r="B5681" s="63" t="s">
        <v>6357</v>
      </c>
    </row>
    <row r="5682" spans="1:2" x14ac:dyDescent="0.25">
      <c r="A5682" s="62">
        <v>31321104</v>
      </c>
      <c r="B5682" s="63" t="s">
        <v>6358</v>
      </c>
    </row>
    <row r="5683" spans="1:2" x14ac:dyDescent="0.25">
      <c r="A5683" s="62">
        <v>31321105</v>
      </c>
      <c r="B5683" s="63" t="s">
        <v>6359</v>
      </c>
    </row>
    <row r="5684" spans="1:2" x14ac:dyDescent="0.25">
      <c r="A5684" s="62">
        <v>31321106</v>
      </c>
      <c r="B5684" s="63" t="s">
        <v>6360</v>
      </c>
    </row>
    <row r="5685" spans="1:2" x14ac:dyDescent="0.25">
      <c r="A5685" s="62">
        <v>31321109</v>
      </c>
      <c r="B5685" s="63" t="s">
        <v>6361</v>
      </c>
    </row>
    <row r="5686" spans="1:2" x14ac:dyDescent="0.25">
      <c r="A5686" s="62">
        <v>31321110</v>
      </c>
      <c r="B5686" s="63" t="s">
        <v>6362</v>
      </c>
    </row>
    <row r="5687" spans="1:2" x14ac:dyDescent="0.25">
      <c r="A5687" s="62">
        <v>31321111</v>
      </c>
      <c r="B5687" s="63" t="s">
        <v>6363</v>
      </c>
    </row>
    <row r="5688" spans="1:2" x14ac:dyDescent="0.25">
      <c r="A5688" s="62">
        <v>31321112</v>
      </c>
      <c r="B5688" s="63" t="s">
        <v>6364</v>
      </c>
    </row>
    <row r="5689" spans="1:2" x14ac:dyDescent="0.25">
      <c r="A5689" s="62">
        <v>31321113</v>
      </c>
      <c r="B5689" s="63" t="s">
        <v>6365</v>
      </c>
    </row>
    <row r="5690" spans="1:2" x14ac:dyDescent="0.25">
      <c r="A5690" s="62">
        <v>31321201</v>
      </c>
      <c r="B5690" s="63" t="s">
        <v>6366</v>
      </c>
    </row>
    <row r="5691" spans="1:2" x14ac:dyDescent="0.25">
      <c r="A5691" s="62">
        <v>31321202</v>
      </c>
      <c r="B5691" s="63" t="s">
        <v>6367</v>
      </c>
    </row>
    <row r="5692" spans="1:2" x14ac:dyDescent="0.25">
      <c r="A5692" s="62">
        <v>31321203</v>
      </c>
      <c r="B5692" s="63" t="s">
        <v>6368</v>
      </c>
    </row>
    <row r="5693" spans="1:2" x14ac:dyDescent="0.25">
      <c r="A5693" s="62">
        <v>31321204</v>
      </c>
      <c r="B5693" s="63" t="s">
        <v>6369</v>
      </c>
    </row>
    <row r="5694" spans="1:2" x14ac:dyDescent="0.25">
      <c r="A5694" s="62">
        <v>31321205</v>
      </c>
      <c r="B5694" s="63" t="s">
        <v>6370</v>
      </c>
    </row>
    <row r="5695" spans="1:2" x14ac:dyDescent="0.25">
      <c r="A5695" s="62">
        <v>31321206</v>
      </c>
      <c r="B5695" s="63" t="s">
        <v>6371</v>
      </c>
    </row>
    <row r="5696" spans="1:2" x14ac:dyDescent="0.25">
      <c r="A5696" s="62">
        <v>31321209</v>
      </c>
      <c r="B5696" s="63" t="s">
        <v>6372</v>
      </c>
    </row>
    <row r="5697" spans="1:2" x14ac:dyDescent="0.25">
      <c r="A5697" s="62">
        <v>31321210</v>
      </c>
      <c r="B5697" s="63" t="s">
        <v>6373</v>
      </c>
    </row>
    <row r="5698" spans="1:2" x14ac:dyDescent="0.25">
      <c r="A5698" s="62">
        <v>31321211</v>
      </c>
      <c r="B5698" s="63" t="s">
        <v>6374</v>
      </c>
    </row>
    <row r="5699" spans="1:2" x14ac:dyDescent="0.25">
      <c r="A5699" s="62">
        <v>31321212</v>
      </c>
      <c r="B5699" s="63" t="s">
        <v>6375</v>
      </c>
    </row>
    <row r="5700" spans="1:2" x14ac:dyDescent="0.25">
      <c r="A5700" s="62">
        <v>31321213</v>
      </c>
      <c r="B5700" s="63" t="s">
        <v>6376</v>
      </c>
    </row>
    <row r="5701" spans="1:2" x14ac:dyDescent="0.25">
      <c r="A5701" s="62">
        <v>31321301</v>
      </c>
      <c r="B5701" s="63" t="s">
        <v>6377</v>
      </c>
    </row>
    <row r="5702" spans="1:2" x14ac:dyDescent="0.25">
      <c r="A5702" s="62">
        <v>31321302</v>
      </c>
      <c r="B5702" s="63" t="s">
        <v>6378</v>
      </c>
    </row>
    <row r="5703" spans="1:2" x14ac:dyDescent="0.25">
      <c r="A5703" s="62">
        <v>31321303</v>
      </c>
      <c r="B5703" s="63" t="s">
        <v>6379</v>
      </c>
    </row>
    <row r="5704" spans="1:2" x14ac:dyDescent="0.25">
      <c r="A5704" s="62">
        <v>31321304</v>
      </c>
      <c r="B5704" s="63" t="s">
        <v>6380</v>
      </c>
    </row>
    <row r="5705" spans="1:2" x14ac:dyDescent="0.25">
      <c r="A5705" s="62">
        <v>31321305</v>
      </c>
      <c r="B5705" s="63" t="s">
        <v>6381</v>
      </c>
    </row>
    <row r="5706" spans="1:2" x14ac:dyDescent="0.25">
      <c r="A5706" s="62">
        <v>31321306</v>
      </c>
      <c r="B5706" s="63" t="s">
        <v>6382</v>
      </c>
    </row>
    <row r="5707" spans="1:2" x14ac:dyDescent="0.25">
      <c r="A5707" s="62">
        <v>31321309</v>
      </c>
      <c r="B5707" s="63" t="s">
        <v>6383</v>
      </c>
    </row>
    <row r="5708" spans="1:2" x14ac:dyDescent="0.25">
      <c r="A5708" s="62">
        <v>31321310</v>
      </c>
      <c r="B5708" s="63" t="s">
        <v>6384</v>
      </c>
    </row>
    <row r="5709" spans="1:2" x14ac:dyDescent="0.25">
      <c r="A5709" s="62">
        <v>31321311</v>
      </c>
      <c r="B5709" s="63" t="s">
        <v>6385</v>
      </c>
    </row>
    <row r="5710" spans="1:2" x14ac:dyDescent="0.25">
      <c r="A5710" s="62">
        <v>31321312</v>
      </c>
      <c r="B5710" s="63" t="s">
        <v>6386</v>
      </c>
    </row>
    <row r="5711" spans="1:2" x14ac:dyDescent="0.25">
      <c r="A5711" s="62">
        <v>31321313</v>
      </c>
      <c r="B5711" s="63" t="s">
        <v>6387</v>
      </c>
    </row>
    <row r="5712" spans="1:2" x14ac:dyDescent="0.25">
      <c r="A5712" s="62">
        <v>31321401</v>
      </c>
      <c r="B5712" s="63" t="s">
        <v>6388</v>
      </c>
    </row>
    <row r="5713" spans="1:2" x14ac:dyDescent="0.25">
      <c r="A5713" s="62">
        <v>31321402</v>
      </c>
      <c r="B5713" s="63" t="s">
        <v>6389</v>
      </c>
    </row>
    <row r="5714" spans="1:2" x14ac:dyDescent="0.25">
      <c r="A5714" s="62">
        <v>31321403</v>
      </c>
      <c r="B5714" s="63" t="s">
        <v>6390</v>
      </c>
    </row>
    <row r="5715" spans="1:2" x14ac:dyDescent="0.25">
      <c r="A5715" s="62">
        <v>31321404</v>
      </c>
      <c r="B5715" s="63" t="s">
        <v>6391</v>
      </c>
    </row>
    <row r="5716" spans="1:2" x14ac:dyDescent="0.25">
      <c r="A5716" s="62">
        <v>31321405</v>
      </c>
      <c r="B5716" s="63" t="s">
        <v>6392</v>
      </c>
    </row>
    <row r="5717" spans="1:2" x14ac:dyDescent="0.25">
      <c r="A5717" s="62">
        <v>31321406</v>
      </c>
      <c r="B5717" s="63" t="s">
        <v>6393</v>
      </c>
    </row>
    <row r="5718" spans="1:2" x14ac:dyDescent="0.25">
      <c r="A5718" s="62">
        <v>31321409</v>
      </c>
      <c r="B5718" s="63" t="s">
        <v>6394</v>
      </c>
    </row>
    <row r="5719" spans="1:2" x14ac:dyDescent="0.25">
      <c r="A5719" s="62">
        <v>31321410</v>
      </c>
      <c r="B5719" s="63" t="s">
        <v>6395</v>
      </c>
    </row>
    <row r="5720" spans="1:2" x14ac:dyDescent="0.25">
      <c r="A5720" s="62">
        <v>31321411</v>
      </c>
      <c r="B5720" s="63" t="s">
        <v>6396</v>
      </c>
    </row>
    <row r="5721" spans="1:2" x14ac:dyDescent="0.25">
      <c r="A5721" s="62">
        <v>31321412</v>
      </c>
      <c r="B5721" s="63" t="s">
        <v>6397</v>
      </c>
    </row>
    <row r="5722" spans="1:2" x14ac:dyDescent="0.25">
      <c r="A5722" s="62">
        <v>31321413</v>
      </c>
      <c r="B5722" s="63" t="s">
        <v>6398</v>
      </c>
    </row>
    <row r="5723" spans="1:2" x14ac:dyDescent="0.25">
      <c r="A5723" s="62">
        <v>31321501</v>
      </c>
      <c r="B5723" s="63" t="s">
        <v>6399</v>
      </c>
    </row>
    <row r="5724" spans="1:2" x14ac:dyDescent="0.25">
      <c r="A5724" s="62">
        <v>31321502</v>
      </c>
      <c r="B5724" s="63" t="s">
        <v>6400</v>
      </c>
    </row>
    <row r="5725" spans="1:2" x14ac:dyDescent="0.25">
      <c r="A5725" s="62">
        <v>31321503</v>
      </c>
      <c r="B5725" s="63" t="s">
        <v>6401</v>
      </c>
    </row>
    <row r="5726" spans="1:2" x14ac:dyDescent="0.25">
      <c r="A5726" s="62">
        <v>31321504</v>
      </c>
      <c r="B5726" s="63" t="s">
        <v>6402</v>
      </c>
    </row>
    <row r="5727" spans="1:2" x14ac:dyDescent="0.25">
      <c r="A5727" s="62">
        <v>31321505</v>
      </c>
      <c r="B5727" s="63" t="s">
        <v>6403</v>
      </c>
    </row>
    <row r="5728" spans="1:2" x14ac:dyDescent="0.25">
      <c r="A5728" s="62">
        <v>31321506</v>
      </c>
      <c r="B5728" s="63" t="s">
        <v>6404</v>
      </c>
    </row>
    <row r="5729" spans="1:2" x14ac:dyDescent="0.25">
      <c r="A5729" s="62">
        <v>31321509</v>
      </c>
      <c r="B5729" s="63" t="s">
        <v>6405</v>
      </c>
    </row>
    <row r="5730" spans="1:2" x14ac:dyDescent="0.25">
      <c r="A5730" s="62">
        <v>31321510</v>
      </c>
      <c r="B5730" s="63" t="s">
        <v>6406</v>
      </c>
    </row>
    <row r="5731" spans="1:2" x14ac:dyDescent="0.25">
      <c r="A5731" s="62">
        <v>31321511</v>
      </c>
      <c r="B5731" s="63" t="s">
        <v>6407</v>
      </c>
    </row>
    <row r="5732" spans="1:2" x14ac:dyDescent="0.25">
      <c r="A5732" s="62">
        <v>31321512</v>
      </c>
      <c r="B5732" s="63" t="s">
        <v>6408</v>
      </c>
    </row>
    <row r="5733" spans="1:2" x14ac:dyDescent="0.25">
      <c r="A5733" s="62">
        <v>31321513</v>
      </c>
      <c r="B5733" s="63" t="s">
        <v>6409</v>
      </c>
    </row>
    <row r="5734" spans="1:2" x14ac:dyDescent="0.25">
      <c r="A5734" s="62">
        <v>31321601</v>
      </c>
      <c r="B5734" s="63" t="s">
        <v>6410</v>
      </c>
    </row>
    <row r="5735" spans="1:2" x14ac:dyDescent="0.25">
      <c r="A5735" s="62">
        <v>31321602</v>
      </c>
      <c r="B5735" s="63" t="s">
        <v>6411</v>
      </c>
    </row>
    <row r="5736" spans="1:2" x14ac:dyDescent="0.25">
      <c r="A5736" s="62">
        <v>31321603</v>
      </c>
      <c r="B5736" s="63" t="s">
        <v>6412</v>
      </c>
    </row>
    <row r="5737" spans="1:2" x14ac:dyDescent="0.25">
      <c r="A5737" s="62">
        <v>31321604</v>
      </c>
      <c r="B5737" s="63" t="s">
        <v>6413</v>
      </c>
    </row>
    <row r="5738" spans="1:2" x14ac:dyDescent="0.25">
      <c r="A5738" s="62">
        <v>31321605</v>
      </c>
      <c r="B5738" s="63" t="s">
        <v>6414</v>
      </c>
    </row>
    <row r="5739" spans="1:2" x14ac:dyDescent="0.25">
      <c r="A5739" s="62">
        <v>31321606</v>
      </c>
      <c r="B5739" s="63" t="s">
        <v>6415</v>
      </c>
    </row>
    <row r="5740" spans="1:2" x14ac:dyDescent="0.25">
      <c r="A5740" s="62">
        <v>31321609</v>
      </c>
      <c r="B5740" s="63" t="s">
        <v>6416</v>
      </c>
    </row>
    <row r="5741" spans="1:2" x14ac:dyDescent="0.25">
      <c r="A5741" s="62">
        <v>31321610</v>
      </c>
      <c r="B5741" s="63" t="s">
        <v>6417</v>
      </c>
    </row>
    <row r="5742" spans="1:2" x14ac:dyDescent="0.25">
      <c r="A5742" s="62">
        <v>31321611</v>
      </c>
      <c r="B5742" s="63" t="s">
        <v>6418</v>
      </c>
    </row>
    <row r="5743" spans="1:2" x14ac:dyDescent="0.25">
      <c r="A5743" s="62">
        <v>31321612</v>
      </c>
      <c r="B5743" s="63" t="s">
        <v>6419</v>
      </c>
    </row>
    <row r="5744" spans="1:2" x14ac:dyDescent="0.25">
      <c r="A5744" s="62">
        <v>31321613</v>
      </c>
      <c r="B5744" s="63" t="s">
        <v>6420</v>
      </c>
    </row>
    <row r="5745" spans="1:2" x14ac:dyDescent="0.25">
      <c r="A5745" s="62">
        <v>31321701</v>
      </c>
      <c r="B5745" s="63" t="s">
        <v>6421</v>
      </c>
    </row>
    <row r="5746" spans="1:2" x14ac:dyDescent="0.25">
      <c r="A5746" s="62">
        <v>31321702</v>
      </c>
      <c r="B5746" s="63" t="s">
        <v>6422</v>
      </c>
    </row>
    <row r="5747" spans="1:2" x14ac:dyDescent="0.25">
      <c r="A5747" s="62">
        <v>31321703</v>
      </c>
      <c r="B5747" s="63" t="s">
        <v>6423</v>
      </c>
    </row>
    <row r="5748" spans="1:2" x14ac:dyDescent="0.25">
      <c r="A5748" s="62">
        <v>31321704</v>
      </c>
      <c r="B5748" s="63" t="s">
        <v>6424</v>
      </c>
    </row>
    <row r="5749" spans="1:2" x14ac:dyDescent="0.25">
      <c r="A5749" s="62">
        <v>31321705</v>
      </c>
      <c r="B5749" s="63" t="s">
        <v>6425</v>
      </c>
    </row>
    <row r="5750" spans="1:2" x14ac:dyDescent="0.25">
      <c r="A5750" s="62">
        <v>31321706</v>
      </c>
      <c r="B5750" s="63" t="s">
        <v>6426</v>
      </c>
    </row>
    <row r="5751" spans="1:2" x14ac:dyDescent="0.25">
      <c r="A5751" s="62">
        <v>31321709</v>
      </c>
      <c r="B5751" s="63" t="s">
        <v>6427</v>
      </c>
    </row>
    <row r="5752" spans="1:2" x14ac:dyDescent="0.25">
      <c r="A5752" s="62">
        <v>31321710</v>
      </c>
      <c r="B5752" s="63" t="s">
        <v>6428</v>
      </c>
    </row>
    <row r="5753" spans="1:2" x14ac:dyDescent="0.25">
      <c r="A5753" s="62">
        <v>31321711</v>
      </c>
      <c r="B5753" s="63" t="s">
        <v>6429</v>
      </c>
    </row>
    <row r="5754" spans="1:2" x14ac:dyDescent="0.25">
      <c r="A5754" s="62">
        <v>31321712</v>
      </c>
      <c r="B5754" s="63" t="s">
        <v>6430</v>
      </c>
    </row>
    <row r="5755" spans="1:2" x14ac:dyDescent="0.25">
      <c r="A5755" s="62">
        <v>31321713</v>
      </c>
      <c r="B5755" s="63" t="s">
        <v>6431</v>
      </c>
    </row>
    <row r="5756" spans="1:2" x14ac:dyDescent="0.25">
      <c r="A5756" s="62">
        <v>31331101</v>
      </c>
      <c r="B5756" s="63" t="s">
        <v>6432</v>
      </c>
    </row>
    <row r="5757" spans="1:2" x14ac:dyDescent="0.25">
      <c r="A5757" s="62">
        <v>31331102</v>
      </c>
      <c r="B5757" s="63" t="s">
        <v>6433</v>
      </c>
    </row>
    <row r="5758" spans="1:2" x14ac:dyDescent="0.25">
      <c r="A5758" s="62">
        <v>31331103</v>
      </c>
      <c r="B5758" s="63" t="s">
        <v>6434</v>
      </c>
    </row>
    <row r="5759" spans="1:2" x14ac:dyDescent="0.25">
      <c r="A5759" s="62">
        <v>31331104</v>
      </c>
      <c r="B5759" s="63" t="s">
        <v>6435</v>
      </c>
    </row>
    <row r="5760" spans="1:2" x14ac:dyDescent="0.25">
      <c r="A5760" s="62">
        <v>31331105</v>
      </c>
      <c r="B5760" s="63" t="s">
        <v>6436</v>
      </c>
    </row>
    <row r="5761" spans="1:2" x14ac:dyDescent="0.25">
      <c r="A5761" s="62">
        <v>31331106</v>
      </c>
      <c r="B5761" s="63" t="s">
        <v>6437</v>
      </c>
    </row>
    <row r="5762" spans="1:2" x14ac:dyDescent="0.25">
      <c r="A5762" s="62">
        <v>31331109</v>
      </c>
      <c r="B5762" s="63" t="s">
        <v>6438</v>
      </c>
    </row>
    <row r="5763" spans="1:2" x14ac:dyDescent="0.25">
      <c r="A5763" s="62">
        <v>31331110</v>
      </c>
      <c r="B5763" s="63" t="s">
        <v>6439</v>
      </c>
    </row>
    <row r="5764" spans="1:2" x14ac:dyDescent="0.25">
      <c r="A5764" s="62">
        <v>31331111</v>
      </c>
      <c r="B5764" s="63" t="s">
        <v>6440</v>
      </c>
    </row>
    <row r="5765" spans="1:2" x14ac:dyDescent="0.25">
      <c r="A5765" s="62">
        <v>31331112</v>
      </c>
      <c r="B5765" s="63" t="s">
        <v>6441</v>
      </c>
    </row>
    <row r="5766" spans="1:2" x14ac:dyDescent="0.25">
      <c r="A5766" s="62">
        <v>31331113</v>
      </c>
      <c r="B5766" s="63" t="s">
        <v>6442</v>
      </c>
    </row>
    <row r="5767" spans="1:2" x14ac:dyDescent="0.25">
      <c r="A5767" s="62">
        <v>31331201</v>
      </c>
      <c r="B5767" s="63" t="s">
        <v>6443</v>
      </c>
    </row>
    <row r="5768" spans="1:2" x14ac:dyDescent="0.25">
      <c r="A5768" s="62">
        <v>31331202</v>
      </c>
      <c r="B5768" s="63" t="s">
        <v>6444</v>
      </c>
    </row>
    <row r="5769" spans="1:2" x14ac:dyDescent="0.25">
      <c r="A5769" s="62">
        <v>31331203</v>
      </c>
      <c r="B5769" s="63" t="s">
        <v>6445</v>
      </c>
    </row>
    <row r="5770" spans="1:2" x14ac:dyDescent="0.25">
      <c r="A5770" s="62">
        <v>31331204</v>
      </c>
      <c r="B5770" s="63" t="s">
        <v>6446</v>
      </c>
    </row>
    <row r="5771" spans="1:2" x14ac:dyDescent="0.25">
      <c r="A5771" s="62">
        <v>31331205</v>
      </c>
      <c r="B5771" s="63" t="s">
        <v>6447</v>
      </c>
    </row>
    <row r="5772" spans="1:2" x14ac:dyDescent="0.25">
      <c r="A5772" s="62">
        <v>31331206</v>
      </c>
      <c r="B5772" s="63" t="s">
        <v>6448</v>
      </c>
    </row>
    <row r="5773" spans="1:2" x14ac:dyDescent="0.25">
      <c r="A5773" s="62">
        <v>31331209</v>
      </c>
      <c r="B5773" s="63" t="s">
        <v>6449</v>
      </c>
    </row>
    <row r="5774" spans="1:2" x14ac:dyDescent="0.25">
      <c r="A5774" s="62">
        <v>31331210</v>
      </c>
      <c r="B5774" s="63" t="s">
        <v>6450</v>
      </c>
    </row>
    <row r="5775" spans="1:2" x14ac:dyDescent="0.25">
      <c r="A5775" s="62">
        <v>31331211</v>
      </c>
      <c r="B5775" s="63" t="s">
        <v>6451</v>
      </c>
    </row>
    <row r="5776" spans="1:2" x14ac:dyDescent="0.25">
      <c r="A5776" s="62">
        <v>31331212</v>
      </c>
      <c r="B5776" s="63" t="s">
        <v>6452</v>
      </c>
    </row>
    <row r="5777" spans="1:2" x14ac:dyDescent="0.25">
      <c r="A5777" s="62">
        <v>31331213</v>
      </c>
      <c r="B5777" s="63" t="s">
        <v>6453</v>
      </c>
    </row>
    <row r="5778" spans="1:2" x14ac:dyDescent="0.25">
      <c r="A5778" s="62">
        <v>31331301</v>
      </c>
      <c r="B5778" s="63" t="s">
        <v>6454</v>
      </c>
    </row>
    <row r="5779" spans="1:2" x14ac:dyDescent="0.25">
      <c r="A5779" s="62">
        <v>31331302</v>
      </c>
      <c r="B5779" s="63" t="s">
        <v>6455</v>
      </c>
    </row>
    <row r="5780" spans="1:2" x14ac:dyDescent="0.25">
      <c r="A5780" s="62">
        <v>31331303</v>
      </c>
      <c r="B5780" s="63" t="s">
        <v>6456</v>
      </c>
    </row>
    <row r="5781" spans="1:2" x14ac:dyDescent="0.25">
      <c r="A5781" s="62">
        <v>31331304</v>
      </c>
      <c r="B5781" s="63" t="s">
        <v>6457</v>
      </c>
    </row>
    <row r="5782" spans="1:2" x14ac:dyDescent="0.25">
      <c r="A5782" s="62">
        <v>31331305</v>
      </c>
      <c r="B5782" s="63" t="s">
        <v>6458</v>
      </c>
    </row>
    <row r="5783" spans="1:2" x14ac:dyDescent="0.25">
      <c r="A5783" s="62">
        <v>31331306</v>
      </c>
      <c r="B5783" s="63" t="s">
        <v>6459</v>
      </c>
    </row>
    <row r="5784" spans="1:2" x14ac:dyDescent="0.25">
      <c r="A5784" s="62">
        <v>31331309</v>
      </c>
      <c r="B5784" s="63" t="s">
        <v>6460</v>
      </c>
    </row>
    <row r="5785" spans="1:2" x14ac:dyDescent="0.25">
      <c r="A5785" s="62">
        <v>31331310</v>
      </c>
      <c r="B5785" s="63" t="s">
        <v>6461</v>
      </c>
    </row>
    <row r="5786" spans="1:2" x14ac:dyDescent="0.25">
      <c r="A5786" s="62">
        <v>31331311</v>
      </c>
      <c r="B5786" s="63" t="s">
        <v>6462</v>
      </c>
    </row>
    <row r="5787" spans="1:2" x14ac:dyDescent="0.25">
      <c r="A5787" s="62">
        <v>31331312</v>
      </c>
      <c r="B5787" s="63" t="s">
        <v>6463</v>
      </c>
    </row>
    <row r="5788" spans="1:2" x14ac:dyDescent="0.25">
      <c r="A5788" s="62">
        <v>31331313</v>
      </c>
      <c r="B5788" s="63" t="s">
        <v>6464</v>
      </c>
    </row>
    <row r="5789" spans="1:2" x14ac:dyDescent="0.25">
      <c r="A5789" s="62">
        <v>31331401</v>
      </c>
      <c r="B5789" s="63" t="s">
        <v>6465</v>
      </c>
    </row>
    <row r="5790" spans="1:2" x14ac:dyDescent="0.25">
      <c r="A5790" s="62">
        <v>31331402</v>
      </c>
      <c r="B5790" s="63" t="s">
        <v>6466</v>
      </c>
    </row>
    <row r="5791" spans="1:2" x14ac:dyDescent="0.25">
      <c r="A5791" s="62">
        <v>31331403</v>
      </c>
      <c r="B5791" s="63" t="s">
        <v>6467</v>
      </c>
    </row>
    <row r="5792" spans="1:2" x14ac:dyDescent="0.25">
      <c r="A5792" s="62">
        <v>31331404</v>
      </c>
      <c r="B5792" s="63" t="s">
        <v>6468</v>
      </c>
    </row>
    <row r="5793" spans="1:2" x14ac:dyDescent="0.25">
      <c r="A5793" s="62">
        <v>31331405</v>
      </c>
      <c r="B5793" s="63" t="s">
        <v>6469</v>
      </c>
    </row>
    <row r="5794" spans="1:2" x14ac:dyDescent="0.25">
      <c r="A5794" s="62">
        <v>31331406</v>
      </c>
      <c r="B5794" s="63" t="s">
        <v>6470</v>
      </c>
    </row>
    <row r="5795" spans="1:2" x14ac:dyDescent="0.25">
      <c r="A5795" s="62">
        <v>31331409</v>
      </c>
      <c r="B5795" s="63" t="s">
        <v>6471</v>
      </c>
    </row>
    <row r="5796" spans="1:2" x14ac:dyDescent="0.25">
      <c r="A5796" s="62">
        <v>31331410</v>
      </c>
      <c r="B5796" s="63" t="s">
        <v>6472</v>
      </c>
    </row>
    <row r="5797" spans="1:2" x14ac:dyDescent="0.25">
      <c r="A5797" s="62">
        <v>31331411</v>
      </c>
      <c r="B5797" s="63" t="s">
        <v>6473</v>
      </c>
    </row>
    <row r="5798" spans="1:2" x14ac:dyDescent="0.25">
      <c r="A5798" s="62">
        <v>31331412</v>
      </c>
      <c r="B5798" s="63" t="s">
        <v>6474</v>
      </c>
    </row>
    <row r="5799" spans="1:2" x14ac:dyDescent="0.25">
      <c r="A5799" s="62">
        <v>31331413</v>
      </c>
      <c r="B5799" s="63" t="s">
        <v>6475</v>
      </c>
    </row>
    <row r="5800" spans="1:2" x14ac:dyDescent="0.25">
      <c r="A5800" s="62">
        <v>31331501</v>
      </c>
      <c r="B5800" s="63" t="s">
        <v>6476</v>
      </c>
    </row>
    <row r="5801" spans="1:2" x14ac:dyDescent="0.25">
      <c r="A5801" s="62">
        <v>31331502</v>
      </c>
      <c r="B5801" s="63" t="s">
        <v>6477</v>
      </c>
    </row>
    <row r="5802" spans="1:2" x14ac:dyDescent="0.25">
      <c r="A5802" s="62">
        <v>31331503</v>
      </c>
      <c r="B5802" s="63" t="s">
        <v>6478</v>
      </c>
    </row>
    <row r="5803" spans="1:2" x14ac:dyDescent="0.25">
      <c r="A5803" s="62">
        <v>31331504</v>
      </c>
      <c r="B5803" s="63" t="s">
        <v>6479</v>
      </c>
    </row>
    <row r="5804" spans="1:2" x14ac:dyDescent="0.25">
      <c r="A5804" s="62">
        <v>31331505</v>
      </c>
      <c r="B5804" s="63" t="s">
        <v>6480</v>
      </c>
    </row>
    <row r="5805" spans="1:2" x14ac:dyDescent="0.25">
      <c r="A5805" s="62">
        <v>31331506</v>
      </c>
      <c r="B5805" s="63" t="s">
        <v>6481</v>
      </c>
    </row>
    <row r="5806" spans="1:2" x14ac:dyDescent="0.25">
      <c r="A5806" s="62">
        <v>31331509</v>
      </c>
      <c r="B5806" s="63" t="s">
        <v>6482</v>
      </c>
    </row>
    <row r="5807" spans="1:2" x14ac:dyDescent="0.25">
      <c r="A5807" s="62">
        <v>31331510</v>
      </c>
      <c r="B5807" s="63" t="s">
        <v>6483</v>
      </c>
    </row>
    <row r="5808" spans="1:2" x14ac:dyDescent="0.25">
      <c r="A5808" s="62">
        <v>31331511</v>
      </c>
      <c r="B5808" s="63" t="s">
        <v>6484</v>
      </c>
    </row>
    <row r="5809" spans="1:2" x14ac:dyDescent="0.25">
      <c r="A5809" s="62">
        <v>31331512</v>
      </c>
      <c r="B5809" s="63" t="s">
        <v>6485</v>
      </c>
    </row>
    <row r="5810" spans="1:2" x14ac:dyDescent="0.25">
      <c r="A5810" s="62">
        <v>31331513</v>
      </c>
      <c r="B5810" s="63" t="s">
        <v>6486</v>
      </c>
    </row>
    <row r="5811" spans="1:2" x14ac:dyDescent="0.25">
      <c r="A5811" s="62">
        <v>31331601</v>
      </c>
      <c r="B5811" s="63" t="s">
        <v>6487</v>
      </c>
    </row>
    <row r="5812" spans="1:2" x14ac:dyDescent="0.25">
      <c r="A5812" s="62">
        <v>31331602</v>
      </c>
      <c r="B5812" s="63" t="s">
        <v>6488</v>
      </c>
    </row>
    <row r="5813" spans="1:2" x14ac:dyDescent="0.25">
      <c r="A5813" s="62">
        <v>31331603</v>
      </c>
      <c r="B5813" s="63" t="s">
        <v>6489</v>
      </c>
    </row>
    <row r="5814" spans="1:2" x14ac:dyDescent="0.25">
      <c r="A5814" s="62">
        <v>31331604</v>
      </c>
      <c r="B5814" s="63" t="s">
        <v>6490</v>
      </c>
    </row>
    <row r="5815" spans="1:2" x14ac:dyDescent="0.25">
      <c r="A5815" s="62">
        <v>31331605</v>
      </c>
      <c r="B5815" s="63" t="s">
        <v>6491</v>
      </c>
    </row>
    <row r="5816" spans="1:2" x14ac:dyDescent="0.25">
      <c r="A5816" s="62">
        <v>31331606</v>
      </c>
      <c r="B5816" s="63" t="s">
        <v>6492</v>
      </c>
    </row>
    <row r="5817" spans="1:2" x14ac:dyDescent="0.25">
      <c r="A5817" s="62">
        <v>31331609</v>
      </c>
      <c r="B5817" s="63" t="s">
        <v>6493</v>
      </c>
    </row>
    <row r="5818" spans="1:2" x14ac:dyDescent="0.25">
      <c r="A5818" s="62">
        <v>31331610</v>
      </c>
      <c r="B5818" s="63" t="s">
        <v>6494</v>
      </c>
    </row>
    <row r="5819" spans="1:2" x14ac:dyDescent="0.25">
      <c r="A5819" s="62">
        <v>31331611</v>
      </c>
      <c r="B5819" s="63" t="s">
        <v>6495</v>
      </c>
    </row>
    <row r="5820" spans="1:2" x14ac:dyDescent="0.25">
      <c r="A5820" s="62">
        <v>31331612</v>
      </c>
      <c r="B5820" s="63" t="s">
        <v>6496</v>
      </c>
    </row>
    <row r="5821" spans="1:2" x14ac:dyDescent="0.25">
      <c r="A5821" s="62">
        <v>31331613</v>
      </c>
      <c r="B5821" s="63" t="s">
        <v>6497</v>
      </c>
    </row>
    <row r="5822" spans="1:2" x14ac:dyDescent="0.25">
      <c r="A5822" s="62">
        <v>31331701</v>
      </c>
      <c r="B5822" s="63" t="s">
        <v>6498</v>
      </c>
    </row>
    <row r="5823" spans="1:2" x14ac:dyDescent="0.25">
      <c r="A5823" s="62">
        <v>31331702</v>
      </c>
      <c r="B5823" s="63" t="s">
        <v>6499</v>
      </c>
    </row>
    <row r="5824" spans="1:2" x14ac:dyDescent="0.25">
      <c r="A5824" s="62">
        <v>31331703</v>
      </c>
      <c r="B5824" s="63" t="s">
        <v>6500</v>
      </c>
    </row>
    <row r="5825" spans="1:2" x14ac:dyDescent="0.25">
      <c r="A5825" s="62">
        <v>31331704</v>
      </c>
      <c r="B5825" s="63" t="s">
        <v>6501</v>
      </c>
    </row>
    <row r="5826" spans="1:2" x14ac:dyDescent="0.25">
      <c r="A5826" s="62">
        <v>31331705</v>
      </c>
      <c r="B5826" s="63" t="s">
        <v>6502</v>
      </c>
    </row>
    <row r="5827" spans="1:2" x14ac:dyDescent="0.25">
      <c r="A5827" s="62">
        <v>31331706</v>
      </c>
      <c r="B5827" s="63" t="s">
        <v>6503</v>
      </c>
    </row>
    <row r="5828" spans="1:2" x14ac:dyDescent="0.25">
      <c r="A5828" s="62">
        <v>31331709</v>
      </c>
      <c r="B5828" s="63" t="s">
        <v>6504</v>
      </c>
    </row>
    <row r="5829" spans="1:2" x14ac:dyDescent="0.25">
      <c r="A5829" s="62">
        <v>31331710</v>
      </c>
      <c r="B5829" s="63" t="s">
        <v>6505</v>
      </c>
    </row>
    <row r="5830" spans="1:2" x14ac:dyDescent="0.25">
      <c r="A5830" s="62">
        <v>31331711</v>
      </c>
      <c r="B5830" s="63" t="s">
        <v>6506</v>
      </c>
    </row>
    <row r="5831" spans="1:2" x14ac:dyDescent="0.25">
      <c r="A5831" s="62">
        <v>31331712</v>
      </c>
      <c r="B5831" s="63" t="s">
        <v>6507</v>
      </c>
    </row>
    <row r="5832" spans="1:2" x14ac:dyDescent="0.25">
      <c r="A5832" s="62">
        <v>31331713</v>
      </c>
      <c r="B5832" s="63" t="s">
        <v>6508</v>
      </c>
    </row>
    <row r="5833" spans="1:2" x14ac:dyDescent="0.25">
      <c r="A5833" s="62">
        <v>31341101</v>
      </c>
      <c r="B5833" s="63" t="s">
        <v>6509</v>
      </c>
    </row>
    <row r="5834" spans="1:2" x14ac:dyDescent="0.25">
      <c r="A5834" s="62">
        <v>31341102</v>
      </c>
      <c r="B5834" s="63" t="s">
        <v>6510</v>
      </c>
    </row>
    <row r="5835" spans="1:2" x14ac:dyDescent="0.25">
      <c r="A5835" s="62">
        <v>31341103</v>
      </c>
      <c r="B5835" s="63" t="s">
        <v>6511</v>
      </c>
    </row>
    <row r="5836" spans="1:2" x14ac:dyDescent="0.25">
      <c r="A5836" s="62">
        <v>31341104</v>
      </c>
      <c r="B5836" s="63" t="s">
        <v>6512</v>
      </c>
    </row>
    <row r="5837" spans="1:2" x14ac:dyDescent="0.25">
      <c r="A5837" s="62">
        <v>31341105</v>
      </c>
      <c r="B5837" s="63" t="s">
        <v>6513</v>
      </c>
    </row>
    <row r="5838" spans="1:2" x14ac:dyDescent="0.25">
      <c r="A5838" s="62">
        <v>31341106</v>
      </c>
      <c r="B5838" s="63" t="s">
        <v>6514</v>
      </c>
    </row>
    <row r="5839" spans="1:2" x14ac:dyDescent="0.25">
      <c r="A5839" s="62">
        <v>31341109</v>
      </c>
      <c r="B5839" s="63" t="s">
        <v>6515</v>
      </c>
    </row>
    <row r="5840" spans="1:2" x14ac:dyDescent="0.25">
      <c r="A5840" s="62">
        <v>31341110</v>
      </c>
      <c r="B5840" s="63" t="s">
        <v>6516</v>
      </c>
    </row>
    <row r="5841" spans="1:2" x14ac:dyDescent="0.25">
      <c r="A5841" s="62">
        <v>31341111</v>
      </c>
      <c r="B5841" s="63" t="s">
        <v>6517</v>
      </c>
    </row>
    <row r="5842" spans="1:2" x14ac:dyDescent="0.25">
      <c r="A5842" s="62">
        <v>31341112</v>
      </c>
      <c r="B5842" s="63" t="s">
        <v>6518</v>
      </c>
    </row>
    <row r="5843" spans="1:2" x14ac:dyDescent="0.25">
      <c r="A5843" s="62">
        <v>31341113</v>
      </c>
      <c r="B5843" s="63" t="s">
        <v>6519</v>
      </c>
    </row>
    <row r="5844" spans="1:2" x14ac:dyDescent="0.25">
      <c r="A5844" s="62">
        <v>31341201</v>
      </c>
      <c r="B5844" s="63" t="s">
        <v>6520</v>
      </c>
    </row>
    <row r="5845" spans="1:2" x14ac:dyDescent="0.25">
      <c r="A5845" s="62">
        <v>31341202</v>
      </c>
      <c r="B5845" s="63" t="s">
        <v>6521</v>
      </c>
    </row>
    <row r="5846" spans="1:2" x14ac:dyDescent="0.25">
      <c r="A5846" s="62">
        <v>31341203</v>
      </c>
      <c r="B5846" s="63" t="s">
        <v>6522</v>
      </c>
    </row>
    <row r="5847" spans="1:2" x14ac:dyDescent="0.25">
      <c r="A5847" s="62">
        <v>31341204</v>
      </c>
      <c r="B5847" s="63" t="s">
        <v>6523</v>
      </c>
    </row>
    <row r="5848" spans="1:2" x14ac:dyDescent="0.25">
      <c r="A5848" s="62">
        <v>31341205</v>
      </c>
      <c r="B5848" s="63" t="s">
        <v>6524</v>
      </c>
    </row>
    <row r="5849" spans="1:2" x14ac:dyDescent="0.25">
      <c r="A5849" s="62">
        <v>31341206</v>
      </c>
      <c r="B5849" s="63" t="s">
        <v>6525</v>
      </c>
    </row>
    <row r="5850" spans="1:2" x14ac:dyDescent="0.25">
      <c r="A5850" s="62">
        <v>31341209</v>
      </c>
      <c r="B5850" s="63" t="s">
        <v>6526</v>
      </c>
    </row>
    <row r="5851" spans="1:2" x14ac:dyDescent="0.25">
      <c r="A5851" s="62">
        <v>31341210</v>
      </c>
      <c r="B5851" s="63" t="s">
        <v>6527</v>
      </c>
    </row>
    <row r="5852" spans="1:2" x14ac:dyDescent="0.25">
      <c r="A5852" s="62">
        <v>31341211</v>
      </c>
      <c r="B5852" s="63" t="s">
        <v>6528</v>
      </c>
    </row>
    <row r="5853" spans="1:2" x14ac:dyDescent="0.25">
      <c r="A5853" s="62">
        <v>31341212</v>
      </c>
      <c r="B5853" s="63" t="s">
        <v>6529</v>
      </c>
    </row>
    <row r="5854" spans="1:2" x14ac:dyDescent="0.25">
      <c r="A5854" s="62">
        <v>31341213</v>
      </c>
      <c r="B5854" s="63" t="s">
        <v>6530</v>
      </c>
    </row>
    <row r="5855" spans="1:2" x14ac:dyDescent="0.25">
      <c r="A5855" s="62">
        <v>31341301</v>
      </c>
      <c r="B5855" s="63" t="s">
        <v>6531</v>
      </c>
    </row>
    <row r="5856" spans="1:2" x14ac:dyDescent="0.25">
      <c r="A5856" s="62">
        <v>31341302</v>
      </c>
      <c r="B5856" s="63" t="s">
        <v>6532</v>
      </c>
    </row>
    <row r="5857" spans="1:2" x14ac:dyDescent="0.25">
      <c r="A5857" s="62">
        <v>31341303</v>
      </c>
      <c r="B5857" s="63" t="s">
        <v>6533</v>
      </c>
    </row>
    <row r="5858" spans="1:2" x14ac:dyDescent="0.25">
      <c r="A5858" s="62">
        <v>31341304</v>
      </c>
      <c r="B5858" s="63" t="s">
        <v>6534</v>
      </c>
    </row>
    <row r="5859" spans="1:2" x14ac:dyDescent="0.25">
      <c r="A5859" s="62">
        <v>31341305</v>
      </c>
      <c r="B5859" s="63" t="s">
        <v>6535</v>
      </c>
    </row>
    <row r="5860" spans="1:2" x14ac:dyDescent="0.25">
      <c r="A5860" s="62">
        <v>31341306</v>
      </c>
      <c r="B5860" s="63" t="s">
        <v>6536</v>
      </c>
    </row>
    <row r="5861" spans="1:2" x14ac:dyDescent="0.25">
      <c r="A5861" s="62">
        <v>31341309</v>
      </c>
      <c r="B5861" s="63" t="s">
        <v>6537</v>
      </c>
    </row>
    <row r="5862" spans="1:2" x14ac:dyDescent="0.25">
      <c r="A5862" s="62">
        <v>31341310</v>
      </c>
      <c r="B5862" s="63" t="s">
        <v>6538</v>
      </c>
    </row>
    <row r="5863" spans="1:2" x14ac:dyDescent="0.25">
      <c r="A5863" s="62">
        <v>31341311</v>
      </c>
      <c r="B5863" s="63" t="s">
        <v>6539</v>
      </c>
    </row>
    <row r="5864" spans="1:2" x14ac:dyDescent="0.25">
      <c r="A5864" s="62">
        <v>31341312</v>
      </c>
      <c r="B5864" s="63" t="s">
        <v>6540</v>
      </c>
    </row>
    <row r="5865" spans="1:2" x14ac:dyDescent="0.25">
      <c r="A5865" s="62">
        <v>31341313</v>
      </c>
      <c r="B5865" s="63" t="s">
        <v>6541</v>
      </c>
    </row>
    <row r="5866" spans="1:2" x14ac:dyDescent="0.25">
      <c r="A5866" s="62">
        <v>31341401</v>
      </c>
      <c r="B5866" s="63" t="s">
        <v>6542</v>
      </c>
    </row>
    <row r="5867" spans="1:2" x14ac:dyDescent="0.25">
      <c r="A5867" s="62">
        <v>31341402</v>
      </c>
      <c r="B5867" s="63" t="s">
        <v>6543</v>
      </c>
    </row>
    <row r="5868" spans="1:2" x14ac:dyDescent="0.25">
      <c r="A5868" s="62">
        <v>31341403</v>
      </c>
      <c r="B5868" s="63" t="s">
        <v>6544</v>
      </c>
    </row>
    <row r="5869" spans="1:2" x14ac:dyDescent="0.25">
      <c r="A5869" s="62">
        <v>31341404</v>
      </c>
      <c r="B5869" s="63" t="s">
        <v>6545</v>
      </c>
    </row>
    <row r="5870" spans="1:2" x14ac:dyDescent="0.25">
      <c r="A5870" s="62">
        <v>31341405</v>
      </c>
      <c r="B5870" s="63" t="s">
        <v>6546</v>
      </c>
    </row>
    <row r="5871" spans="1:2" x14ac:dyDescent="0.25">
      <c r="A5871" s="62">
        <v>31341406</v>
      </c>
      <c r="B5871" s="63" t="s">
        <v>6547</v>
      </c>
    </row>
    <row r="5872" spans="1:2" x14ac:dyDescent="0.25">
      <c r="A5872" s="62">
        <v>31341409</v>
      </c>
      <c r="B5872" s="63" t="s">
        <v>6548</v>
      </c>
    </row>
    <row r="5873" spans="1:2" x14ac:dyDescent="0.25">
      <c r="A5873" s="62">
        <v>31341410</v>
      </c>
      <c r="B5873" s="63" t="s">
        <v>6549</v>
      </c>
    </row>
    <row r="5874" spans="1:2" x14ac:dyDescent="0.25">
      <c r="A5874" s="62">
        <v>31341411</v>
      </c>
      <c r="B5874" s="63" t="s">
        <v>6550</v>
      </c>
    </row>
    <row r="5875" spans="1:2" x14ac:dyDescent="0.25">
      <c r="A5875" s="62">
        <v>31341412</v>
      </c>
      <c r="B5875" s="63" t="s">
        <v>6551</v>
      </c>
    </row>
    <row r="5876" spans="1:2" x14ac:dyDescent="0.25">
      <c r="A5876" s="62">
        <v>31341413</v>
      </c>
      <c r="B5876" s="63" t="s">
        <v>6552</v>
      </c>
    </row>
    <row r="5877" spans="1:2" x14ac:dyDescent="0.25">
      <c r="A5877" s="62">
        <v>31341501</v>
      </c>
      <c r="B5877" s="63" t="s">
        <v>6553</v>
      </c>
    </row>
    <row r="5878" spans="1:2" x14ac:dyDescent="0.25">
      <c r="A5878" s="62">
        <v>31341502</v>
      </c>
      <c r="B5878" s="63" t="s">
        <v>6554</v>
      </c>
    </row>
    <row r="5879" spans="1:2" x14ac:dyDescent="0.25">
      <c r="A5879" s="62">
        <v>31341503</v>
      </c>
      <c r="B5879" s="63" t="s">
        <v>6555</v>
      </c>
    </row>
    <row r="5880" spans="1:2" x14ac:dyDescent="0.25">
      <c r="A5880" s="62">
        <v>31341504</v>
      </c>
      <c r="B5880" s="63" t="s">
        <v>6556</v>
      </c>
    </row>
    <row r="5881" spans="1:2" x14ac:dyDescent="0.25">
      <c r="A5881" s="62">
        <v>31341505</v>
      </c>
      <c r="B5881" s="63" t="s">
        <v>6557</v>
      </c>
    </row>
    <row r="5882" spans="1:2" x14ac:dyDescent="0.25">
      <c r="A5882" s="62">
        <v>31341506</v>
      </c>
      <c r="B5882" s="63" t="s">
        <v>6558</v>
      </c>
    </row>
    <row r="5883" spans="1:2" x14ac:dyDescent="0.25">
      <c r="A5883" s="62">
        <v>31341509</v>
      </c>
      <c r="B5883" s="63" t="s">
        <v>6559</v>
      </c>
    </row>
    <row r="5884" spans="1:2" x14ac:dyDescent="0.25">
      <c r="A5884" s="62">
        <v>31341510</v>
      </c>
      <c r="B5884" s="63" t="s">
        <v>6560</v>
      </c>
    </row>
    <row r="5885" spans="1:2" x14ac:dyDescent="0.25">
      <c r="A5885" s="62">
        <v>31341511</v>
      </c>
      <c r="B5885" s="63" t="s">
        <v>6561</v>
      </c>
    </row>
    <row r="5886" spans="1:2" x14ac:dyDescent="0.25">
      <c r="A5886" s="62">
        <v>31341512</v>
      </c>
      <c r="B5886" s="63" t="s">
        <v>6562</v>
      </c>
    </row>
    <row r="5887" spans="1:2" x14ac:dyDescent="0.25">
      <c r="A5887" s="62">
        <v>31341513</v>
      </c>
      <c r="B5887" s="63" t="s">
        <v>6563</v>
      </c>
    </row>
    <row r="5888" spans="1:2" x14ac:dyDescent="0.25">
      <c r="A5888" s="62">
        <v>31341601</v>
      </c>
      <c r="B5888" s="63" t="s">
        <v>6564</v>
      </c>
    </row>
    <row r="5889" spans="1:2" x14ac:dyDescent="0.25">
      <c r="A5889" s="62">
        <v>31341602</v>
      </c>
      <c r="B5889" s="63" t="s">
        <v>6565</v>
      </c>
    </row>
    <row r="5890" spans="1:2" x14ac:dyDescent="0.25">
      <c r="A5890" s="62">
        <v>31341603</v>
      </c>
      <c r="B5890" s="63" t="s">
        <v>6566</v>
      </c>
    </row>
    <row r="5891" spans="1:2" x14ac:dyDescent="0.25">
      <c r="A5891" s="62">
        <v>31341604</v>
      </c>
      <c r="B5891" s="63" t="s">
        <v>6567</v>
      </c>
    </row>
    <row r="5892" spans="1:2" x14ac:dyDescent="0.25">
      <c r="A5892" s="62">
        <v>31341605</v>
      </c>
      <c r="B5892" s="63" t="s">
        <v>6568</v>
      </c>
    </row>
    <row r="5893" spans="1:2" x14ac:dyDescent="0.25">
      <c r="A5893" s="62">
        <v>31341606</v>
      </c>
      <c r="B5893" s="63" t="s">
        <v>6569</v>
      </c>
    </row>
    <row r="5894" spans="1:2" x14ac:dyDescent="0.25">
      <c r="A5894" s="62">
        <v>31341609</v>
      </c>
      <c r="B5894" s="63" t="s">
        <v>6570</v>
      </c>
    </row>
    <row r="5895" spans="1:2" x14ac:dyDescent="0.25">
      <c r="A5895" s="62">
        <v>31341610</v>
      </c>
      <c r="B5895" s="63" t="s">
        <v>6571</v>
      </c>
    </row>
    <row r="5896" spans="1:2" x14ac:dyDescent="0.25">
      <c r="A5896" s="62">
        <v>31341611</v>
      </c>
      <c r="B5896" s="63" t="s">
        <v>6572</v>
      </c>
    </row>
    <row r="5897" spans="1:2" x14ac:dyDescent="0.25">
      <c r="A5897" s="62">
        <v>31341612</v>
      </c>
      <c r="B5897" s="63" t="s">
        <v>6573</v>
      </c>
    </row>
    <row r="5898" spans="1:2" x14ac:dyDescent="0.25">
      <c r="A5898" s="62">
        <v>31341613</v>
      </c>
      <c r="B5898" s="63" t="s">
        <v>6574</v>
      </c>
    </row>
    <row r="5899" spans="1:2" x14ac:dyDescent="0.25">
      <c r="A5899" s="62">
        <v>31341701</v>
      </c>
      <c r="B5899" s="63" t="s">
        <v>6575</v>
      </c>
    </row>
    <row r="5900" spans="1:2" x14ac:dyDescent="0.25">
      <c r="A5900" s="62">
        <v>31341702</v>
      </c>
      <c r="B5900" s="63" t="s">
        <v>6576</v>
      </c>
    </row>
    <row r="5901" spans="1:2" x14ac:dyDescent="0.25">
      <c r="A5901" s="62">
        <v>31341703</v>
      </c>
      <c r="B5901" s="63" t="s">
        <v>6577</v>
      </c>
    </row>
    <row r="5902" spans="1:2" x14ac:dyDescent="0.25">
      <c r="A5902" s="62">
        <v>31341704</v>
      </c>
      <c r="B5902" s="63" t="s">
        <v>6578</v>
      </c>
    </row>
    <row r="5903" spans="1:2" x14ac:dyDescent="0.25">
      <c r="A5903" s="62">
        <v>31341705</v>
      </c>
      <c r="B5903" s="63" t="s">
        <v>6579</v>
      </c>
    </row>
    <row r="5904" spans="1:2" x14ac:dyDescent="0.25">
      <c r="A5904" s="62">
        <v>31341706</v>
      </c>
      <c r="B5904" s="63" t="s">
        <v>6580</v>
      </c>
    </row>
    <row r="5905" spans="1:2" x14ac:dyDescent="0.25">
      <c r="A5905" s="62">
        <v>31341709</v>
      </c>
      <c r="B5905" s="63" t="s">
        <v>6581</v>
      </c>
    </row>
    <row r="5906" spans="1:2" x14ac:dyDescent="0.25">
      <c r="A5906" s="62">
        <v>31341710</v>
      </c>
      <c r="B5906" s="63" t="s">
        <v>6582</v>
      </c>
    </row>
    <row r="5907" spans="1:2" x14ac:dyDescent="0.25">
      <c r="A5907" s="62">
        <v>31341711</v>
      </c>
      <c r="B5907" s="63" t="s">
        <v>6583</v>
      </c>
    </row>
    <row r="5908" spans="1:2" x14ac:dyDescent="0.25">
      <c r="A5908" s="62">
        <v>31341712</v>
      </c>
      <c r="B5908" s="63" t="s">
        <v>6584</v>
      </c>
    </row>
    <row r="5909" spans="1:2" x14ac:dyDescent="0.25">
      <c r="A5909" s="62">
        <v>31341713</v>
      </c>
      <c r="B5909" s="63" t="s">
        <v>6585</v>
      </c>
    </row>
    <row r="5910" spans="1:2" x14ac:dyDescent="0.25">
      <c r="A5910" s="62">
        <v>31351101</v>
      </c>
      <c r="B5910" s="63" t="s">
        <v>6586</v>
      </c>
    </row>
    <row r="5911" spans="1:2" x14ac:dyDescent="0.25">
      <c r="A5911" s="62">
        <v>31351102</v>
      </c>
      <c r="B5911" s="63" t="s">
        <v>6587</v>
      </c>
    </row>
    <row r="5912" spans="1:2" x14ac:dyDescent="0.25">
      <c r="A5912" s="62">
        <v>31351103</v>
      </c>
      <c r="B5912" s="63" t="s">
        <v>6588</v>
      </c>
    </row>
    <row r="5913" spans="1:2" x14ac:dyDescent="0.25">
      <c r="A5913" s="62">
        <v>31351104</v>
      </c>
      <c r="B5913" s="63" t="s">
        <v>6589</v>
      </c>
    </row>
    <row r="5914" spans="1:2" x14ac:dyDescent="0.25">
      <c r="A5914" s="62">
        <v>31351105</v>
      </c>
      <c r="B5914" s="63" t="s">
        <v>6590</v>
      </c>
    </row>
    <row r="5915" spans="1:2" x14ac:dyDescent="0.25">
      <c r="A5915" s="62">
        <v>31351106</v>
      </c>
      <c r="B5915" s="63" t="s">
        <v>6591</v>
      </c>
    </row>
    <row r="5916" spans="1:2" x14ac:dyDescent="0.25">
      <c r="A5916" s="62">
        <v>31351109</v>
      </c>
      <c r="B5916" s="63" t="s">
        <v>6592</v>
      </c>
    </row>
    <row r="5917" spans="1:2" x14ac:dyDescent="0.25">
      <c r="A5917" s="62">
        <v>31351110</v>
      </c>
      <c r="B5917" s="63" t="s">
        <v>6593</v>
      </c>
    </row>
    <row r="5918" spans="1:2" x14ac:dyDescent="0.25">
      <c r="A5918" s="62">
        <v>31351111</v>
      </c>
      <c r="B5918" s="63" t="s">
        <v>6594</v>
      </c>
    </row>
    <row r="5919" spans="1:2" x14ac:dyDescent="0.25">
      <c r="A5919" s="62">
        <v>31351112</v>
      </c>
      <c r="B5919" s="63" t="s">
        <v>6595</v>
      </c>
    </row>
    <row r="5920" spans="1:2" x14ac:dyDescent="0.25">
      <c r="A5920" s="62">
        <v>31351113</v>
      </c>
      <c r="B5920" s="63" t="s">
        <v>6596</v>
      </c>
    </row>
    <row r="5921" spans="1:2" x14ac:dyDescent="0.25">
      <c r="A5921" s="62">
        <v>31351201</v>
      </c>
      <c r="B5921" s="63" t="s">
        <v>6597</v>
      </c>
    </row>
    <row r="5922" spans="1:2" x14ac:dyDescent="0.25">
      <c r="A5922" s="62">
        <v>31351202</v>
      </c>
      <c r="B5922" s="63" t="s">
        <v>6598</v>
      </c>
    </row>
    <row r="5923" spans="1:2" x14ac:dyDescent="0.25">
      <c r="A5923" s="62">
        <v>31351203</v>
      </c>
      <c r="B5923" s="63" t="s">
        <v>6599</v>
      </c>
    </row>
    <row r="5924" spans="1:2" x14ac:dyDescent="0.25">
      <c r="A5924" s="62">
        <v>31351204</v>
      </c>
      <c r="B5924" s="63" t="s">
        <v>6600</v>
      </c>
    </row>
    <row r="5925" spans="1:2" x14ac:dyDescent="0.25">
      <c r="A5925" s="62">
        <v>31351205</v>
      </c>
      <c r="B5925" s="63" t="s">
        <v>6601</v>
      </c>
    </row>
    <row r="5926" spans="1:2" x14ac:dyDescent="0.25">
      <c r="A5926" s="62">
        <v>31351206</v>
      </c>
      <c r="B5926" s="63" t="s">
        <v>6602</v>
      </c>
    </row>
    <row r="5927" spans="1:2" x14ac:dyDescent="0.25">
      <c r="A5927" s="62">
        <v>31351209</v>
      </c>
      <c r="B5927" s="63" t="s">
        <v>6603</v>
      </c>
    </row>
    <row r="5928" spans="1:2" x14ac:dyDescent="0.25">
      <c r="A5928" s="62">
        <v>31351210</v>
      </c>
      <c r="B5928" s="63" t="s">
        <v>6604</v>
      </c>
    </row>
    <row r="5929" spans="1:2" x14ac:dyDescent="0.25">
      <c r="A5929" s="62">
        <v>31351211</v>
      </c>
      <c r="B5929" s="63" t="s">
        <v>6605</v>
      </c>
    </row>
    <row r="5930" spans="1:2" x14ac:dyDescent="0.25">
      <c r="A5930" s="62">
        <v>31351212</v>
      </c>
      <c r="B5930" s="63" t="s">
        <v>6606</v>
      </c>
    </row>
    <row r="5931" spans="1:2" x14ac:dyDescent="0.25">
      <c r="A5931" s="62">
        <v>31351213</v>
      </c>
      <c r="B5931" s="63" t="s">
        <v>6607</v>
      </c>
    </row>
    <row r="5932" spans="1:2" x14ac:dyDescent="0.25">
      <c r="A5932" s="62">
        <v>31351301</v>
      </c>
      <c r="B5932" s="63" t="s">
        <v>6608</v>
      </c>
    </row>
    <row r="5933" spans="1:2" x14ac:dyDescent="0.25">
      <c r="A5933" s="62">
        <v>31351302</v>
      </c>
      <c r="B5933" s="63" t="s">
        <v>6609</v>
      </c>
    </row>
    <row r="5934" spans="1:2" x14ac:dyDescent="0.25">
      <c r="A5934" s="62">
        <v>31351303</v>
      </c>
      <c r="B5934" s="63" t="s">
        <v>6610</v>
      </c>
    </row>
    <row r="5935" spans="1:2" x14ac:dyDescent="0.25">
      <c r="A5935" s="62">
        <v>31351304</v>
      </c>
      <c r="B5935" s="63" t="s">
        <v>6611</v>
      </c>
    </row>
    <row r="5936" spans="1:2" x14ac:dyDescent="0.25">
      <c r="A5936" s="62">
        <v>31351305</v>
      </c>
      <c r="B5936" s="63" t="s">
        <v>6612</v>
      </c>
    </row>
    <row r="5937" spans="1:2" x14ac:dyDescent="0.25">
      <c r="A5937" s="62">
        <v>31351306</v>
      </c>
      <c r="B5937" s="63" t="s">
        <v>6613</v>
      </c>
    </row>
    <row r="5938" spans="1:2" x14ac:dyDescent="0.25">
      <c r="A5938" s="62">
        <v>31351309</v>
      </c>
      <c r="B5938" s="63" t="s">
        <v>6614</v>
      </c>
    </row>
    <row r="5939" spans="1:2" x14ac:dyDescent="0.25">
      <c r="A5939" s="62">
        <v>31351310</v>
      </c>
      <c r="B5939" s="63" t="s">
        <v>6615</v>
      </c>
    </row>
    <row r="5940" spans="1:2" x14ac:dyDescent="0.25">
      <c r="A5940" s="62">
        <v>31351311</v>
      </c>
      <c r="B5940" s="63" t="s">
        <v>6616</v>
      </c>
    </row>
    <row r="5941" spans="1:2" x14ac:dyDescent="0.25">
      <c r="A5941" s="62">
        <v>31351312</v>
      </c>
      <c r="B5941" s="63" t="s">
        <v>6617</v>
      </c>
    </row>
    <row r="5942" spans="1:2" x14ac:dyDescent="0.25">
      <c r="A5942" s="62">
        <v>31351313</v>
      </c>
      <c r="B5942" s="63" t="s">
        <v>6618</v>
      </c>
    </row>
    <row r="5943" spans="1:2" x14ac:dyDescent="0.25">
      <c r="A5943" s="62">
        <v>31351401</v>
      </c>
      <c r="B5943" s="63" t="s">
        <v>6619</v>
      </c>
    </row>
    <row r="5944" spans="1:2" x14ac:dyDescent="0.25">
      <c r="A5944" s="62">
        <v>31351402</v>
      </c>
      <c r="B5944" s="63" t="s">
        <v>6620</v>
      </c>
    </row>
    <row r="5945" spans="1:2" x14ac:dyDescent="0.25">
      <c r="A5945" s="62">
        <v>31351403</v>
      </c>
      <c r="B5945" s="63" t="s">
        <v>6621</v>
      </c>
    </row>
    <row r="5946" spans="1:2" x14ac:dyDescent="0.25">
      <c r="A5946" s="62">
        <v>31351404</v>
      </c>
      <c r="B5946" s="63" t="s">
        <v>6622</v>
      </c>
    </row>
    <row r="5947" spans="1:2" x14ac:dyDescent="0.25">
      <c r="A5947" s="62">
        <v>31351405</v>
      </c>
      <c r="B5947" s="63" t="s">
        <v>6623</v>
      </c>
    </row>
    <row r="5948" spans="1:2" x14ac:dyDescent="0.25">
      <c r="A5948" s="62">
        <v>31351406</v>
      </c>
      <c r="B5948" s="63" t="s">
        <v>6624</v>
      </c>
    </row>
    <row r="5949" spans="1:2" x14ac:dyDescent="0.25">
      <c r="A5949" s="62">
        <v>31351409</v>
      </c>
      <c r="B5949" s="63" t="s">
        <v>6625</v>
      </c>
    </row>
    <row r="5950" spans="1:2" x14ac:dyDescent="0.25">
      <c r="A5950" s="62">
        <v>31351410</v>
      </c>
      <c r="B5950" s="63" t="s">
        <v>6626</v>
      </c>
    </row>
    <row r="5951" spans="1:2" x14ac:dyDescent="0.25">
      <c r="A5951" s="62">
        <v>31351411</v>
      </c>
      <c r="B5951" s="63" t="s">
        <v>6627</v>
      </c>
    </row>
    <row r="5952" spans="1:2" x14ac:dyDescent="0.25">
      <c r="A5952" s="62">
        <v>31351412</v>
      </c>
      <c r="B5952" s="63" t="s">
        <v>6628</v>
      </c>
    </row>
    <row r="5953" spans="1:2" x14ac:dyDescent="0.25">
      <c r="A5953" s="62">
        <v>31351413</v>
      </c>
      <c r="B5953" s="63" t="s">
        <v>6629</v>
      </c>
    </row>
    <row r="5954" spans="1:2" x14ac:dyDescent="0.25">
      <c r="A5954" s="62">
        <v>31351501</v>
      </c>
      <c r="B5954" s="63" t="s">
        <v>6630</v>
      </c>
    </row>
    <row r="5955" spans="1:2" x14ac:dyDescent="0.25">
      <c r="A5955" s="62">
        <v>31351502</v>
      </c>
      <c r="B5955" s="63" t="s">
        <v>6631</v>
      </c>
    </row>
    <row r="5956" spans="1:2" x14ac:dyDescent="0.25">
      <c r="A5956" s="62">
        <v>31351503</v>
      </c>
      <c r="B5956" s="63" t="s">
        <v>6632</v>
      </c>
    </row>
    <row r="5957" spans="1:2" x14ac:dyDescent="0.25">
      <c r="A5957" s="62">
        <v>31351504</v>
      </c>
      <c r="B5957" s="63" t="s">
        <v>6633</v>
      </c>
    </row>
    <row r="5958" spans="1:2" x14ac:dyDescent="0.25">
      <c r="A5958" s="62">
        <v>31351505</v>
      </c>
      <c r="B5958" s="63" t="s">
        <v>6634</v>
      </c>
    </row>
    <row r="5959" spans="1:2" x14ac:dyDescent="0.25">
      <c r="A5959" s="62">
        <v>31351506</v>
      </c>
      <c r="B5959" s="63" t="s">
        <v>6635</v>
      </c>
    </row>
    <row r="5960" spans="1:2" x14ac:dyDescent="0.25">
      <c r="A5960" s="62">
        <v>31351509</v>
      </c>
      <c r="B5960" s="63" t="s">
        <v>6636</v>
      </c>
    </row>
    <row r="5961" spans="1:2" x14ac:dyDescent="0.25">
      <c r="A5961" s="62">
        <v>31351510</v>
      </c>
      <c r="B5961" s="63" t="s">
        <v>6637</v>
      </c>
    </row>
    <row r="5962" spans="1:2" x14ac:dyDescent="0.25">
      <c r="A5962" s="62">
        <v>31351511</v>
      </c>
      <c r="B5962" s="63" t="s">
        <v>6638</v>
      </c>
    </row>
    <row r="5963" spans="1:2" x14ac:dyDescent="0.25">
      <c r="A5963" s="62">
        <v>31351512</v>
      </c>
      <c r="B5963" s="63" t="s">
        <v>6639</v>
      </c>
    </row>
    <row r="5964" spans="1:2" x14ac:dyDescent="0.25">
      <c r="A5964" s="62">
        <v>31351513</v>
      </c>
      <c r="B5964" s="63" t="s">
        <v>6640</v>
      </c>
    </row>
    <row r="5965" spans="1:2" x14ac:dyDescent="0.25">
      <c r="A5965" s="62">
        <v>31351601</v>
      </c>
      <c r="B5965" s="63" t="s">
        <v>6641</v>
      </c>
    </row>
    <row r="5966" spans="1:2" x14ac:dyDescent="0.25">
      <c r="A5966" s="62">
        <v>31351602</v>
      </c>
      <c r="B5966" s="63" t="s">
        <v>6642</v>
      </c>
    </row>
    <row r="5967" spans="1:2" x14ac:dyDescent="0.25">
      <c r="A5967" s="62">
        <v>31351603</v>
      </c>
      <c r="B5967" s="63" t="s">
        <v>6643</v>
      </c>
    </row>
    <row r="5968" spans="1:2" x14ac:dyDescent="0.25">
      <c r="A5968" s="62">
        <v>31351604</v>
      </c>
      <c r="B5968" s="63" t="s">
        <v>6644</v>
      </c>
    </row>
    <row r="5969" spans="1:2" x14ac:dyDescent="0.25">
      <c r="A5969" s="62">
        <v>31351605</v>
      </c>
      <c r="B5969" s="63" t="s">
        <v>6645</v>
      </c>
    </row>
    <row r="5970" spans="1:2" x14ac:dyDescent="0.25">
      <c r="A5970" s="62">
        <v>31351606</v>
      </c>
      <c r="B5970" s="63" t="s">
        <v>6646</v>
      </c>
    </row>
    <row r="5971" spans="1:2" x14ac:dyDescent="0.25">
      <c r="A5971" s="62">
        <v>31351609</v>
      </c>
      <c r="B5971" s="63" t="s">
        <v>6647</v>
      </c>
    </row>
    <row r="5972" spans="1:2" x14ac:dyDescent="0.25">
      <c r="A5972" s="62">
        <v>31351610</v>
      </c>
      <c r="B5972" s="63" t="s">
        <v>6648</v>
      </c>
    </row>
    <row r="5973" spans="1:2" x14ac:dyDescent="0.25">
      <c r="A5973" s="62">
        <v>31351611</v>
      </c>
      <c r="B5973" s="63" t="s">
        <v>6649</v>
      </c>
    </row>
    <row r="5974" spans="1:2" x14ac:dyDescent="0.25">
      <c r="A5974" s="62">
        <v>31351612</v>
      </c>
      <c r="B5974" s="63" t="s">
        <v>6650</v>
      </c>
    </row>
    <row r="5975" spans="1:2" x14ac:dyDescent="0.25">
      <c r="A5975" s="62">
        <v>31351613</v>
      </c>
      <c r="B5975" s="63" t="s">
        <v>6651</v>
      </c>
    </row>
    <row r="5976" spans="1:2" x14ac:dyDescent="0.25">
      <c r="A5976" s="62">
        <v>31351701</v>
      </c>
      <c r="B5976" s="63" t="s">
        <v>6652</v>
      </c>
    </row>
    <row r="5977" spans="1:2" x14ac:dyDescent="0.25">
      <c r="A5977" s="62">
        <v>31351702</v>
      </c>
      <c r="B5977" s="63" t="s">
        <v>6653</v>
      </c>
    </row>
    <row r="5978" spans="1:2" x14ac:dyDescent="0.25">
      <c r="A5978" s="62">
        <v>31351703</v>
      </c>
      <c r="B5978" s="63" t="s">
        <v>6654</v>
      </c>
    </row>
    <row r="5979" spans="1:2" x14ac:dyDescent="0.25">
      <c r="A5979" s="62">
        <v>31351704</v>
      </c>
      <c r="B5979" s="63" t="s">
        <v>6655</v>
      </c>
    </row>
    <row r="5980" spans="1:2" x14ac:dyDescent="0.25">
      <c r="A5980" s="62">
        <v>31351705</v>
      </c>
      <c r="B5980" s="63" t="s">
        <v>6656</v>
      </c>
    </row>
    <row r="5981" spans="1:2" x14ac:dyDescent="0.25">
      <c r="A5981" s="62">
        <v>31351706</v>
      </c>
      <c r="B5981" s="63" t="s">
        <v>6657</v>
      </c>
    </row>
    <row r="5982" spans="1:2" x14ac:dyDescent="0.25">
      <c r="A5982" s="62">
        <v>31351709</v>
      </c>
      <c r="B5982" s="63" t="s">
        <v>6658</v>
      </c>
    </row>
    <row r="5983" spans="1:2" x14ac:dyDescent="0.25">
      <c r="A5983" s="62">
        <v>31351710</v>
      </c>
      <c r="B5983" s="63" t="s">
        <v>6659</v>
      </c>
    </row>
    <row r="5984" spans="1:2" x14ac:dyDescent="0.25">
      <c r="A5984" s="62">
        <v>31351711</v>
      </c>
      <c r="B5984" s="63" t="s">
        <v>6660</v>
      </c>
    </row>
    <row r="5985" spans="1:2" x14ac:dyDescent="0.25">
      <c r="A5985" s="62">
        <v>31351712</v>
      </c>
      <c r="B5985" s="63" t="s">
        <v>6661</v>
      </c>
    </row>
    <row r="5986" spans="1:2" x14ac:dyDescent="0.25">
      <c r="A5986" s="62">
        <v>31351713</v>
      </c>
      <c r="B5986" s="63" t="s">
        <v>6662</v>
      </c>
    </row>
    <row r="5987" spans="1:2" x14ac:dyDescent="0.25">
      <c r="A5987" s="62">
        <v>31361101</v>
      </c>
      <c r="B5987" s="63" t="s">
        <v>6663</v>
      </c>
    </row>
    <row r="5988" spans="1:2" x14ac:dyDescent="0.25">
      <c r="A5988" s="62">
        <v>31361102</v>
      </c>
      <c r="B5988" s="63" t="s">
        <v>6664</v>
      </c>
    </row>
    <row r="5989" spans="1:2" x14ac:dyDescent="0.25">
      <c r="A5989" s="62">
        <v>31361103</v>
      </c>
      <c r="B5989" s="63" t="s">
        <v>6665</v>
      </c>
    </row>
    <row r="5990" spans="1:2" x14ac:dyDescent="0.25">
      <c r="A5990" s="62">
        <v>31361104</v>
      </c>
      <c r="B5990" s="63" t="s">
        <v>6666</v>
      </c>
    </row>
    <row r="5991" spans="1:2" x14ac:dyDescent="0.25">
      <c r="A5991" s="62">
        <v>31361105</v>
      </c>
      <c r="B5991" s="63" t="s">
        <v>6667</v>
      </c>
    </row>
    <row r="5992" spans="1:2" x14ac:dyDescent="0.25">
      <c r="A5992" s="62">
        <v>31361106</v>
      </c>
      <c r="B5992" s="63" t="s">
        <v>6668</v>
      </c>
    </row>
    <row r="5993" spans="1:2" x14ac:dyDescent="0.25">
      <c r="A5993" s="62">
        <v>31361109</v>
      </c>
      <c r="B5993" s="63" t="s">
        <v>6669</v>
      </c>
    </row>
    <row r="5994" spans="1:2" x14ac:dyDescent="0.25">
      <c r="A5994" s="62">
        <v>31361110</v>
      </c>
      <c r="B5994" s="63" t="s">
        <v>6670</v>
      </c>
    </row>
    <row r="5995" spans="1:2" x14ac:dyDescent="0.25">
      <c r="A5995" s="62">
        <v>31361111</v>
      </c>
      <c r="B5995" s="63" t="s">
        <v>6671</v>
      </c>
    </row>
    <row r="5996" spans="1:2" x14ac:dyDescent="0.25">
      <c r="A5996" s="62">
        <v>31361112</v>
      </c>
      <c r="B5996" s="63" t="s">
        <v>6672</v>
      </c>
    </row>
    <row r="5997" spans="1:2" x14ac:dyDescent="0.25">
      <c r="A5997" s="62">
        <v>31361113</v>
      </c>
      <c r="B5997" s="63" t="s">
        <v>6673</v>
      </c>
    </row>
    <row r="5998" spans="1:2" x14ac:dyDescent="0.25">
      <c r="A5998" s="62">
        <v>31361201</v>
      </c>
      <c r="B5998" s="63" t="s">
        <v>6674</v>
      </c>
    </row>
    <row r="5999" spans="1:2" x14ac:dyDescent="0.25">
      <c r="A5999" s="62">
        <v>31361202</v>
      </c>
      <c r="B5999" s="63" t="s">
        <v>6675</v>
      </c>
    </row>
    <row r="6000" spans="1:2" x14ac:dyDescent="0.25">
      <c r="A6000" s="62">
        <v>31361203</v>
      </c>
      <c r="B6000" s="63" t="s">
        <v>6676</v>
      </c>
    </row>
    <row r="6001" spans="1:2" x14ac:dyDescent="0.25">
      <c r="A6001" s="62">
        <v>31361204</v>
      </c>
      <c r="B6001" s="63" t="s">
        <v>6677</v>
      </c>
    </row>
    <row r="6002" spans="1:2" x14ac:dyDescent="0.25">
      <c r="A6002" s="62">
        <v>31361205</v>
      </c>
      <c r="B6002" s="63" t="s">
        <v>6678</v>
      </c>
    </row>
    <row r="6003" spans="1:2" x14ac:dyDescent="0.25">
      <c r="A6003" s="62">
        <v>31361206</v>
      </c>
      <c r="B6003" s="63" t="s">
        <v>6679</v>
      </c>
    </row>
    <row r="6004" spans="1:2" x14ac:dyDescent="0.25">
      <c r="A6004" s="62">
        <v>31361209</v>
      </c>
      <c r="B6004" s="63" t="s">
        <v>6680</v>
      </c>
    </row>
    <row r="6005" spans="1:2" x14ac:dyDescent="0.25">
      <c r="A6005" s="62">
        <v>31361210</v>
      </c>
      <c r="B6005" s="63" t="s">
        <v>6681</v>
      </c>
    </row>
    <row r="6006" spans="1:2" x14ac:dyDescent="0.25">
      <c r="A6006" s="62">
        <v>31361211</v>
      </c>
      <c r="B6006" s="63" t="s">
        <v>6682</v>
      </c>
    </row>
    <row r="6007" spans="1:2" x14ac:dyDescent="0.25">
      <c r="A6007" s="62">
        <v>31361212</v>
      </c>
      <c r="B6007" s="63" t="s">
        <v>6683</v>
      </c>
    </row>
    <row r="6008" spans="1:2" x14ac:dyDescent="0.25">
      <c r="A6008" s="62">
        <v>31361213</v>
      </c>
      <c r="B6008" s="63" t="s">
        <v>6684</v>
      </c>
    </row>
    <row r="6009" spans="1:2" x14ac:dyDescent="0.25">
      <c r="A6009" s="62">
        <v>31361301</v>
      </c>
      <c r="B6009" s="63" t="s">
        <v>6685</v>
      </c>
    </row>
    <row r="6010" spans="1:2" x14ac:dyDescent="0.25">
      <c r="A6010" s="62">
        <v>31361302</v>
      </c>
      <c r="B6010" s="63" t="s">
        <v>6686</v>
      </c>
    </row>
    <row r="6011" spans="1:2" x14ac:dyDescent="0.25">
      <c r="A6011" s="62">
        <v>31361303</v>
      </c>
      <c r="B6011" s="63" t="s">
        <v>6687</v>
      </c>
    </row>
    <row r="6012" spans="1:2" x14ac:dyDescent="0.25">
      <c r="A6012" s="62">
        <v>31361304</v>
      </c>
      <c r="B6012" s="63" t="s">
        <v>6688</v>
      </c>
    </row>
    <row r="6013" spans="1:2" x14ac:dyDescent="0.25">
      <c r="A6013" s="62">
        <v>31361305</v>
      </c>
      <c r="B6013" s="63" t="s">
        <v>6689</v>
      </c>
    </row>
    <row r="6014" spans="1:2" x14ac:dyDescent="0.25">
      <c r="A6014" s="62">
        <v>31361306</v>
      </c>
      <c r="B6014" s="63" t="s">
        <v>6690</v>
      </c>
    </row>
    <row r="6015" spans="1:2" x14ac:dyDescent="0.25">
      <c r="A6015" s="62">
        <v>31361309</v>
      </c>
      <c r="B6015" s="63" t="s">
        <v>6691</v>
      </c>
    </row>
    <row r="6016" spans="1:2" x14ac:dyDescent="0.25">
      <c r="A6016" s="62">
        <v>31361310</v>
      </c>
      <c r="B6016" s="63" t="s">
        <v>6692</v>
      </c>
    </row>
    <row r="6017" spans="1:2" x14ac:dyDescent="0.25">
      <c r="A6017" s="62">
        <v>31361311</v>
      </c>
      <c r="B6017" s="63" t="s">
        <v>6693</v>
      </c>
    </row>
    <row r="6018" spans="1:2" x14ac:dyDescent="0.25">
      <c r="A6018" s="62">
        <v>31361312</v>
      </c>
      <c r="B6018" s="63" t="s">
        <v>6694</v>
      </c>
    </row>
    <row r="6019" spans="1:2" x14ac:dyDescent="0.25">
      <c r="A6019" s="62">
        <v>31361313</v>
      </c>
      <c r="B6019" s="63" t="s">
        <v>6695</v>
      </c>
    </row>
    <row r="6020" spans="1:2" x14ac:dyDescent="0.25">
      <c r="A6020" s="62">
        <v>31361401</v>
      </c>
      <c r="B6020" s="63" t="s">
        <v>6696</v>
      </c>
    </row>
    <row r="6021" spans="1:2" x14ac:dyDescent="0.25">
      <c r="A6021" s="62">
        <v>31361402</v>
      </c>
      <c r="B6021" s="63" t="s">
        <v>6697</v>
      </c>
    </row>
    <row r="6022" spans="1:2" x14ac:dyDescent="0.25">
      <c r="A6022" s="62">
        <v>31361403</v>
      </c>
      <c r="B6022" s="63" t="s">
        <v>6698</v>
      </c>
    </row>
    <row r="6023" spans="1:2" x14ac:dyDescent="0.25">
      <c r="A6023" s="62">
        <v>31361404</v>
      </c>
      <c r="B6023" s="63" t="s">
        <v>6699</v>
      </c>
    </row>
    <row r="6024" spans="1:2" x14ac:dyDescent="0.25">
      <c r="A6024" s="62">
        <v>31361405</v>
      </c>
      <c r="B6024" s="63" t="s">
        <v>6700</v>
      </c>
    </row>
    <row r="6025" spans="1:2" x14ac:dyDescent="0.25">
      <c r="A6025" s="62">
        <v>31361406</v>
      </c>
      <c r="B6025" s="63" t="s">
        <v>6701</v>
      </c>
    </row>
    <row r="6026" spans="1:2" x14ac:dyDescent="0.25">
      <c r="A6026" s="62">
        <v>31361409</v>
      </c>
      <c r="B6026" s="63" t="s">
        <v>6702</v>
      </c>
    </row>
    <row r="6027" spans="1:2" x14ac:dyDescent="0.25">
      <c r="A6027" s="62">
        <v>31361410</v>
      </c>
      <c r="B6027" s="63" t="s">
        <v>6703</v>
      </c>
    </row>
    <row r="6028" spans="1:2" x14ac:dyDescent="0.25">
      <c r="A6028" s="62">
        <v>31361411</v>
      </c>
      <c r="B6028" s="63" t="s">
        <v>6704</v>
      </c>
    </row>
    <row r="6029" spans="1:2" x14ac:dyDescent="0.25">
      <c r="A6029" s="62">
        <v>31361412</v>
      </c>
      <c r="B6029" s="63" t="s">
        <v>6705</v>
      </c>
    </row>
    <row r="6030" spans="1:2" x14ac:dyDescent="0.25">
      <c r="A6030" s="62">
        <v>31361413</v>
      </c>
      <c r="B6030" s="63" t="s">
        <v>6706</v>
      </c>
    </row>
    <row r="6031" spans="1:2" x14ac:dyDescent="0.25">
      <c r="A6031" s="62">
        <v>31361501</v>
      </c>
      <c r="B6031" s="63" t="s">
        <v>6707</v>
      </c>
    </row>
    <row r="6032" spans="1:2" x14ac:dyDescent="0.25">
      <c r="A6032" s="62">
        <v>31361502</v>
      </c>
      <c r="B6032" s="63" t="s">
        <v>6708</v>
      </c>
    </row>
    <row r="6033" spans="1:2" x14ac:dyDescent="0.25">
      <c r="A6033" s="62">
        <v>31361503</v>
      </c>
      <c r="B6033" s="63" t="s">
        <v>6709</v>
      </c>
    </row>
    <row r="6034" spans="1:2" x14ac:dyDescent="0.25">
      <c r="A6034" s="62">
        <v>31361504</v>
      </c>
      <c r="B6034" s="63" t="s">
        <v>6710</v>
      </c>
    </row>
    <row r="6035" spans="1:2" x14ac:dyDescent="0.25">
      <c r="A6035" s="62">
        <v>31361505</v>
      </c>
      <c r="B6035" s="63" t="s">
        <v>6711</v>
      </c>
    </row>
    <row r="6036" spans="1:2" x14ac:dyDescent="0.25">
      <c r="A6036" s="62">
        <v>31361506</v>
      </c>
      <c r="B6036" s="63" t="s">
        <v>6712</v>
      </c>
    </row>
    <row r="6037" spans="1:2" x14ac:dyDescent="0.25">
      <c r="A6037" s="62">
        <v>31361509</v>
      </c>
      <c r="B6037" s="63" t="s">
        <v>6713</v>
      </c>
    </row>
    <row r="6038" spans="1:2" x14ac:dyDescent="0.25">
      <c r="A6038" s="62">
        <v>31361510</v>
      </c>
      <c r="B6038" s="63" t="s">
        <v>6714</v>
      </c>
    </row>
    <row r="6039" spans="1:2" x14ac:dyDescent="0.25">
      <c r="A6039" s="62">
        <v>31361511</v>
      </c>
      <c r="B6039" s="63" t="s">
        <v>6715</v>
      </c>
    </row>
    <row r="6040" spans="1:2" x14ac:dyDescent="0.25">
      <c r="A6040" s="62">
        <v>31361512</v>
      </c>
      <c r="B6040" s="63" t="s">
        <v>6716</v>
      </c>
    </row>
    <row r="6041" spans="1:2" x14ac:dyDescent="0.25">
      <c r="A6041" s="62">
        <v>31361513</v>
      </c>
      <c r="B6041" s="63" t="s">
        <v>6717</v>
      </c>
    </row>
    <row r="6042" spans="1:2" x14ac:dyDescent="0.25">
      <c r="A6042" s="62">
        <v>31361601</v>
      </c>
      <c r="B6042" s="63" t="s">
        <v>6718</v>
      </c>
    </row>
    <row r="6043" spans="1:2" x14ac:dyDescent="0.25">
      <c r="A6043" s="62">
        <v>31361602</v>
      </c>
      <c r="B6043" s="63" t="s">
        <v>6719</v>
      </c>
    </row>
    <row r="6044" spans="1:2" x14ac:dyDescent="0.25">
      <c r="A6044" s="62">
        <v>31361603</v>
      </c>
      <c r="B6044" s="63" t="s">
        <v>6720</v>
      </c>
    </row>
    <row r="6045" spans="1:2" x14ac:dyDescent="0.25">
      <c r="A6045" s="62">
        <v>31361604</v>
      </c>
      <c r="B6045" s="63" t="s">
        <v>6721</v>
      </c>
    </row>
    <row r="6046" spans="1:2" x14ac:dyDescent="0.25">
      <c r="A6046" s="62">
        <v>31361605</v>
      </c>
      <c r="B6046" s="63" t="s">
        <v>6722</v>
      </c>
    </row>
    <row r="6047" spans="1:2" x14ac:dyDescent="0.25">
      <c r="A6047" s="62">
        <v>31361606</v>
      </c>
      <c r="B6047" s="63" t="s">
        <v>6723</v>
      </c>
    </row>
    <row r="6048" spans="1:2" x14ac:dyDescent="0.25">
      <c r="A6048" s="62">
        <v>31361609</v>
      </c>
      <c r="B6048" s="63" t="s">
        <v>6724</v>
      </c>
    </row>
    <row r="6049" spans="1:2" x14ac:dyDescent="0.25">
      <c r="A6049" s="62">
        <v>31361610</v>
      </c>
      <c r="B6049" s="63" t="s">
        <v>6725</v>
      </c>
    </row>
    <row r="6050" spans="1:2" x14ac:dyDescent="0.25">
      <c r="A6050" s="62">
        <v>31361611</v>
      </c>
      <c r="B6050" s="63" t="s">
        <v>6726</v>
      </c>
    </row>
    <row r="6051" spans="1:2" x14ac:dyDescent="0.25">
      <c r="A6051" s="62">
        <v>31361612</v>
      </c>
      <c r="B6051" s="63" t="s">
        <v>6727</v>
      </c>
    </row>
    <row r="6052" spans="1:2" x14ac:dyDescent="0.25">
      <c r="A6052" s="62">
        <v>31361613</v>
      </c>
      <c r="B6052" s="63" t="s">
        <v>6728</v>
      </c>
    </row>
    <row r="6053" spans="1:2" x14ac:dyDescent="0.25">
      <c r="A6053" s="62">
        <v>31361701</v>
      </c>
      <c r="B6053" s="63" t="s">
        <v>6729</v>
      </c>
    </row>
    <row r="6054" spans="1:2" x14ac:dyDescent="0.25">
      <c r="A6054" s="62">
        <v>31361702</v>
      </c>
      <c r="B6054" s="63" t="s">
        <v>6730</v>
      </c>
    </row>
    <row r="6055" spans="1:2" x14ac:dyDescent="0.25">
      <c r="A6055" s="62">
        <v>31361703</v>
      </c>
      <c r="B6055" s="63" t="s">
        <v>6731</v>
      </c>
    </row>
    <row r="6056" spans="1:2" x14ac:dyDescent="0.25">
      <c r="A6056" s="62">
        <v>31361704</v>
      </c>
      <c r="B6056" s="63" t="s">
        <v>6732</v>
      </c>
    </row>
    <row r="6057" spans="1:2" x14ac:dyDescent="0.25">
      <c r="A6057" s="62">
        <v>31361705</v>
      </c>
      <c r="B6057" s="63" t="s">
        <v>6733</v>
      </c>
    </row>
    <row r="6058" spans="1:2" x14ac:dyDescent="0.25">
      <c r="A6058" s="62">
        <v>31361706</v>
      </c>
      <c r="B6058" s="63" t="s">
        <v>6734</v>
      </c>
    </row>
    <row r="6059" spans="1:2" x14ac:dyDescent="0.25">
      <c r="A6059" s="62">
        <v>31361709</v>
      </c>
      <c r="B6059" s="63" t="s">
        <v>6735</v>
      </c>
    </row>
    <row r="6060" spans="1:2" x14ac:dyDescent="0.25">
      <c r="A6060" s="62">
        <v>31361710</v>
      </c>
      <c r="B6060" s="63" t="s">
        <v>6736</v>
      </c>
    </row>
    <row r="6061" spans="1:2" x14ac:dyDescent="0.25">
      <c r="A6061" s="62">
        <v>31361711</v>
      </c>
      <c r="B6061" s="63" t="s">
        <v>6737</v>
      </c>
    </row>
    <row r="6062" spans="1:2" x14ac:dyDescent="0.25">
      <c r="A6062" s="62">
        <v>31361712</v>
      </c>
      <c r="B6062" s="63" t="s">
        <v>6738</v>
      </c>
    </row>
    <row r="6063" spans="1:2" x14ac:dyDescent="0.25">
      <c r="A6063" s="62">
        <v>31361713</v>
      </c>
      <c r="B6063" s="63" t="s">
        <v>6739</v>
      </c>
    </row>
    <row r="6064" spans="1:2" x14ac:dyDescent="0.25">
      <c r="A6064" s="62">
        <v>31371001</v>
      </c>
      <c r="B6064" s="63" t="s">
        <v>6740</v>
      </c>
    </row>
    <row r="6065" spans="1:2" x14ac:dyDescent="0.25">
      <c r="A6065" s="62">
        <v>31371002</v>
      </c>
      <c r="B6065" s="63" t="s">
        <v>6741</v>
      </c>
    </row>
    <row r="6066" spans="1:2" x14ac:dyDescent="0.25">
      <c r="A6066" s="62">
        <v>31371003</v>
      </c>
      <c r="B6066" s="63" t="s">
        <v>6742</v>
      </c>
    </row>
    <row r="6067" spans="1:2" x14ac:dyDescent="0.25">
      <c r="A6067" s="62">
        <v>31371101</v>
      </c>
      <c r="B6067" s="63" t="s">
        <v>6743</v>
      </c>
    </row>
    <row r="6068" spans="1:2" x14ac:dyDescent="0.25">
      <c r="A6068" s="62">
        <v>31371102</v>
      </c>
      <c r="B6068" s="63" t="s">
        <v>6744</v>
      </c>
    </row>
    <row r="6069" spans="1:2" x14ac:dyDescent="0.25">
      <c r="A6069" s="62">
        <v>31371103</v>
      </c>
      <c r="B6069" s="63" t="s">
        <v>6745</v>
      </c>
    </row>
    <row r="6070" spans="1:2" x14ac:dyDescent="0.25">
      <c r="A6070" s="62">
        <v>31371104</v>
      </c>
      <c r="B6070" s="63" t="s">
        <v>6746</v>
      </c>
    </row>
    <row r="6071" spans="1:2" x14ac:dyDescent="0.25">
      <c r="A6071" s="62">
        <v>31371105</v>
      </c>
      <c r="B6071" s="63" t="s">
        <v>6747</v>
      </c>
    </row>
    <row r="6072" spans="1:2" x14ac:dyDescent="0.25">
      <c r="A6072" s="62">
        <v>31371106</v>
      </c>
      <c r="B6072" s="63" t="s">
        <v>6748</v>
      </c>
    </row>
    <row r="6073" spans="1:2" x14ac:dyDescent="0.25">
      <c r="A6073" s="62">
        <v>31371107</v>
      </c>
      <c r="B6073" s="63" t="s">
        <v>6749</v>
      </c>
    </row>
    <row r="6074" spans="1:2" x14ac:dyDescent="0.25">
      <c r="A6074" s="62">
        <v>31371201</v>
      </c>
      <c r="B6074" s="63" t="s">
        <v>6750</v>
      </c>
    </row>
    <row r="6075" spans="1:2" x14ac:dyDescent="0.25">
      <c r="A6075" s="62">
        <v>31371202</v>
      </c>
      <c r="B6075" s="63" t="s">
        <v>6751</v>
      </c>
    </row>
    <row r="6076" spans="1:2" x14ac:dyDescent="0.25">
      <c r="A6076" s="62">
        <v>31371203</v>
      </c>
      <c r="B6076" s="63" t="s">
        <v>6752</v>
      </c>
    </row>
    <row r="6077" spans="1:2" x14ac:dyDescent="0.25">
      <c r="A6077" s="62">
        <v>31371204</v>
      </c>
      <c r="B6077" s="63" t="s">
        <v>6753</v>
      </c>
    </row>
    <row r="6078" spans="1:2" x14ac:dyDescent="0.25">
      <c r="A6078" s="62">
        <v>31371205</v>
      </c>
      <c r="B6078" s="63" t="s">
        <v>6754</v>
      </c>
    </row>
    <row r="6079" spans="1:2" x14ac:dyDescent="0.25">
      <c r="A6079" s="62">
        <v>31371206</v>
      </c>
      <c r="B6079" s="63" t="s">
        <v>6755</v>
      </c>
    </row>
    <row r="6080" spans="1:2" x14ac:dyDescent="0.25">
      <c r="A6080" s="62">
        <v>31371207</v>
      </c>
      <c r="B6080" s="63" t="s">
        <v>6756</v>
      </c>
    </row>
    <row r="6081" spans="1:2" x14ac:dyDescent="0.25">
      <c r="A6081" s="62">
        <v>31371208</v>
      </c>
      <c r="B6081" s="63" t="s">
        <v>6757</v>
      </c>
    </row>
    <row r="6082" spans="1:2" x14ac:dyDescent="0.25">
      <c r="A6082" s="62">
        <v>31371209</v>
      </c>
      <c r="B6082" s="63" t="s">
        <v>6758</v>
      </c>
    </row>
    <row r="6083" spans="1:2" x14ac:dyDescent="0.25">
      <c r="A6083" s="62">
        <v>31371301</v>
      </c>
      <c r="B6083" s="63" t="s">
        <v>6759</v>
      </c>
    </row>
    <row r="6084" spans="1:2" x14ac:dyDescent="0.25">
      <c r="A6084" s="62">
        <v>31371302</v>
      </c>
      <c r="B6084" s="63" t="s">
        <v>6760</v>
      </c>
    </row>
    <row r="6085" spans="1:2" x14ac:dyDescent="0.25">
      <c r="A6085" s="62">
        <v>31371401</v>
      </c>
      <c r="B6085" s="63" t="s">
        <v>6761</v>
      </c>
    </row>
    <row r="6086" spans="1:2" x14ac:dyDescent="0.25">
      <c r="A6086" s="62">
        <v>31381001</v>
      </c>
      <c r="B6086" s="63" t="s">
        <v>6762</v>
      </c>
    </row>
    <row r="6087" spans="1:2" x14ac:dyDescent="0.25">
      <c r="A6087" s="62">
        <v>31381002</v>
      </c>
      <c r="B6087" s="63" t="s">
        <v>6763</v>
      </c>
    </row>
    <row r="6088" spans="1:2" x14ac:dyDescent="0.25">
      <c r="A6088" s="62">
        <v>31381003</v>
      </c>
      <c r="B6088" s="63" t="s">
        <v>6764</v>
      </c>
    </row>
    <row r="6089" spans="1:2" x14ac:dyDescent="0.25">
      <c r="A6089" s="62">
        <v>31381004</v>
      </c>
      <c r="B6089" s="63" t="s">
        <v>6765</v>
      </c>
    </row>
    <row r="6090" spans="1:2" x14ac:dyDescent="0.25">
      <c r="A6090" s="62">
        <v>31381005</v>
      </c>
      <c r="B6090" s="63" t="s">
        <v>6766</v>
      </c>
    </row>
    <row r="6091" spans="1:2" x14ac:dyDescent="0.25">
      <c r="A6091" s="62">
        <v>32101502</v>
      </c>
      <c r="B6091" s="63" t="s">
        <v>6767</v>
      </c>
    </row>
    <row r="6092" spans="1:2" x14ac:dyDescent="0.25">
      <c r="A6092" s="62">
        <v>32101503</v>
      </c>
      <c r="B6092" s="63" t="s">
        <v>6768</v>
      </c>
    </row>
    <row r="6093" spans="1:2" x14ac:dyDescent="0.25">
      <c r="A6093" s="62">
        <v>32101504</v>
      </c>
      <c r="B6093" s="63" t="s">
        <v>6769</v>
      </c>
    </row>
    <row r="6094" spans="1:2" x14ac:dyDescent="0.25">
      <c r="A6094" s="62">
        <v>32101505</v>
      </c>
      <c r="B6094" s="63" t="s">
        <v>6770</v>
      </c>
    </row>
    <row r="6095" spans="1:2" x14ac:dyDescent="0.25">
      <c r="A6095" s="62">
        <v>32101506</v>
      </c>
      <c r="B6095" s="63" t="s">
        <v>6771</v>
      </c>
    </row>
    <row r="6096" spans="1:2" x14ac:dyDescent="0.25">
      <c r="A6096" s="62">
        <v>32101507</v>
      </c>
      <c r="B6096" s="63" t="s">
        <v>6772</v>
      </c>
    </row>
    <row r="6097" spans="1:2" x14ac:dyDescent="0.25">
      <c r="A6097" s="62">
        <v>32101508</v>
      </c>
      <c r="B6097" s="63" t="s">
        <v>6773</v>
      </c>
    </row>
    <row r="6098" spans="1:2" x14ac:dyDescent="0.25">
      <c r="A6098" s="62">
        <v>32101509</v>
      </c>
      <c r="B6098" s="63" t="s">
        <v>6774</v>
      </c>
    </row>
    <row r="6099" spans="1:2" x14ac:dyDescent="0.25">
      <c r="A6099" s="62">
        <v>32101510</v>
      </c>
      <c r="B6099" s="63" t="s">
        <v>6775</v>
      </c>
    </row>
    <row r="6100" spans="1:2" x14ac:dyDescent="0.25">
      <c r="A6100" s="62">
        <v>32101512</v>
      </c>
      <c r="B6100" s="63" t="s">
        <v>6776</v>
      </c>
    </row>
    <row r="6101" spans="1:2" x14ac:dyDescent="0.25">
      <c r="A6101" s="62">
        <v>32101513</v>
      </c>
      <c r="B6101" s="63" t="s">
        <v>6777</v>
      </c>
    </row>
    <row r="6102" spans="1:2" x14ac:dyDescent="0.25">
      <c r="A6102" s="62">
        <v>32101514</v>
      </c>
      <c r="B6102" s="63" t="s">
        <v>6778</v>
      </c>
    </row>
    <row r="6103" spans="1:2" x14ac:dyDescent="0.25">
      <c r="A6103" s="62">
        <v>32101515</v>
      </c>
      <c r="B6103" s="63" t="s">
        <v>6779</v>
      </c>
    </row>
    <row r="6104" spans="1:2" x14ac:dyDescent="0.25">
      <c r="A6104" s="62">
        <v>32101516</v>
      </c>
      <c r="B6104" s="63" t="s">
        <v>6780</v>
      </c>
    </row>
    <row r="6105" spans="1:2" x14ac:dyDescent="0.25">
      <c r="A6105" s="62">
        <v>32101517</v>
      </c>
      <c r="B6105" s="63" t="s">
        <v>6781</v>
      </c>
    </row>
    <row r="6106" spans="1:2" x14ac:dyDescent="0.25">
      <c r="A6106" s="62">
        <v>32101518</v>
      </c>
      <c r="B6106" s="63" t="s">
        <v>6782</v>
      </c>
    </row>
    <row r="6107" spans="1:2" x14ac:dyDescent="0.25">
      <c r="A6107" s="62">
        <v>32101519</v>
      </c>
      <c r="B6107" s="63" t="s">
        <v>6783</v>
      </c>
    </row>
    <row r="6108" spans="1:2" x14ac:dyDescent="0.25">
      <c r="A6108" s="62">
        <v>32101520</v>
      </c>
      <c r="B6108" s="63" t="s">
        <v>6784</v>
      </c>
    </row>
    <row r="6109" spans="1:2" x14ac:dyDescent="0.25">
      <c r="A6109" s="62">
        <v>32101521</v>
      </c>
      <c r="B6109" s="63" t="s">
        <v>6785</v>
      </c>
    </row>
    <row r="6110" spans="1:2" x14ac:dyDescent="0.25">
      <c r="A6110" s="62">
        <v>32101522</v>
      </c>
      <c r="B6110" s="63" t="s">
        <v>6786</v>
      </c>
    </row>
    <row r="6111" spans="1:2" x14ac:dyDescent="0.25">
      <c r="A6111" s="62">
        <v>32101523</v>
      </c>
      <c r="B6111" s="63" t="s">
        <v>6787</v>
      </c>
    </row>
    <row r="6112" spans="1:2" x14ac:dyDescent="0.25">
      <c r="A6112" s="62">
        <v>32101524</v>
      </c>
      <c r="B6112" s="63" t="s">
        <v>6788</v>
      </c>
    </row>
    <row r="6113" spans="1:2" x14ac:dyDescent="0.25">
      <c r="A6113" s="62">
        <v>32101525</v>
      </c>
      <c r="B6113" s="63" t="s">
        <v>6789</v>
      </c>
    </row>
    <row r="6114" spans="1:2" x14ac:dyDescent="0.25">
      <c r="A6114" s="62">
        <v>32101526</v>
      </c>
      <c r="B6114" s="63" t="s">
        <v>6790</v>
      </c>
    </row>
    <row r="6115" spans="1:2" x14ac:dyDescent="0.25">
      <c r="A6115" s="62">
        <v>32101527</v>
      </c>
      <c r="B6115" s="63" t="s">
        <v>6791</v>
      </c>
    </row>
    <row r="6116" spans="1:2" x14ac:dyDescent="0.25">
      <c r="A6116" s="62">
        <v>32101528</v>
      </c>
      <c r="B6116" s="63" t="s">
        <v>6792</v>
      </c>
    </row>
    <row r="6117" spans="1:2" x14ac:dyDescent="0.25">
      <c r="A6117" s="62">
        <v>32101601</v>
      </c>
      <c r="B6117" s="63" t="s">
        <v>6793</v>
      </c>
    </row>
    <row r="6118" spans="1:2" x14ac:dyDescent="0.25">
      <c r="A6118" s="62">
        <v>32101602</v>
      </c>
      <c r="B6118" s="63" t="s">
        <v>6794</v>
      </c>
    </row>
    <row r="6119" spans="1:2" x14ac:dyDescent="0.25">
      <c r="A6119" s="62">
        <v>32101603</v>
      </c>
      <c r="B6119" s="63" t="s">
        <v>6795</v>
      </c>
    </row>
    <row r="6120" spans="1:2" x14ac:dyDescent="0.25">
      <c r="A6120" s="62">
        <v>32101604</v>
      </c>
      <c r="B6120" s="63" t="s">
        <v>6796</v>
      </c>
    </row>
    <row r="6121" spans="1:2" x14ac:dyDescent="0.25">
      <c r="A6121" s="62">
        <v>32101605</v>
      </c>
      <c r="B6121" s="63" t="s">
        <v>6797</v>
      </c>
    </row>
    <row r="6122" spans="1:2" x14ac:dyDescent="0.25">
      <c r="A6122" s="62">
        <v>32101606</v>
      </c>
      <c r="B6122" s="63" t="s">
        <v>6798</v>
      </c>
    </row>
    <row r="6123" spans="1:2" x14ac:dyDescent="0.25">
      <c r="A6123" s="62">
        <v>32101607</v>
      </c>
      <c r="B6123" s="63" t="s">
        <v>6799</v>
      </c>
    </row>
    <row r="6124" spans="1:2" x14ac:dyDescent="0.25">
      <c r="A6124" s="62">
        <v>32101608</v>
      </c>
      <c r="B6124" s="63" t="s">
        <v>6800</v>
      </c>
    </row>
    <row r="6125" spans="1:2" x14ac:dyDescent="0.25">
      <c r="A6125" s="62">
        <v>32101609</v>
      </c>
      <c r="B6125" s="63" t="s">
        <v>6801</v>
      </c>
    </row>
    <row r="6126" spans="1:2" x14ac:dyDescent="0.25">
      <c r="A6126" s="62">
        <v>32101611</v>
      </c>
      <c r="B6126" s="63" t="s">
        <v>6802</v>
      </c>
    </row>
    <row r="6127" spans="1:2" x14ac:dyDescent="0.25">
      <c r="A6127" s="62">
        <v>32101612</v>
      </c>
      <c r="B6127" s="63" t="s">
        <v>6803</v>
      </c>
    </row>
    <row r="6128" spans="1:2" x14ac:dyDescent="0.25">
      <c r="A6128" s="62">
        <v>32101613</v>
      </c>
      <c r="B6128" s="63" t="s">
        <v>6804</v>
      </c>
    </row>
    <row r="6129" spans="1:2" x14ac:dyDescent="0.25">
      <c r="A6129" s="62">
        <v>32101614</v>
      </c>
      <c r="B6129" s="63" t="s">
        <v>6805</v>
      </c>
    </row>
    <row r="6130" spans="1:2" x14ac:dyDescent="0.25">
      <c r="A6130" s="62">
        <v>32101615</v>
      </c>
      <c r="B6130" s="63" t="s">
        <v>6806</v>
      </c>
    </row>
    <row r="6131" spans="1:2" x14ac:dyDescent="0.25">
      <c r="A6131" s="62">
        <v>32101616</v>
      </c>
      <c r="B6131" s="63" t="s">
        <v>6807</v>
      </c>
    </row>
    <row r="6132" spans="1:2" x14ac:dyDescent="0.25">
      <c r="A6132" s="62">
        <v>32101617</v>
      </c>
      <c r="B6132" s="63" t="s">
        <v>6808</v>
      </c>
    </row>
    <row r="6133" spans="1:2" x14ac:dyDescent="0.25">
      <c r="A6133" s="62">
        <v>32101618</v>
      </c>
      <c r="B6133" s="63" t="s">
        <v>6809</v>
      </c>
    </row>
    <row r="6134" spans="1:2" x14ac:dyDescent="0.25">
      <c r="A6134" s="62">
        <v>32101619</v>
      </c>
      <c r="B6134" s="63" t="s">
        <v>6810</v>
      </c>
    </row>
    <row r="6135" spans="1:2" x14ac:dyDescent="0.25">
      <c r="A6135" s="62">
        <v>32101620</v>
      </c>
      <c r="B6135" s="63" t="s">
        <v>6811</v>
      </c>
    </row>
    <row r="6136" spans="1:2" x14ac:dyDescent="0.25">
      <c r="A6136" s="62">
        <v>32101621</v>
      </c>
      <c r="B6136" s="63" t="s">
        <v>6812</v>
      </c>
    </row>
    <row r="6137" spans="1:2" x14ac:dyDescent="0.25">
      <c r="A6137" s="62">
        <v>32101622</v>
      </c>
      <c r="B6137" s="63" t="s">
        <v>6813</v>
      </c>
    </row>
    <row r="6138" spans="1:2" x14ac:dyDescent="0.25">
      <c r="A6138" s="62">
        <v>32101623</v>
      </c>
      <c r="B6138" s="63" t="s">
        <v>6814</v>
      </c>
    </row>
    <row r="6139" spans="1:2" x14ac:dyDescent="0.25">
      <c r="A6139" s="62">
        <v>32101624</v>
      </c>
      <c r="B6139" s="63" t="s">
        <v>6815</v>
      </c>
    </row>
    <row r="6140" spans="1:2" x14ac:dyDescent="0.25">
      <c r="A6140" s="62">
        <v>32101625</v>
      </c>
      <c r="B6140" s="63" t="s">
        <v>6816</v>
      </c>
    </row>
    <row r="6141" spans="1:2" x14ac:dyDescent="0.25">
      <c r="A6141" s="62">
        <v>32101626</v>
      </c>
      <c r="B6141" s="63" t="s">
        <v>6817</v>
      </c>
    </row>
    <row r="6142" spans="1:2" x14ac:dyDescent="0.25">
      <c r="A6142" s="62">
        <v>32101627</v>
      </c>
      <c r="B6142" s="63" t="s">
        <v>6818</v>
      </c>
    </row>
    <row r="6143" spans="1:2" x14ac:dyDescent="0.25">
      <c r="A6143" s="62">
        <v>32101628</v>
      </c>
      <c r="B6143" s="63" t="s">
        <v>6819</v>
      </c>
    </row>
    <row r="6144" spans="1:2" x14ac:dyDescent="0.25">
      <c r="A6144" s="62">
        <v>32101629</v>
      </c>
      <c r="B6144" s="63" t="s">
        <v>6820</v>
      </c>
    </row>
    <row r="6145" spans="1:2" x14ac:dyDescent="0.25">
      <c r="A6145" s="62">
        <v>32101630</v>
      </c>
      <c r="B6145" s="63" t="s">
        <v>6821</v>
      </c>
    </row>
    <row r="6146" spans="1:2" x14ac:dyDescent="0.25">
      <c r="A6146" s="62">
        <v>32101631</v>
      </c>
      <c r="B6146" s="63" t="s">
        <v>6822</v>
      </c>
    </row>
    <row r="6147" spans="1:2" x14ac:dyDescent="0.25">
      <c r="A6147" s="62">
        <v>32101632</v>
      </c>
      <c r="B6147" s="63" t="s">
        <v>6823</v>
      </c>
    </row>
    <row r="6148" spans="1:2" x14ac:dyDescent="0.25">
      <c r="A6148" s="62">
        <v>32101633</v>
      </c>
      <c r="B6148" s="63" t="s">
        <v>6824</v>
      </c>
    </row>
    <row r="6149" spans="1:2" x14ac:dyDescent="0.25">
      <c r="A6149" s="62">
        <v>32101634</v>
      </c>
      <c r="B6149" s="63" t="s">
        <v>6825</v>
      </c>
    </row>
    <row r="6150" spans="1:2" x14ac:dyDescent="0.25">
      <c r="A6150" s="62">
        <v>32101635</v>
      </c>
      <c r="B6150" s="63" t="s">
        <v>6826</v>
      </c>
    </row>
    <row r="6151" spans="1:2" x14ac:dyDescent="0.25">
      <c r="A6151" s="62">
        <v>32101636</v>
      </c>
      <c r="B6151" s="63" t="s">
        <v>6827</v>
      </c>
    </row>
    <row r="6152" spans="1:2" x14ac:dyDescent="0.25">
      <c r="A6152" s="62">
        <v>32101637</v>
      </c>
      <c r="B6152" s="63" t="s">
        <v>6828</v>
      </c>
    </row>
    <row r="6153" spans="1:2" x14ac:dyDescent="0.25">
      <c r="A6153" s="62">
        <v>32111501</v>
      </c>
      <c r="B6153" s="63" t="s">
        <v>6829</v>
      </c>
    </row>
    <row r="6154" spans="1:2" x14ac:dyDescent="0.25">
      <c r="A6154" s="62">
        <v>32111502</v>
      </c>
      <c r="B6154" s="63" t="s">
        <v>6830</v>
      </c>
    </row>
    <row r="6155" spans="1:2" x14ac:dyDescent="0.25">
      <c r="A6155" s="62">
        <v>32111503</v>
      </c>
      <c r="B6155" s="63" t="s">
        <v>6831</v>
      </c>
    </row>
    <row r="6156" spans="1:2" x14ac:dyDescent="0.25">
      <c r="A6156" s="62">
        <v>32111504</v>
      </c>
      <c r="B6156" s="63" t="s">
        <v>6832</v>
      </c>
    </row>
    <row r="6157" spans="1:2" x14ac:dyDescent="0.25">
      <c r="A6157" s="62">
        <v>32111505</v>
      </c>
      <c r="B6157" s="63" t="s">
        <v>6833</v>
      </c>
    </row>
    <row r="6158" spans="1:2" x14ac:dyDescent="0.25">
      <c r="A6158" s="62">
        <v>32111506</v>
      </c>
      <c r="B6158" s="63" t="s">
        <v>6834</v>
      </c>
    </row>
    <row r="6159" spans="1:2" x14ac:dyDescent="0.25">
      <c r="A6159" s="62">
        <v>32111507</v>
      </c>
      <c r="B6159" s="63" t="s">
        <v>6835</v>
      </c>
    </row>
    <row r="6160" spans="1:2" x14ac:dyDescent="0.25">
      <c r="A6160" s="62">
        <v>32111508</v>
      </c>
      <c r="B6160" s="63" t="s">
        <v>6836</v>
      </c>
    </row>
    <row r="6161" spans="1:2" x14ac:dyDescent="0.25">
      <c r="A6161" s="62">
        <v>32111509</v>
      </c>
      <c r="B6161" s="63" t="s">
        <v>6837</v>
      </c>
    </row>
    <row r="6162" spans="1:2" x14ac:dyDescent="0.25">
      <c r="A6162" s="62">
        <v>32111510</v>
      </c>
      <c r="B6162" s="63" t="s">
        <v>6838</v>
      </c>
    </row>
    <row r="6163" spans="1:2" x14ac:dyDescent="0.25">
      <c r="A6163" s="62">
        <v>32111511</v>
      </c>
      <c r="B6163" s="63" t="s">
        <v>6839</v>
      </c>
    </row>
    <row r="6164" spans="1:2" x14ac:dyDescent="0.25">
      <c r="A6164" s="62">
        <v>32111512</v>
      </c>
      <c r="B6164" s="63" t="s">
        <v>6840</v>
      </c>
    </row>
    <row r="6165" spans="1:2" x14ac:dyDescent="0.25">
      <c r="A6165" s="62">
        <v>32111601</v>
      </c>
      <c r="B6165" s="63" t="s">
        <v>6841</v>
      </c>
    </row>
    <row r="6166" spans="1:2" x14ac:dyDescent="0.25">
      <c r="A6166" s="62">
        <v>32111602</v>
      </c>
      <c r="B6166" s="63" t="s">
        <v>6842</v>
      </c>
    </row>
    <row r="6167" spans="1:2" x14ac:dyDescent="0.25">
      <c r="A6167" s="62">
        <v>32111603</v>
      </c>
      <c r="B6167" s="63" t="s">
        <v>6843</v>
      </c>
    </row>
    <row r="6168" spans="1:2" x14ac:dyDescent="0.25">
      <c r="A6168" s="62">
        <v>32111604</v>
      </c>
      <c r="B6168" s="63" t="s">
        <v>6844</v>
      </c>
    </row>
    <row r="6169" spans="1:2" x14ac:dyDescent="0.25">
      <c r="A6169" s="62">
        <v>32111607</v>
      </c>
      <c r="B6169" s="63" t="s">
        <v>6845</v>
      </c>
    </row>
    <row r="6170" spans="1:2" x14ac:dyDescent="0.25">
      <c r="A6170" s="62">
        <v>32111608</v>
      </c>
      <c r="B6170" s="63" t="s">
        <v>6846</v>
      </c>
    </row>
    <row r="6171" spans="1:2" x14ac:dyDescent="0.25">
      <c r="A6171" s="62">
        <v>32111609</v>
      </c>
      <c r="B6171" s="63" t="s">
        <v>6847</v>
      </c>
    </row>
    <row r="6172" spans="1:2" x14ac:dyDescent="0.25">
      <c r="A6172" s="62">
        <v>32111610</v>
      </c>
      <c r="B6172" s="63" t="s">
        <v>6848</v>
      </c>
    </row>
    <row r="6173" spans="1:2" x14ac:dyDescent="0.25">
      <c r="A6173" s="62">
        <v>32111611</v>
      </c>
      <c r="B6173" s="63" t="s">
        <v>6849</v>
      </c>
    </row>
    <row r="6174" spans="1:2" x14ac:dyDescent="0.25">
      <c r="A6174" s="62">
        <v>32111701</v>
      </c>
      <c r="B6174" s="63" t="s">
        <v>6850</v>
      </c>
    </row>
    <row r="6175" spans="1:2" x14ac:dyDescent="0.25">
      <c r="A6175" s="62">
        <v>32111702</v>
      </c>
      <c r="B6175" s="63" t="s">
        <v>6851</v>
      </c>
    </row>
    <row r="6176" spans="1:2" x14ac:dyDescent="0.25">
      <c r="A6176" s="62">
        <v>32111703</v>
      </c>
      <c r="B6176" s="63" t="s">
        <v>6852</v>
      </c>
    </row>
    <row r="6177" spans="1:2" x14ac:dyDescent="0.25">
      <c r="A6177" s="62">
        <v>32111704</v>
      </c>
      <c r="B6177" s="63" t="s">
        <v>6853</v>
      </c>
    </row>
    <row r="6178" spans="1:2" x14ac:dyDescent="0.25">
      <c r="A6178" s="62">
        <v>32111705</v>
      </c>
      <c r="B6178" s="63" t="s">
        <v>6854</v>
      </c>
    </row>
    <row r="6179" spans="1:2" x14ac:dyDescent="0.25">
      <c r="A6179" s="62">
        <v>32111706</v>
      </c>
      <c r="B6179" s="63" t="s">
        <v>6855</v>
      </c>
    </row>
    <row r="6180" spans="1:2" x14ac:dyDescent="0.25">
      <c r="A6180" s="62">
        <v>32121501</v>
      </c>
      <c r="B6180" s="63" t="s">
        <v>6856</v>
      </c>
    </row>
    <row r="6181" spans="1:2" x14ac:dyDescent="0.25">
      <c r="A6181" s="62">
        <v>32121502</v>
      </c>
      <c r="B6181" s="63" t="s">
        <v>6857</v>
      </c>
    </row>
    <row r="6182" spans="1:2" x14ac:dyDescent="0.25">
      <c r="A6182" s="62">
        <v>32121503</v>
      </c>
      <c r="B6182" s="63" t="s">
        <v>6858</v>
      </c>
    </row>
    <row r="6183" spans="1:2" x14ac:dyDescent="0.25">
      <c r="A6183" s="62">
        <v>32121504</v>
      </c>
      <c r="B6183" s="63" t="s">
        <v>6859</v>
      </c>
    </row>
    <row r="6184" spans="1:2" x14ac:dyDescent="0.25">
      <c r="A6184" s="62">
        <v>32121602</v>
      </c>
      <c r="B6184" s="63" t="s">
        <v>6860</v>
      </c>
    </row>
    <row r="6185" spans="1:2" x14ac:dyDescent="0.25">
      <c r="A6185" s="62">
        <v>32121603</v>
      </c>
      <c r="B6185" s="63" t="s">
        <v>6861</v>
      </c>
    </row>
    <row r="6186" spans="1:2" x14ac:dyDescent="0.25">
      <c r="A6186" s="62">
        <v>32121607</v>
      </c>
      <c r="B6186" s="63" t="s">
        <v>6862</v>
      </c>
    </row>
    <row r="6187" spans="1:2" x14ac:dyDescent="0.25">
      <c r="A6187" s="62">
        <v>32121609</v>
      </c>
      <c r="B6187" s="63" t="s">
        <v>6863</v>
      </c>
    </row>
    <row r="6188" spans="1:2" x14ac:dyDescent="0.25">
      <c r="A6188" s="62">
        <v>32121701</v>
      </c>
      <c r="B6188" s="63" t="s">
        <v>6864</v>
      </c>
    </row>
    <row r="6189" spans="1:2" x14ac:dyDescent="0.25">
      <c r="A6189" s="62">
        <v>32121702</v>
      </c>
      <c r="B6189" s="63" t="s">
        <v>6865</v>
      </c>
    </row>
    <row r="6190" spans="1:2" x14ac:dyDescent="0.25">
      <c r="A6190" s="62">
        <v>32121703</v>
      </c>
      <c r="B6190" s="63" t="s">
        <v>6866</v>
      </c>
    </row>
    <row r="6191" spans="1:2" x14ac:dyDescent="0.25">
      <c r="A6191" s="62">
        <v>32121704</v>
      </c>
      <c r="B6191" s="63" t="s">
        <v>6867</v>
      </c>
    </row>
    <row r="6192" spans="1:2" x14ac:dyDescent="0.25">
      <c r="A6192" s="62">
        <v>32121705</v>
      </c>
      <c r="B6192" s="63" t="s">
        <v>6868</v>
      </c>
    </row>
    <row r="6193" spans="1:2" x14ac:dyDescent="0.25">
      <c r="A6193" s="62">
        <v>32121706</v>
      </c>
      <c r="B6193" s="63" t="s">
        <v>6869</v>
      </c>
    </row>
    <row r="6194" spans="1:2" x14ac:dyDescent="0.25">
      <c r="A6194" s="62">
        <v>32131001</v>
      </c>
      <c r="B6194" s="63" t="s">
        <v>6870</v>
      </c>
    </row>
    <row r="6195" spans="1:2" x14ac:dyDescent="0.25">
      <c r="A6195" s="62">
        <v>32131002</v>
      </c>
      <c r="B6195" s="63" t="s">
        <v>6871</v>
      </c>
    </row>
    <row r="6196" spans="1:2" x14ac:dyDescent="0.25">
      <c r="A6196" s="62">
        <v>32131003</v>
      </c>
      <c r="B6196" s="63" t="s">
        <v>6872</v>
      </c>
    </row>
    <row r="6197" spans="1:2" x14ac:dyDescent="0.25">
      <c r="A6197" s="62">
        <v>32131005</v>
      </c>
      <c r="B6197" s="63" t="s">
        <v>6873</v>
      </c>
    </row>
    <row r="6198" spans="1:2" x14ac:dyDescent="0.25">
      <c r="A6198" s="62">
        <v>32131006</v>
      </c>
      <c r="B6198" s="63" t="s">
        <v>6874</v>
      </c>
    </row>
    <row r="6199" spans="1:2" x14ac:dyDescent="0.25">
      <c r="A6199" s="62">
        <v>32131007</v>
      </c>
      <c r="B6199" s="63" t="s">
        <v>6875</v>
      </c>
    </row>
    <row r="6200" spans="1:2" x14ac:dyDescent="0.25">
      <c r="A6200" s="62">
        <v>32131008</v>
      </c>
      <c r="B6200" s="63" t="s">
        <v>6876</v>
      </c>
    </row>
    <row r="6201" spans="1:2" x14ac:dyDescent="0.25">
      <c r="A6201" s="62">
        <v>32131009</v>
      </c>
      <c r="B6201" s="63" t="s">
        <v>6877</v>
      </c>
    </row>
    <row r="6202" spans="1:2" x14ac:dyDescent="0.25">
      <c r="A6202" s="62">
        <v>32131010</v>
      </c>
      <c r="B6202" s="63" t="s">
        <v>6878</v>
      </c>
    </row>
    <row r="6203" spans="1:2" x14ac:dyDescent="0.25">
      <c r="A6203" s="62">
        <v>32131011</v>
      </c>
      <c r="B6203" s="63" t="s">
        <v>6879</v>
      </c>
    </row>
    <row r="6204" spans="1:2" x14ac:dyDescent="0.25">
      <c r="A6204" s="62">
        <v>32131012</v>
      </c>
      <c r="B6204" s="63" t="s">
        <v>6880</v>
      </c>
    </row>
    <row r="6205" spans="1:2" x14ac:dyDescent="0.25">
      <c r="A6205" s="62">
        <v>32141001</v>
      </c>
      <c r="B6205" s="63" t="s">
        <v>6881</v>
      </c>
    </row>
    <row r="6206" spans="1:2" x14ac:dyDescent="0.25">
      <c r="A6206" s="62">
        <v>32141002</v>
      </c>
      <c r="B6206" s="63" t="s">
        <v>6882</v>
      </c>
    </row>
    <row r="6207" spans="1:2" x14ac:dyDescent="0.25">
      <c r="A6207" s="62">
        <v>32141003</v>
      </c>
      <c r="B6207" s="63" t="s">
        <v>6883</v>
      </c>
    </row>
    <row r="6208" spans="1:2" x14ac:dyDescent="0.25">
      <c r="A6208" s="62">
        <v>32141004</v>
      </c>
      <c r="B6208" s="63" t="s">
        <v>6884</v>
      </c>
    </row>
    <row r="6209" spans="1:2" x14ac:dyDescent="0.25">
      <c r="A6209" s="62">
        <v>32141005</v>
      </c>
      <c r="B6209" s="63" t="s">
        <v>6885</v>
      </c>
    </row>
    <row r="6210" spans="1:2" x14ac:dyDescent="0.25">
      <c r="A6210" s="62">
        <v>32141006</v>
      </c>
      <c r="B6210" s="63" t="s">
        <v>6886</v>
      </c>
    </row>
    <row r="6211" spans="1:2" x14ac:dyDescent="0.25">
      <c r="A6211" s="62">
        <v>32141007</v>
      </c>
      <c r="B6211" s="63" t="s">
        <v>6887</v>
      </c>
    </row>
    <row r="6212" spans="1:2" x14ac:dyDescent="0.25">
      <c r="A6212" s="62">
        <v>32141008</v>
      </c>
      <c r="B6212" s="63" t="s">
        <v>6888</v>
      </c>
    </row>
    <row r="6213" spans="1:2" x14ac:dyDescent="0.25">
      <c r="A6213" s="62">
        <v>32141009</v>
      </c>
      <c r="B6213" s="63" t="s">
        <v>6889</v>
      </c>
    </row>
    <row r="6214" spans="1:2" x14ac:dyDescent="0.25">
      <c r="A6214" s="62">
        <v>32141010</v>
      </c>
      <c r="B6214" s="63" t="s">
        <v>6890</v>
      </c>
    </row>
    <row r="6215" spans="1:2" x14ac:dyDescent="0.25">
      <c r="A6215" s="62">
        <v>32141011</v>
      </c>
      <c r="B6215" s="63" t="s">
        <v>6891</v>
      </c>
    </row>
    <row r="6216" spans="1:2" x14ac:dyDescent="0.25">
      <c r="A6216" s="62">
        <v>32141012</v>
      </c>
      <c r="B6216" s="63" t="s">
        <v>6892</v>
      </c>
    </row>
    <row r="6217" spans="1:2" x14ac:dyDescent="0.25">
      <c r="A6217" s="62">
        <v>32141013</v>
      </c>
      <c r="B6217" s="63" t="s">
        <v>6893</v>
      </c>
    </row>
    <row r="6218" spans="1:2" x14ac:dyDescent="0.25">
      <c r="A6218" s="62">
        <v>32141014</v>
      </c>
      <c r="B6218" s="63" t="s">
        <v>6894</v>
      </c>
    </row>
    <row r="6219" spans="1:2" x14ac:dyDescent="0.25">
      <c r="A6219" s="62">
        <v>32141015</v>
      </c>
      <c r="B6219" s="63" t="s">
        <v>6895</v>
      </c>
    </row>
    <row r="6220" spans="1:2" x14ac:dyDescent="0.25">
      <c r="A6220" s="62">
        <v>32141016</v>
      </c>
      <c r="B6220" s="63" t="s">
        <v>6896</v>
      </c>
    </row>
    <row r="6221" spans="1:2" x14ac:dyDescent="0.25">
      <c r="A6221" s="62">
        <v>32141101</v>
      </c>
      <c r="B6221" s="63" t="s">
        <v>6897</v>
      </c>
    </row>
    <row r="6222" spans="1:2" x14ac:dyDescent="0.25">
      <c r="A6222" s="62">
        <v>32141102</v>
      </c>
      <c r="B6222" s="63" t="s">
        <v>6898</v>
      </c>
    </row>
    <row r="6223" spans="1:2" x14ac:dyDescent="0.25">
      <c r="A6223" s="62">
        <v>32141103</v>
      </c>
      <c r="B6223" s="63" t="s">
        <v>6899</v>
      </c>
    </row>
    <row r="6224" spans="1:2" x14ac:dyDescent="0.25">
      <c r="A6224" s="62">
        <v>32141104</v>
      </c>
      <c r="B6224" s="63" t="s">
        <v>6900</v>
      </c>
    </row>
    <row r="6225" spans="1:2" x14ac:dyDescent="0.25">
      <c r="A6225" s="62">
        <v>32141105</v>
      </c>
      <c r="B6225" s="63" t="s">
        <v>6901</v>
      </c>
    </row>
    <row r="6226" spans="1:2" x14ac:dyDescent="0.25">
      <c r="A6226" s="62">
        <v>32141106</v>
      </c>
      <c r="B6226" s="63" t="s">
        <v>6902</v>
      </c>
    </row>
    <row r="6227" spans="1:2" x14ac:dyDescent="0.25">
      <c r="A6227" s="62">
        <v>32141107</v>
      </c>
      <c r="B6227" s="63" t="s">
        <v>6903</v>
      </c>
    </row>
    <row r="6228" spans="1:2" x14ac:dyDescent="0.25">
      <c r="A6228" s="62">
        <v>32141108</v>
      </c>
      <c r="B6228" s="63" t="s">
        <v>6904</v>
      </c>
    </row>
    <row r="6229" spans="1:2" x14ac:dyDescent="0.25">
      <c r="A6229" s="62">
        <v>32141109</v>
      </c>
      <c r="B6229" s="63" t="s">
        <v>2855</v>
      </c>
    </row>
    <row r="6230" spans="1:2" x14ac:dyDescent="0.25">
      <c r="A6230" s="62">
        <v>39101601</v>
      </c>
      <c r="B6230" s="63" t="s">
        <v>6905</v>
      </c>
    </row>
    <row r="6231" spans="1:2" x14ac:dyDescent="0.25">
      <c r="A6231" s="62">
        <v>39101602</v>
      </c>
      <c r="B6231" s="63" t="s">
        <v>6906</v>
      </c>
    </row>
    <row r="6232" spans="1:2" x14ac:dyDescent="0.25">
      <c r="A6232" s="62">
        <v>39101603</v>
      </c>
      <c r="B6232" s="63" t="s">
        <v>6907</v>
      </c>
    </row>
    <row r="6233" spans="1:2" x14ac:dyDescent="0.25">
      <c r="A6233" s="62">
        <v>39101604</v>
      </c>
      <c r="B6233" s="63" t="s">
        <v>6908</v>
      </c>
    </row>
    <row r="6234" spans="1:2" x14ac:dyDescent="0.25">
      <c r="A6234" s="62">
        <v>39101605</v>
      </c>
      <c r="B6234" s="63" t="s">
        <v>6909</v>
      </c>
    </row>
    <row r="6235" spans="1:2" x14ac:dyDescent="0.25">
      <c r="A6235" s="62">
        <v>39101606</v>
      </c>
      <c r="B6235" s="63" t="s">
        <v>6910</v>
      </c>
    </row>
    <row r="6236" spans="1:2" x14ac:dyDescent="0.25">
      <c r="A6236" s="62">
        <v>39101608</v>
      </c>
      <c r="B6236" s="63" t="s">
        <v>6911</v>
      </c>
    </row>
    <row r="6237" spans="1:2" x14ac:dyDescent="0.25">
      <c r="A6237" s="62">
        <v>39101609</v>
      </c>
      <c r="B6237" s="63" t="s">
        <v>6912</v>
      </c>
    </row>
    <row r="6238" spans="1:2" x14ac:dyDescent="0.25">
      <c r="A6238" s="62">
        <v>39101610</v>
      </c>
      <c r="B6238" s="63" t="s">
        <v>6913</v>
      </c>
    </row>
    <row r="6239" spans="1:2" x14ac:dyDescent="0.25">
      <c r="A6239" s="62">
        <v>39101612</v>
      </c>
      <c r="B6239" s="63" t="s">
        <v>6914</v>
      </c>
    </row>
    <row r="6240" spans="1:2" x14ac:dyDescent="0.25">
      <c r="A6240" s="62">
        <v>39101613</v>
      </c>
      <c r="B6240" s="63" t="s">
        <v>6915</v>
      </c>
    </row>
    <row r="6241" spans="1:2" x14ac:dyDescent="0.25">
      <c r="A6241" s="62">
        <v>39101614</v>
      </c>
      <c r="B6241" s="63" t="s">
        <v>6916</v>
      </c>
    </row>
    <row r="6242" spans="1:2" x14ac:dyDescent="0.25">
      <c r="A6242" s="62">
        <v>39101615</v>
      </c>
      <c r="B6242" s="63" t="s">
        <v>6917</v>
      </c>
    </row>
    <row r="6243" spans="1:2" x14ac:dyDescent="0.25">
      <c r="A6243" s="62">
        <v>39101616</v>
      </c>
      <c r="B6243" s="63" t="s">
        <v>6918</v>
      </c>
    </row>
    <row r="6244" spans="1:2" x14ac:dyDescent="0.25">
      <c r="A6244" s="62">
        <v>39101617</v>
      </c>
      <c r="B6244" s="63" t="s">
        <v>6919</v>
      </c>
    </row>
    <row r="6245" spans="1:2" x14ac:dyDescent="0.25">
      <c r="A6245" s="62">
        <v>39101618</v>
      </c>
      <c r="B6245" s="63" t="s">
        <v>6920</v>
      </c>
    </row>
    <row r="6246" spans="1:2" x14ac:dyDescent="0.25">
      <c r="A6246" s="62">
        <v>39101701</v>
      </c>
      <c r="B6246" s="63" t="s">
        <v>6921</v>
      </c>
    </row>
    <row r="6247" spans="1:2" x14ac:dyDescent="0.25">
      <c r="A6247" s="62">
        <v>39101801</v>
      </c>
      <c r="B6247" s="63" t="s">
        <v>6922</v>
      </c>
    </row>
    <row r="6248" spans="1:2" x14ac:dyDescent="0.25">
      <c r="A6248" s="62">
        <v>39111501</v>
      </c>
      <c r="B6248" s="63" t="s">
        <v>6923</v>
      </c>
    </row>
    <row r="6249" spans="1:2" x14ac:dyDescent="0.25">
      <c r="A6249" s="62">
        <v>39111503</v>
      </c>
      <c r="B6249" s="63" t="s">
        <v>6924</v>
      </c>
    </row>
    <row r="6250" spans="1:2" x14ac:dyDescent="0.25">
      <c r="A6250" s="62">
        <v>39111504</v>
      </c>
      <c r="B6250" s="63" t="s">
        <v>6925</v>
      </c>
    </row>
    <row r="6251" spans="1:2" x14ac:dyDescent="0.25">
      <c r="A6251" s="62">
        <v>39111505</v>
      </c>
      <c r="B6251" s="63" t="s">
        <v>6926</v>
      </c>
    </row>
    <row r="6252" spans="1:2" x14ac:dyDescent="0.25">
      <c r="A6252" s="62">
        <v>39111506</v>
      </c>
      <c r="B6252" s="63" t="s">
        <v>6927</v>
      </c>
    </row>
    <row r="6253" spans="1:2" x14ac:dyDescent="0.25">
      <c r="A6253" s="62">
        <v>39111507</v>
      </c>
      <c r="B6253" s="63" t="s">
        <v>6928</v>
      </c>
    </row>
    <row r="6254" spans="1:2" x14ac:dyDescent="0.25">
      <c r="A6254" s="62">
        <v>39111508</v>
      </c>
      <c r="B6254" s="63" t="s">
        <v>6929</v>
      </c>
    </row>
    <row r="6255" spans="1:2" x14ac:dyDescent="0.25">
      <c r="A6255" s="62">
        <v>39111509</v>
      </c>
      <c r="B6255" s="63" t="s">
        <v>6930</v>
      </c>
    </row>
    <row r="6256" spans="1:2" x14ac:dyDescent="0.25">
      <c r="A6256" s="62">
        <v>39111510</v>
      </c>
      <c r="B6256" s="63" t="s">
        <v>6931</v>
      </c>
    </row>
    <row r="6257" spans="1:2" x14ac:dyDescent="0.25">
      <c r="A6257" s="62">
        <v>39111512</v>
      </c>
      <c r="B6257" s="63" t="s">
        <v>6932</v>
      </c>
    </row>
    <row r="6258" spans="1:2" x14ac:dyDescent="0.25">
      <c r="A6258" s="62">
        <v>39111513</v>
      </c>
      <c r="B6258" s="63" t="s">
        <v>6933</v>
      </c>
    </row>
    <row r="6259" spans="1:2" x14ac:dyDescent="0.25">
      <c r="A6259" s="62">
        <v>39111514</v>
      </c>
      <c r="B6259" s="63" t="s">
        <v>6934</v>
      </c>
    </row>
    <row r="6260" spans="1:2" x14ac:dyDescent="0.25">
      <c r="A6260" s="62">
        <v>39111515</v>
      </c>
      <c r="B6260" s="63" t="s">
        <v>6935</v>
      </c>
    </row>
    <row r="6261" spans="1:2" x14ac:dyDescent="0.25">
      <c r="A6261" s="62">
        <v>39111516</v>
      </c>
      <c r="B6261" s="63" t="s">
        <v>6936</v>
      </c>
    </row>
    <row r="6262" spans="1:2" x14ac:dyDescent="0.25">
      <c r="A6262" s="62">
        <v>39111517</v>
      </c>
      <c r="B6262" s="63" t="s">
        <v>6937</v>
      </c>
    </row>
    <row r="6263" spans="1:2" x14ac:dyDescent="0.25">
      <c r="A6263" s="62">
        <v>39111518</v>
      </c>
      <c r="B6263" s="63" t="s">
        <v>6938</v>
      </c>
    </row>
    <row r="6264" spans="1:2" x14ac:dyDescent="0.25">
      <c r="A6264" s="62">
        <v>39111519</v>
      </c>
      <c r="B6264" s="63" t="s">
        <v>6939</v>
      </c>
    </row>
    <row r="6265" spans="1:2" x14ac:dyDescent="0.25">
      <c r="A6265" s="62">
        <v>39111520</v>
      </c>
      <c r="B6265" s="63" t="s">
        <v>6940</v>
      </c>
    </row>
    <row r="6266" spans="1:2" x14ac:dyDescent="0.25">
      <c r="A6266" s="62">
        <v>39111521</v>
      </c>
      <c r="B6266" s="63" t="s">
        <v>6941</v>
      </c>
    </row>
    <row r="6267" spans="1:2" x14ac:dyDescent="0.25">
      <c r="A6267" s="62">
        <v>39111603</v>
      </c>
      <c r="B6267" s="63" t="s">
        <v>6942</v>
      </c>
    </row>
    <row r="6268" spans="1:2" x14ac:dyDescent="0.25">
      <c r="A6268" s="62">
        <v>39111605</v>
      </c>
      <c r="B6268" s="63" t="s">
        <v>6943</v>
      </c>
    </row>
    <row r="6269" spans="1:2" x14ac:dyDescent="0.25">
      <c r="A6269" s="62">
        <v>39111606</v>
      </c>
      <c r="B6269" s="63" t="s">
        <v>6944</v>
      </c>
    </row>
    <row r="6270" spans="1:2" x14ac:dyDescent="0.25">
      <c r="A6270" s="62">
        <v>39111608</v>
      </c>
      <c r="B6270" s="63" t="s">
        <v>6945</v>
      </c>
    </row>
    <row r="6271" spans="1:2" x14ac:dyDescent="0.25">
      <c r="A6271" s="62">
        <v>39111609</v>
      </c>
      <c r="B6271" s="63" t="s">
        <v>6946</v>
      </c>
    </row>
    <row r="6272" spans="1:2" x14ac:dyDescent="0.25">
      <c r="A6272" s="62">
        <v>39111702</v>
      </c>
      <c r="B6272" s="63" t="s">
        <v>6947</v>
      </c>
    </row>
    <row r="6273" spans="1:2" x14ac:dyDescent="0.25">
      <c r="A6273" s="62">
        <v>39111703</v>
      </c>
      <c r="B6273" s="63" t="s">
        <v>6948</v>
      </c>
    </row>
    <row r="6274" spans="1:2" x14ac:dyDescent="0.25">
      <c r="A6274" s="62">
        <v>39111704</v>
      </c>
      <c r="B6274" s="63" t="s">
        <v>6949</v>
      </c>
    </row>
    <row r="6275" spans="1:2" x14ac:dyDescent="0.25">
      <c r="A6275" s="62">
        <v>39111705</v>
      </c>
      <c r="B6275" s="63" t="s">
        <v>6950</v>
      </c>
    </row>
    <row r="6276" spans="1:2" x14ac:dyDescent="0.25">
      <c r="A6276" s="62">
        <v>39111706</v>
      </c>
      <c r="B6276" s="63" t="s">
        <v>6951</v>
      </c>
    </row>
    <row r="6277" spans="1:2" x14ac:dyDescent="0.25">
      <c r="A6277" s="62">
        <v>39111801</v>
      </c>
      <c r="B6277" s="63" t="s">
        <v>6952</v>
      </c>
    </row>
    <row r="6278" spans="1:2" x14ac:dyDescent="0.25">
      <c r="A6278" s="62">
        <v>39111802</v>
      </c>
      <c r="B6278" s="63" t="s">
        <v>6953</v>
      </c>
    </row>
    <row r="6279" spans="1:2" x14ac:dyDescent="0.25">
      <c r="A6279" s="62">
        <v>39111803</v>
      </c>
      <c r="B6279" s="63" t="s">
        <v>6954</v>
      </c>
    </row>
    <row r="6280" spans="1:2" x14ac:dyDescent="0.25">
      <c r="A6280" s="62">
        <v>39111804</v>
      </c>
      <c r="B6280" s="63" t="s">
        <v>6955</v>
      </c>
    </row>
    <row r="6281" spans="1:2" x14ac:dyDescent="0.25">
      <c r="A6281" s="62">
        <v>39111806</v>
      </c>
      <c r="B6281" s="63" t="s">
        <v>6956</v>
      </c>
    </row>
    <row r="6282" spans="1:2" x14ac:dyDescent="0.25">
      <c r="A6282" s="62">
        <v>39111808</v>
      </c>
      <c r="B6282" s="63" t="s">
        <v>6957</v>
      </c>
    </row>
    <row r="6283" spans="1:2" x14ac:dyDescent="0.25">
      <c r="A6283" s="62">
        <v>39111809</v>
      </c>
      <c r="B6283" s="63" t="s">
        <v>6958</v>
      </c>
    </row>
    <row r="6284" spans="1:2" x14ac:dyDescent="0.25">
      <c r="A6284" s="62">
        <v>39111810</v>
      </c>
      <c r="B6284" s="63" t="s">
        <v>6959</v>
      </c>
    </row>
    <row r="6285" spans="1:2" x14ac:dyDescent="0.25">
      <c r="A6285" s="62">
        <v>39111811</v>
      </c>
      <c r="B6285" s="63" t="s">
        <v>6960</v>
      </c>
    </row>
    <row r="6286" spans="1:2" x14ac:dyDescent="0.25">
      <c r="A6286" s="62">
        <v>39111812</v>
      </c>
      <c r="B6286" s="63" t="s">
        <v>6961</v>
      </c>
    </row>
    <row r="6287" spans="1:2" x14ac:dyDescent="0.25">
      <c r="A6287" s="62">
        <v>39111813</v>
      </c>
      <c r="B6287" s="63" t="s">
        <v>6962</v>
      </c>
    </row>
    <row r="6288" spans="1:2" x14ac:dyDescent="0.25">
      <c r="A6288" s="62">
        <v>39111901</v>
      </c>
      <c r="B6288" s="63" t="s">
        <v>6963</v>
      </c>
    </row>
    <row r="6289" spans="1:2" x14ac:dyDescent="0.25">
      <c r="A6289" s="62">
        <v>39111902</v>
      </c>
      <c r="B6289" s="63" t="s">
        <v>6964</v>
      </c>
    </row>
    <row r="6290" spans="1:2" x14ac:dyDescent="0.25">
      <c r="A6290" s="62">
        <v>39112001</v>
      </c>
      <c r="B6290" s="63" t="s">
        <v>6965</v>
      </c>
    </row>
    <row r="6291" spans="1:2" x14ac:dyDescent="0.25">
      <c r="A6291" s="62">
        <v>39112002</v>
      </c>
      <c r="B6291" s="63" t="s">
        <v>6966</v>
      </c>
    </row>
    <row r="6292" spans="1:2" x14ac:dyDescent="0.25">
      <c r="A6292" s="62">
        <v>39112003</v>
      </c>
      <c r="B6292" s="63" t="s">
        <v>6967</v>
      </c>
    </row>
    <row r="6293" spans="1:2" x14ac:dyDescent="0.25">
      <c r="A6293" s="62">
        <v>39121001</v>
      </c>
      <c r="B6293" s="63" t="s">
        <v>6968</v>
      </c>
    </row>
    <row r="6294" spans="1:2" x14ac:dyDescent="0.25">
      <c r="A6294" s="62">
        <v>39121002</v>
      </c>
      <c r="B6294" s="63" t="s">
        <v>6969</v>
      </c>
    </row>
    <row r="6295" spans="1:2" x14ac:dyDescent="0.25">
      <c r="A6295" s="62">
        <v>39121003</v>
      </c>
      <c r="B6295" s="63" t="s">
        <v>6970</v>
      </c>
    </row>
    <row r="6296" spans="1:2" x14ac:dyDescent="0.25">
      <c r="A6296" s="62">
        <v>39121004</v>
      </c>
      <c r="B6296" s="63" t="s">
        <v>6971</v>
      </c>
    </row>
    <row r="6297" spans="1:2" x14ac:dyDescent="0.25">
      <c r="A6297" s="62">
        <v>39121006</v>
      </c>
      <c r="B6297" s="63" t="s">
        <v>6972</v>
      </c>
    </row>
    <row r="6298" spans="1:2" x14ac:dyDescent="0.25">
      <c r="A6298" s="62">
        <v>39121007</v>
      </c>
      <c r="B6298" s="63" t="s">
        <v>6973</v>
      </c>
    </row>
    <row r="6299" spans="1:2" x14ac:dyDescent="0.25">
      <c r="A6299" s="62">
        <v>39121008</v>
      </c>
      <c r="B6299" s="63" t="s">
        <v>6974</v>
      </c>
    </row>
    <row r="6300" spans="1:2" x14ac:dyDescent="0.25">
      <c r="A6300" s="62">
        <v>39121009</v>
      </c>
      <c r="B6300" s="63" t="s">
        <v>6975</v>
      </c>
    </row>
    <row r="6301" spans="1:2" x14ac:dyDescent="0.25">
      <c r="A6301" s="62">
        <v>39121010</v>
      </c>
      <c r="B6301" s="63" t="s">
        <v>6976</v>
      </c>
    </row>
    <row r="6302" spans="1:2" x14ac:dyDescent="0.25">
      <c r="A6302" s="62">
        <v>39121011</v>
      </c>
      <c r="B6302" s="63" t="s">
        <v>6977</v>
      </c>
    </row>
    <row r="6303" spans="1:2" x14ac:dyDescent="0.25">
      <c r="A6303" s="62">
        <v>39121012</v>
      </c>
      <c r="B6303" s="63" t="s">
        <v>6978</v>
      </c>
    </row>
    <row r="6304" spans="1:2" x14ac:dyDescent="0.25">
      <c r="A6304" s="62">
        <v>39121013</v>
      </c>
      <c r="B6304" s="63" t="s">
        <v>6979</v>
      </c>
    </row>
    <row r="6305" spans="1:2" x14ac:dyDescent="0.25">
      <c r="A6305" s="62">
        <v>39121014</v>
      </c>
      <c r="B6305" s="63" t="s">
        <v>6980</v>
      </c>
    </row>
    <row r="6306" spans="1:2" x14ac:dyDescent="0.25">
      <c r="A6306" s="62">
        <v>39121015</v>
      </c>
      <c r="B6306" s="63" t="s">
        <v>6981</v>
      </c>
    </row>
    <row r="6307" spans="1:2" x14ac:dyDescent="0.25">
      <c r="A6307" s="62">
        <v>39121016</v>
      </c>
      <c r="B6307" s="63" t="s">
        <v>6982</v>
      </c>
    </row>
    <row r="6308" spans="1:2" x14ac:dyDescent="0.25">
      <c r="A6308" s="62">
        <v>39121017</v>
      </c>
      <c r="B6308" s="63" t="s">
        <v>6983</v>
      </c>
    </row>
    <row r="6309" spans="1:2" x14ac:dyDescent="0.25">
      <c r="A6309" s="62">
        <v>39121018</v>
      </c>
      <c r="B6309" s="63" t="s">
        <v>6984</v>
      </c>
    </row>
    <row r="6310" spans="1:2" x14ac:dyDescent="0.25">
      <c r="A6310" s="62">
        <v>39121019</v>
      </c>
      <c r="B6310" s="63" t="s">
        <v>6985</v>
      </c>
    </row>
    <row r="6311" spans="1:2" x14ac:dyDescent="0.25">
      <c r="A6311" s="62">
        <v>39121020</v>
      </c>
      <c r="B6311" s="63" t="s">
        <v>6986</v>
      </c>
    </row>
    <row r="6312" spans="1:2" x14ac:dyDescent="0.25">
      <c r="A6312" s="62">
        <v>39121101</v>
      </c>
      <c r="B6312" s="63" t="s">
        <v>6987</v>
      </c>
    </row>
    <row r="6313" spans="1:2" x14ac:dyDescent="0.25">
      <c r="A6313" s="62">
        <v>39121102</v>
      </c>
      <c r="B6313" s="63" t="s">
        <v>6988</v>
      </c>
    </row>
    <row r="6314" spans="1:2" x14ac:dyDescent="0.25">
      <c r="A6314" s="62">
        <v>39121103</v>
      </c>
      <c r="B6314" s="63" t="s">
        <v>6989</v>
      </c>
    </row>
    <row r="6315" spans="1:2" x14ac:dyDescent="0.25">
      <c r="A6315" s="62">
        <v>39121104</v>
      </c>
      <c r="B6315" s="63" t="s">
        <v>6990</v>
      </c>
    </row>
    <row r="6316" spans="1:2" x14ac:dyDescent="0.25">
      <c r="A6316" s="62">
        <v>39121105</v>
      </c>
      <c r="B6316" s="63" t="s">
        <v>6991</v>
      </c>
    </row>
    <row r="6317" spans="1:2" x14ac:dyDescent="0.25">
      <c r="A6317" s="62">
        <v>39121106</v>
      </c>
      <c r="B6317" s="63" t="s">
        <v>6992</v>
      </c>
    </row>
    <row r="6318" spans="1:2" x14ac:dyDescent="0.25">
      <c r="A6318" s="62">
        <v>39121107</v>
      </c>
      <c r="B6318" s="63" t="s">
        <v>6993</v>
      </c>
    </row>
    <row r="6319" spans="1:2" x14ac:dyDescent="0.25">
      <c r="A6319" s="62">
        <v>39121108</v>
      </c>
      <c r="B6319" s="63" t="s">
        <v>6994</v>
      </c>
    </row>
    <row r="6320" spans="1:2" x14ac:dyDescent="0.25">
      <c r="A6320" s="62">
        <v>39121109</v>
      </c>
      <c r="B6320" s="63" t="s">
        <v>6995</v>
      </c>
    </row>
    <row r="6321" spans="1:2" x14ac:dyDescent="0.25">
      <c r="A6321" s="62">
        <v>39121201</v>
      </c>
      <c r="B6321" s="63" t="s">
        <v>6996</v>
      </c>
    </row>
    <row r="6322" spans="1:2" x14ac:dyDescent="0.25">
      <c r="A6322" s="62">
        <v>39121202</v>
      </c>
      <c r="B6322" s="63" t="s">
        <v>6997</v>
      </c>
    </row>
    <row r="6323" spans="1:2" x14ac:dyDescent="0.25">
      <c r="A6323" s="62">
        <v>39121203</v>
      </c>
      <c r="B6323" s="63" t="s">
        <v>6998</v>
      </c>
    </row>
    <row r="6324" spans="1:2" x14ac:dyDescent="0.25">
      <c r="A6324" s="62">
        <v>39121204</v>
      </c>
      <c r="B6324" s="63" t="s">
        <v>6999</v>
      </c>
    </row>
    <row r="6325" spans="1:2" x14ac:dyDescent="0.25">
      <c r="A6325" s="62">
        <v>39121205</v>
      </c>
      <c r="B6325" s="63" t="s">
        <v>7000</v>
      </c>
    </row>
    <row r="6326" spans="1:2" x14ac:dyDescent="0.25">
      <c r="A6326" s="62">
        <v>39121206</v>
      </c>
      <c r="B6326" s="63" t="s">
        <v>7001</v>
      </c>
    </row>
    <row r="6327" spans="1:2" x14ac:dyDescent="0.25">
      <c r="A6327" s="62">
        <v>39121207</v>
      </c>
      <c r="B6327" s="63" t="s">
        <v>7002</v>
      </c>
    </row>
    <row r="6328" spans="1:2" x14ac:dyDescent="0.25">
      <c r="A6328" s="62">
        <v>39121301</v>
      </c>
      <c r="B6328" s="63" t="s">
        <v>7003</v>
      </c>
    </row>
    <row r="6329" spans="1:2" x14ac:dyDescent="0.25">
      <c r="A6329" s="62">
        <v>39121302</v>
      </c>
      <c r="B6329" s="63" t="s">
        <v>7004</v>
      </c>
    </row>
    <row r="6330" spans="1:2" x14ac:dyDescent="0.25">
      <c r="A6330" s="62">
        <v>39121303</v>
      </c>
      <c r="B6330" s="63" t="s">
        <v>7005</v>
      </c>
    </row>
    <row r="6331" spans="1:2" x14ac:dyDescent="0.25">
      <c r="A6331" s="62">
        <v>39121304</v>
      </c>
      <c r="B6331" s="63" t="s">
        <v>7006</v>
      </c>
    </row>
    <row r="6332" spans="1:2" x14ac:dyDescent="0.25">
      <c r="A6332" s="62">
        <v>39121305</v>
      </c>
      <c r="B6332" s="63" t="s">
        <v>7007</v>
      </c>
    </row>
    <row r="6333" spans="1:2" x14ac:dyDescent="0.25">
      <c r="A6333" s="62">
        <v>39121306</v>
      </c>
      <c r="B6333" s="63" t="s">
        <v>7008</v>
      </c>
    </row>
    <row r="6334" spans="1:2" x14ac:dyDescent="0.25">
      <c r="A6334" s="62">
        <v>39121307</v>
      </c>
      <c r="B6334" s="63" t="s">
        <v>7009</v>
      </c>
    </row>
    <row r="6335" spans="1:2" x14ac:dyDescent="0.25">
      <c r="A6335" s="62">
        <v>39121308</v>
      </c>
      <c r="B6335" s="63" t="s">
        <v>7010</v>
      </c>
    </row>
    <row r="6336" spans="1:2" x14ac:dyDescent="0.25">
      <c r="A6336" s="62">
        <v>39121309</v>
      </c>
      <c r="B6336" s="63" t="s">
        <v>7011</v>
      </c>
    </row>
    <row r="6337" spans="1:2" x14ac:dyDescent="0.25">
      <c r="A6337" s="62">
        <v>39121310</v>
      </c>
      <c r="B6337" s="63" t="s">
        <v>7012</v>
      </c>
    </row>
    <row r="6338" spans="1:2" x14ac:dyDescent="0.25">
      <c r="A6338" s="62">
        <v>39121311</v>
      </c>
      <c r="B6338" s="63" t="s">
        <v>7013</v>
      </c>
    </row>
    <row r="6339" spans="1:2" x14ac:dyDescent="0.25">
      <c r="A6339" s="62">
        <v>39121312</v>
      </c>
      <c r="B6339" s="63" t="s">
        <v>7014</v>
      </c>
    </row>
    <row r="6340" spans="1:2" x14ac:dyDescent="0.25">
      <c r="A6340" s="62">
        <v>39121313</v>
      </c>
      <c r="B6340" s="63" t="s">
        <v>7015</v>
      </c>
    </row>
    <row r="6341" spans="1:2" x14ac:dyDescent="0.25">
      <c r="A6341" s="62">
        <v>39121402</v>
      </c>
      <c r="B6341" s="63" t="s">
        <v>7016</v>
      </c>
    </row>
    <row r="6342" spans="1:2" x14ac:dyDescent="0.25">
      <c r="A6342" s="62">
        <v>39121403</v>
      </c>
      <c r="B6342" s="63" t="s">
        <v>7017</v>
      </c>
    </row>
    <row r="6343" spans="1:2" x14ac:dyDescent="0.25">
      <c r="A6343" s="62">
        <v>39121404</v>
      </c>
      <c r="B6343" s="63" t="s">
        <v>7018</v>
      </c>
    </row>
    <row r="6344" spans="1:2" x14ac:dyDescent="0.25">
      <c r="A6344" s="62">
        <v>39121405</v>
      </c>
      <c r="B6344" s="63" t="s">
        <v>7019</v>
      </c>
    </row>
    <row r="6345" spans="1:2" x14ac:dyDescent="0.25">
      <c r="A6345" s="62">
        <v>39121406</v>
      </c>
      <c r="B6345" s="63" t="s">
        <v>7020</v>
      </c>
    </row>
    <row r="6346" spans="1:2" x14ac:dyDescent="0.25">
      <c r="A6346" s="62">
        <v>39121407</v>
      </c>
      <c r="B6346" s="63" t="s">
        <v>7021</v>
      </c>
    </row>
    <row r="6347" spans="1:2" x14ac:dyDescent="0.25">
      <c r="A6347" s="62">
        <v>39121408</v>
      </c>
      <c r="B6347" s="63" t="s">
        <v>7022</v>
      </c>
    </row>
    <row r="6348" spans="1:2" x14ac:dyDescent="0.25">
      <c r="A6348" s="62">
        <v>39121409</v>
      </c>
      <c r="B6348" s="63" t="s">
        <v>7023</v>
      </c>
    </row>
    <row r="6349" spans="1:2" x14ac:dyDescent="0.25">
      <c r="A6349" s="62">
        <v>39121410</v>
      </c>
      <c r="B6349" s="63" t="s">
        <v>7024</v>
      </c>
    </row>
    <row r="6350" spans="1:2" x14ac:dyDescent="0.25">
      <c r="A6350" s="62">
        <v>39121411</v>
      </c>
      <c r="B6350" s="63" t="s">
        <v>7025</v>
      </c>
    </row>
    <row r="6351" spans="1:2" x14ac:dyDescent="0.25">
      <c r="A6351" s="62">
        <v>39121412</v>
      </c>
      <c r="B6351" s="63" t="s">
        <v>7026</v>
      </c>
    </row>
    <row r="6352" spans="1:2" x14ac:dyDescent="0.25">
      <c r="A6352" s="62">
        <v>39121413</v>
      </c>
      <c r="B6352" s="63" t="s">
        <v>7027</v>
      </c>
    </row>
    <row r="6353" spans="1:2" x14ac:dyDescent="0.25">
      <c r="A6353" s="62">
        <v>39121414</v>
      </c>
      <c r="B6353" s="63" t="s">
        <v>7028</v>
      </c>
    </row>
    <row r="6354" spans="1:2" x14ac:dyDescent="0.25">
      <c r="A6354" s="62">
        <v>39121415</v>
      </c>
      <c r="B6354" s="63" t="s">
        <v>7029</v>
      </c>
    </row>
    <row r="6355" spans="1:2" x14ac:dyDescent="0.25">
      <c r="A6355" s="62">
        <v>39121416</v>
      </c>
      <c r="B6355" s="63" t="s">
        <v>7030</v>
      </c>
    </row>
    <row r="6356" spans="1:2" x14ac:dyDescent="0.25">
      <c r="A6356" s="62">
        <v>39121419</v>
      </c>
      <c r="B6356" s="63" t="s">
        <v>7031</v>
      </c>
    </row>
    <row r="6357" spans="1:2" x14ac:dyDescent="0.25">
      <c r="A6357" s="62">
        <v>39121420</v>
      </c>
      <c r="B6357" s="63" t="s">
        <v>7032</v>
      </c>
    </row>
    <row r="6358" spans="1:2" x14ac:dyDescent="0.25">
      <c r="A6358" s="62">
        <v>39121421</v>
      </c>
      <c r="B6358" s="63" t="s">
        <v>7033</v>
      </c>
    </row>
    <row r="6359" spans="1:2" x14ac:dyDescent="0.25">
      <c r="A6359" s="62">
        <v>39121422</v>
      </c>
      <c r="B6359" s="63" t="s">
        <v>7034</v>
      </c>
    </row>
    <row r="6360" spans="1:2" x14ac:dyDescent="0.25">
      <c r="A6360" s="62">
        <v>39121423</v>
      </c>
      <c r="B6360" s="63" t="s">
        <v>7035</v>
      </c>
    </row>
    <row r="6361" spans="1:2" x14ac:dyDescent="0.25">
      <c r="A6361" s="62">
        <v>39121424</v>
      </c>
      <c r="B6361" s="63" t="s">
        <v>7036</v>
      </c>
    </row>
    <row r="6362" spans="1:2" x14ac:dyDescent="0.25">
      <c r="A6362" s="62">
        <v>39121425</v>
      </c>
      <c r="B6362" s="63" t="s">
        <v>7037</v>
      </c>
    </row>
    <row r="6363" spans="1:2" x14ac:dyDescent="0.25">
      <c r="A6363" s="62">
        <v>39121426</v>
      </c>
      <c r="B6363" s="63" t="s">
        <v>7038</v>
      </c>
    </row>
    <row r="6364" spans="1:2" x14ac:dyDescent="0.25">
      <c r="A6364" s="62">
        <v>39121427</v>
      </c>
      <c r="B6364" s="63" t="s">
        <v>7039</v>
      </c>
    </row>
    <row r="6365" spans="1:2" x14ac:dyDescent="0.25">
      <c r="A6365" s="62">
        <v>39121428</v>
      </c>
      <c r="B6365" s="63" t="s">
        <v>7040</v>
      </c>
    </row>
    <row r="6366" spans="1:2" x14ac:dyDescent="0.25">
      <c r="A6366" s="62">
        <v>39121429</v>
      </c>
      <c r="B6366" s="63" t="s">
        <v>7041</v>
      </c>
    </row>
    <row r="6367" spans="1:2" x14ac:dyDescent="0.25">
      <c r="A6367" s="62">
        <v>39121430</v>
      </c>
      <c r="B6367" s="63" t="s">
        <v>7042</v>
      </c>
    </row>
    <row r="6368" spans="1:2" x14ac:dyDescent="0.25">
      <c r="A6368" s="62">
        <v>39121431</v>
      </c>
      <c r="B6368" s="63" t="s">
        <v>7043</v>
      </c>
    </row>
    <row r="6369" spans="1:2" x14ac:dyDescent="0.25">
      <c r="A6369" s="62">
        <v>39121432</v>
      </c>
      <c r="B6369" s="63" t="s">
        <v>7044</v>
      </c>
    </row>
    <row r="6370" spans="1:2" x14ac:dyDescent="0.25">
      <c r="A6370" s="62">
        <v>39121433</v>
      </c>
      <c r="B6370" s="63" t="s">
        <v>7045</v>
      </c>
    </row>
    <row r="6371" spans="1:2" x14ac:dyDescent="0.25">
      <c r="A6371" s="62">
        <v>39121434</v>
      </c>
      <c r="B6371" s="63" t="s">
        <v>7046</v>
      </c>
    </row>
    <row r="6372" spans="1:2" x14ac:dyDescent="0.25">
      <c r="A6372" s="62">
        <v>39121435</v>
      </c>
      <c r="B6372" s="63" t="s">
        <v>7047</v>
      </c>
    </row>
    <row r="6373" spans="1:2" x14ac:dyDescent="0.25">
      <c r="A6373" s="62">
        <v>39121436</v>
      </c>
      <c r="B6373" s="63" t="s">
        <v>7048</v>
      </c>
    </row>
    <row r="6374" spans="1:2" x14ac:dyDescent="0.25">
      <c r="A6374" s="62">
        <v>39121437</v>
      </c>
      <c r="B6374" s="63" t="s">
        <v>7049</v>
      </c>
    </row>
    <row r="6375" spans="1:2" x14ac:dyDescent="0.25">
      <c r="A6375" s="62">
        <v>39121501</v>
      </c>
      <c r="B6375" s="63" t="s">
        <v>7050</v>
      </c>
    </row>
    <row r="6376" spans="1:2" x14ac:dyDescent="0.25">
      <c r="A6376" s="62">
        <v>39121502</v>
      </c>
      <c r="B6376" s="63" t="s">
        <v>7051</v>
      </c>
    </row>
    <row r="6377" spans="1:2" x14ac:dyDescent="0.25">
      <c r="A6377" s="62">
        <v>39121503</v>
      </c>
      <c r="B6377" s="63" t="s">
        <v>7052</v>
      </c>
    </row>
    <row r="6378" spans="1:2" x14ac:dyDescent="0.25">
      <c r="A6378" s="62">
        <v>39121504</v>
      </c>
      <c r="B6378" s="63" t="s">
        <v>7053</v>
      </c>
    </row>
    <row r="6379" spans="1:2" x14ac:dyDescent="0.25">
      <c r="A6379" s="62">
        <v>39121505</v>
      </c>
      <c r="B6379" s="63" t="s">
        <v>7054</v>
      </c>
    </row>
    <row r="6380" spans="1:2" x14ac:dyDescent="0.25">
      <c r="A6380" s="62">
        <v>39121506</v>
      </c>
      <c r="B6380" s="63" t="s">
        <v>7055</v>
      </c>
    </row>
    <row r="6381" spans="1:2" x14ac:dyDescent="0.25">
      <c r="A6381" s="62">
        <v>39121507</v>
      </c>
      <c r="B6381" s="63" t="s">
        <v>7056</v>
      </c>
    </row>
    <row r="6382" spans="1:2" x14ac:dyDescent="0.25">
      <c r="A6382" s="62">
        <v>39121508</v>
      </c>
      <c r="B6382" s="63" t="s">
        <v>7057</v>
      </c>
    </row>
    <row r="6383" spans="1:2" x14ac:dyDescent="0.25">
      <c r="A6383" s="62">
        <v>39121509</v>
      </c>
      <c r="B6383" s="63" t="s">
        <v>7058</v>
      </c>
    </row>
    <row r="6384" spans="1:2" x14ac:dyDescent="0.25">
      <c r="A6384" s="62">
        <v>39121510</v>
      </c>
      <c r="B6384" s="63" t="s">
        <v>7059</v>
      </c>
    </row>
    <row r="6385" spans="1:2" x14ac:dyDescent="0.25">
      <c r="A6385" s="62">
        <v>39121511</v>
      </c>
      <c r="B6385" s="63" t="s">
        <v>7060</v>
      </c>
    </row>
    <row r="6386" spans="1:2" x14ac:dyDescent="0.25">
      <c r="A6386" s="62">
        <v>39121512</v>
      </c>
      <c r="B6386" s="63" t="s">
        <v>7061</v>
      </c>
    </row>
    <row r="6387" spans="1:2" x14ac:dyDescent="0.25">
      <c r="A6387" s="62">
        <v>39121513</v>
      </c>
      <c r="B6387" s="63" t="s">
        <v>7062</v>
      </c>
    </row>
    <row r="6388" spans="1:2" x14ac:dyDescent="0.25">
      <c r="A6388" s="62">
        <v>39121514</v>
      </c>
      <c r="B6388" s="63" t="s">
        <v>7063</v>
      </c>
    </row>
    <row r="6389" spans="1:2" x14ac:dyDescent="0.25">
      <c r="A6389" s="62">
        <v>39121515</v>
      </c>
      <c r="B6389" s="63" t="s">
        <v>7064</v>
      </c>
    </row>
    <row r="6390" spans="1:2" x14ac:dyDescent="0.25">
      <c r="A6390" s="62">
        <v>39121516</v>
      </c>
      <c r="B6390" s="63" t="s">
        <v>7065</v>
      </c>
    </row>
    <row r="6391" spans="1:2" x14ac:dyDescent="0.25">
      <c r="A6391" s="62">
        <v>39121517</v>
      </c>
      <c r="B6391" s="63" t="s">
        <v>7066</v>
      </c>
    </row>
    <row r="6392" spans="1:2" x14ac:dyDescent="0.25">
      <c r="A6392" s="62">
        <v>39121518</v>
      </c>
      <c r="B6392" s="63" t="s">
        <v>7067</v>
      </c>
    </row>
    <row r="6393" spans="1:2" x14ac:dyDescent="0.25">
      <c r="A6393" s="62">
        <v>39121519</v>
      </c>
      <c r="B6393" s="63" t="s">
        <v>7068</v>
      </c>
    </row>
    <row r="6394" spans="1:2" x14ac:dyDescent="0.25">
      <c r="A6394" s="62">
        <v>39121520</v>
      </c>
      <c r="B6394" s="63" t="s">
        <v>7069</v>
      </c>
    </row>
    <row r="6395" spans="1:2" x14ac:dyDescent="0.25">
      <c r="A6395" s="62">
        <v>39121521</v>
      </c>
      <c r="B6395" s="63" t="s">
        <v>7070</v>
      </c>
    </row>
    <row r="6396" spans="1:2" x14ac:dyDescent="0.25">
      <c r="A6396" s="62">
        <v>39121522</v>
      </c>
      <c r="B6396" s="63" t="s">
        <v>7071</v>
      </c>
    </row>
    <row r="6397" spans="1:2" x14ac:dyDescent="0.25">
      <c r="A6397" s="62">
        <v>39121523</v>
      </c>
      <c r="B6397" s="63" t="s">
        <v>7072</v>
      </c>
    </row>
    <row r="6398" spans="1:2" x14ac:dyDescent="0.25">
      <c r="A6398" s="62">
        <v>39121524</v>
      </c>
      <c r="B6398" s="63" t="s">
        <v>7073</v>
      </c>
    </row>
    <row r="6399" spans="1:2" x14ac:dyDescent="0.25">
      <c r="A6399" s="62">
        <v>39121525</v>
      </c>
      <c r="B6399" s="63" t="s">
        <v>7074</v>
      </c>
    </row>
    <row r="6400" spans="1:2" x14ac:dyDescent="0.25">
      <c r="A6400" s="62">
        <v>39121527</v>
      </c>
      <c r="B6400" s="63" t="s">
        <v>7075</v>
      </c>
    </row>
    <row r="6401" spans="1:2" x14ac:dyDescent="0.25">
      <c r="A6401" s="62">
        <v>39121528</v>
      </c>
      <c r="B6401" s="63" t="s">
        <v>7076</v>
      </c>
    </row>
    <row r="6402" spans="1:2" x14ac:dyDescent="0.25">
      <c r="A6402" s="62">
        <v>39121529</v>
      </c>
      <c r="B6402" s="63" t="s">
        <v>7077</v>
      </c>
    </row>
    <row r="6403" spans="1:2" x14ac:dyDescent="0.25">
      <c r="A6403" s="62">
        <v>39121531</v>
      </c>
      <c r="B6403" s="63" t="s">
        <v>7078</v>
      </c>
    </row>
    <row r="6404" spans="1:2" x14ac:dyDescent="0.25">
      <c r="A6404" s="62">
        <v>39121532</v>
      </c>
      <c r="B6404" s="63" t="s">
        <v>7079</v>
      </c>
    </row>
    <row r="6405" spans="1:2" x14ac:dyDescent="0.25">
      <c r="A6405" s="62">
        <v>39121533</v>
      </c>
      <c r="B6405" s="63" t="s">
        <v>7080</v>
      </c>
    </row>
    <row r="6406" spans="1:2" x14ac:dyDescent="0.25">
      <c r="A6406" s="62">
        <v>39121534</v>
      </c>
      <c r="B6406" s="63" t="s">
        <v>7081</v>
      </c>
    </row>
    <row r="6407" spans="1:2" x14ac:dyDescent="0.25">
      <c r="A6407" s="62">
        <v>39121535</v>
      </c>
      <c r="B6407" s="63" t="s">
        <v>7082</v>
      </c>
    </row>
    <row r="6408" spans="1:2" x14ac:dyDescent="0.25">
      <c r="A6408" s="62">
        <v>39121536</v>
      </c>
      <c r="B6408" s="63" t="s">
        <v>7083</v>
      </c>
    </row>
    <row r="6409" spans="1:2" x14ac:dyDescent="0.25">
      <c r="A6409" s="62">
        <v>39121537</v>
      </c>
      <c r="B6409" s="63" t="s">
        <v>7084</v>
      </c>
    </row>
    <row r="6410" spans="1:2" x14ac:dyDescent="0.25">
      <c r="A6410" s="62">
        <v>39121538</v>
      </c>
      <c r="B6410" s="63" t="s">
        <v>7085</v>
      </c>
    </row>
    <row r="6411" spans="1:2" x14ac:dyDescent="0.25">
      <c r="A6411" s="62">
        <v>39121539</v>
      </c>
      <c r="B6411" s="63" t="s">
        <v>7086</v>
      </c>
    </row>
    <row r="6412" spans="1:2" x14ac:dyDescent="0.25">
      <c r="A6412" s="62">
        <v>39121540</v>
      </c>
      <c r="B6412" s="63" t="s">
        <v>7087</v>
      </c>
    </row>
    <row r="6413" spans="1:2" x14ac:dyDescent="0.25">
      <c r="A6413" s="62">
        <v>39121541</v>
      </c>
      <c r="B6413" s="63" t="s">
        <v>7088</v>
      </c>
    </row>
    <row r="6414" spans="1:2" x14ac:dyDescent="0.25">
      <c r="A6414" s="62">
        <v>39121542</v>
      </c>
      <c r="B6414" s="63" t="s">
        <v>7089</v>
      </c>
    </row>
    <row r="6415" spans="1:2" x14ac:dyDescent="0.25">
      <c r="A6415" s="62">
        <v>39121543</v>
      </c>
      <c r="B6415" s="63" t="s">
        <v>7090</v>
      </c>
    </row>
    <row r="6416" spans="1:2" x14ac:dyDescent="0.25">
      <c r="A6416" s="62">
        <v>39121544</v>
      </c>
      <c r="B6416" s="63" t="s">
        <v>7091</v>
      </c>
    </row>
    <row r="6417" spans="1:2" x14ac:dyDescent="0.25">
      <c r="A6417" s="62">
        <v>39121545</v>
      </c>
      <c r="B6417" s="63" t="s">
        <v>7092</v>
      </c>
    </row>
    <row r="6418" spans="1:2" x14ac:dyDescent="0.25">
      <c r="A6418" s="62">
        <v>39121546</v>
      </c>
      <c r="B6418" s="63" t="s">
        <v>7093</v>
      </c>
    </row>
    <row r="6419" spans="1:2" x14ac:dyDescent="0.25">
      <c r="A6419" s="62">
        <v>39121547</v>
      </c>
      <c r="B6419" s="63" t="s">
        <v>7094</v>
      </c>
    </row>
    <row r="6420" spans="1:2" x14ac:dyDescent="0.25">
      <c r="A6420" s="62">
        <v>39121548</v>
      </c>
      <c r="B6420" s="63" t="s">
        <v>7095</v>
      </c>
    </row>
    <row r="6421" spans="1:2" x14ac:dyDescent="0.25">
      <c r="A6421" s="62">
        <v>39121549</v>
      </c>
      <c r="B6421" s="63" t="s">
        <v>7096</v>
      </c>
    </row>
    <row r="6422" spans="1:2" x14ac:dyDescent="0.25">
      <c r="A6422" s="62">
        <v>39121550</v>
      </c>
      <c r="B6422" s="63" t="s">
        <v>7097</v>
      </c>
    </row>
    <row r="6423" spans="1:2" x14ac:dyDescent="0.25">
      <c r="A6423" s="62">
        <v>39121551</v>
      </c>
      <c r="B6423" s="63" t="s">
        <v>7098</v>
      </c>
    </row>
    <row r="6424" spans="1:2" x14ac:dyDescent="0.25">
      <c r="A6424" s="62">
        <v>39121601</v>
      </c>
      <c r="B6424" s="63" t="s">
        <v>7099</v>
      </c>
    </row>
    <row r="6425" spans="1:2" x14ac:dyDescent="0.25">
      <c r="A6425" s="62">
        <v>39121602</v>
      </c>
      <c r="B6425" s="63" t="s">
        <v>7100</v>
      </c>
    </row>
    <row r="6426" spans="1:2" x14ac:dyDescent="0.25">
      <c r="A6426" s="62">
        <v>39121603</v>
      </c>
      <c r="B6426" s="63" t="s">
        <v>7101</v>
      </c>
    </row>
    <row r="6427" spans="1:2" x14ac:dyDescent="0.25">
      <c r="A6427" s="62">
        <v>39121604</v>
      </c>
      <c r="B6427" s="63" t="s">
        <v>7102</v>
      </c>
    </row>
    <row r="6428" spans="1:2" x14ac:dyDescent="0.25">
      <c r="A6428" s="62">
        <v>39121605</v>
      </c>
      <c r="B6428" s="63" t="s">
        <v>7103</v>
      </c>
    </row>
    <row r="6429" spans="1:2" x14ac:dyDescent="0.25">
      <c r="A6429" s="62">
        <v>39121606</v>
      </c>
      <c r="B6429" s="63" t="s">
        <v>7104</v>
      </c>
    </row>
    <row r="6430" spans="1:2" x14ac:dyDescent="0.25">
      <c r="A6430" s="62">
        <v>39121607</v>
      </c>
      <c r="B6430" s="63" t="s">
        <v>7105</v>
      </c>
    </row>
    <row r="6431" spans="1:2" x14ac:dyDescent="0.25">
      <c r="A6431" s="62">
        <v>39121608</v>
      </c>
      <c r="B6431" s="63" t="s">
        <v>7106</v>
      </c>
    </row>
    <row r="6432" spans="1:2" x14ac:dyDescent="0.25">
      <c r="A6432" s="62">
        <v>39121609</v>
      </c>
      <c r="B6432" s="63" t="s">
        <v>7107</v>
      </c>
    </row>
    <row r="6433" spans="1:2" x14ac:dyDescent="0.25">
      <c r="A6433" s="62">
        <v>39121610</v>
      </c>
      <c r="B6433" s="63" t="s">
        <v>7108</v>
      </c>
    </row>
    <row r="6434" spans="1:2" x14ac:dyDescent="0.25">
      <c r="A6434" s="62">
        <v>39121611</v>
      </c>
      <c r="B6434" s="63" t="s">
        <v>7109</v>
      </c>
    </row>
    <row r="6435" spans="1:2" x14ac:dyDescent="0.25">
      <c r="A6435" s="62">
        <v>39121612</v>
      </c>
      <c r="B6435" s="63" t="s">
        <v>7110</v>
      </c>
    </row>
    <row r="6436" spans="1:2" x14ac:dyDescent="0.25">
      <c r="A6436" s="62">
        <v>39121613</v>
      </c>
      <c r="B6436" s="63" t="s">
        <v>7111</v>
      </c>
    </row>
    <row r="6437" spans="1:2" x14ac:dyDescent="0.25">
      <c r="A6437" s="62">
        <v>39121614</v>
      </c>
      <c r="B6437" s="63" t="s">
        <v>7112</v>
      </c>
    </row>
    <row r="6438" spans="1:2" x14ac:dyDescent="0.25">
      <c r="A6438" s="62">
        <v>39121615</v>
      </c>
      <c r="B6438" s="63" t="s">
        <v>7113</v>
      </c>
    </row>
    <row r="6439" spans="1:2" x14ac:dyDescent="0.25">
      <c r="A6439" s="62">
        <v>39121616</v>
      </c>
      <c r="B6439" s="63" t="s">
        <v>7114</v>
      </c>
    </row>
    <row r="6440" spans="1:2" x14ac:dyDescent="0.25">
      <c r="A6440" s="62">
        <v>39121617</v>
      </c>
      <c r="B6440" s="63" t="s">
        <v>7115</v>
      </c>
    </row>
    <row r="6441" spans="1:2" x14ac:dyDescent="0.25">
      <c r="A6441" s="62">
        <v>39121618</v>
      </c>
      <c r="B6441" s="63" t="s">
        <v>7116</v>
      </c>
    </row>
    <row r="6442" spans="1:2" x14ac:dyDescent="0.25">
      <c r="A6442" s="62">
        <v>39121619</v>
      </c>
      <c r="B6442" s="63" t="s">
        <v>7117</v>
      </c>
    </row>
    <row r="6443" spans="1:2" x14ac:dyDescent="0.25">
      <c r="A6443" s="62">
        <v>39121701</v>
      </c>
      <c r="B6443" s="63" t="s">
        <v>7118</v>
      </c>
    </row>
    <row r="6444" spans="1:2" x14ac:dyDescent="0.25">
      <c r="A6444" s="62">
        <v>39121702</v>
      </c>
      <c r="B6444" s="63" t="s">
        <v>7119</v>
      </c>
    </row>
    <row r="6445" spans="1:2" x14ac:dyDescent="0.25">
      <c r="A6445" s="62">
        <v>39121703</v>
      </c>
      <c r="B6445" s="63" t="s">
        <v>7120</v>
      </c>
    </row>
    <row r="6446" spans="1:2" x14ac:dyDescent="0.25">
      <c r="A6446" s="62">
        <v>39121704</v>
      </c>
      <c r="B6446" s="63" t="s">
        <v>7121</v>
      </c>
    </row>
    <row r="6447" spans="1:2" x14ac:dyDescent="0.25">
      <c r="A6447" s="62">
        <v>39121705</v>
      </c>
      <c r="B6447" s="63" t="s">
        <v>7122</v>
      </c>
    </row>
    <row r="6448" spans="1:2" x14ac:dyDescent="0.25">
      <c r="A6448" s="62">
        <v>39121706</v>
      </c>
      <c r="B6448" s="63" t="s">
        <v>7123</v>
      </c>
    </row>
    <row r="6449" spans="1:2" x14ac:dyDescent="0.25">
      <c r="A6449" s="62">
        <v>39121707</v>
      </c>
      <c r="B6449" s="63" t="s">
        <v>7124</v>
      </c>
    </row>
    <row r="6450" spans="1:2" x14ac:dyDescent="0.25">
      <c r="A6450" s="62">
        <v>39121708</v>
      </c>
      <c r="B6450" s="63" t="s">
        <v>7125</v>
      </c>
    </row>
    <row r="6451" spans="1:2" x14ac:dyDescent="0.25">
      <c r="A6451" s="62">
        <v>39121709</v>
      </c>
      <c r="B6451" s="63" t="s">
        <v>7126</v>
      </c>
    </row>
    <row r="6452" spans="1:2" x14ac:dyDescent="0.25">
      <c r="A6452" s="62">
        <v>39121710</v>
      </c>
      <c r="B6452" s="63" t="s">
        <v>7127</v>
      </c>
    </row>
    <row r="6453" spans="1:2" x14ac:dyDescent="0.25">
      <c r="A6453" s="62">
        <v>39121711</v>
      </c>
      <c r="B6453" s="63" t="s">
        <v>7128</v>
      </c>
    </row>
    <row r="6454" spans="1:2" x14ac:dyDescent="0.25">
      <c r="A6454" s="62">
        <v>39121712</v>
      </c>
      <c r="B6454" s="63" t="s">
        <v>7129</v>
      </c>
    </row>
    <row r="6455" spans="1:2" x14ac:dyDescent="0.25">
      <c r="A6455" s="62">
        <v>39121713</v>
      </c>
      <c r="B6455" s="63" t="s">
        <v>7130</v>
      </c>
    </row>
    <row r="6456" spans="1:2" x14ac:dyDescent="0.25">
      <c r="A6456" s="62">
        <v>39121714</v>
      </c>
      <c r="B6456" s="63" t="s">
        <v>7131</v>
      </c>
    </row>
    <row r="6457" spans="1:2" x14ac:dyDescent="0.25">
      <c r="A6457" s="62">
        <v>39121715</v>
      </c>
      <c r="B6457" s="63" t="s">
        <v>7132</v>
      </c>
    </row>
    <row r="6458" spans="1:2" x14ac:dyDescent="0.25">
      <c r="A6458" s="62">
        <v>39121716</v>
      </c>
      <c r="B6458" s="63" t="s">
        <v>7133</v>
      </c>
    </row>
    <row r="6459" spans="1:2" x14ac:dyDescent="0.25">
      <c r="A6459" s="62">
        <v>39121717</v>
      </c>
      <c r="B6459" s="63" t="s">
        <v>7134</v>
      </c>
    </row>
    <row r="6460" spans="1:2" x14ac:dyDescent="0.25">
      <c r="A6460" s="62">
        <v>39121718</v>
      </c>
      <c r="B6460" s="63" t="s">
        <v>7135</v>
      </c>
    </row>
    <row r="6461" spans="1:2" x14ac:dyDescent="0.25">
      <c r="A6461" s="62">
        <v>39121719</v>
      </c>
      <c r="B6461" s="63" t="s">
        <v>7136</v>
      </c>
    </row>
    <row r="6462" spans="1:2" x14ac:dyDescent="0.25">
      <c r="A6462" s="62">
        <v>39121720</v>
      </c>
      <c r="B6462" s="63" t="s">
        <v>7137</v>
      </c>
    </row>
    <row r="6463" spans="1:2" x14ac:dyDescent="0.25">
      <c r="A6463" s="62">
        <v>39121721</v>
      </c>
      <c r="B6463" s="63" t="s">
        <v>7138</v>
      </c>
    </row>
    <row r="6464" spans="1:2" x14ac:dyDescent="0.25">
      <c r="A6464" s="62">
        <v>40101501</v>
      </c>
      <c r="B6464" s="63" t="s">
        <v>7139</v>
      </c>
    </row>
    <row r="6465" spans="1:2" x14ac:dyDescent="0.25">
      <c r="A6465" s="62">
        <v>40101502</v>
      </c>
      <c r="B6465" s="63" t="s">
        <v>7140</v>
      </c>
    </row>
    <row r="6466" spans="1:2" x14ac:dyDescent="0.25">
      <c r="A6466" s="62">
        <v>40101503</v>
      </c>
      <c r="B6466" s="63" t="s">
        <v>7141</v>
      </c>
    </row>
    <row r="6467" spans="1:2" x14ac:dyDescent="0.25">
      <c r="A6467" s="62">
        <v>40101504</v>
      </c>
      <c r="B6467" s="63" t="s">
        <v>7142</v>
      </c>
    </row>
    <row r="6468" spans="1:2" x14ac:dyDescent="0.25">
      <c r="A6468" s="62">
        <v>40101505</v>
      </c>
      <c r="B6468" s="63" t="s">
        <v>7143</v>
      </c>
    </row>
    <row r="6469" spans="1:2" x14ac:dyDescent="0.25">
      <c r="A6469" s="62">
        <v>40101506</v>
      </c>
      <c r="B6469" s="63" t="s">
        <v>7144</v>
      </c>
    </row>
    <row r="6470" spans="1:2" x14ac:dyDescent="0.25">
      <c r="A6470" s="62">
        <v>40101601</v>
      </c>
      <c r="B6470" s="63" t="s">
        <v>7145</v>
      </c>
    </row>
    <row r="6471" spans="1:2" x14ac:dyDescent="0.25">
      <c r="A6471" s="62">
        <v>40101602</v>
      </c>
      <c r="B6471" s="63" t="s">
        <v>7146</v>
      </c>
    </row>
    <row r="6472" spans="1:2" x14ac:dyDescent="0.25">
      <c r="A6472" s="62">
        <v>40101603</v>
      </c>
      <c r="B6472" s="63" t="s">
        <v>7147</v>
      </c>
    </row>
    <row r="6473" spans="1:2" x14ac:dyDescent="0.25">
      <c r="A6473" s="62">
        <v>40101604</v>
      </c>
      <c r="B6473" s="63" t="s">
        <v>7148</v>
      </c>
    </row>
    <row r="6474" spans="1:2" x14ac:dyDescent="0.25">
      <c r="A6474" s="62">
        <v>40101605</v>
      </c>
      <c r="B6474" s="63" t="s">
        <v>7149</v>
      </c>
    </row>
    <row r="6475" spans="1:2" x14ac:dyDescent="0.25">
      <c r="A6475" s="62">
        <v>40101701</v>
      </c>
      <c r="B6475" s="63" t="s">
        <v>7150</v>
      </c>
    </row>
    <row r="6476" spans="1:2" x14ac:dyDescent="0.25">
      <c r="A6476" s="62">
        <v>40101702</v>
      </c>
      <c r="B6476" s="63" t="s">
        <v>7151</v>
      </c>
    </row>
    <row r="6477" spans="1:2" x14ac:dyDescent="0.25">
      <c r="A6477" s="62">
        <v>40101703</v>
      </c>
      <c r="B6477" s="63" t="s">
        <v>7152</v>
      </c>
    </row>
    <row r="6478" spans="1:2" x14ac:dyDescent="0.25">
      <c r="A6478" s="62">
        <v>40101704</v>
      </c>
      <c r="B6478" s="63" t="s">
        <v>7153</v>
      </c>
    </row>
    <row r="6479" spans="1:2" x14ac:dyDescent="0.25">
      <c r="A6479" s="62">
        <v>40101705</v>
      </c>
      <c r="B6479" s="63" t="s">
        <v>7154</v>
      </c>
    </row>
    <row r="6480" spans="1:2" x14ac:dyDescent="0.25">
      <c r="A6480" s="62">
        <v>40101706</v>
      </c>
      <c r="B6480" s="63" t="s">
        <v>7155</v>
      </c>
    </row>
    <row r="6481" spans="1:2" x14ac:dyDescent="0.25">
      <c r="A6481" s="62">
        <v>40101707</v>
      </c>
      <c r="B6481" s="63" t="s">
        <v>7156</v>
      </c>
    </row>
    <row r="6482" spans="1:2" x14ac:dyDescent="0.25">
      <c r="A6482" s="62">
        <v>40101801</v>
      </c>
      <c r="B6482" s="63" t="s">
        <v>7157</v>
      </c>
    </row>
    <row r="6483" spans="1:2" x14ac:dyDescent="0.25">
      <c r="A6483" s="62">
        <v>40101802</v>
      </c>
      <c r="B6483" s="63" t="s">
        <v>7158</v>
      </c>
    </row>
    <row r="6484" spans="1:2" x14ac:dyDescent="0.25">
      <c r="A6484" s="62">
        <v>40101803</v>
      </c>
      <c r="B6484" s="63" t="s">
        <v>7159</v>
      </c>
    </row>
    <row r="6485" spans="1:2" x14ac:dyDescent="0.25">
      <c r="A6485" s="62">
        <v>40101805</v>
      </c>
      <c r="B6485" s="63" t="s">
        <v>7160</v>
      </c>
    </row>
    <row r="6486" spans="1:2" x14ac:dyDescent="0.25">
      <c r="A6486" s="62">
        <v>40101806</v>
      </c>
      <c r="B6486" s="63" t="s">
        <v>7161</v>
      </c>
    </row>
    <row r="6487" spans="1:2" x14ac:dyDescent="0.25">
      <c r="A6487" s="62">
        <v>40101807</v>
      </c>
      <c r="B6487" s="63" t="s">
        <v>7162</v>
      </c>
    </row>
    <row r="6488" spans="1:2" x14ac:dyDescent="0.25">
      <c r="A6488" s="62">
        <v>40101808</v>
      </c>
      <c r="B6488" s="63" t="s">
        <v>7163</v>
      </c>
    </row>
    <row r="6489" spans="1:2" x14ac:dyDescent="0.25">
      <c r="A6489" s="62">
        <v>40101809</v>
      </c>
      <c r="B6489" s="63" t="s">
        <v>7164</v>
      </c>
    </row>
    <row r="6490" spans="1:2" x14ac:dyDescent="0.25">
      <c r="A6490" s="62">
        <v>40101810</v>
      </c>
      <c r="B6490" s="63" t="s">
        <v>7165</v>
      </c>
    </row>
    <row r="6491" spans="1:2" x14ac:dyDescent="0.25">
      <c r="A6491" s="62">
        <v>40101811</v>
      </c>
      <c r="B6491" s="63" t="s">
        <v>7166</v>
      </c>
    </row>
    <row r="6492" spans="1:2" x14ac:dyDescent="0.25">
      <c r="A6492" s="62">
        <v>40101812</v>
      </c>
      <c r="B6492" s="63" t="s">
        <v>7167</v>
      </c>
    </row>
    <row r="6493" spans="1:2" x14ac:dyDescent="0.25">
      <c r="A6493" s="62">
        <v>40101813</v>
      </c>
      <c r="B6493" s="63" t="s">
        <v>7168</v>
      </c>
    </row>
    <row r="6494" spans="1:2" x14ac:dyDescent="0.25">
      <c r="A6494" s="62">
        <v>40101814</v>
      </c>
      <c r="B6494" s="63" t="s">
        <v>7169</v>
      </c>
    </row>
    <row r="6495" spans="1:2" x14ac:dyDescent="0.25">
      <c r="A6495" s="62">
        <v>40101815</v>
      </c>
      <c r="B6495" s="63" t="s">
        <v>7170</v>
      </c>
    </row>
    <row r="6496" spans="1:2" x14ac:dyDescent="0.25">
      <c r="A6496" s="62">
        <v>40101816</v>
      </c>
      <c r="B6496" s="63" t="s">
        <v>7171</v>
      </c>
    </row>
    <row r="6497" spans="1:2" x14ac:dyDescent="0.25">
      <c r="A6497" s="62">
        <v>40101817</v>
      </c>
      <c r="B6497" s="63" t="s">
        <v>7172</v>
      </c>
    </row>
    <row r="6498" spans="1:2" x14ac:dyDescent="0.25">
      <c r="A6498" s="62">
        <v>40101818</v>
      </c>
      <c r="B6498" s="63" t="s">
        <v>7173</v>
      </c>
    </row>
    <row r="6499" spans="1:2" x14ac:dyDescent="0.25">
      <c r="A6499" s="62">
        <v>40101819</v>
      </c>
      <c r="B6499" s="63" t="s">
        <v>7174</v>
      </c>
    </row>
    <row r="6500" spans="1:2" x14ac:dyDescent="0.25">
      <c r="A6500" s="62">
        <v>40101820</v>
      </c>
      <c r="B6500" s="63" t="s">
        <v>7167</v>
      </c>
    </row>
    <row r="6501" spans="1:2" x14ac:dyDescent="0.25">
      <c r="A6501" s="62">
        <v>40101821</v>
      </c>
      <c r="B6501" s="63" t="s">
        <v>7175</v>
      </c>
    </row>
    <row r="6502" spans="1:2" x14ac:dyDescent="0.25">
      <c r="A6502" s="62">
        <v>40101822</v>
      </c>
      <c r="B6502" s="63" t="s">
        <v>7176</v>
      </c>
    </row>
    <row r="6503" spans="1:2" x14ac:dyDescent="0.25">
      <c r="A6503" s="62">
        <v>40101823</v>
      </c>
      <c r="B6503" s="63" t="s">
        <v>7177</v>
      </c>
    </row>
    <row r="6504" spans="1:2" x14ac:dyDescent="0.25">
      <c r="A6504" s="62">
        <v>40101824</v>
      </c>
      <c r="B6504" s="63" t="s">
        <v>7178</v>
      </c>
    </row>
    <row r="6505" spans="1:2" x14ac:dyDescent="0.25">
      <c r="A6505" s="62">
        <v>40101825</v>
      </c>
      <c r="B6505" s="63" t="s">
        <v>7179</v>
      </c>
    </row>
    <row r="6506" spans="1:2" x14ac:dyDescent="0.25">
      <c r="A6506" s="62">
        <v>40101826</v>
      </c>
      <c r="B6506" s="63" t="s">
        <v>7180</v>
      </c>
    </row>
    <row r="6507" spans="1:2" x14ac:dyDescent="0.25">
      <c r="A6507" s="62">
        <v>40101827</v>
      </c>
      <c r="B6507" s="63" t="s">
        <v>7181</v>
      </c>
    </row>
    <row r="6508" spans="1:2" x14ac:dyDescent="0.25">
      <c r="A6508" s="62">
        <v>40101828</v>
      </c>
      <c r="B6508" s="63" t="s">
        <v>7182</v>
      </c>
    </row>
    <row r="6509" spans="1:2" x14ac:dyDescent="0.25">
      <c r="A6509" s="62">
        <v>40101829</v>
      </c>
      <c r="B6509" s="63" t="s">
        <v>7183</v>
      </c>
    </row>
    <row r="6510" spans="1:2" x14ac:dyDescent="0.25">
      <c r="A6510" s="62">
        <v>40101830</v>
      </c>
      <c r="B6510" s="63" t="s">
        <v>7184</v>
      </c>
    </row>
    <row r="6511" spans="1:2" x14ac:dyDescent="0.25">
      <c r="A6511" s="62">
        <v>40101831</v>
      </c>
      <c r="B6511" s="63" t="s">
        <v>7185</v>
      </c>
    </row>
    <row r="6512" spans="1:2" x14ac:dyDescent="0.25">
      <c r="A6512" s="62">
        <v>40101832</v>
      </c>
      <c r="B6512" s="63" t="s">
        <v>7186</v>
      </c>
    </row>
    <row r="6513" spans="1:2" x14ac:dyDescent="0.25">
      <c r="A6513" s="62">
        <v>40101833</v>
      </c>
      <c r="B6513" s="63" t="s">
        <v>7187</v>
      </c>
    </row>
    <row r="6514" spans="1:2" x14ac:dyDescent="0.25">
      <c r="A6514" s="62">
        <v>40101834</v>
      </c>
      <c r="B6514" s="63" t="s">
        <v>7188</v>
      </c>
    </row>
    <row r="6515" spans="1:2" x14ac:dyDescent="0.25">
      <c r="A6515" s="62">
        <v>40101901</v>
      </c>
      <c r="B6515" s="63" t="s">
        <v>7189</v>
      </c>
    </row>
    <row r="6516" spans="1:2" x14ac:dyDescent="0.25">
      <c r="A6516" s="62">
        <v>40101902</v>
      </c>
      <c r="B6516" s="63" t="s">
        <v>7190</v>
      </c>
    </row>
    <row r="6517" spans="1:2" x14ac:dyDescent="0.25">
      <c r="A6517" s="62">
        <v>40101903</v>
      </c>
      <c r="B6517" s="63" t="s">
        <v>7191</v>
      </c>
    </row>
    <row r="6518" spans="1:2" x14ac:dyDescent="0.25">
      <c r="A6518" s="62">
        <v>40102001</v>
      </c>
      <c r="B6518" s="63" t="s">
        <v>7192</v>
      </c>
    </row>
    <row r="6519" spans="1:2" x14ac:dyDescent="0.25">
      <c r="A6519" s="62">
        <v>40102002</v>
      </c>
      <c r="B6519" s="63" t="s">
        <v>7193</v>
      </c>
    </row>
    <row r="6520" spans="1:2" x14ac:dyDescent="0.25">
      <c r="A6520" s="62">
        <v>40102003</v>
      </c>
      <c r="B6520" s="63" t="s">
        <v>7194</v>
      </c>
    </row>
    <row r="6521" spans="1:2" x14ac:dyDescent="0.25">
      <c r="A6521" s="62">
        <v>40102004</v>
      </c>
      <c r="B6521" s="63" t="s">
        <v>7195</v>
      </c>
    </row>
    <row r="6522" spans="1:2" x14ac:dyDescent="0.25">
      <c r="A6522" s="62">
        <v>40102005</v>
      </c>
      <c r="B6522" s="63" t="s">
        <v>7196</v>
      </c>
    </row>
    <row r="6523" spans="1:2" x14ac:dyDescent="0.25">
      <c r="A6523" s="62">
        <v>40141602</v>
      </c>
      <c r="B6523" s="63" t="s">
        <v>7197</v>
      </c>
    </row>
    <row r="6524" spans="1:2" x14ac:dyDescent="0.25">
      <c r="A6524" s="62">
        <v>40141603</v>
      </c>
      <c r="B6524" s="63" t="s">
        <v>7198</v>
      </c>
    </row>
    <row r="6525" spans="1:2" x14ac:dyDescent="0.25">
      <c r="A6525" s="62">
        <v>40141604</v>
      </c>
      <c r="B6525" s="63" t="s">
        <v>7199</v>
      </c>
    </row>
    <row r="6526" spans="1:2" x14ac:dyDescent="0.25">
      <c r="A6526" s="62">
        <v>40141605</v>
      </c>
      <c r="B6526" s="63" t="s">
        <v>7200</v>
      </c>
    </row>
    <row r="6527" spans="1:2" x14ac:dyDescent="0.25">
      <c r="A6527" s="62">
        <v>40141606</v>
      </c>
      <c r="B6527" s="63" t="s">
        <v>7201</v>
      </c>
    </row>
    <row r="6528" spans="1:2" x14ac:dyDescent="0.25">
      <c r="A6528" s="62">
        <v>40141607</v>
      </c>
      <c r="B6528" s="63" t="s">
        <v>7202</v>
      </c>
    </row>
    <row r="6529" spans="1:2" x14ac:dyDescent="0.25">
      <c r="A6529" s="62">
        <v>40141608</v>
      </c>
      <c r="B6529" s="63" t="s">
        <v>7203</v>
      </c>
    </row>
    <row r="6530" spans="1:2" x14ac:dyDescent="0.25">
      <c r="A6530" s="62">
        <v>40141609</v>
      </c>
      <c r="B6530" s="63" t="s">
        <v>7204</v>
      </c>
    </row>
    <row r="6531" spans="1:2" x14ac:dyDescent="0.25">
      <c r="A6531" s="62">
        <v>40141610</v>
      </c>
      <c r="B6531" s="63" t="s">
        <v>7205</v>
      </c>
    </row>
    <row r="6532" spans="1:2" x14ac:dyDescent="0.25">
      <c r="A6532" s="62">
        <v>40141611</v>
      </c>
      <c r="B6532" s="63" t="s">
        <v>7206</v>
      </c>
    </row>
    <row r="6533" spans="1:2" x14ac:dyDescent="0.25">
      <c r="A6533" s="62">
        <v>40141612</v>
      </c>
      <c r="B6533" s="63" t="s">
        <v>7207</v>
      </c>
    </row>
    <row r="6534" spans="1:2" x14ac:dyDescent="0.25">
      <c r="A6534" s="62">
        <v>40141613</v>
      </c>
      <c r="B6534" s="63" t="s">
        <v>7208</v>
      </c>
    </row>
    <row r="6535" spans="1:2" x14ac:dyDescent="0.25">
      <c r="A6535" s="62">
        <v>40141615</v>
      </c>
      <c r="B6535" s="63" t="s">
        <v>7209</v>
      </c>
    </row>
    <row r="6536" spans="1:2" x14ac:dyDescent="0.25">
      <c r="A6536" s="62">
        <v>40141616</v>
      </c>
      <c r="B6536" s="63" t="s">
        <v>7210</v>
      </c>
    </row>
    <row r="6537" spans="1:2" x14ac:dyDescent="0.25">
      <c r="A6537" s="62">
        <v>40141617</v>
      </c>
      <c r="B6537" s="63" t="s">
        <v>7211</v>
      </c>
    </row>
    <row r="6538" spans="1:2" x14ac:dyDescent="0.25">
      <c r="A6538" s="62">
        <v>40141618</v>
      </c>
      <c r="B6538" s="63" t="s">
        <v>7212</v>
      </c>
    </row>
    <row r="6539" spans="1:2" x14ac:dyDescent="0.25">
      <c r="A6539" s="62">
        <v>40141619</v>
      </c>
      <c r="B6539" s="63" t="s">
        <v>7213</v>
      </c>
    </row>
    <row r="6540" spans="1:2" x14ac:dyDescent="0.25">
      <c r="A6540" s="62">
        <v>40141620</v>
      </c>
      <c r="B6540" s="63" t="s">
        <v>7214</v>
      </c>
    </row>
    <row r="6541" spans="1:2" x14ac:dyDescent="0.25">
      <c r="A6541" s="62">
        <v>40141621</v>
      </c>
      <c r="B6541" s="63" t="s">
        <v>7215</v>
      </c>
    </row>
    <row r="6542" spans="1:2" x14ac:dyDescent="0.25">
      <c r="A6542" s="62">
        <v>40141622</v>
      </c>
      <c r="B6542" s="63" t="s">
        <v>7216</v>
      </c>
    </row>
    <row r="6543" spans="1:2" x14ac:dyDescent="0.25">
      <c r="A6543" s="62">
        <v>40141623</v>
      </c>
      <c r="B6543" s="63" t="s">
        <v>7217</v>
      </c>
    </row>
    <row r="6544" spans="1:2" x14ac:dyDescent="0.25">
      <c r="A6544" s="62">
        <v>40141624</v>
      </c>
      <c r="B6544" s="63" t="s">
        <v>7218</v>
      </c>
    </row>
    <row r="6545" spans="1:2" x14ac:dyDescent="0.25">
      <c r="A6545" s="62">
        <v>40141625</v>
      </c>
      <c r="B6545" s="63" t="s">
        <v>7219</v>
      </c>
    </row>
    <row r="6546" spans="1:2" x14ac:dyDescent="0.25">
      <c r="A6546" s="62">
        <v>40141626</v>
      </c>
      <c r="B6546" s="63" t="s">
        <v>7220</v>
      </c>
    </row>
    <row r="6547" spans="1:2" x14ac:dyDescent="0.25">
      <c r="A6547" s="62">
        <v>40141627</v>
      </c>
      <c r="B6547" s="63" t="s">
        <v>7221</v>
      </c>
    </row>
    <row r="6548" spans="1:2" x14ac:dyDescent="0.25">
      <c r="A6548" s="62">
        <v>40141628</v>
      </c>
      <c r="B6548" s="63" t="s">
        <v>7222</v>
      </c>
    </row>
    <row r="6549" spans="1:2" x14ac:dyDescent="0.25">
      <c r="A6549" s="62">
        <v>40141629</v>
      </c>
      <c r="B6549" s="63" t="s">
        <v>7223</v>
      </c>
    </row>
    <row r="6550" spans="1:2" x14ac:dyDescent="0.25">
      <c r="A6550" s="62">
        <v>40141630</v>
      </c>
      <c r="B6550" s="63" t="s">
        <v>7224</v>
      </c>
    </row>
    <row r="6551" spans="1:2" x14ac:dyDescent="0.25">
      <c r="A6551" s="62">
        <v>40141631</v>
      </c>
      <c r="B6551" s="63" t="s">
        <v>7225</v>
      </c>
    </row>
    <row r="6552" spans="1:2" x14ac:dyDescent="0.25">
      <c r="A6552" s="62">
        <v>40141632</v>
      </c>
      <c r="B6552" s="63" t="s">
        <v>7226</v>
      </c>
    </row>
    <row r="6553" spans="1:2" x14ac:dyDescent="0.25">
      <c r="A6553" s="62">
        <v>40141633</v>
      </c>
      <c r="B6553" s="63" t="s">
        <v>7227</v>
      </c>
    </row>
    <row r="6554" spans="1:2" x14ac:dyDescent="0.25">
      <c r="A6554" s="62">
        <v>40141634</v>
      </c>
      <c r="B6554" s="63" t="s">
        <v>7228</v>
      </c>
    </row>
    <row r="6555" spans="1:2" x14ac:dyDescent="0.25">
      <c r="A6555" s="62">
        <v>40141635</v>
      </c>
      <c r="B6555" s="63" t="s">
        <v>7229</v>
      </c>
    </row>
    <row r="6556" spans="1:2" x14ac:dyDescent="0.25">
      <c r="A6556" s="62">
        <v>40141636</v>
      </c>
      <c r="B6556" s="63" t="s">
        <v>7230</v>
      </c>
    </row>
    <row r="6557" spans="1:2" x14ac:dyDescent="0.25">
      <c r="A6557" s="62">
        <v>40141637</v>
      </c>
      <c r="B6557" s="63" t="s">
        <v>7231</v>
      </c>
    </row>
    <row r="6558" spans="1:2" x14ac:dyDescent="0.25">
      <c r="A6558" s="62">
        <v>40141638</v>
      </c>
      <c r="B6558" s="63" t="s">
        <v>7232</v>
      </c>
    </row>
    <row r="6559" spans="1:2" x14ac:dyDescent="0.25">
      <c r="A6559" s="62">
        <v>40141701</v>
      </c>
      <c r="B6559" s="63" t="s">
        <v>7233</v>
      </c>
    </row>
    <row r="6560" spans="1:2" x14ac:dyDescent="0.25">
      <c r="A6560" s="62">
        <v>40141702</v>
      </c>
      <c r="B6560" s="63" t="s">
        <v>7234</v>
      </c>
    </row>
    <row r="6561" spans="1:2" x14ac:dyDescent="0.25">
      <c r="A6561" s="62">
        <v>40141703</v>
      </c>
      <c r="B6561" s="63" t="s">
        <v>7235</v>
      </c>
    </row>
    <row r="6562" spans="1:2" x14ac:dyDescent="0.25">
      <c r="A6562" s="62">
        <v>40141704</v>
      </c>
      <c r="B6562" s="63" t="s">
        <v>7236</v>
      </c>
    </row>
    <row r="6563" spans="1:2" x14ac:dyDescent="0.25">
      <c r="A6563" s="62">
        <v>40141705</v>
      </c>
      <c r="B6563" s="63" t="s">
        <v>7237</v>
      </c>
    </row>
    <row r="6564" spans="1:2" x14ac:dyDescent="0.25">
      <c r="A6564" s="62">
        <v>40141716</v>
      </c>
      <c r="B6564" s="63" t="s">
        <v>7238</v>
      </c>
    </row>
    <row r="6565" spans="1:2" x14ac:dyDescent="0.25">
      <c r="A6565" s="62">
        <v>40141719</v>
      </c>
      <c r="B6565" s="63" t="s">
        <v>7239</v>
      </c>
    </row>
    <row r="6566" spans="1:2" x14ac:dyDescent="0.25">
      <c r="A6566" s="62">
        <v>40141720</v>
      </c>
      <c r="B6566" s="63" t="s">
        <v>7240</v>
      </c>
    </row>
    <row r="6567" spans="1:2" x14ac:dyDescent="0.25">
      <c r="A6567" s="62">
        <v>40141725</v>
      </c>
      <c r="B6567" s="63" t="s">
        <v>7241</v>
      </c>
    </row>
    <row r="6568" spans="1:2" x14ac:dyDescent="0.25">
      <c r="A6568" s="62">
        <v>40141726</v>
      </c>
      <c r="B6568" s="63" t="s">
        <v>7242</v>
      </c>
    </row>
    <row r="6569" spans="1:2" x14ac:dyDescent="0.25">
      <c r="A6569" s="62">
        <v>40141727</v>
      </c>
      <c r="B6569" s="63" t="s">
        <v>7243</v>
      </c>
    </row>
    <row r="6570" spans="1:2" x14ac:dyDescent="0.25">
      <c r="A6570" s="62">
        <v>40141731</v>
      </c>
      <c r="B6570" s="63" t="s">
        <v>7244</v>
      </c>
    </row>
    <row r="6571" spans="1:2" x14ac:dyDescent="0.25">
      <c r="A6571" s="62">
        <v>40141732</v>
      </c>
      <c r="B6571" s="63" t="s">
        <v>7245</v>
      </c>
    </row>
    <row r="6572" spans="1:2" x14ac:dyDescent="0.25">
      <c r="A6572" s="62">
        <v>40141734</v>
      </c>
      <c r="B6572" s="63" t="s">
        <v>7246</v>
      </c>
    </row>
    <row r="6573" spans="1:2" x14ac:dyDescent="0.25">
      <c r="A6573" s="62">
        <v>40141735</v>
      </c>
      <c r="B6573" s="63" t="s">
        <v>7247</v>
      </c>
    </row>
    <row r="6574" spans="1:2" x14ac:dyDescent="0.25">
      <c r="A6574" s="62">
        <v>40141736</v>
      </c>
      <c r="B6574" s="63" t="s">
        <v>7248</v>
      </c>
    </row>
    <row r="6575" spans="1:2" x14ac:dyDescent="0.25">
      <c r="A6575" s="62">
        <v>40141737</v>
      </c>
      <c r="B6575" s="63" t="s">
        <v>7249</v>
      </c>
    </row>
    <row r="6576" spans="1:2" x14ac:dyDescent="0.25">
      <c r="A6576" s="62">
        <v>40141738</v>
      </c>
      <c r="B6576" s="63" t="s">
        <v>7250</v>
      </c>
    </row>
    <row r="6577" spans="1:2" x14ac:dyDescent="0.25">
      <c r="A6577" s="62">
        <v>40141739</v>
      </c>
      <c r="B6577" s="63" t="s">
        <v>7251</v>
      </c>
    </row>
    <row r="6578" spans="1:2" x14ac:dyDescent="0.25">
      <c r="A6578" s="62">
        <v>40141740</v>
      </c>
      <c r="B6578" s="63" t="s">
        <v>7252</v>
      </c>
    </row>
    <row r="6579" spans="1:2" x14ac:dyDescent="0.25">
      <c r="A6579" s="62">
        <v>40141741</v>
      </c>
      <c r="B6579" s="63" t="s">
        <v>7253</v>
      </c>
    </row>
    <row r="6580" spans="1:2" x14ac:dyDescent="0.25">
      <c r="A6580" s="62">
        <v>40141742</v>
      </c>
      <c r="B6580" s="63" t="s">
        <v>7254</v>
      </c>
    </row>
    <row r="6581" spans="1:2" x14ac:dyDescent="0.25">
      <c r="A6581" s="62">
        <v>40141743</v>
      </c>
      <c r="B6581" s="63" t="s">
        <v>7255</v>
      </c>
    </row>
    <row r="6582" spans="1:2" x14ac:dyDescent="0.25">
      <c r="A6582" s="62">
        <v>40141744</v>
      </c>
      <c r="B6582" s="63" t="s">
        <v>7256</v>
      </c>
    </row>
    <row r="6583" spans="1:2" x14ac:dyDescent="0.25">
      <c r="A6583" s="62">
        <v>40141745</v>
      </c>
      <c r="B6583" s="63" t="s">
        <v>7257</v>
      </c>
    </row>
    <row r="6584" spans="1:2" x14ac:dyDescent="0.25">
      <c r="A6584" s="62">
        <v>40141746</v>
      </c>
      <c r="B6584" s="63" t="s">
        <v>7258</v>
      </c>
    </row>
    <row r="6585" spans="1:2" x14ac:dyDescent="0.25">
      <c r="A6585" s="62">
        <v>40141901</v>
      </c>
      <c r="B6585" s="63" t="s">
        <v>7259</v>
      </c>
    </row>
    <row r="6586" spans="1:2" x14ac:dyDescent="0.25">
      <c r="A6586" s="62">
        <v>40141902</v>
      </c>
      <c r="B6586" s="63" t="s">
        <v>7260</v>
      </c>
    </row>
    <row r="6587" spans="1:2" x14ac:dyDescent="0.25">
      <c r="A6587" s="62">
        <v>40141903</v>
      </c>
      <c r="B6587" s="63" t="s">
        <v>7261</v>
      </c>
    </row>
    <row r="6588" spans="1:2" x14ac:dyDescent="0.25">
      <c r="A6588" s="62">
        <v>40141904</v>
      </c>
      <c r="B6588" s="63" t="s">
        <v>7262</v>
      </c>
    </row>
    <row r="6589" spans="1:2" x14ac:dyDescent="0.25">
      <c r="A6589" s="62">
        <v>40141905</v>
      </c>
      <c r="B6589" s="63" t="s">
        <v>7263</v>
      </c>
    </row>
    <row r="6590" spans="1:2" x14ac:dyDescent="0.25">
      <c r="A6590" s="62">
        <v>40141906</v>
      </c>
      <c r="B6590" s="63" t="s">
        <v>7264</v>
      </c>
    </row>
    <row r="6591" spans="1:2" x14ac:dyDescent="0.25">
      <c r="A6591" s="62">
        <v>40141907</v>
      </c>
      <c r="B6591" s="63" t="s">
        <v>7264</v>
      </c>
    </row>
    <row r="6592" spans="1:2" x14ac:dyDescent="0.25">
      <c r="A6592" s="62">
        <v>40141908</v>
      </c>
      <c r="B6592" s="63" t="s">
        <v>7265</v>
      </c>
    </row>
    <row r="6593" spans="1:2" x14ac:dyDescent="0.25">
      <c r="A6593" s="62">
        <v>40141909</v>
      </c>
      <c r="B6593" s="63" t="s">
        <v>7266</v>
      </c>
    </row>
    <row r="6594" spans="1:2" x14ac:dyDescent="0.25">
      <c r="A6594" s="62">
        <v>40141910</v>
      </c>
      <c r="B6594" s="63" t="s">
        <v>7267</v>
      </c>
    </row>
    <row r="6595" spans="1:2" x14ac:dyDescent="0.25">
      <c r="A6595" s="62">
        <v>40141911</v>
      </c>
      <c r="B6595" s="63" t="s">
        <v>7268</v>
      </c>
    </row>
    <row r="6596" spans="1:2" x14ac:dyDescent="0.25">
      <c r="A6596" s="62">
        <v>40141912</v>
      </c>
      <c r="B6596" s="63" t="s">
        <v>7269</v>
      </c>
    </row>
    <row r="6597" spans="1:2" x14ac:dyDescent="0.25">
      <c r="A6597" s="62">
        <v>40141913</v>
      </c>
      <c r="B6597" s="63" t="s">
        <v>7270</v>
      </c>
    </row>
    <row r="6598" spans="1:2" x14ac:dyDescent="0.25">
      <c r="A6598" s="62">
        <v>40141914</v>
      </c>
      <c r="B6598" s="63" t="s">
        <v>7271</v>
      </c>
    </row>
    <row r="6599" spans="1:2" x14ac:dyDescent="0.25">
      <c r="A6599" s="62">
        <v>40141915</v>
      </c>
      <c r="B6599" s="63" t="s">
        <v>7272</v>
      </c>
    </row>
    <row r="6600" spans="1:2" x14ac:dyDescent="0.25">
      <c r="A6600" s="62">
        <v>40141916</v>
      </c>
      <c r="B6600" s="63" t="s">
        <v>7273</v>
      </c>
    </row>
    <row r="6601" spans="1:2" x14ac:dyDescent="0.25">
      <c r="A6601" s="62">
        <v>40141917</v>
      </c>
      <c r="B6601" s="63" t="s">
        <v>7274</v>
      </c>
    </row>
    <row r="6602" spans="1:2" x14ac:dyDescent="0.25">
      <c r="A6602" s="62">
        <v>40141918</v>
      </c>
      <c r="B6602" s="63" t="s">
        <v>7275</v>
      </c>
    </row>
    <row r="6603" spans="1:2" x14ac:dyDescent="0.25">
      <c r="A6603" s="62">
        <v>40141919</v>
      </c>
      <c r="B6603" s="63" t="s">
        <v>7276</v>
      </c>
    </row>
    <row r="6604" spans="1:2" x14ac:dyDescent="0.25">
      <c r="A6604" s="62">
        <v>40141920</v>
      </c>
      <c r="B6604" s="63" t="s">
        <v>7277</v>
      </c>
    </row>
    <row r="6605" spans="1:2" x14ac:dyDescent="0.25">
      <c r="A6605" s="62">
        <v>40141921</v>
      </c>
      <c r="B6605" s="63" t="s">
        <v>7278</v>
      </c>
    </row>
    <row r="6606" spans="1:2" x14ac:dyDescent="0.25">
      <c r="A6606" s="62">
        <v>40141922</v>
      </c>
      <c r="B6606" s="63" t="s">
        <v>7279</v>
      </c>
    </row>
    <row r="6607" spans="1:2" x14ac:dyDescent="0.25">
      <c r="A6607" s="62">
        <v>40142001</v>
      </c>
      <c r="B6607" s="63" t="s">
        <v>7280</v>
      </c>
    </row>
    <row r="6608" spans="1:2" x14ac:dyDescent="0.25">
      <c r="A6608" s="62">
        <v>40142002</v>
      </c>
      <c r="B6608" s="63" t="s">
        <v>7281</v>
      </c>
    </row>
    <row r="6609" spans="1:2" x14ac:dyDescent="0.25">
      <c r="A6609" s="62">
        <v>40142003</v>
      </c>
      <c r="B6609" s="63" t="s">
        <v>7282</v>
      </c>
    </row>
    <row r="6610" spans="1:2" x14ac:dyDescent="0.25">
      <c r="A6610" s="62">
        <v>40142004</v>
      </c>
      <c r="B6610" s="63" t="s">
        <v>7283</v>
      </c>
    </row>
    <row r="6611" spans="1:2" x14ac:dyDescent="0.25">
      <c r="A6611" s="62">
        <v>40142005</v>
      </c>
      <c r="B6611" s="63" t="s">
        <v>7284</v>
      </c>
    </row>
    <row r="6612" spans="1:2" x14ac:dyDescent="0.25">
      <c r="A6612" s="62">
        <v>40142006</v>
      </c>
      <c r="B6612" s="63" t="s">
        <v>7285</v>
      </c>
    </row>
    <row r="6613" spans="1:2" x14ac:dyDescent="0.25">
      <c r="A6613" s="62">
        <v>40142007</v>
      </c>
      <c r="B6613" s="63" t="s">
        <v>7286</v>
      </c>
    </row>
    <row r="6614" spans="1:2" x14ac:dyDescent="0.25">
      <c r="A6614" s="62">
        <v>40142008</v>
      </c>
      <c r="B6614" s="63" t="s">
        <v>7287</v>
      </c>
    </row>
    <row r="6615" spans="1:2" x14ac:dyDescent="0.25">
      <c r="A6615" s="62">
        <v>40142009</v>
      </c>
      <c r="B6615" s="63" t="s">
        <v>7288</v>
      </c>
    </row>
    <row r="6616" spans="1:2" x14ac:dyDescent="0.25">
      <c r="A6616" s="62">
        <v>40142010</v>
      </c>
      <c r="B6616" s="63" t="s">
        <v>7289</v>
      </c>
    </row>
    <row r="6617" spans="1:2" x14ac:dyDescent="0.25">
      <c r="A6617" s="62">
        <v>40142101</v>
      </c>
      <c r="B6617" s="63" t="s">
        <v>7290</v>
      </c>
    </row>
    <row r="6618" spans="1:2" x14ac:dyDescent="0.25">
      <c r="A6618" s="62">
        <v>40142102</v>
      </c>
      <c r="B6618" s="63" t="s">
        <v>7291</v>
      </c>
    </row>
    <row r="6619" spans="1:2" x14ac:dyDescent="0.25">
      <c r="A6619" s="62">
        <v>40142103</v>
      </c>
      <c r="B6619" s="63" t="s">
        <v>7292</v>
      </c>
    </row>
    <row r="6620" spans="1:2" x14ac:dyDescent="0.25">
      <c r="A6620" s="62">
        <v>40142104</v>
      </c>
      <c r="B6620" s="63" t="s">
        <v>7293</v>
      </c>
    </row>
    <row r="6621" spans="1:2" x14ac:dyDescent="0.25">
      <c r="A6621" s="62">
        <v>40142105</v>
      </c>
      <c r="B6621" s="63" t="s">
        <v>5849</v>
      </c>
    </row>
    <row r="6622" spans="1:2" x14ac:dyDescent="0.25">
      <c r="A6622" s="62">
        <v>40142106</v>
      </c>
      <c r="B6622" s="63" t="s">
        <v>5866</v>
      </c>
    </row>
    <row r="6623" spans="1:2" x14ac:dyDescent="0.25">
      <c r="A6623" s="62">
        <v>40142107</v>
      </c>
      <c r="B6623" s="63" t="s">
        <v>5854</v>
      </c>
    </row>
    <row r="6624" spans="1:2" x14ac:dyDescent="0.25">
      <c r="A6624" s="62">
        <v>40142108</v>
      </c>
      <c r="B6624" s="63" t="s">
        <v>5856</v>
      </c>
    </row>
    <row r="6625" spans="1:2" x14ac:dyDescent="0.25">
      <c r="A6625" s="62">
        <v>40142109</v>
      </c>
      <c r="B6625" s="63" t="s">
        <v>7294</v>
      </c>
    </row>
    <row r="6626" spans="1:2" x14ac:dyDescent="0.25">
      <c r="A6626" s="62">
        <v>40142110</v>
      </c>
      <c r="B6626" s="63" t="s">
        <v>5850</v>
      </c>
    </row>
    <row r="6627" spans="1:2" x14ac:dyDescent="0.25">
      <c r="A6627" s="62">
        <v>40142111</v>
      </c>
      <c r="B6627" s="63" t="s">
        <v>7295</v>
      </c>
    </row>
    <row r="6628" spans="1:2" x14ac:dyDescent="0.25">
      <c r="A6628" s="62">
        <v>40142112</v>
      </c>
      <c r="B6628" s="63" t="s">
        <v>5855</v>
      </c>
    </row>
    <row r="6629" spans="1:2" x14ac:dyDescent="0.25">
      <c r="A6629" s="62">
        <v>40142113</v>
      </c>
      <c r="B6629" s="63" t="s">
        <v>5852</v>
      </c>
    </row>
    <row r="6630" spans="1:2" x14ac:dyDescent="0.25">
      <c r="A6630" s="62">
        <v>40142114</v>
      </c>
      <c r="B6630" s="63" t="s">
        <v>7296</v>
      </c>
    </row>
    <row r="6631" spans="1:2" x14ac:dyDescent="0.25">
      <c r="A6631" s="62">
        <v>40142115</v>
      </c>
      <c r="B6631" s="63" t="s">
        <v>5861</v>
      </c>
    </row>
    <row r="6632" spans="1:2" x14ac:dyDescent="0.25">
      <c r="A6632" s="62">
        <v>40142116</v>
      </c>
      <c r="B6632" s="63" t="s">
        <v>5862</v>
      </c>
    </row>
    <row r="6633" spans="1:2" x14ac:dyDescent="0.25">
      <c r="A6633" s="62">
        <v>40142117</v>
      </c>
      <c r="B6633" s="63" t="s">
        <v>5867</v>
      </c>
    </row>
    <row r="6634" spans="1:2" x14ac:dyDescent="0.25">
      <c r="A6634" s="62">
        <v>40142118</v>
      </c>
      <c r="B6634" s="63" t="s">
        <v>7297</v>
      </c>
    </row>
    <row r="6635" spans="1:2" x14ac:dyDescent="0.25">
      <c r="A6635" s="62">
        <v>40142119</v>
      </c>
      <c r="B6635" s="63" t="s">
        <v>5851</v>
      </c>
    </row>
    <row r="6636" spans="1:2" x14ac:dyDescent="0.25">
      <c r="A6636" s="62">
        <v>40142120</v>
      </c>
      <c r="B6636" s="63" t="s">
        <v>7298</v>
      </c>
    </row>
    <row r="6637" spans="1:2" x14ac:dyDescent="0.25">
      <c r="A6637" s="62">
        <v>40142121</v>
      </c>
      <c r="B6637" s="63" t="s">
        <v>7299</v>
      </c>
    </row>
    <row r="6638" spans="1:2" x14ac:dyDescent="0.25">
      <c r="A6638" s="62">
        <v>40142122</v>
      </c>
      <c r="B6638" s="63" t="s">
        <v>7300</v>
      </c>
    </row>
    <row r="6639" spans="1:2" x14ac:dyDescent="0.25">
      <c r="A6639" s="62">
        <v>40142201</v>
      </c>
      <c r="B6639" s="63" t="s">
        <v>7301</v>
      </c>
    </row>
    <row r="6640" spans="1:2" x14ac:dyDescent="0.25">
      <c r="A6640" s="62">
        <v>40142202</v>
      </c>
      <c r="B6640" s="63" t="s">
        <v>7302</v>
      </c>
    </row>
    <row r="6641" spans="1:2" x14ac:dyDescent="0.25">
      <c r="A6641" s="62">
        <v>40142203</v>
      </c>
      <c r="B6641" s="63" t="s">
        <v>7303</v>
      </c>
    </row>
    <row r="6642" spans="1:2" x14ac:dyDescent="0.25">
      <c r="A6642" s="62">
        <v>40142301</v>
      </c>
      <c r="B6642" s="63" t="s">
        <v>7304</v>
      </c>
    </row>
    <row r="6643" spans="1:2" x14ac:dyDescent="0.25">
      <c r="A6643" s="62">
        <v>40142302</v>
      </c>
      <c r="B6643" s="63" t="s">
        <v>7305</v>
      </c>
    </row>
    <row r="6644" spans="1:2" x14ac:dyDescent="0.25">
      <c r="A6644" s="62">
        <v>40142303</v>
      </c>
      <c r="B6644" s="63" t="s">
        <v>7306</v>
      </c>
    </row>
    <row r="6645" spans="1:2" x14ac:dyDescent="0.25">
      <c r="A6645" s="62">
        <v>40142304</v>
      </c>
      <c r="B6645" s="63" t="s">
        <v>7307</v>
      </c>
    </row>
    <row r="6646" spans="1:2" x14ac:dyDescent="0.25">
      <c r="A6646" s="62">
        <v>40142305</v>
      </c>
      <c r="B6646" s="63" t="s">
        <v>7308</v>
      </c>
    </row>
    <row r="6647" spans="1:2" x14ac:dyDescent="0.25">
      <c r="A6647" s="62">
        <v>40142306</v>
      </c>
      <c r="B6647" s="63" t="s">
        <v>7309</v>
      </c>
    </row>
    <row r="6648" spans="1:2" x14ac:dyDescent="0.25">
      <c r="A6648" s="62">
        <v>40142307</v>
      </c>
      <c r="B6648" s="63" t="s">
        <v>7310</v>
      </c>
    </row>
    <row r="6649" spans="1:2" x14ac:dyDescent="0.25">
      <c r="A6649" s="62">
        <v>40142308</v>
      </c>
      <c r="B6649" s="63" t="s">
        <v>7311</v>
      </c>
    </row>
    <row r="6650" spans="1:2" x14ac:dyDescent="0.25">
      <c r="A6650" s="62">
        <v>40142309</v>
      </c>
      <c r="B6650" s="63" t="s">
        <v>7312</v>
      </c>
    </row>
    <row r="6651" spans="1:2" x14ac:dyDescent="0.25">
      <c r="A6651" s="62">
        <v>40142310</v>
      </c>
      <c r="B6651" s="63" t="s">
        <v>7313</v>
      </c>
    </row>
    <row r="6652" spans="1:2" x14ac:dyDescent="0.25">
      <c r="A6652" s="62">
        <v>40142311</v>
      </c>
      <c r="B6652" s="63" t="s">
        <v>7314</v>
      </c>
    </row>
    <row r="6653" spans="1:2" x14ac:dyDescent="0.25">
      <c r="A6653" s="62">
        <v>40142312</v>
      </c>
      <c r="B6653" s="63" t="s">
        <v>7315</v>
      </c>
    </row>
    <row r="6654" spans="1:2" x14ac:dyDescent="0.25">
      <c r="A6654" s="62">
        <v>40142313</v>
      </c>
      <c r="B6654" s="63" t="s">
        <v>7316</v>
      </c>
    </row>
    <row r="6655" spans="1:2" x14ac:dyDescent="0.25">
      <c r="A6655" s="62">
        <v>40142314</v>
      </c>
      <c r="B6655" s="63" t="s">
        <v>7317</v>
      </c>
    </row>
    <row r="6656" spans="1:2" x14ac:dyDescent="0.25">
      <c r="A6656" s="62">
        <v>40142315</v>
      </c>
      <c r="B6656" s="63" t="s">
        <v>7318</v>
      </c>
    </row>
    <row r="6657" spans="1:2" x14ac:dyDescent="0.25">
      <c r="A6657" s="62">
        <v>40142316</v>
      </c>
      <c r="B6657" s="63" t="s">
        <v>7319</v>
      </c>
    </row>
    <row r="6658" spans="1:2" x14ac:dyDescent="0.25">
      <c r="A6658" s="62">
        <v>40142317</v>
      </c>
      <c r="B6658" s="63" t="s">
        <v>7320</v>
      </c>
    </row>
    <row r="6659" spans="1:2" x14ac:dyDescent="0.25">
      <c r="A6659" s="62">
        <v>40142318</v>
      </c>
      <c r="B6659" s="63" t="s">
        <v>7321</v>
      </c>
    </row>
    <row r="6660" spans="1:2" x14ac:dyDescent="0.25">
      <c r="A6660" s="62">
        <v>40142319</v>
      </c>
      <c r="B6660" s="63" t="s">
        <v>7307</v>
      </c>
    </row>
    <row r="6661" spans="1:2" x14ac:dyDescent="0.25">
      <c r="A6661" s="62">
        <v>40142320</v>
      </c>
      <c r="B6661" s="63" t="s">
        <v>7322</v>
      </c>
    </row>
    <row r="6662" spans="1:2" x14ac:dyDescent="0.25">
      <c r="A6662" s="62">
        <v>40142321</v>
      </c>
      <c r="B6662" s="63" t="s">
        <v>7323</v>
      </c>
    </row>
    <row r="6663" spans="1:2" x14ac:dyDescent="0.25">
      <c r="A6663" s="62">
        <v>40142322</v>
      </c>
      <c r="B6663" s="63" t="s">
        <v>7324</v>
      </c>
    </row>
    <row r="6664" spans="1:2" x14ac:dyDescent="0.25">
      <c r="A6664" s="62">
        <v>40142323</v>
      </c>
      <c r="B6664" s="63" t="s">
        <v>7325</v>
      </c>
    </row>
    <row r="6665" spans="1:2" x14ac:dyDescent="0.25">
      <c r="A6665" s="62">
        <v>40142324</v>
      </c>
      <c r="B6665" s="63" t="s">
        <v>7326</v>
      </c>
    </row>
    <row r="6666" spans="1:2" x14ac:dyDescent="0.25">
      <c r="A6666" s="62">
        <v>40142325</v>
      </c>
      <c r="B6666" s="63" t="s">
        <v>7327</v>
      </c>
    </row>
    <row r="6667" spans="1:2" x14ac:dyDescent="0.25">
      <c r="A6667" s="62">
        <v>40142326</v>
      </c>
      <c r="B6667" s="63" t="s">
        <v>7328</v>
      </c>
    </row>
    <row r="6668" spans="1:2" x14ac:dyDescent="0.25">
      <c r="A6668" s="62">
        <v>40142327</v>
      </c>
      <c r="B6668" s="63" t="s">
        <v>7329</v>
      </c>
    </row>
    <row r="6669" spans="1:2" x14ac:dyDescent="0.25">
      <c r="A6669" s="62">
        <v>40142401</v>
      </c>
      <c r="B6669" s="63" t="s">
        <v>7330</v>
      </c>
    </row>
    <row r="6670" spans="1:2" x14ac:dyDescent="0.25">
      <c r="A6670" s="62">
        <v>40142402</v>
      </c>
      <c r="B6670" s="63" t="s">
        <v>7331</v>
      </c>
    </row>
    <row r="6671" spans="1:2" x14ac:dyDescent="0.25">
      <c r="A6671" s="62">
        <v>40142403</v>
      </c>
      <c r="B6671" s="63" t="s">
        <v>7332</v>
      </c>
    </row>
    <row r="6672" spans="1:2" x14ac:dyDescent="0.25">
      <c r="A6672" s="62">
        <v>40142404</v>
      </c>
      <c r="B6672" s="63" t="s">
        <v>7333</v>
      </c>
    </row>
    <row r="6673" spans="1:2" x14ac:dyDescent="0.25">
      <c r="A6673" s="62">
        <v>40142405</v>
      </c>
      <c r="B6673" s="63" t="s">
        <v>7334</v>
      </c>
    </row>
    <row r="6674" spans="1:2" x14ac:dyDescent="0.25">
      <c r="A6674" s="62">
        <v>40142406</v>
      </c>
      <c r="B6674" s="63" t="s">
        <v>7335</v>
      </c>
    </row>
    <row r="6675" spans="1:2" x14ac:dyDescent="0.25">
      <c r="A6675" s="62">
        <v>40142407</v>
      </c>
      <c r="B6675" s="63" t="s">
        <v>7336</v>
      </c>
    </row>
    <row r="6676" spans="1:2" x14ac:dyDescent="0.25">
      <c r="A6676" s="62">
        <v>40142408</v>
      </c>
      <c r="B6676" s="63" t="s">
        <v>7337</v>
      </c>
    </row>
    <row r="6677" spans="1:2" x14ac:dyDescent="0.25">
      <c r="A6677" s="62">
        <v>40142409</v>
      </c>
      <c r="B6677" s="63" t="s">
        <v>7338</v>
      </c>
    </row>
    <row r="6678" spans="1:2" x14ac:dyDescent="0.25">
      <c r="A6678" s="62">
        <v>40142410</v>
      </c>
      <c r="B6678" s="63" t="s">
        <v>7339</v>
      </c>
    </row>
    <row r="6679" spans="1:2" x14ac:dyDescent="0.25">
      <c r="A6679" s="62">
        <v>40142411</v>
      </c>
      <c r="B6679" s="63" t="s">
        <v>7340</v>
      </c>
    </row>
    <row r="6680" spans="1:2" x14ac:dyDescent="0.25">
      <c r="A6680" s="62">
        <v>40142412</v>
      </c>
      <c r="B6680" s="63" t="s">
        <v>7341</v>
      </c>
    </row>
    <row r="6681" spans="1:2" x14ac:dyDescent="0.25">
      <c r="A6681" s="62">
        <v>40142413</v>
      </c>
      <c r="B6681" s="63" t="s">
        <v>7342</v>
      </c>
    </row>
    <row r="6682" spans="1:2" x14ac:dyDescent="0.25">
      <c r="A6682" s="62">
        <v>40142414</v>
      </c>
      <c r="B6682" s="63" t="s">
        <v>7343</v>
      </c>
    </row>
    <row r="6683" spans="1:2" x14ac:dyDescent="0.25">
      <c r="A6683" s="62">
        <v>40142501</v>
      </c>
      <c r="B6683" s="63" t="s">
        <v>7344</v>
      </c>
    </row>
    <row r="6684" spans="1:2" x14ac:dyDescent="0.25">
      <c r="A6684" s="62">
        <v>40142502</v>
      </c>
      <c r="B6684" s="63" t="s">
        <v>7345</v>
      </c>
    </row>
    <row r="6685" spans="1:2" x14ac:dyDescent="0.25">
      <c r="A6685" s="62">
        <v>40142503</v>
      </c>
      <c r="B6685" s="63" t="s">
        <v>7346</v>
      </c>
    </row>
    <row r="6686" spans="1:2" x14ac:dyDescent="0.25">
      <c r="A6686" s="62">
        <v>40142504</v>
      </c>
      <c r="B6686" s="63" t="s">
        <v>7347</v>
      </c>
    </row>
    <row r="6687" spans="1:2" x14ac:dyDescent="0.25">
      <c r="A6687" s="62">
        <v>40142604</v>
      </c>
      <c r="B6687" s="63" t="s">
        <v>7348</v>
      </c>
    </row>
    <row r="6688" spans="1:2" x14ac:dyDescent="0.25">
      <c r="A6688" s="62">
        <v>40142605</v>
      </c>
      <c r="B6688" s="63" t="s">
        <v>7349</v>
      </c>
    </row>
    <row r="6689" spans="1:2" x14ac:dyDescent="0.25">
      <c r="A6689" s="62">
        <v>40142606</v>
      </c>
      <c r="B6689" s="63" t="s">
        <v>7350</v>
      </c>
    </row>
    <row r="6690" spans="1:2" x14ac:dyDescent="0.25">
      <c r="A6690" s="62">
        <v>40142607</v>
      </c>
      <c r="B6690" s="63" t="s">
        <v>7351</v>
      </c>
    </row>
    <row r="6691" spans="1:2" x14ac:dyDescent="0.25">
      <c r="A6691" s="62">
        <v>40142608</v>
      </c>
      <c r="B6691" s="63" t="s">
        <v>7352</v>
      </c>
    </row>
    <row r="6692" spans="1:2" x14ac:dyDescent="0.25">
      <c r="A6692" s="62">
        <v>40142609</v>
      </c>
      <c r="B6692" s="63" t="s">
        <v>7353</v>
      </c>
    </row>
    <row r="6693" spans="1:2" x14ac:dyDescent="0.25">
      <c r="A6693" s="62">
        <v>40142610</v>
      </c>
      <c r="B6693" s="63" t="s">
        <v>7354</v>
      </c>
    </row>
    <row r="6694" spans="1:2" x14ac:dyDescent="0.25">
      <c r="A6694" s="62">
        <v>40142611</v>
      </c>
      <c r="B6694" s="63" t="s">
        <v>7355</v>
      </c>
    </row>
    <row r="6695" spans="1:2" x14ac:dyDescent="0.25">
      <c r="A6695" s="62">
        <v>40142612</v>
      </c>
      <c r="B6695" s="63" t="s">
        <v>7356</v>
      </c>
    </row>
    <row r="6696" spans="1:2" x14ac:dyDescent="0.25">
      <c r="A6696" s="62">
        <v>40142613</v>
      </c>
      <c r="B6696" s="63" t="s">
        <v>7357</v>
      </c>
    </row>
    <row r="6697" spans="1:2" x14ac:dyDescent="0.25">
      <c r="A6697" s="62">
        <v>40142614</v>
      </c>
      <c r="B6697" s="63" t="s">
        <v>7358</v>
      </c>
    </row>
    <row r="6698" spans="1:2" x14ac:dyDescent="0.25">
      <c r="A6698" s="62">
        <v>40142615</v>
      </c>
      <c r="B6698" s="63" t="s">
        <v>7359</v>
      </c>
    </row>
    <row r="6699" spans="1:2" x14ac:dyDescent="0.25">
      <c r="A6699" s="62">
        <v>40151501</v>
      </c>
      <c r="B6699" s="63" t="s">
        <v>7360</v>
      </c>
    </row>
    <row r="6700" spans="1:2" x14ac:dyDescent="0.25">
      <c r="A6700" s="62">
        <v>40151502</v>
      </c>
      <c r="B6700" s="63" t="s">
        <v>7361</v>
      </c>
    </row>
    <row r="6701" spans="1:2" x14ac:dyDescent="0.25">
      <c r="A6701" s="62">
        <v>40151503</v>
      </c>
      <c r="B6701" s="63" t="s">
        <v>7362</v>
      </c>
    </row>
    <row r="6702" spans="1:2" x14ac:dyDescent="0.25">
      <c r="A6702" s="62">
        <v>40151504</v>
      </c>
      <c r="B6702" s="63" t="s">
        <v>7363</v>
      </c>
    </row>
    <row r="6703" spans="1:2" x14ac:dyDescent="0.25">
      <c r="A6703" s="62">
        <v>40151505</v>
      </c>
      <c r="B6703" s="63" t="s">
        <v>7364</v>
      </c>
    </row>
    <row r="6704" spans="1:2" x14ac:dyDescent="0.25">
      <c r="A6704" s="62">
        <v>40151506</v>
      </c>
      <c r="B6704" s="63" t="s">
        <v>7365</v>
      </c>
    </row>
    <row r="6705" spans="1:2" x14ac:dyDescent="0.25">
      <c r="A6705" s="62">
        <v>40151507</v>
      </c>
      <c r="B6705" s="63" t="s">
        <v>7366</v>
      </c>
    </row>
    <row r="6706" spans="1:2" x14ac:dyDescent="0.25">
      <c r="A6706" s="62">
        <v>40151508</v>
      </c>
      <c r="B6706" s="63" t="s">
        <v>7367</v>
      </c>
    </row>
    <row r="6707" spans="1:2" x14ac:dyDescent="0.25">
      <c r="A6707" s="62">
        <v>40151509</v>
      </c>
      <c r="B6707" s="63" t="s">
        <v>7368</v>
      </c>
    </row>
    <row r="6708" spans="1:2" x14ac:dyDescent="0.25">
      <c r="A6708" s="62">
        <v>40151510</v>
      </c>
      <c r="B6708" s="63" t="s">
        <v>7369</v>
      </c>
    </row>
    <row r="6709" spans="1:2" x14ac:dyDescent="0.25">
      <c r="A6709" s="62">
        <v>40151511</v>
      </c>
      <c r="B6709" s="63" t="s">
        <v>7370</v>
      </c>
    </row>
    <row r="6710" spans="1:2" x14ac:dyDescent="0.25">
      <c r="A6710" s="62">
        <v>40151512</v>
      </c>
      <c r="B6710" s="63" t="s">
        <v>7371</v>
      </c>
    </row>
    <row r="6711" spans="1:2" x14ac:dyDescent="0.25">
      <c r="A6711" s="62">
        <v>40151513</v>
      </c>
      <c r="B6711" s="63" t="s">
        <v>7372</v>
      </c>
    </row>
    <row r="6712" spans="1:2" x14ac:dyDescent="0.25">
      <c r="A6712" s="62">
        <v>40151514</v>
      </c>
      <c r="B6712" s="63" t="s">
        <v>7373</v>
      </c>
    </row>
    <row r="6713" spans="1:2" x14ac:dyDescent="0.25">
      <c r="A6713" s="62">
        <v>40151515</v>
      </c>
      <c r="B6713" s="63" t="s">
        <v>7374</v>
      </c>
    </row>
    <row r="6714" spans="1:2" x14ac:dyDescent="0.25">
      <c r="A6714" s="62">
        <v>40151516</v>
      </c>
      <c r="B6714" s="63" t="s">
        <v>7375</v>
      </c>
    </row>
    <row r="6715" spans="1:2" x14ac:dyDescent="0.25">
      <c r="A6715" s="62">
        <v>40151517</v>
      </c>
      <c r="B6715" s="63" t="s">
        <v>7376</v>
      </c>
    </row>
    <row r="6716" spans="1:2" x14ac:dyDescent="0.25">
      <c r="A6716" s="62">
        <v>40151518</v>
      </c>
      <c r="B6716" s="63" t="s">
        <v>7377</v>
      </c>
    </row>
    <row r="6717" spans="1:2" x14ac:dyDescent="0.25">
      <c r="A6717" s="62">
        <v>40151519</v>
      </c>
      <c r="B6717" s="63" t="s">
        <v>7378</v>
      </c>
    </row>
    <row r="6718" spans="1:2" x14ac:dyDescent="0.25">
      <c r="A6718" s="62">
        <v>40151520</v>
      </c>
      <c r="B6718" s="63" t="s">
        <v>7379</v>
      </c>
    </row>
    <row r="6719" spans="1:2" x14ac:dyDescent="0.25">
      <c r="A6719" s="62">
        <v>40151521</v>
      </c>
      <c r="B6719" s="63" t="s">
        <v>7380</v>
      </c>
    </row>
    <row r="6720" spans="1:2" x14ac:dyDescent="0.25">
      <c r="A6720" s="62">
        <v>40151522</v>
      </c>
      <c r="B6720" s="63" t="s">
        <v>7381</v>
      </c>
    </row>
    <row r="6721" spans="1:2" x14ac:dyDescent="0.25">
      <c r="A6721" s="62">
        <v>40151523</v>
      </c>
      <c r="B6721" s="63" t="s">
        <v>7382</v>
      </c>
    </row>
    <row r="6722" spans="1:2" x14ac:dyDescent="0.25">
      <c r="A6722" s="62">
        <v>40151524</v>
      </c>
      <c r="B6722" s="63" t="s">
        <v>7383</v>
      </c>
    </row>
    <row r="6723" spans="1:2" x14ac:dyDescent="0.25">
      <c r="A6723" s="62">
        <v>40151525</v>
      </c>
      <c r="B6723" s="63" t="s">
        <v>7384</v>
      </c>
    </row>
    <row r="6724" spans="1:2" x14ac:dyDescent="0.25">
      <c r="A6724" s="62">
        <v>40151526</v>
      </c>
      <c r="B6724" s="63" t="s">
        <v>7385</v>
      </c>
    </row>
    <row r="6725" spans="1:2" x14ac:dyDescent="0.25">
      <c r="A6725" s="62">
        <v>40151527</v>
      </c>
      <c r="B6725" s="63" t="s">
        <v>7386</v>
      </c>
    </row>
    <row r="6726" spans="1:2" x14ac:dyDescent="0.25">
      <c r="A6726" s="62">
        <v>40151528</v>
      </c>
      <c r="B6726" s="63" t="s">
        <v>7387</v>
      </c>
    </row>
    <row r="6727" spans="1:2" x14ac:dyDescent="0.25">
      <c r="A6727" s="62">
        <v>40151529</v>
      </c>
      <c r="B6727" s="63" t="s">
        <v>7388</v>
      </c>
    </row>
    <row r="6728" spans="1:2" x14ac:dyDescent="0.25">
      <c r="A6728" s="62">
        <v>40151530</v>
      </c>
      <c r="B6728" s="63" t="s">
        <v>7389</v>
      </c>
    </row>
    <row r="6729" spans="1:2" x14ac:dyDescent="0.25">
      <c r="A6729" s="62">
        <v>40151531</v>
      </c>
      <c r="B6729" s="63" t="s">
        <v>7390</v>
      </c>
    </row>
    <row r="6730" spans="1:2" x14ac:dyDescent="0.25">
      <c r="A6730" s="62">
        <v>40151532</v>
      </c>
      <c r="B6730" s="63" t="s">
        <v>7391</v>
      </c>
    </row>
    <row r="6731" spans="1:2" x14ac:dyDescent="0.25">
      <c r="A6731" s="62">
        <v>40151533</v>
      </c>
      <c r="B6731" s="63" t="s">
        <v>7392</v>
      </c>
    </row>
    <row r="6732" spans="1:2" x14ac:dyDescent="0.25">
      <c r="A6732" s="62">
        <v>40151534</v>
      </c>
      <c r="B6732" s="63" t="s">
        <v>7393</v>
      </c>
    </row>
    <row r="6733" spans="1:2" x14ac:dyDescent="0.25">
      <c r="A6733" s="62">
        <v>40151546</v>
      </c>
      <c r="B6733" s="63" t="s">
        <v>7394</v>
      </c>
    </row>
    <row r="6734" spans="1:2" x14ac:dyDescent="0.25">
      <c r="A6734" s="62">
        <v>40151547</v>
      </c>
      <c r="B6734" s="63" t="s">
        <v>7395</v>
      </c>
    </row>
    <row r="6735" spans="1:2" x14ac:dyDescent="0.25">
      <c r="A6735" s="62">
        <v>40151548</v>
      </c>
      <c r="B6735" s="63" t="s">
        <v>7396</v>
      </c>
    </row>
    <row r="6736" spans="1:2" x14ac:dyDescent="0.25">
      <c r="A6736" s="62">
        <v>40151549</v>
      </c>
      <c r="B6736" s="63" t="s">
        <v>7397</v>
      </c>
    </row>
    <row r="6737" spans="1:2" x14ac:dyDescent="0.25">
      <c r="A6737" s="62">
        <v>40151550</v>
      </c>
      <c r="B6737" s="63" t="s">
        <v>7398</v>
      </c>
    </row>
    <row r="6738" spans="1:2" x14ac:dyDescent="0.25">
      <c r="A6738" s="62">
        <v>40151551</v>
      </c>
      <c r="B6738" s="63" t="s">
        <v>7399</v>
      </c>
    </row>
    <row r="6739" spans="1:2" x14ac:dyDescent="0.25">
      <c r="A6739" s="62">
        <v>40151552</v>
      </c>
      <c r="B6739" s="63" t="s">
        <v>7400</v>
      </c>
    </row>
    <row r="6740" spans="1:2" x14ac:dyDescent="0.25">
      <c r="A6740" s="62">
        <v>40151553</v>
      </c>
      <c r="B6740" s="63" t="s">
        <v>7401</v>
      </c>
    </row>
    <row r="6741" spans="1:2" x14ac:dyDescent="0.25">
      <c r="A6741" s="62">
        <v>40151554</v>
      </c>
      <c r="B6741" s="63" t="s">
        <v>7402</v>
      </c>
    </row>
    <row r="6742" spans="1:2" x14ac:dyDescent="0.25">
      <c r="A6742" s="62">
        <v>40151555</v>
      </c>
      <c r="B6742" s="63" t="s">
        <v>7403</v>
      </c>
    </row>
    <row r="6743" spans="1:2" x14ac:dyDescent="0.25">
      <c r="A6743" s="62">
        <v>40151556</v>
      </c>
      <c r="B6743" s="63" t="s">
        <v>7404</v>
      </c>
    </row>
    <row r="6744" spans="1:2" x14ac:dyDescent="0.25">
      <c r="A6744" s="62">
        <v>40151557</v>
      </c>
      <c r="B6744" s="63" t="s">
        <v>7405</v>
      </c>
    </row>
    <row r="6745" spans="1:2" x14ac:dyDescent="0.25">
      <c r="A6745" s="62">
        <v>40151558</v>
      </c>
      <c r="B6745" s="63" t="s">
        <v>7406</v>
      </c>
    </row>
    <row r="6746" spans="1:2" x14ac:dyDescent="0.25">
      <c r="A6746" s="62">
        <v>40151559</v>
      </c>
      <c r="B6746" s="63" t="s">
        <v>7407</v>
      </c>
    </row>
    <row r="6747" spans="1:2" x14ac:dyDescent="0.25">
      <c r="A6747" s="62">
        <v>40151560</v>
      </c>
      <c r="B6747" s="63" t="s">
        <v>7408</v>
      </c>
    </row>
    <row r="6748" spans="1:2" x14ac:dyDescent="0.25">
      <c r="A6748" s="62">
        <v>40151561</v>
      </c>
      <c r="B6748" s="63" t="s">
        <v>7409</v>
      </c>
    </row>
    <row r="6749" spans="1:2" x14ac:dyDescent="0.25">
      <c r="A6749" s="62">
        <v>40151562</v>
      </c>
      <c r="B6749" s="63" t="s">
        <v>7410</v>
      </c>
    </row>
    <row r="6750" spans="1:2" x14ac:dyDescent="0.25">
      <c r="A6750" s="62">
        <v>40151563</v>
      </c>
      <c r="B6750" s="63" t="s">
        <v>7411</v>
      </c>
    </row>
    <row r="6751" spans="1:2" x14ac:dyDescent="0.25">
      <c r="A6751" s="62">
        <v>40151564</v>
      </c>
      <c r="B6751" s="63" t="s">
        <v>7412</v>
      </c>
    </row>
    <row r="6752" spans="1:2" x14ac:dyDescent="0.25">
      <c r="A6752" s="62">
        <v>40151601</v>
      </c>
      <c r="B6752" s="63" t="s">
        <v>7413</v>
      </c>
    </row>
    <row r="6753" spans="1:2" x14ac:dyDescent="0.25">
      <c r="A6753" s="62">
        <v>40151602</v>
      </c>
      <c r="B6753" s="63" t="s">
        <v>7414</v>
      </c>
    </row>
    <row r="6754" spans="1:2" x14ac:dyDescent="0.25">
      <c r="A6754" s="62">
        <v>40151603</v>
      </c>
      <c r="B6754" s="63" t="s">
        <v>7415</v>
      </c>
    </row>
    <row r="6755" spans="1:2" x14ac:dyDescent="0.25">
      <c r="A6755" s="62">
        <v>40151604</v>
      </c>
      <c r="B6755" s="63" t="s">
        <v>7416</v>
      </c>
    </row>
    <row r="6756" spans="1:2" x14ac:dyDescent="0.25">
      <c r="A6756" s="62">
        <v>40151605</v>
      </c>
      <c r="B6756" s="63" t="s">
        <v>7417</v>
      </c>
    </row>
    <row r="6757" spans="1:2" x14ac:dyDescent="0.25">
      <c r="A6757" s="62">
        <v>40151606</v>
      </c>
      <c r="B6757" s="63" t="s">
        <v>7418</v>
      </c>
    </row>
    <row r="6758" spans="1:2" x14ac:dyDescent="0.25">
      <c r="A6758" s="62">
        <v>40151607</v>
      </c>
      <c r="B6758" s="63" t="s">
        <v>7419</v>
      </c>
    </row>
    <row r="6759" spans="1:2" x14ac:dyDescent="0.25">
      <c r="A6759" s="62">
        <v>40151608</v>
      </c>
      <c r="B6759" s="63" t="s">
        <v>7420</v>
      </c>
    </row>
    <row r="6760" spans="1:2" x14ac:dyDescent="0.25">
      <c r="A6760" s="62">
        <v>40151609</v>
      </c>
      <c r="B6760" s="63" t="s">
        <v>7421</v>
      </c>
    </row>
    <row r="6761" spans="1:2" x14ac:dyDescent="0.25">
      <c r="A6761" s="62">
        <v>40151610</v>
      </c>
      <c r="B6761" s="63" t="s">
        <v>7422</v>
      </c>
    </row>
    <row r="6762" spans="1:2" x14ac:dyDescent="0.25">
      <c r="A6762" s="62">
        <v>40151611</v>
      </c>
      <c r="B6762" s="63" t="s">
        <v>7423</v>
      </c>
    </row>
    <row r="6763" spans="1:2" x14ac:dyDescent="0.25">
      <c r="A6763" s="62">
        <v>40151612</v>
      </c>
      <c r="B6763" s="63" t="s">
        <v>7424</v>
      </c>
    </row>
    <row r="6764" spans="1:2" x14ac:dyDescent="0.25">
      <c r="A6764" s="62">
        <v>40151613</v>
      </c>
      <c r="B6764" s="63" t="s">
        <v>7425</v>
      </c>
    </row>
    <row r="6765" spans="1:2" x14ac:dyDescent="0.25">
      <c r="A6765" s="62">
        <v>40151614</v>
      </c>
      <c r="B6765" s="63" t="s">
        <v>7426</v>
      </c>
    </row>
    <row r="6766" spans="1:2" x14ac:dyDescent="0.25">
      <c r="A6766" s="62">
        <v>40151615</v>
      </c>
      <c r="B6766" s="63" t="s">
        <v>7427</v>
      </c>
    </row>
    <row r="6767" spans="1:2" x14ac:dyDescent="0.25">
      <c r="A6767" s="62">
        <v>40151616</v>
      </c>
      <c r="B6767" s="63" t="s">
        <v>7428</v>
      </c>
    </row>
    <row r="6768" spans="1:2" x14ac:dyDescent="0.25">
      <c r="A6768" s="62">
        <v>40151701</v>
      </c>
      <c r="B6768" s="63" t="s">
        <v>7429</v>
      </c>
    </row>
    <row r="6769" spans="1:2" x14ac:dyDescent="0.25">
      <c r="A6769" s="62">
        <v>40151712</v>
      </c>
      <c r="B6769" s="63" t="s">
        <v>7430</v>
      </c>
    </row>
    <row r="6770" spans="1:2" x14ac:dyDescent="0.25">
      <c r="A6770" s="62">
        <v>40151713</v>
      </c>
      <c r="B6770" s="63" t="s">
        <v>7431</v>
      </c>
    </row>
    <row r="6771" spans="1:2" x14ac:dyDescent="0.25">
      <c r="A6771" s="62">
        <v>40151714</v>
      </c>
      <c r="B6771" s="63" t="s">
        <v>7432</v>
      </c>
    </row>
    <row r="6772" spans="1:2" x14ac:dyDescent="0.25">
      <c r="A6772" s="62">
        <v>40151715</v>
      </c>
      <c r="B6772" s="63" t="s">
        <v>7433</v>
      </c>
    </row>
    <row r="6773" spans="1:2" x14ac:dyDescent="0.25">
      <c r="A6773" s="62">
        <v>40151716</v>
      </c>
      <c r="B6773" s="63" t="s">
        <v>7434</v>
      </c>
    </row>
    <row r="6774" spans="1:2" x14ac:dyDescent="0.25">
      <c r="A6774" s="62">
        <v>40151717</v>
      </c>
      <c r="B6774" s="63" t="s">
        <v>7435</v>
      </c>
    </row>
    <row r="6775" spans="1:2" x14ac:dyDescent="0.25">
      <c r="A6775" s="62">
        <v>40151718</v>
      </c>
      <c r="B6775" s="63" t="s">
        <v>7436</v>
      </c>
    </row>
    <row r="6776" spans="1:2" x14ac:dyDescent="0.25">
      <c r="A6776" s="62">
        <v>40151719</v>
      </c>
      <c r="B6776" s="63" t="s">
        <v>7437</v>
      </c>
    </row>
    <row r="6777" spans="1:2" x14ac:dyDescent="0.25">
      <c r="A6777" s="62">
        <v>40151720</v>
      </c>
      <c r="B6777" s="63" t="s">
        <v>7438</v>
      </c>
    </row>
    <row r="6778" spans="1:2" x14ac:dyDescent="0.25">
      <c r="A6778" s="62">
        <v>40151721</v>
      </c>
      <c r="B6778" s="63" t="s">
        <v>7439</v>
      </c>
    </row>
    <row r="6779" spans="1:2" x14ac:dyDescent="0.25">
      <c r="A6779" s="62">
        <v>40151722</v>
      </c>
      <c r="B6779" s="63" t="s">
        <v>7440</v>
      </c>
    </row>
    <row r="6780" spans="1:2" x14ac:dyDescent="0.25">
      <c r="A6780" s="62">
        <v>40151723</v>
      </c>
      <c r="B6780" s="63" t="s">
        <v>7441</v>
      </c>
    </row>
    <row r="6781" spans="1:2" x14ac:dyDescent="0.25">
      <c r="A6781" s="62">
        <v>40151724</v>
      </c>
      <c r="B6781" s="63" t="s">
        <v>7442</v>
      </c>
    </row>
    <row r="6782" spans="1:2" x14ac:dyDescent="0.25">
      <c r="A6782" s="62">
        <v>40151725</v>
      </c>
      <c r="B6782" s="63" t="s">
        <v>7443</v>
      </c>
    </row>
    <row r="6783" spans="1:2" x14ac:dyDescent="0.25">
      <c r="A6783" s="62">
        <v>40151726</v>
      </c>
      <c r="B6783" s="63" t="s">
        <v>7444</v>
      </c>
    </row>
    <row r="6784" spans="1:2" x14ac:dyDescent="0.25">
      <c r="A6784" s="62">
        <v>40151727</v>
      </c>
      <c r="B6784" s="63" t="s">
        <v>7445</v>
      </c>
    </row>
    <row r="6785" spans="1:2" x14ac:dyDescent="0.25">
      <c r="A6785" s="62">
        <v>40151728</v>
      </c>
      <c r="B6785" s="63" t="s">
        <v>7446</v>
      </c>
    </row>
    <row r="6786" spans="1:2" x14ac:dyDescent="0.25">
      <c r="A6786" s="62">
        <v>40161501</v>
      </c>
      <c r="B6786" s="63" t="s">
        <v>7447</v>
      </c>
    </row>
    <row r="6787" spans="1:2" x14ac:dyDescent="0.25">
      <c r="A6787" s="62">
        <v>40161502</v>
      </c>
      <c r="B6787" s="63" t="s">
        <v>7448</v>
      </c>
    </row>
    <row r="6788" spans="1:2" x14ac:dyDescent="0.25">
      <c r="A6788" s="62">
        <v>40161503</v>
      </c>
      <c r="B6788" s="63" t="s">
        <v>7449</v>
      </c>
    </row>
    <row r="6789" spans="1:2" x14ac:dyDescent="0.25">
      <c r="A6789" s="62">
        <v>40161504</v>
      </c>
      <c r="B6789" s="63" t="s">
        <v>7450</v>
      </c>
    </row>
    <row r="6790" spans="1:2" x14ac:dyDescent="0.25">
      <c r="A6790" s="62">
        <v>40161505</v>
      </c>
      <c r="B6790" s="63" t="s">
        <v>7451</v>
      </c>
    </row>
    <row r="6791" spans="1:2" x14ac:dyDescent="0.25">
      <c r="A6791" s="62">
        <v>40161506</v>
      </c>
      <c r="B6791" s="63" t="s">
        <v>7452</v>
      </c>
    </row>
    <row r="6792" spans="1:2" x14ac:dyDescent="0.25">
      <c r="A6792" s="62">
        <v>40161507</v>
      </c>
      <c r="B6792" s="63" t="s">
        <v>7453</v>
      </c>
    </row>
    <row r="6793" spans="1:2" x14ac:dyDescent="0.25">
      <c r="A6793" s="62">
        <v>40161508</v>
      </c>
      <c r="B6793" s="63" t="s">
        <v>7454</v>
      </c>
    </row>
    <row r="6794" spans="1:2" x14ac:dyDescent="0.25">
      <c r="A6794" s="62">
        <v>40161509</v>
      </c>
      <c r="B6794" s="63" t="s">
        <v>7455</v>
      </c>
    </row>
    <row r="6795" spans="1:2" x14ac:dyDescent="0.25">
      <c r="A6795" s="62">
        <v>40161511</v>
      </c>
      <c r="B6795" s="63" t="s">
        <v>7456</v>
      </c>
    </row>
    <row r="6796" spans="1:2" x14ac:dyDescent="0.25">
      <c r="A6796" s="62">
        <v>40161512</v>
      </c>
      <c r="B6796" s="63" t="s">
        <v>7457</v>
      </c>
    </row>
    <row r="6797" spans="1:2" x14ac:dyDescent="0.25">
      <c r="A6797" s="62">
        <v>40161513</v>
      </c>
      <c r="B6797" s="63" t="s">
        <v>7458</v>
      </c>
    </row>
    <row r="6798" spans="1:2" x14ac:dyDescent="0.25">
      <c r="A6798" s="62">
        <v>40161514</v>
      </c>
      <c r="B6798" s="63" t="s">
        <v>7459</v>
      </c>
    </row>
    <row r="6799" spans="1:2" x14ac:dyDescent="0.25">
      <c r="A6799" s="62">
        <v>40161515</v>
      </c>
      <c r="B6799" s="63" t="s">
        <v>7460</v>
      </c>
    </row>
    <row r="6800" spans="1:2" x14ac:dyDescent="0.25">
      <c r="A6800" s="62">
        <v>40161516</v>
      </c>
      <c r="B6800" s="63" t="s">
        <v>7461</v>
      </c>
    </row>
    <row r="6801" spans="1:2" x14ac:dyDescent="0.25">
      <c r="A6801" s="62">
        <v>40161517</v>
      </c>
      <c r="B6801" s="63" t="s">
        <v>7462</v>
      </c>
    </row>
    <row r="6802" spans="1:2" x14ac:dyDescent="0.25">
      <c r="A6802" s="62">
        <v>40161518</v>
      </c>
      <c r="B6802" s="63" t="s">
        <v>7463</v>
      </c>
    </row>
    <row r="6803" spans="1:2" x14ac:dyDescent="0.25">
      <c r="A6803" s="62">
        <v>40161519</v>
      </c>
      <c r="B6803" s="63" t="s">
        <v>7464</v>
      </c>
    </row>
    <row r="6804" spans="1:2" x14ac:dyDescent="0.25">
      <c r="A6804" s="62">
        <v>40161520</v>
      </c>
      <c r="B6804" s="63" t="s">
        <v>7465</v>
      </c>
    </row>
    <row r="6805" spans="1:2" x14ac:dyDescent="0.25">
      <c r="A6805" s="62">
        <v>40161521</v>
      </c>
      <c r="B6805" s="63" t="s">
        <v>7466</v>
      </c>
    </row>
    <row r="6806" spans="1:2" x14ac:dyDescent="0.25">
      <c r="A6806" s="62">
        <v>40161522</v>
      </c>
      <c r="B6806" s="63" t="s">
        <v>7467</v>
      </c>
    </row>
    <row r="6807" spans="1:2" x14ac:dyDescent="0.25">
      <c r="A6807" s="62">
        <v>40161524</v>
      </c>
      <c r="B6807" s="63" t="s">
        <v>7468</v>
      </c>
    </row>
    <row r="6808" spans="1:2" x14ac:dyDescent="0.25">
      <c r="A6808" s="62">
        <v>40161525</v>
      </c>
      <c r="B6808" s="63" t="s">
        <v>7469</v>
      </c>
    </row>
    <row r="6809" spans="1:2" x14ac:dyDescent="0.25">
      <c r="A6809" s="62">
        <v>40161526</v>
      </c>
      <c r="B6809" s="63" t="s">
        <v>7470</v>
      </c>
    </row>
    <row r="6810" spans="1:2" x14ac:dyDescent="0.25">
      <c r="A6810" s="62">
        <v>40161527</v>
      </c>
      <c r="B6810" s="63" t="s">
        <v>7471</v>
      </c>
    </row>
    <row r="6811" spans="1:2" x14ac:dyDescent="0.25">
      <c r="A6811" s="62">
        <v>40161601</v>
      </c>
      <c r="B6811" s="63" t="s">
        <v>7472</v>
      </c>
    </row>
    <row r="6812" spans="1:2" x14ac:dyDescent="0.25">
      <c r="A6812" s="62">
        <v>40161602</v>
      </c>
      <c r="B6812" s="63" t="s">
        <v>7473</v>
      </c>
    </row>
    <row r="6813" spans="1:2" x14ac:dyDescent="0.25">
      <c r="A6813" s="62">
        <v>40161701</v>
      </c>
      <c r="B6813" s="63" t="s">
        <v>7474</v>
      </c>
    </row>
    <row r="6814" spans="1:2" x14ac:dyDescent="0.25">
      <c r="A6814" s="62">
        <v>40161702</v>
      </c>
      <c r="B6814" s="63" t="s">
        <v>7475</v>
      </c>
    </row>
    <row r="6815" spans="1:2" x14ac:dyDescent="0.25">
      <c r="A6815" s="62">
        <v>40161703</v>
      </c>
      <c r="B6815" s="63" t="s">
        <v>7476</v>
      </c>
    </row>
    <row r="6816" spans="1:2" x14ac:dyDescent="0.25">
      <c r="A6816" s="62">
        <v>40161704</v>
      </c>
      <c r="B6816" s="63" t="s">
        <v>7477</v>
      </c>
    </row>
    <row r="6817" spans="1:2" x14ac:dyDescent="0.25">
      <c r="A6817" s="62">
        <v>40161801</v>
      </c>
      <c r="B6817" s="63" t="s">
        <v>7478</v>
      </c>
    </row>
    <row r="6818" spans="1:2" x14ac:dyDescent="0.25">
      <c r="A6818" s="62">
        <v>40161802</v>
      </c>
      <c r="B6818" s="63" t="s">
        <v>7479</v>
      </c>
    </row>
    <row r="6819" spans="1:2" x14ac:dyDescent="0.25">
      <c r="A6819" s="62">
        <v>40161803</v>
      </c>
      <c r="B6819" s="63" t="s">
        <v>7480</v>
      </c>
    </row>
    <row r="6820" spans="1:2" x14ac:dyDescent="0.25">
      <c r="A6820" s="62">
        <v>40161804</v>
      </c>
      <c r="B6820" s="63" t="s">
        <v>7481</v>
      </c>
    </row>
    <row r="6821" spans="1:2" x14ac:dyDescent="0.25">
      <c r="A6821" s="62">
        <v>40161805</v>
      </c>
      <c r="B6821" s="63" t="s">
        <v>7482</v>
      </c>
    </row>
    <row r="6822" spans="1:2" x14ac:dyDescent="0.25">
      <c r="A6822" s="62">
        <v>40161806</v>
      </c>
      <c r="B6822" s="63" t="s">
        <v>7483</v>
      </c>
    </row>
    <row r="6823" spans="1:2" x14ac:dyDescent="0.25">
      <c r="A6823" s="62">
        <v>41101502</v>
      </c>
      <c r="B6823" s="63" t="s">
        <v>7484</v>
      </c>
    </row>
    <row r="6824" spans="1:2" x14ac:dyDescent="0.25">
      <c r="A6824" s="62">
        <v>41101503</v>
      </c>
      <c r="B6824" s="63" t="s">
        <v>7485</v>
      </c>
    </row>
    <row r="6825" spans="1:2" x14ac:dyDescent="0.25">
      <c r="A6825" s="62">
        <v>41101504</v>
      </c>
      <c r="B6825" s="63" t="s">
        <v>7486</v>
      </c>
    </row>
    <row r="6826" spans="1:2" x14ac:dyDescent="0.25">
      <c r="A6826" s="62">
        <v>41101505</v>
      </c>
      <c r="B6826" s="63" t="s">
        <v>7487</v>
      </c>
    </row>
    <row r="6827" spans="1:2" x14ac:dyDescent="0.25">
      <c r="A6827" s="62">
        <v>41101515</v>
      </c>
      <c r="B6827" s="63" t="s">
        <v>7488</v>
      </c>
    </row>
    <row r="6828" spans="1:2" x14ac:dyDescent="0.25">
      <c r="A6828" s="62">
        <v>41101516</v>
      </c>
      <c r="B6828" s="63" t="s">
        <v>7489</v>
      </c>
    </row>
    <row r="6829" spans="1:2" x14ac:dyDescent="0.25">
      <c r="A6829" s="62">
        <v>41101518</v>
      </c>
      <c r="B6829" s="63" t="s">
        <v>7490</v>
      </c>
    </row>
    <row r="6830" spans="1:2" x14ac:dyDescent="0.25">
      <c r="A6830" s="62">
        <v>41101701</v>
      </c>
      <c r="B6830" s="63" t="s">
        <v>7491</v>
      </c>
    </row>
    <row r="6831" spans="1:2" x14ac:dyDescent="0.25">
      <c r="A6831" s="62">
        <v>41101702</v>
      </c>
      <c r="B6831" s="63" t="s">
        <v>7492</v>
      </c>
    </row>
    <row r="6832" spans="1:2" x14ac:dyDescent="0.25">
      <c r="A6832" s="62">
        <v>41101703</v>
      </c>
      <c r="B6832" s="63" t="s">
        <v>7493</v>
      </c>
    </row>
    <row r="6833" spans="1:2" x14ac:dyDescent="0.25">
      <c r="A6833" s="62">
        <v>41101705</v>
      </c>
      <c r="B6833" s="63" t="s">
        <v>7494</v>
      </c>
    </row>
    <row r="6834" spans="1:2" x14ac:dyDescent="0.25">
      <c r="A6834" s="62">
        <v>41101706</v>
      </c>
      <c r="B6834" s="63" t="s">
        <v>7495</v>
      </c>
    </row>
    <row r="6835" spans="1:2" x14ac:dyDescent="0.25">
      <c r="A6835" s="62">
        <v>41101707</v>
      </c>
      <c r="B6835" s="63" t="s">
        <v>7496</v>
      </c>
    </row>
    <row r="6836" spans="1:2" x14ac:dyDescent="0.25">
      <c r="A6836" s="62">
        <v>41101801</v>
      </c>
      <c r="B6836" s="63" t="s">
        <v>7497</v>
      </c>
    </row>
    <row r="6837" spans="1:2" x14ac:dyDescent="0.25">
      <c r="A6837" s="62">
        <v>41101802</v>
      </c>
      <c r="B6837" s="63" t="s">
        <v>7498</v>
      </c>
    </row>
    <row r="6838" spans="1:2" x14ac:dyDescent="0.25">
      <c r="A6838" s="62">
        <v>41101803</v>
      </c>
      <c r="B6838" s="63" t="s">
        <v>7499</v>
      </c>
    </row>
    <row r="6839" spans="1:2" x14ac:dyDescent="0.25">
      <c r="A6839" s="62">
        <v>41101804</v>
      </c>
      <c r="B6839" s="63" t="s">
        <v>7500</v>
      </c>
    </row>
    <row r="6840" spans="1:2" x14ac:dyDescent="0.25">
      <c r="A6840" s="62">
        <v>41101805</v>
      </c>
      <c r="B6840" s="63" t="s">
        <v>7501</v>
      </c>
    </row>
    <row r="6841" spans="1:2" x14ac:dyDescent="0.25">
      <c r="A6841" s="62">
        <v>41101806</v>
      </c>
      <c r="B6841" s="63" t="s">
        <v>7502</v>
      </c>
    </row>
    <row r="6842" spans="1:2" x14ac:dyDescent="0.25">
      <c r="A6842" s="62">
        <v>41101807</v>
      </c>
      <c r="B6842" s="63" t="s">
        <v>7503</v>
      </c>
    </row>
    <row r="6843" spans="1:2" x14ac:dyDescent="0.25">
      <c r="A6843" s="62">
        <v>41101808</v>
      </c>
      <c r="B6843" s="63" t="s">
        <v>7504</v>
      </c>
    </row>
    <row r="6844" spans="1:2" x14ac:dyDescent="0.25">
      <c r="A6844" s="62">
        <v>41101809</v>
      </c>
      <c r="B6844" s="63" t="s">
        <v>7505</v>
      </c>
    </row>
    <row r="6845" spans="1:2" x14ac:dyDescent="0.25">
      <c r="A6845" s="62">
        <v>41101810</v>
      </c>
      <c r="B6845" s="63" t="s">
        <v>7506</v>
      </c>
    </row>
    <row r="6846" spans="1:2" x14ac:dyDescent="0.25">
      <c r="A6846" s="62">
        <v>41101901</v>
      </c>
      <c r="B6846" s="63" t="s">
        <v>7507</v>
      </c>
    </row>
    <row r="6847" spans="1:2" x14ac:dyDescent="0.25">
      <c r="A6847" s="62">
        <v>41101902</v>
      </c>
      <c r="B6847" s="63" t="s">
        <v>7508</v>
      </c>
    </row>
    <row r="6848" spans="1:2" x14ac:dyDescent="0.25">
      <c r="A6848" s="62">
        <v>41101903</v>
      </c>
      <c r="B6848" s="63" t="s">
        <v>7509</v>
      </c>
    </row>
    <row r="6849" spans="1:2" x14ac:dyDescent="0.25">
      <c r="A6849" s="62">
        <v>41102401</v>
      </c>
      <c r="B6849" s="63" t="s">
        <v>7510</v>
      </c>
    </row>
    <row r="6850" spans="1:2" x14ac:dyDescent="0.25">
      <c r="A6850" s="62">
        <v>41102402</v>
      </c>
      <c r="B6850" s="63" t="s">
        <v>7511</v>
      </c>
    </row>
    <row r="6851" spans="1:2" x14ac:dyDescent="0.25">
      <c r="A6851" s="62">
        <v>41102403</v>
      </c>
      <c r="B6851" s="63" t="s">
        <v>7512</v>
      </c>
    </row>
    <row r="6852" spans="1:2" x14ac:dyDescent="0.25">
      <c r="A6852" s="62">
        <v>41102404</v>
      </c>
      <c r="B6852" s="63" t="s">
        <v>7513</v>
      </c>
    </row>
    <row r="6853" spans="1:2" x14ac:dyDescent="0.25">
      <c r="A6853" s="62">
        <v>41102405</v>
      </c>
      <c r="B6853" s="63" t="s">
        <v>7514</v>
      </c>
    </row>
    <row r="6854" spans="1:2" x14ac:dyDescent="0.25">
      <c r="A6854" s="62">
        <v>41102406</v>
      </c>
      <c r="B6854" s="63" t="s">
        <v>7515</v>
      </c>
    </row>
    <row r="6855" spans="1:2" x14ac:dyDescent="0.25">
      <c r="A6855" s="62">
        <v>41102407</v>
      </c>
      <c r="B6855" s="63" t="s">
        <v>7516</v>
      </c>
    </row>
    <row r="6856" spans="1:2" x14ac:dyDescent="0.25">
      <c r="A6856" s="62">
        <v>41102410</v>
      </c>
      <c r="B6856" s="63" t="s">
        <v>7517</v>
      </c>
    </row>
    <row r="6857" spans="1:2" x14ac:dyDescent="0.25">
      <c r="A6857" s="62">
        <v>41102412</v>
      </c>
      <c r="B6857" s="63" t="s">
        <v>7518</v>
      </c>
    </row>
    <row r="6858" spans="1:2" x14ac:dyDescent="0.25">
      <c r="A6858" s="62">
        <v>41102421</v>
      </c>
      <c r="B6858" s="63" t="s">
        <v>7519</v>
      </c>
    </row>
    <row r="6859" spans="1:2" x14ac:dyDescent="0.25">
      <c r="A6859" s="62">
        <v>41102422</v>
      </c>
      <c r="B6859" s="63" t="s">
        <v>7520</v>
      </c>
    </row>
    <row r="6860" spans="1:2" x14ac:dyDescent="0.25">
      <c r="A6860" s="62">
        <v>41102423</v>
      </c>
      <c r="B6860" s="63" t="s">
        <v>7521</v>
      </c>
    </row>
    <row r="6861" spans="1:2" x14ac:dyDescent="0.25">
      <c r="A6861" s="62">
        <v>41102424</v>
      </c>
      <c r="B6861" s="63" t="s">
        <v>7522</v>
      </c>
    </row>
    <row r="6862" spans="1:2" x14ac:dyDescent="0.25">
      <c r="A6862" s="62">
        <v>41102425</v>
      </c>
      <c r="B6862" s="63" t="s">
        <v>7523</v>
      </c>
    </row>
    <row r="6863" spans="1:2" x14ac:dyDescent="0.25">
      <c r="A6863" s="62">
        <v>41102426</v>
      </c>
      <c r="B6863" s="63" t="s">
        <v>7524</v>
      </c>
    </row>
    <row r="6864" spans="1:2" x14ac:dyDescent="0.25">
      <c r="A6864" s="62">
        <v>41102501</v>
      </c>
      <c r="B6864" s="63" t="s">
        <v>7525</v>
      </c>
    </row>
    <row r="6865" spans="1:2" x14ac:dyDescent="0.25">
      <c r="A6865" s="62">
        <v>41102502</v>
      </c>
      <c r="B6865" s="63" t="s">
        <v>7526</v>
      </c>
    </row>
    <row r="6866" spans="1:2" x14ac:dyDescent="0.25">
      <c r="A6866" s="62">
        <v>41102503</v>
      </c>
      <c r="B6866" s="63" t="s">
        <v>7527</v>
      </c>
    </row>
    <row r="6867" spans="1:2" x14ac:dyDescent="0.25">
      <c r="A6867" s="62">
        <v>41102504</v>
      </c>
      <c r="B6867" s="63" t="s">
        <v>7528</v>
      </c>
    </row>
    <row r="6868" spans="1:2" x14ac:dyDescent="0.25">
      <c r="A6868" s="62">
        <v>41102505</v>
      </c>
      <c r="B6868" s="63" t="s">
        <v>7529</v>
      </c>
    </row>
    <row r="6869" spans="1:2" x14ac:dyDescent="0.25">
      <c r="A6869" s="62">
        <v>41102506</v>
      </c>
      <c r="B6869" s="63" t="s">
        <v>7530</v>
      </c>
    </row>
    <row r="6870" spans="1:2" x14ac:dyDescent="0.25">
      <c r="A6870" s="62">
        <v>41102507</v>
      </c>
      <c r="B6870" s="63" t="s">
        <v>7531</v>
      </c>
    </row>
    <row r="6871" spans="1:2" x14ac:dyDescent="0.25">
      <c r="A6871" s="62">
        <v>41102508</v>
      </c>
      <c r="B6871" s="63" t="s">
        <v>7532</v>
      </c>
    </row>
    <row r="6872" spans="1:2" x14ac:dyDescent="0.25">
      <c r="A6872" s="62">
        <v>41102509</v>
      </c>
      <c r="B6872" s="63" t="s">
        <v>7533</v>
      </c>
    </row>
    <row r="6873" spans="1:2" x14ac:dyDescent="0.25">
      <c r="A6873" s="62">
        <v>41102510</v>
      </c>
      <c r="B6873" s="63" t="s">
        <v>7534</v>
      </c>
    </row>
    <row r="6874" spans="1:2" x14ac:dyDescent="0.25">
      <c r="A6874" s="62">
        <v>41102511</v>
      </c>
      <c r="B6874" s="63" t="s">
        <v>7535</v>
      </c>
    </row>
    <row r="6875" spans="1:2" x14ac:dyDescent="0.25">
      <c r="A6875" s="62">
        <v>41102512</v>
      </c>
      <c r="B6875" s="63" t="s">
        <v>7536</v>
      </c>
    </row>
    <row r="6876" spans="1:2" x14ac:dyDescent="0.25">
      <c r="A6876" s="62">
        <v>41102513</v>
      </c>
      <c r="B6876" s="63" t="s">
        <v>7537</v>
      </c>
    </row>
    <row r="6877" spans="1:2" x14ac:dyDescent="0.25">
      <c r="A6877" s="62">
        <v>41102601</v>
      </c>
      <c r="B6877" s="63" t="s">
        <v>7538</v>
      </c>
    </row>
    <row r="6878" spans="1:2" x14ac:dyDescent="0.25">
      <c r="A6878" s="62">
        <v>41102602</v>
      </c>
      <c r="B6878" s="63" t="s">
        <v>7539</v>
      </c>
    </row>
    <row r="6879" spans="1:2" x14ac:dyDescent="0.25">
      <c r="A6879" s="62">
        <v>41102603</v>
      </c>
      <c r="B6879" s="63" t="s">
        <v>7540</v>
      </c>
    </row>
    <row r="6880" spans="1:2" x14ac:dyDescent="0.25">
      <c r="A6880" s="62">
        <v>41102604</v>
      </c>
      <c r="B6880" s="63" t="s">
        <v>7541</v>
      </c>
    </row>
    <row r="6881" spans="1:2" x14ac:dyDescent="0.25">
      <c r="A6881" s="62">
        <v>41102605</v>
      </c>
      <c r="B6881" s="63" t="s">
        <v>7542</v>
      </c>
    </row>
    <row r="6882" spans="1:2" x14ac:dyDescent="0.25">
      <c r="A6882" s="62">
        <v>41102606</v>
      </c>
      <c r="B6882" s="63" t="s">
        <v>7543</v>
      </c>
    </row>
    <row r="6883" spans="1:2" x14ac:dyDescent="0.25">
      <c r="A6883" s="62">
        <v>41102607</v>
      </c>
      <c r="B6883" s="63" t="s">
        <v>7544</v>
      </c>
    </row>
    <row r="6884" spans="1:2" x14ac:dyDescent="0.25">
      <c r="A6884" s="62">
        <v>41102608</v>
      </c>
      <c r="B6884" s="63" t="s">
        <v>7545</v>
      </c>
    </row>
    <row r="6885" spans="1:2" x14ac:dyDescent="0.25">
      <c r="A6885" s="62">
        <v>41102701</v>
      </c>
      <c r="B6885" s="63" t="s">
        <v>7546</v>
      </c>
    </row>
    <row r="6886" spans="1:2" x14ac:dyDescent="0.25">
      <c r="A6886" s="62">
        <v>41102702</v>
      </c>
      <c r="B6886" s="63" t="s">
        <v>7547</v>
      </c>
    </row>
    <row r="6887" spans="1:2" x14ac:dyDescent="0.25">
      <c r="A6887" s="62">
        <v>41102703</v>
      </c>
      <c r="B6887" s="63" t="s">
        <v>7548</v>
      </c>
    </row>
    <row r="6888" spans="1:2" x14ac:dyDescent="0.25">
      <c r="A6888" s="62">
        <v>41102704</v>
      </c>
      <c r="B6888" s="63" t="s">
        <v>7549</v>
      </c>
    </row>
    <row r="6889" spans="1:2" x14ac:dyDescent="0.25">
      <c r="A6889" s="62">
        <v>41102705</v>
      </c>
      <c r="B6889" s="63" t="s">
        <v>7550</v>
      </c>
    </row>
    <row r="6890" spans="1:2" x14ac:dyDescent="0.25">
      <c r="A6890" s="62">
        <v>41102706</v>
      </c>
      <c r="B6890" s="63" t="s">
        <v>7551</v>
      </c>
    </row>
    <row r="6891" spans="1:2" x14ac:dyDescent="0.25">
      <c r="A6891" s="62">
        <v>41102901</v>
      </c>
      <c r="B6891" s="63" t="s">
        <v>7552</v>
      </c>
    </row>
    <row r="6892" spans="1:2" x14ac:dyDescent="0.25">
      <c r="A6892" s="62">
        <v>41102902</v>
      </c>
      <c r="B6892" s="63" t="s">
        <v>7553</v>
      </c>
    </row>
    <row r="6893" spans="1:2" x14ac:dyDescent="0.25">
      <c r="A6893" s="62">
        <v>41102903</v>
      </c>
      <c r="B6893" s="63" t="s">
        <v>7554</v>
      </c>
    </row>
    <row r="6894" spans="1:2" x14ac:dyDescent="0.25">
      <c r="A6894" s="62">
        <v>41102904</v>
      </c>
      <c r="B6894" s="63" t="s">
        <v>7555</v>
      </c>
    </row>
    <row r="6895" spans="1:2" x14ac:dyDescent="0.25">
      <c r="A6895" s="62">
        <v>41102905</v>
      </c>
      <c r="B6895" s="63" t="s">
        <v>7556</v>
      </c>
    </row>
    <row r="6896" spans="1:2" x14ac:dyDescent="0.25">
      <c r="A6896" s="62">
        <v>41102909</v>
      </c>
      <c r="B6896" s="63" t="s">
        <v>7557</v>
      </c>
    </row>
    <row r="6897" spans="1:2" x14ac:dyDescent="0.25">
      <c r="A6897" s="62">
        <v>41102910</v>
      </c>
      <c r="B6897" s="63" t="s">
        <v>7558</v>
      </c>
    </row>
    <row r="6898" spans="1:2" x14ac:dyDescent="0.25">
      <c r="A6898" s="62">
        <v>41102911</v>
      </c>
      <c r="B6898" s="63" t="s">
        <v>7559</v>
      </c>
    </row>
    <row r="6899" spans="1:2" x14ac:dyDescent="0.25">
      <c r="A6899" s="62">
        <v>41102912</v>
      </c>
      <c r="B6899" s="63" t="s">
        <v>7560</v>
      </c>
    </row>
    <row r="6900" spans="1:2" x14ac:dyDescent="0.25">
      <c r="A6900" s="62">
        <v>41102913</v>
      </c>
      <c r="B6900" s="63" t="s">
        <v>7561</v>
      </c>
    </row>
    <row r="6901" spans="1:2" x14ac:dyDescent="0.25">
      <c r="A6901" s="62">
        <v>41102914</v>
      </c>
      <c r="B6901" s="63" t="s">
        <v>7562</v>
      </c>
    </row>
    <row r="6902" spans="1:2" x14ac:dyDescent="0.25">
      <c r="A6902" s="62">
        <v>41102915</v>
      </c>
      <c r="B6902" s="63" t="s">
        <v>7563</v>
      </c>
    </row>
    <row r="6903" spans="1:2" x14ac:dyDescent="0.25">
      <c r="A6903" s="62">
        <v>41102916</v>
      </c>
      <c r="B6903" s="63" t="s">
        <v>7564</v>
      </c>
    </row>
    <row r="6904" spans="1:2" x14ac:dyDescent="0.25">
      <c r="A6904" s="62">
        <v>41102917</v>
      </c>
      <c r="B6904" s="63" t="s">
        <v>7565</v>
      </c>
    </row>
    <row r="6905" spans="1:2" x14ac:dyDescent="0.25">
      <c r="A6905" s="62">
        <v>41102918</v>
      </c>
      <c r="B6905" s="63" t="s">
        <v>7566</v>
      </c>
    </row>
    <row r="6906" spans="1:2" x14ac:dyDescent="0.25">
      <c r="A6906" s="62">
        <v>41102919</v>
      </c>
      <c r="B6906" s="63" t="s">
        <v>7567</v>
      </c>
    </row>
    <row r="6907" spans="1:2" x14ac:dyDescent="0.25">
      <c r="A6907" s="62">
        <v>41102920</v>
      </c>
      <c r="B6907" s="63" t="s">
        <v>7568</v>
      </c>
    </row>
    <row r="6908" spans="1:2" x14ac:dyDescent="0.25">
      <c r="A6908" s="62">
        <v>41102921</v>
      </c>
      <c r="B6908" s="63" t="s">
        <v>7569</v>
      </c>
    </row>
    <row r="6909" spans="1:2" x14ac:dyDescent="0.25">
      <c r="A6909" s="62">
        <v>41102922</v>
      </c>
      <c r="B6909" s="63" t="s">
        <v>7570</v>
      </c>
    </row>
    <row r="6910" spans="1:2" x14ac:dyDescent="0.25">
      <c r="A6910" s="62">
        <v>41103001</v>
      </c>
      <c r="B6910" s="63" t="s">
        <v>7571</v>
      </c>
    </row>
    <row r="6911" spans="1:2" x14ac:dyDescent="0.25">
      <c r="A6911" s="62">
        <v>41103003</v>
      </c>
      <c r="B6911" s="63" t="s">
        <v>7572</v>
      </c>
    </row>
    <row r="6912" spans="1:2" x14ac:dyDescent="0.25">
      <c r="A6912" s="62">
        <v>41103004</v>
      </c>
      <c r="B6912" s="63" t="s">
        <v>7573</v>
      </c>
    </row>
    <row r="6913" spans="1:2" x14ac:dyDescent="0.25">
      <c r="A6913" s="62">
        <v>41103005</v>
      </c>
      <c r="B6913" s="63" t="s">
        <v>7574</v>
      </c>
    </row>
    <row r="6914" spans="1:2" x14ac:dyDescent="0.25">
      <c r="A6914" s="62">
        <v>41103006</v>
      </c>
      <c r="B6914" s="63" t="s">
        <v>7575</v>
      </c>
    </row>
    <row r="6915" spans="1:2" x14ac:dyDescent="0.25">
      <c r="A6915" s="62">
        <v>41103007</v>
      </c>
      <c r="B6915" s="63" t="s">
        <v>7576</v>
      </c>
    </row>
    <row r="6916" spans="1:2" x14ac:dyDescent="0.25">
      <c r="A6916" s="62">
        <v>41103008</v>
      </c>
      <c r="B6916" s="63" t="s">
        <v>7577</v>
      </c>
    </row>
    <row r="6917" spans="1:2" x14ac:dyDescent="0.25">
      <c r="A6917" s="62">
        <v>41103010</v>
      </c>
      <c r="B6917" s="63" t="s">
        <v>7578</v>
      </c>
    </row>
    <row r="6918" spans="1:2" x14ac:dyDescent="0.25">
      <c r="A6918" s="62">
        <v>41103011</v>
      </c>
      <c r="B6918" s="63" t="s">
        <v>7579</v>
      </c>
    </row>
    <row r="6919" spans="1:2" x14ac:dyDescent="0.25">
      <c r="A6919" s="62">
        <v>41103012</v>
      </c>
      <c r="B6919" s="63" t="s">
        <v>7580</v>
      </c>
    </row>
    <row r="6920" spans="1:2" x14ac:dyDescent="0.25">
      <c r="A6920" s="62">
        <v>41103013</v>
      </c>
      <c r="B6920" s="63" t="s">
        <v>7581</v>
      </c>
    </row>
    <row r="6921" spans="1:2" x14ac:dyDescent="0.25">
      <c r="A6921" s="62">
        <v>41103014</v>
      </c>
      <c r="B6921" s="63" t="s">
        <v>7582</v>
      </c>
    </row>
    <row r="6922" spans="1:2" x14ac:dyDescent="0.25">
      <c r="A6922" s="62">
        <v>41103015</v>
      </c>
      <c r="B6922" s="63" t="s">
        <v>7583</v>
      </c>
    </row>
    <row r="6923" spans="1:2" x14ac:dyDescent="0.25">
      <c r="A6923" s="62">
        <v>41103017</v>
      </c>
      <c r="B6923" s="63" t="s">
        <v>7584</v>
      </c>
    </row>
    <row r="6924" spans="1:2" x14ac:dyDescent="0.25">
      <c r="A6924" s="62">
        <v>41103019</v>
      </c>
      <c r="B6924" s="63" t="s">
        <v>7585</v>
      </c>
    </row>
    <row r="6925" spans="1:2" x14ac:dyDescent="0.25">
      <c r="A6925" s="62">
        <v>41103020</v>
      </c>
      <c r="B6925" s="63" t="s">
        <v>7586</v>
      </c>
    </row>
    <row r="6926" spans="1:2" x14ac:dyDescent="0.25">
      <c r="A6926" s="62">
        <v>41103021</v>
      </c>
      <c r="B6926" s="63" t="s">
        <v>7587</v>
      </c>
    </row>
    <row r="6927" spans="1:2" x14ac:dyDescent="0.25">
      <c r="A6927" s="62">
        <v>41103022</v>
      </c>
      <c r="B6927" s="63" t="s">
        <v>7588</v>
      </c>
    </row>
    <row r="6928" spans="1:2" x14ac:dyDescent="0.25">
      <c r="A6928" s="62">
        <v>41103023</v>
      </c>
      <c r="B6928" s="63" t="s">
        <v>7589</v>
      </c>
    </row>
    <row r="6929" spans="1:2" x14ac:dyDescent="0.25">
      <c r="A6929" s="62">
        <v>41103024</v>
      </c>
      <c r="B6929" s="63" t="s">
        <v>7590</v>
      </c>
    </row>
    <row r="6930" spans="1:2" x14ac:dyDescent="0.25">
      <c r="A6930" s="62">
        <v>41103025</v>
      </c>
      <c r="B6930" s="63" t="s">
        <v>7591</v>
      </c>
    </row>
    <row r="6931" spans="1:2" x14ac:dyDescent="0.25">
      <c r="A6931" s="62">
        <v>41103201</v>
      </c>
      <c r="B6931" s="63" t="s">
        <v>7592</v>
      </c>
    </row>
    <row r="6932" spans="1:2" x14ac:dyDescent="0.25">
      <c r="A6932" s="62">
        <v>41103202</v>
      </c>
      <c r="B6932" s="63" t="s">
        <v>7593</v>
      </c>
    </row>
    <row r="6933" spans="1:2" x14ac:dyDescent="0.25">
      <c r="A6933" s="62">
        <v>41103203</v>
      </c>
      <c r="B6933" s="63" t="s">
        <v>7594</v>
      </c>
    </row>
    <row r="6934" spans="1:2" x14ac:dyDescent="0.25">
      <c r="A6934" s="62">
        <v>41103205</v>
      </c>
      <c r="B6934" s="63" t="s">
        <v>7595</v>
      </c>
    </row>
    <row r="6935" spans="1:2" x14ac:dyDescent="0.25">
      <c r="A6935" s="62">
        <v>41103206</v>
      </c>
      <c r="B6935" s="63" t="s">
        <v>7596</v>
      </c>
    </row>
    <row r="6936" spans="1:2" x14ac:dyDescent="0.25">
      <c r="A6936" s="62">
        <v>41103207</v>
      </c>
      <c r="B6936" s="63" t="s">
        <v>7597</v>
      </c>
    </row>
    <row r="6937" spans="1:2" x14ac:dyDescent="0.25">
      <c r="A6937" s="62">
        <v>41103208</v>
      </c>
      <c r="B6937" s="63" t="s">
        <v>7598</v>
      </c>
    </row>
    <row r="6938" spans="1:2" x14ac:dyDescent="0.25">
      <c r="A6938" s="62">
        <v>41103209</v>
      </c>
      <c r="B6938" s="63" t="s">
        <v>7599</v>
      </c>
    </row>
    <row r="6939" spans="1:2" x14ac:dyDescent="0.25">
      <c r="A6939" s="62">
        <v>41103210</v>
      </c>
      <c r="B6939" s="63" t="s">
        <v>7600</v>
      </c>
    </row>
    <row r="6940" spans="1:2" x14ac:dyDescent="0.25">
      <c r="A6940" s="62">
        <v>41103301</v>
      </c>
      <c r="B6940" s="63" t="s">
        <v>7601</v>
      </c>
    </row>
    <row r="6941" spans="1:2" x14ac:dyDescent="0.25">
      <c r="A6941" s="62">
        <v>41103302</v>
      </c>
      <c r="B6941" s="63" t="s">
        <v>7602</v>
      </c>
    </row>
    <row r="6942" spans="1:2" x14ac:dyDescent="0.25">
      <c r="A6942" s="62">
        <v>41103303</v>
      </c>
      <c r="B6942" s="63" t="s">
        <v>7603</v>
      </c>
    </row>
    <row r="6943" spans="1:2" x14ac:dyDescent="0.25">
      <c r="A6943" s="62">
        <v>41103305</v>
      </c>
      <c r="B6943" s="63" t="s">
        <v>7604</v>
      </c>
    </row>
    <row r="6944" spans="1:2" x14ac:dyDescent="0.25">
      <c r="A6944" s="62">
        <v>41103306</v>
      </c>
      <c r="B6944" s="63" t="s">
        <v>7605</v>
      </c>
    </row>
    <row r="6945" spans="1:2" x14ac:dyDescent="0.25">
      <c r="A6945" s="62">
        <v>41103307</v>
      </c>
      <c r="B6945" s="63" t="s">
        <v>7606</v>
      </c>
    </row>
    <row r="6946" spans="1:2" x14ac:dyDescent="0.25">
      <c r="A6946" s="62">
        <v>41103308</v>
      </c>
      <c r="B6946" s="63" t="s">
        <v>7607</v>
      </c>
    </row>
    <row r="6947" spans="1:2" x14ac:dyDescent="0.25">
      <c r="A6947" s="62">
        <v>41103309</v>
      </c>
      <c r="B6947" s="63" t="s">
        <v>7608</v>
      </c>
    </row>
    <row r="6948" spans="1:2" x14ac:dyDescent="0.25">
      <c r="A6948" s="62">
        <v>41103310</v>
      </c>
      <c r="B6948" s="63" t="s">
        <v>7609</v>
      </c>
    </row>
    <row r="6949" spans="1:2" x14ac:dyDescent="0.25">
      <c r="A6949" s="62">
        <v>41103311</v>
      </c>
      <c r="B6949" s="63" t="s">
        <v>7610</v>
      </c>
    </row>
    <row r="6950" spans="1:2" x14ac:dyDescent="0.25">
      <c r="A6950" s="62">
        <v>41103312</v>
      </c>
      <c r="B6950" s="63" t="s">
        <v>7611</v>
      </c>
    </row>
    <row r="6951" spans="1:2" x14ac:dyDescent="0.25">
      <c r="A6951" s="62">
        <v>41103313</v>
      </c>
      <c r="B6951" s="63" t="s">
        <v>7612</v>
      </c>
    </row>
    <row r="6952" spans="1:2" x14ac:dyDescent="0.25">
      <c r="A6952" s="62">
        <v>41103314</v>
      </c>
      <c r="B6952" s="63" t="s">
        <v>7613</v>
      </c>
    </row>
    <row r="6953" spans="1:2" x14ac:dyDescent="0.25">
      <c r="A6953" s="62">
        <v>41103315</v>
      </c>
      <c r="B6953" s="63" t="s">
        <v>7614</v>
      </c>
    </row>
    <row r="6954" spans="1:2" x14ac:dyDescent="0.25">
      <c r="A6954" s="62">
        <v>41103316</v>
      </c>
      <c r="B6954" s="63" t="s">
        <v>7615</v>
      </c>
    </row>
    <row r="6955" spans="1:2" x14ac:dyDescent="0.25">
      <c r="A6955" s="62">
        <v>41103317</v>
      </c>
      <c r="B6955" s="63" t="s">
        <v>7616</v>
      </c>
    </row>
    <row r="6956" spans="1:2" x14ac:dyDescent="0.25">
      <c r="A6956" s="62">
        <v>41103318</v>
      </c>
      <c r="B6956" s="63" t="s">
        <v>7617</v>
      </c>
    </row>
    <row r="6957" spans="1:2" x14ac:dyDescent="0.25">
      <c r="A6957" s="62">
        <v>41103401</v>
      </c>
      <c r="B6957" s="63" t="s">
        <v>7618</v>
      </c>
    </row>
    <row r="6958" spans="1:2" x14ac:dyDescent="0.25">
      <c r="A6958" s="62">
        <v>41103403</v>
      </c>
      <c r="B6958" s="63" t="s">
        <v>7619</v>
      </c>
    </row>
    <row r="6959" spans="1:2" x14ac:dyDescent="0.25">
      <c r="A6959" s="62">
        <v>41103406</v>
      </c>
      <c r="B6959" s="63" t="s">
        <v>7620</v>
      </c>
    </row>
    <row r="6960" spans="1:2" x14ac:dyDescent="0.25">
      <c r="A6960" s="62">
        <v>41103407</v>
      </c>
      <c r="B6960" s="63" t="s">
        <v>7621</v>
      </c>
    </row>
    <row r="6961" spans="1:2" x14ac:dyDescent="0.25">
      <c r="A6961" s="62">
        <v>41103408</v>
      </c>
      <c r="B6961" s="63" t="s">
        <v>7622</v>
      </c>
    </row>
    <row r="6962" spans="1:2" x14ac:dyDescent="0.25">
      <c r="A6962" s="62">
        <v>41103409</v>
      </c>
      <c r="B6962" s="63" t="s">
        <v>7623</v>
      </c>
    </row>
    <row r="6963" spans="1:2" x14ac:dyDescent="0.25">
      <c r="A6963" s="62">
        <v>41103410</v>
      </c>
      <c r="B6963" s="63" t="s">
        <v>7624</v>
      </c>
    </row>
    <row r="6964" spans="1:2" x14ac:dyDescent="0.25">
      <c r="A6964" s="62">
        <v>41103411</v>
      </c>
      <c r="B6964" s="63" t="s">
        <v>7625</v>
      </c>
    </row>
    <row r="6965" spans="1:2" x14ac:dyDescent="0.25">
      <c r="A6965" s="62">
        <v>41103412</v>
      </c>
      <c r="B6965" s="63" t="s">
        <v>7626</v>
      </c>
    </row>
    <row r="6966" spans="1:2" x14ac:dyDescent="0.25">
      <c r="A6966" s="62">
        <v>41103413</v>
      </c>
      <c r="B6966" s="63" t="s">
        <v>7627</v>
      </c>
    </row>
    <row r="6967" spans="1:2" x14ac:dyDescent="0.25">
      <c r="A6967" s="62">
        <v>41103414</v>
      </c>
      <c r="B6967" s="63" t="s">
        <v>7628</v>
      </c>
    </row>
    <row r="6968" spans="1:2" x14ac:dyDescent="0.25">
      <c r="A6968" s="62">
        <v>41103415</v>
      </c>
      <c r="B6968" s="63" t="s">
        <v>7629</v>
      </c>
    </row>
    <row r="6969" spans="1:2" x14ac:dyDescent="0.25">
      <c r="A6969" s="62">
        <v>41103501</v>
      </c>
      <c r="B6969" s="63" t="s">
        <v>7630</v>
      </c>
    </row>
    <row r="6970" spans="1:2" x14ac:dyDescent="0.25">
      <c r="A6970" s="62">
        <v>41103502</v>
      </c>
      <c r="B6970" s="63" t="s">
        <v>7631</v>
      </c>
    </row>
    <row r="6971" spans="1:2" x14ac:dyDescent="0.25">
      <c r="A6971" s="62">
        <v>41103504</v>
      </c>
      <c r="B6971" s="63" t="s">
        <v>7632</v>
      </c>
    </row>
    <row r="6972" spans="1:2" x14ac:dyDescent="0.25">
      <c r="A6972" s="62">
        <v>41103506</v>
      </c>
      <c r="B6972" s="63" t="s">
        <v>7633</v>
      </c>
    </row>
    <row r="6973" spans="1:2" x14ac:dyDescent="0.25">
      <c r="A6973" s="62">
        <v>41103507</v>
      </c>
      <c r="B6973" s="63" t="s">
        <v>7634</v>
      </c>
    </row>
    <row r="6974" spans="1:2" x14ac:dyDescent="0.25">
      <c r="A6974" s="62">
        <v>41103508</v>
      </c>
      <c r="B6974" s="63" t="s">
        <v>7635</v>
      </c>
    </row>
    <row r="6975" spans="1:2" x14ac:dyDescent="0.25">
      <c r="A6975" s="62">
        <v>41103509</v>
      </c>
      <c r="B6975" s="63" t="s">
        <v>7636</v>
      </c>
    </row>
    <row r="6976" spans="1:2" x14ac:dyDescent="0.25">
      <c r="A6976" s="62">
        <v>41103510</v>
      </c>
      <c r="B6976" s="63" t="s">
        <v>7637</v>
      </c>
    </row>
    <row r="6977" spans="1:2" x14ac:dyDescent="0.25">
      <c r="A6977" s="62">
        <v>41103511</v>
      </c>
      <c r="B6977" s="63" t="s">
        <v>7638</v>
      </c>
    </row>
    <row r="6978" spans="1:2" x14ac:dyDescent="0.25">
      <c r="A6978" s="62">
        <v>41103512</v>
      </c>
      <c r="B6978" s="63" t="s">
        <v>7639</v>
      </c>
    </row>
    <row r="6979" spans="1:2" x14ac:dyDescent="0.25">
      <c r="A6979" s="62">
        <v>41103513</v>
      </c>
      <c r="B6979" s="63" t="s">
        <v>7640</v>
      </c>
    </row>
    <row r="6980" spans="1:2" x14ac:dyDescent="0.25">
      <c r="A6980" s="62">
        <v>41103701</v>
      </c>
      <c r="B6980" s="63" t="s">
        <v>7641</v>
      </c>
    </row>
    <row r="6981" spans="1:2" x14ac:dyDescent="0.25">
      <c r="A6981" s="62">
        <v>41103702</v>
      </c>
      <c r="B6981" s="63" t="s">
        <v>7642</v>
      </c>
    </row>
    <row r="6982" spans="1:2" x14ac:dyDescent="0.25">
      <c r="A6982" s="62">
        <v>41103703</v>
      </c>
      <c r="B6982" s="63" t="s">
        <v>7643</v>
      </c>
    </row>
    <row r="6983" spans="1:2" x14ac:dyDescent="0.25">
      <c r="A6983" s="62">
        <v>41103704</v>
      </c>
      <c r="B6983" s="63" t="s">
        <v>7644</v>
      </c>
    </row>
    <row r="6984" spans="1:2" x14ac:dyDescent="0.25">
      <c r="A6984" s="62">
        <v>41103705</v>
      </c>
      <c r="B6984" s="63" t="s">
        <v>7645</v>
      </c>
    </row>
    <row r="6985" spans="1:2" x14ac:dyDescent="0.25">
      <c r="A6985" s="62">
        <v>41103706</v>
      </c>
      <c r="B6985" s="63" t="s">
        <v>7646</v>
      </c>
    </row>
    <row r="6986" spans="1:2" x14ac:dyDescent="0.25">
      <c r="A6986" s="62">
        <v>41103707</v>
      </c>
      <c r="B6986" s="63" t="s">
        <v>7647</v>
      </c>
    </row>
    <row r="6987" spans="1:2" x14ac:dyDescent="0.25">
      <c r="A6987" s="62">
        <v>41103708</v>
      </c>
      <c r="B6987" s="63" t="s">
        <v>7648</v>
      </c>
    </row>
    <row r="6988" spans="1:2" x14ac:dyDescent="0.25">
      <c r="A6988" s="62">
        <v>41103709</v>
      </c>
      <c r="B6988" s="63" t="s">
        <v>7649</v>
      </c>
    </row>
    <row r="6989" spans="1:2" x14ac:dyDescent="0.25">
      <c r="A6989" s="62">
        <v>41103710</v>
      </c>
      <c r="B6989" s="63" t="s">
        <v>7650</v>
      </c>
    </row>
    <row r="6990" spans="1:2" x14ac:dyDescent="0.25">
      <c r="A6990" s="62">
        <v>41103711</v>
      </c>
      <c r="B6990" s="63" t="s">
        <v>7651</v>
      </c>
    </row>
    <row r="6991" spans="1:2" x14ac:dyDescent="0.25">
      <c r="A6991" s="62">
        <v>41103712</v>
      </c>
      <c r="B6991" s="63" t="s">
        <v>7652</v>
      </c>
    </row>
    <row r="6992" spans="1:2" x14ac:dyDescent="0.25">
      <c r="A6992" s="62">
        <v>41103713</v>
      </c>
      <c r="B6992" s="63" t="s">
        <v>7653</v>
      </c>
    </row>
    <row r="6993" spans="1:2" x14ac:dyDescent="0.25">
      <c r="A6993" s="62">
        <v>41103714</v>
      </c>
      <c r="B6993" s="63" t="s">
        <v>7654</v>
      </c>
    </row>
    <row r="6994" spans="1:2" x14ac:dyDescent="0.25">
      <c r="A6994" s="62">
        <v>41103715</v>
      </c>
      <c r="B6994" s="63" t="s">
        <v>7655</v>
      </c>
    </row>
    <row r="6995" spans="1:2" x14ac:dyDescent="0.25">
      <c r="A6995" s="62">
        <v>41103801</v>
      </c>
      <c r="B6995" s="63" t="s">
        <v>7656</v>
      </c>
    </row>
    <row r="6996" spans="1:2" x14ac:dyDescent="0.25">
      <c r="A6996" s="62">
        <v>41103802</v>
      </c>
      <c r="B6996" s="63" t="s">
        <v>7657</v>
      </c>
    </row>
    <row r="6997" spans="1:2" x14ac:dyDescent="0.25">
      <c r="A6997" s="62">
        <v>41103803</v>
      </c>
      <c r="B6997" s="63" t="s">
        <v>7658</v>
      </c>
    </row>
    <row r="6998" spans="1:2" x14ac:dyDescent="0.25">
      <c r="A6998" s="62">
        <v>41103804</v>
      </c>
      <c r="B6998" s="63" t="s">
        <v>7659</v>
      </c>
    </row>
    <row r="6999" spans="1:2" x14ac:dyDescent="0.25">
      <c r="A6999" s="62">
        <v>41103805</v>
      </c>
      <c r="B6999" s="63" t="s">
        <v>7660</v>
      </c>
    </row>
    <row r="7000" spans="1:2" x14ac:dyDescent="0.25">
      <c r="A7000" s="62">
        <v>41103806</v>
      </c>
      <c r="B7000" s="63" t="s">
        <v>7661</v>
      </c>
    </row>
    <row r="7001" spans="1:2" x14ac:dyDescent="0.25">
      <c r="A7001" s="62">
        <v>41103807</v>
      </c>
      <c r="B7001" s="63" t="s">
        <v>7662</v>
      </c>
    </row>
    <row r="7002" spans="1:2" x14ac:dyDescent="0.25">
      <c r="A7002" s="62">
        <v>41103808</v>
      </c>
      <c r="B7002" s="63" t="s">
        <v>7663</v>
      </c>
    </row>
    <row r="7003" spans="1:2" x14ac:dyDescent="0.25">
      <c r="A7003" s="62">
        <v>41103809</v>
      </c>
      <c r="B7003" s="63" t="s">
        <v>7664</v>
      </c>
    </row>
    <row r="7004" spans="1:2" x14ac:dyDescent="0.25">
      <c r="A7004" s="62">
        <v>41103810</v>
      </c>
      <c r="B7004" s="63" t="s">
        <v>7665</v>
      </c>
    </row>
    <row r="7005" spans="1:2" x14ac:dyDescent="0.25">
      <c r="A7005" s="62">
        <v>41103811</v>
      </c>
      <c r="B7005" s="63" t="s">
        <v>7666</v>
      </c>
    </row>
    <row r="7006" spans="1:2" x14ac:dyDescent="0.25">
      <c r="A7006" s="62">
        <v>41103812</v>
      </c>
      <c r="B7006" s="63" t="s">
        <v>7667</v>
      </c>
    </row>
    <row r="7007" spans="1:2" x14ac:dyDescent="0.25">
      <c r="A7007" s="62">
        <v>41103813</v>
      </c>
      <c r="B7007" s="63" t="s">
        <v>7668</v>
      </c>
    </row>
    <row r="7008" spans="1:2" x14ac:dyDescent="0.25">
      <c r="A7008" s="62">
        <v>41103814</v>
      </c>
      <c r="B7008" s="63" t="s">
        <v>7669</v>
      </c>
    </row>
    <row r="7009" spans="1:2" x14ac:dyDescent="0.25">
      <c r="A7009" s="62">
        <v>41103815</v>
      </c>
      <c r="B7009" s="63" t="s">
        <v>7670</v>
      </c>
    </row>
    <row r="7010" spans="1:2" x14ac:dyDescent="0.25">
      <c r="A7010" s="62">
        <v>41103816</v>
      </c>
      <c r="B7010" s="63" t="s">
        <v>7671</v>
      </c>
    </row>
    <row r="7011" spans="1:2" x14ac:dyDescent="0.25">
      <c r="A7011" s="62">
        <v>41103901</v>
      </c>
      <c r="B7011" s="63" t="s">
        <v>7672</v>
      </c>
    </row>
    <row r="7012" spans="1:2" x14ac:dyDescent="0.25">
      <c r="A7012" s="62">
        <v>41103902</v>
      </c>
      <c r="B7012" s="63" t="s">
        <v>7673</v>
      </c>
    </row>
    <row r="7013" spans="1:2" x14ac:dyDescent="0.25">
      <c r="A7013" s="62">
        <v>41103903</v>
      </c>
      <c r="B7013" s="63" t="s">
        <v>7674</v>
      </c>
    </row>
    <row r="7014" spans="1:2" x14ac:dyDescent="0.25">
      <c r="A7014" s="62">
        <v>41103904</v>
      </c>
      <c r="B7014" s="63" t="s">
        <v>7675</v>
      </c>
    </row>
    <row r="7015" spans="1:2" x14ac:dyDescent="0.25">
      <c r="A7015" s="62">
        <v>41103905</v>
      </c>
      <c r="B7015" s="63" t="s">
        <v>7676</v>
      </c>
    </row>
    <row r="7016" spans="1:2" x14ac:dyDescent="0.25">
      <c r="A7016" s="62">
        <v>41103906</v>
      </c>
      <c r="B7016" s="63" t="s">
        <v>7677</v>
      </c>
    </row>
    <row r="7017" spans="1:2" x14ac:dyDescent="0.25">
      <c r="A7017" s="62">
        <v>41103907</v>
      </c>
      <c r="B7017" s="63" t="s">
        <v>7678</v>
      </c>
    </row>
    <row r="7018" spans="1:2" x14ac:dyDescent="0.25">
      <c r="A7018" s="62">
        <v>41103908</v>
      </c>
      <c r="B7018" s="63" t="s">
        <v>7679</v>
      </c>
    </row>
    <row r="7019" spans="1:2" x14ac:dyDescent="0.25">
      <c r="A7019" s="62">
        <v>41103909</v>
      </c>
      <c r="B7019" s="63" t="s">
        <v>7680</v>
      </c>
    </row>
    <row r="7020" spans="1:2" x14ac:dyDescent="0.25">
      <c r="A7020" s="62">
        <v>41103910</v>
      </c>
      <c r="B7020" s="63" t="s">
        <v>7681</v>
      </c>
    </row>
    <row r="7021" spans="1:2" x14ac:dyDescent="0.25">
      <c r="A7021" s="62">
        <v>41103911</v>
      </c>
      <c r="B7021" s="63" t="s">
        <v>7682</v>
      </c>
    </row>
    <row r="7022" spans="1:2" x14ac:dyDescent="0.25">
      <c r="A7022" s="62">
        <v>41103912</v>
      </c>
      <c r="B7022" s="63" t="s">
        <v>7683</v>
      </c>
    </row>
    <row r="7023" spans="1:2" x14ac:dyDescent="0.25">
      <c r="A7023" s="62">
        <v>41103913</v>
      </c>
      <c r="B7023" s="63" t="s">
        <v>7684</v>
      </c>
    </row>
    <row r="7024" spans="1:2" x14ac:dyDescent="0.25">
      <c r="A7024" s="62">
        <v>41104001</v>
      </c>
      <c r="B7024" s="63" t="s">
        <v>7685</v>
      </c>
    </row>
    <row r="7025" spans="1:2" x14ac:dyDescent="0.25">
      <c r="A7025" s="62">
        <v>41104002</v>
      </c>
      <c r="B7025" s="63" t="s">
        <v>7686</v>
      </c>
    </row>
    <row r="7026" spans="1:2" x14ac:dyDescent="0.25">
      <c r="A7026" s="62">
        <v>41104003</v>
      </c>
      <c r="B7026" s="63" t="s">
        <v>7687</v>
      </c>
    </row>
    <row r="7027" spans="1:2" x14ac:dyDescent="0.25">
      <c r="A7027" s="62">
        <v>41104004</v>
      </c>
      <c r="B7027" s="63" t="s">
        <v>7688</v>
      </c>
    </row>
    <row r="7028" spans="1:2" x14ac:dyDescent="0.25">
      <c r="A7028" s="62">
        <v>41104005</v>
      </c>
      <c r="B7028" s="63" t="s">
        <v>7689</v>
      </c>
    </row>
    <row r="7029" spans="1:2" x14ac:dyDescent="0.25">
      <c r="A7029" s="62">
        <v>41104006</v>
      </c>
      <c r="B7029" s="63" t="s">
        <v>7690</v>
      </c>
    </row>
    <row r="7030" spans="1:2" x14ac:dyDescent="0.25">
      <c r="A7030" s="62">
        <v>41104007</v>
      </c>
      <c r="B7030" s="63" t="s">
        <v>7691</v>
      </c>
    </row>
    <row r="7031" spans="1:2" x14ac:dyDescent="0.25">
      <c r="A7031" s="62">
        <v>41104008</v>
      </c>
      <c r="B7031" s="63" t="s">
        <v>7692</v>
      </c>
    </row>
    <row r="7032" spans="1:2" x14ac:dyDescent="0.25">
      <c r="A7032" s="62">
        <v>41104009</v>
      </c>
      <c r="B7032" s="63" t="s">
        <v>7693</v>
      </c>
    </row>
    <row r="7033" spans="1:2" x14ac:dyDescent="0.25">
      <c r="A7033" s="62">
        <v>41104010</v>
      </c>
      <c r="B7033" s="63" t="s">
        <v>7694</v>
      </c>
    </row>
    <row r="7034" spans="1:2" x14ac:dyDescent="0.25">
      <c r="A7034" s="62">
        <v>41104011</v>
      </c>
      <c r="B7034" s="63" t="s">
        <v>7695</v>
      </c>
    </row>
    <row r="7035" spans="1:2" x14ac:dyDescent="0.25">
      <c r="A7035" s="62">
        <v>41104012</v>
      </c>
      <c r="B7035" s="63" t="s">
        <v>7696</v>
      </c>
    </row>
    <row r="7036" spans="1:2" x14ac:dyDescent="0.25">
      <c r="A7036" s="62">
        <v>41104013</v>
      </c>
      <c r="B7036" s="63" t="s">
        <v>7697</v>
      </c>
    </row>
    <row r="7037" spans="1:2" x14ac:dyDescent="0.25">
      <c r="A7037" s="62">
        <v>41104014</v>
      </c>
      <c r="B7037" s="63" t="s">
        <v>7698</v>
      </c>
    </row>
    <row r="7038" spans="1:2" x14ac:dyDescent="0.25">
      <c r="A7038" s="62">
        <v>41104015</v>
      </c>
      <c r="B7038" s="63" t="s">
        <v>7699</v>
      </c>
    </row>
    <row r="7039" spans="1:2" x14ac:dyDescent="0.25">
      <c r="A7039" s="62">
        <v>41104016</v>
      </c>
      <c r="B7039" s="63" t="s">
        <v>7700</v>
      </c>
    </row>
    <row r="7040" spans="1:2" x14ac:dyDescent="0.25">
      <c r="A7040" s="62">
        <v>41104017</v>
      </c>
      <c r="B7040" s="63" t="s">
        <v>7701</v>
      </c>
    </row>
    <row r="7041" spans="1:2" x14ac:dyDescent="0.25">
      <c r="A7041" s="62">
        <v>41104018</v>
      </c>
      <c r="B7041" s="63" t="s">
        <v>7702</v>
      </c>
    </row>
    <row r="7042" spans="1:2" x14ac:dyDescent="0.25">
      <c r="A7042" s="62">
        <v>41104019</v>
      </c>
      <c r="B7042" s="63" t="s">
        <v>7703</v>
      </c>
    </row>
    <row r="7043" spans="1:2" x14ac:dyDescent="0.25">
      <c r="A7043" s="62">
        <v>41104020</v>
      </c>
      <c r="B7043" s="63" t="s">
        <v>7704</v>
      </c>
    </row>
    <row r="7044" spans="1:2" x14ac:dyDescent="0.25">
      <c r="A7044" s="62">
        <v>41104101</v>
      </c>
      <c r="B7044" s="63" t="s">
        <v>7705</v>
      </c>
    </row>
    <row r="7045" spans="1:2" x14ac:dyDescent="0.25">
      <c r="A7045" s="62">
        <v>41104102</v>
      </c>
      <c r="B7045" s="63" t="s">
        <v>7706</v>
      </c>
    </row>
    <row r="7046" spans="1:2" x14ac:dyDescent="0.25">
      <c r="A7046" s="62">
        <v>41104103</v>
      </c>
      <c r="B7046" s="63" t="s">
        <v>7707</v>
      </c>
    </row>
    <row r="7047" spans="1:2" x14ac:dyDescent="0.25">
      <c r="A7047" s="62">
        <v>41104104</v>
      </c>
      <c r="B7047" s="63" t="s">
        <v>7708</v>
      </c>
    </row>
    <row r="7048" spans="1:2" x14ac:dyDescent="0.25">
      <c r="A7048" s="62">
        <v>41104105</v>
      </c>
      <c r="B7048" s="63" t="s">
        <v>7709</v>
      </c>
    </row>
    <row r="7049" spans="1:2" x14ac:dyDescent="0.25">
      <c r="A7049" s="62">
        <v>41104106</v>
      </c>
      <c r="B7049" s="63" t="s">
        <v>7710</v>
      </c>
    </row>
    <row r="7050" spans="1:2" x14ac:dyDescent="0.25">
      <c r="A7050" s="62">
        <v>41104107</v>
      </c>
      <c r="B7050" s="63" t="s">
        <v>7711</v>
      </c>
    </row>
    <row r="7051" spans="1:2" x14ac:dyDescent="0.25">
      <c r="A7051" s="62">
        <v>41104108</v>
      </c>
      <c r="B7051" s="63" t="s">
        <v>7712</v>
      </c>
    </row>
    <row r="7052" spans="1:2" x14ac:dyDescent="0.25">
      <c r="A7052" s="62">
        <v>41104109</v>
      </c>
      <c r="B7052" s="63" t="s">
        <v>7713</v>
      </c>
    </row>
    <row r="7053" spans="1:2" x14ac:dyDescent="0.25">
      <c r="A7053" s="62">
        <v>41104110</v>
      </c>
      <c r="B7053" s="63" t="s">
        <v>7714</v>
      </c>
    </row>
    <row r="7054" spans="1:2" x14ac:dyDescent="0.25">
      <c r="A7054" s="62">
        <v>41104111</v>
      </c>
      <c r="B7054" s="63" t="s">
        <v>7715</v>
      </c>
    </row>
    <row r="7055" spans="1:2" x14ac:dyDescent="0.25">
      <c r="A7055" s="62">
        <v>41104112</v>
      </c>
      <c r="B7055" s="63" t="s">
        <v>7716</v>
      </c>
    </row>
    <row r="7056" spans="1:2" x14ac:dyDescent="0.25">
      <c r="A7056" s="62">
        <v>41104114</v>
      </c>
      <c r="B7056" s="63" t="s">
        <v>7717</v>
      </c>
    </row>
    <row r="7057" spans="1:2" x14ac:dyDescent="0.25">
      <c r="A7057" s="62">
        <v>41104115</v>
      </c>
      <c r="B7057" s="63" t="s">
        <v>7718</v>
      </c>
    </row>
    <row r="7058" spans="1:2" x14ac:dyDescent="0.25">
      <c r="A7058" s="62">
        <v>41104116</v>
      </c>
      <c r="B7058" s="63" t="s">
        <v>7719</v>
      </c>
    </row>
    <row r="7059" spans="1:2" x14ac:dyDescent="0.25">
      <c r="A7059" s="62">
        <v>41104117</v>
      </c>
      <c r="B7059" s="63" t="s">
        <v>7720</v>
      </c>
    </row>
    <row r="7060" spans="1:2" x14ac:dyDescent="0.25">
      <c r="A7060" s="62">
        <v>41104118</v>
      </c>
      <c r="B7060" s="63" t="s">
        <v>7721</v>
      </c>
    </row>
    <row r="7061" spans="1:2" x14ac:dyDescent="0.25">
      <c r="A7061" s="62">
        <v>41104119</v>
      </c>
      <c r="B7061" s="63" t="s">
        <v>7722</v>
      </c>
    </row>
    <row r="7062" spans="1:2" x14ac:dyDescent="0.25">
      <c r="A7062" s="62">
        <v>41104120</v>
      </c>
      <c r="B7062" s="63" t="s">
        <v>7723</v>
      </c>
    </row>
    <row r="7063" spans="1:2" x14ac:dyDescent="0.25">
      <c r="A7063" s="62">
        <v>41104121</v>
      </c>
      <c r="B7063" s="63" t="s">
        <v>7724</v>
      </c>
    </row>
    <row r="7064" spans="1:2" x14ac:dyDescent="0.25">
      <c r="A7064" s="62">
        <v>41104122</v>
      </c>
      <c r="B7064" s="63" t="s">
        <v>7725</v>
      </c>
    </row>
    <row r="7065" spans="1:2" x14ac:dyDescent="0.25">
      <c r="A7065" s="62">
        <v>41104123</v>
      </c>
      <c r="B7065" s="63" t="s">
        <v>7726</v>
      </c>
    </row>
    <row r="7066" spans="1:2" x14ac:dyDescent="0.25">
      <c r="A7066" s="62">
        <v>41104124</v>
      </c>
      <c r="B7066" s="63" t="s">
        <v>7727</v>
      </c>
    </row>
    <row r="7067" spans="1:2" x14ac:dyDescent="0.25">
      <c r="A7067" s="62">
        <v>41104201</v>
      </c>
      <c r="B7067" s="63" t="s">
        <v>7728</v>
      </c>
    </row>
    <row r="7068" spans="1:2" x14ac:dyDescent="0.25">
      <c r="A7068" s="62">
        <v>41104202</v>
      </c>
      <c r="B7068" s="63" t="s">
        <v>7729</v>
      </c>
    </row>
    <row r="7069" spans="1:2" x14ac:dyDescent="0.25">
      <c r="A7069" s="62">
        <v>41104203</v>
      </c>
      <c r="B7069" s="63" t="s">
        <v>7730</v>
      </c>
    </row>
    <row r="7070" spans="1:2" x14ac:dyDescent="0.25">
      <c r="A7070" s="62">
        <v>41104204</v>
      </c>
      <c r="B7070" s="63" t="s">
        <v>7731</v>
      </c>
    </row>
    <row r="7071" spans="1:2" x14ac:dyDescent="0.25">
      <c r="A7071" s="62">
        <v>41104205</v>
      </c>
      <c r="B7071" s="63" t="s">
        <v>7732</v>
      </c>
    </row>
    <row r="7072" spans="1:2" x14ac:dyDescent="0.25">
      <c r="A7072" s="62">
        <v>41104206</v>
      </c>
      <c r="B7072" s="63" t="s">
        <v>7733</v>
      </c>
    </row>
    <row r="7073" spans="1:2" x14ac:dyDescent="0.25">
      <c r="A7073" s="62">
        <v>41104207</v>
      </c>
      <c r="B7073" s="63" t="s">
        <v>7734</v>
      </c>
    </row>
    <row r="7074" spans="1:2" x14ac:dyDescent="0.25">
      <c r="A7074" s="62">
        <v>41104208</v>
      </c>
      <c r="B7074" s="63" t="s">
        <v>7735</v>
      </c>
    </row>
    <row r="7075" spans="1:2" x14ac:dyDescent="0.25">
      <c r="A7075" s="62">
        <v>41104209</v>
      </c>
      <c r="B7075" s="63" t="s">
        <v>7736</v>
      </c>
    </row>
    <row r="7076" spans="1:2" x14ac:dyDescent="0.25">
      <c r="A7076" s="62">
        <v>41104210</v>
      </c>
      <c r="B7076" s="63" t="s">
        <v>7737</v>
      </c>
    </row>
    <row r="7077" spans="1:2" x14ac:dyDescent="0.25">
      <c r="A7077" s="62">
        <v>41104211</v>
      </c>
      <c r="B7077" s="63" t="s">
        <v>7738</v>
      </c>
    </row>
    <row r="7078" spans="1:2" x14ac:dyDescent="0.25">
      <c r="A7078" s="62">
        <v>41104212</v>
      </c>
      <c r="B7078" s="63" t="s">
        <v>7739</v>
      </c>
    </row>
    <row r="7079" spans="1:2" x14ac:dyDescent="0.25">
      <c r="A7079" s="62">
        <v>41104301</v>
      </c>
      <c r="B7079" s="63" t="s">
        <v>7740</v>
      </c>
    </row>
    <row r="7080" spans="1:2" x14ac:dyDescent="0.25">
      <c r="A7080" s="62">
        <v>41104302</v>
      </c>
      <c r="B7080" s="63" t="s">
        <v>7741</v>
      </c>
    </row>
    <row r="7081" spans="1:2" x14ac:dyDescent="0.25">
      <c r="A7081" s="62">
        <v>41104303</v>
      </c>
      <c r="B7081" s="63" t="s">
        <v>7742</v>
      </c>
    </row>
    <row r="7082" spans="1:2" x14ac:dyDescent="0.25">
      <c r="A7082" s="62">
        <v>41104304</v>
      </c>
      <c r="B7082" s="63" t="s">
        <v>7743</v>
      </c>
    </row>
    <row r="7083" spans="1:2" x14ac:dyDescent="0.25">
      <c r="A7083" s="62">
        <v>41104305</v>
      </c>
      <c r="B7083" s="63" t="s">
        <v>7744</v>
      </c>
    </row>
    <row r="7084" spans="1:2" x14ac:dyDescent="0.25">
      <c r="A7084" s="62">
        <v>41104306</v>
      </c>
      <c r="B7084" s="63" t="s">
        <v>7745</v>
      </c>
    </row>
    <row r="7085" spans="1:2" x14ac:dyDescent="0.25">
      <c r="A7085" s="62">
        <v>41104307</v>
      </c>
      <c r="B7085" s="63" t="s">
        <v>7746</v>
      </c>
    </row>
    <row r="7086" spans="1:2" x14ac:dyDescent="0.25">
      <c r="A7086" s="62">
        <v>41104308</v>
      </c>
      <c r="B7086" s="63" t="s">
        <v>7747</v>
      </c>
    </row>
    <row r="7087" spans="1:2" x14ac:dyDescent="0.25">
      <c r="A7087" s="62">
        <v>41104401</v>
      </c>
      <c r="B7087" s="63" t="s">
        <v>7748</v>
      </c>
    </row>
    <row r="7088" spans="1:2" x14ac:dyDescent="0.25">
      <c r="A7088" s="62">
        <v>41104402</v>
      </c>
      <c r="B7088" s="63" t="s">
        <v>7749</v>
      </c>
    </row>
    <row r="7089" spans="1:2" x14ac:dyDescent="0.25">
      <c r="A7089" s="62">
        <v>41104403</v>
      </c>
      <c r="B7089" s="63" t="s">
        <v>7750</v>
      </c>
    </row>
    <row r="7090" spans="1:2" x14ac:dyDescent="0.25">
      <c r="A7090" s="62">
        <v>41104404</v>
      </c>
      <c r="B7090" s="63" t="s">
        <v>7751</v>
      </c>
    </row>
    <row r="7091" spans="1:2" x14ac:dyDescent="0.25">
      <c r="A7091" s="62">
        <v>41104405</v>
      </c>
      <c r="B7091" s="63" t="s">
        <v>7752</v>
      </c>
    </row>
    <row r="7092" spans="1:2" x14ac:dyDescent="0.25">
      <c r="A7092" s="62">
        <v>41104406</v>
      </c>
      <c r="B7092" s="63" t="s">
        <v>7753</v>
      </c>
    </row>
    <row r="7093" spans="1:2" x14ac:dyDescent="0.25">
      <c r="A7093" s="62">
        <v>41104407</v>
      </c>
      <c r="B7093" s="63" t="s">
        <v>7754</v>
      </c>
    </row>
    <row r="7094" spans="1:2" x14ac:dyDescent="0.25">
      <c r="A7094" s="62">
        <v>41104408</v>
      </c>
      <c r="B7094" s="63" t="s">
        <v>7755</v>
      </c>
    </row>
    <row r="7095" spans="1:2" x14ac:dyDescent="0.25">
      <c r="A7095" s="62">
        <v>41104409</v>
      </c>
      <c r="B7095" s="63" t="s">
        <v>7756</v>
      </c>
    </row>
    <row r="7096" spans="1:2" x14ac:dyDescent="0.25">
      <c r="A7096" s="62">
        <v>41104410</v>
      </c>
      <c r="B7096" s="63" t="s">
        <v>7757</v>
      </c>
    </row>
    <row r="7097" spans="1:2" x14ac:dyDescent="0.25">
      <c r="A7097" s="62">
        <v>41104411</v>
      </c>
      <c r="B7097" s="63" t="s">
        <v>7758</v>
      </c>
    </row>
    <row r="7098" spans="1:2" x14ac:dyDescent="0.25">
      <c r="A7098" s="62">
        <v>41104412</v>
      </c>
      <c r="B7098" s="63" t="s">
        <v>7759</v>
      </c>
    </row>
    <row r="7099" spans="1:2" x14ac:dyDescent="0.25">
      <c r="A7099" s="62">
        <v>41104413</v>
      </c>
      <c r="B7099" s="63" t="s">
        <v>7760</v>
      </c>
    </row>
    <row r="7100" spans="1:2" x14ac:dyDescent="0.25">
      <c r="A7100" s="62">
        <v>41104414</v>
      </c>
      <c r="B7100" s="63" t="s">
        <v>7761</v>
      </c>
    </row>
    <row r="7101" spans="1:2" x14ac:dyDescent="0.25">
      <c r="A7101" s="62">
        <v>41104415</v>
      </c>
      <c r="B7101" s="63" t="s">
        <v>7762</v>
      </c>
    </row>
    <row r="7102" spans="1:2" x14ac:dyDescent="0.25">
      <c r="A7102" s="62">
        <v>41104416</v>
      </c>
      <c r="B7102" s="63" t="s">
        <v>7763</v>
      </c>
    </row>
    <row r="7103" spans="1:2" x14ac:dyDescent="0.25">
      <c r="A7103" s="62">
        <v>41104417</v>
      </c>
      <c r="B7103" s="63" t="s">
        <v>7764</v>
      </c>
    </row>
    <row r="7104" spans="1:2" x14ac:dyDescent="0.25">
      <c r="A7104" s="62">
        <v>41104418</v>
      </c>
      <c r="B7104" s="63" t="s">
        <v>7765</v>
      </c>
    </row>
    <row r="7105" spans="1:2" x14ac:dyDescent="0.25">
      <c r="A7105" s="62">
        <v>41104419</v>
      </c>
      <c r="B7105" s="63" t="s">
        <v>7766</v>
      </c>
    </row>
    <row r="7106" spans="1:2" x14ac:dyDescent="0.25">
      <c r="A7106" s="62">
        <v>41104420</v>
      </c>
      <c r="B7106" s="63" t="s">
        <v>7767</v>
      </c>
    </row>
    <row r="7107" spans="1:2" x14ac:dyDescent="0.25">
      <c r="A7107" s="62">
        <v>41104421</v>
      </c>
      <c r="B7107" s="63" t="s">
        <v>7768</v>
      </c>
    </row>
    <row r="7108" spans="1:2" x14ac:dyDescent="0.25">
      <c r="A7108" s="62">
        <v>41104422</v>
      </c>
      <c r="B7108" s="63" t="s">
        <v>7769</v>
      </c>
    </row>
    <row r="7109" spans="1:2" x14ac:dyDescent="0.25">
      <c r="A7109" s="62">
        <v>41104423</v>
      </c>
      <c r="B7109" s="63" t="s">
        <v>7770</v>
      </c>
    </row>
    <row r="7110" spans="1:2" x14ac:dyDescent="0.25">
      <c r="A7110" s="62">
        <v>41104424</v>
      </c>
      <c r="B7110" s="63" t="s">
        <v>7771</v>
      </c>
    </row>
    <row r="7111" spans="1:2" x14ac:dyDescent="0.25">
      <c r="A7111" s="62">
        <v>41104501</v>
      </c>
      <c r="B7111" s="63" t="s">
        <v>7772</v>
      </c>
    </row>
    <row r="7112" spans="1:2" x14ac:dyDescent="0.25">
      <c r="A7112" s="62">
        <v>41104502</v>
      </c>
      <c r="B7112" s="63" t="s">
        <v>7773</v>
      </c>
    </row>
    <row r="7113" spans="1:2" x14ac:dyDescent="0.25">
      <c r="A7113" s="62">
        <v>41104503</v>
      </c>
      <c r="B7113" s="63" t="s">
        <v>7774</v>
      </c>
    </row>
    <row r="7114" spans="1:2" x14ac:dyDescent="0.25">
      <c r="A7114" s="62">
        <v>41104504</v>
      </c>
      <c r="B7114" s="63" t="s">
        <v>7775</v>
      </c>
    </row>
    <row r="7115" spans="1:2" x14ac:dyDescent="0.25">
      <c r="A7115" s="62">
        <v>41104505</v>
      </c>
      <c r="B7115" s="63" t="s">
        <v>7776</v>
      </c>
    </row>
    <row r="7116" spans="1:2" x14ac:dyDescent="0.25">
      <c r="A7116" s="62">
        <v>41104506</v>
      </c>
      <c r="B7116" s="63" t="s">
        <v>7777</v>
      </c>
    </row>
    <row r="7117" spans="1:2" x14ac:dyDescent="0.25">
      <c r="A7117" s="62">
        <v>41104507</v>
      </c>
      <c r="B7117" s="63" t="s">
        <v>7778</v>
      </c>
    </row>
    <row r="7118" spans="1:2" x14ac:dyDescent="0.25">
      <c r="A7118" s="62">
        <v>41104508</v>
      </c>
      <c r="B7118" s="63" t="s">
        <v>7779</v>
      </c>
    </row>
    <row r="7119" spans="1:2" x14ac:dyDescent="0.25">
      <c r="A7119" s="62">
        <v>41104509</v>
      </c>
      <c r="B7119" s="63" t="s">
        <v>7780</v>
      </c>
    </row>
    <row r="7120" spans="1:2" x14ac:dyDescent="0.25">
      <c r="A7120" s="62">
        <v>41104510</v>
      </c>
      <c r="B7120" s="63" t="s">
        <v>7781</v>
      </c>
    </row>
    <row r="7121" spans="1:2" x14ac:dyDescent="0.25">
      <c r="A7121" s="62">
        <v>41104511</v>
      </c>
      <c r="B7121" s="63" t="s">
        <v>7782</v>
      </c>
    </row>
    <row r="7122" spans="1:2" x14ac:dyDescent="0.25">
      <c r="A7122" s="62">
        <v>41104512</v>
      </c>
      <c r="B7122" s="63" t="s">
        <v>7783</v>
      </c>
    </row>
    <row r="7123" spans="1:2" x14ac:dyDescent="0.25">
      <c r="A7123" s="62">
        <v>41104601</v>
      </c>
      <c r="B7123" s="63" t="s">
        <v>7784</v>
      </c>
    </row>
    <row r="7124" spans="1:2" x14ac:dyDescent="0.25">
      <c r="A7124" s="62">
        <v>41104602</v>
      </c>
      <c r="B7124" s="63" t="s">
        <v>7785</v>
      </c>
    </row>
    <row r="7125" spans="1:2" x14ac:dyDescent="0.25">
      <c r="A7125" s="62">
        <v>41104603</v>
      </c>
      <c r="B7125" s="63" t="s">
        <v>7786</v>
      </c>
    </row>
    <row r="7126" spans="1:2" x14ac:dyDescent="0.25">
      <c r="A7126" s="62">
        <v>41104604</v>
      </c>
      <c r="B7126" s="63" t="s">
        <v>7787</v>
      </c>
    </row>
    <row r="7127" spans="1:2" x14ac:dyDescent="0.25">
      <c r="A7127" s="62">
        <v>41104605</v>
      </c>
      <c r="B7127" s="63" t="s">
        <v>7788</v>
      </c>
    </row>
    <row r="7128" spans="1:2" x14ac:dyDescent="0.25">
      <c r="A7128" s="62">
        <v>41104606</v>
      </c>
      <c r="B7128" s="63" t="s">
        <v>7789</v>
      </c>
    </row>
    <row r="7129" spans="1:2" x14ac:dyDescent="0.25">
      <c r="A7129" s="62">
        <v>41104607</v>
      </c>
      <c r="B7129" s="63" t="s">
        <v>7790</v>
      </c>
    </row>
    <row r="7130" spans="1:2" x14ac:dyDescent="0.25">
      <c r="A7130" s="62">
        <v>41104608</v>
      </c>
      <c r="B7130" s="63" t="s">
        <v>7791</v>
      </c>
    </row>
    <row r="7131" spans="1:2" x14ac:dyDescent="0.25">
      <c r="A7131" s="62">
        <v>41104609</v>
      </c>
      <c r="B7131" s="63" t="s">
        <v>7792</v>
      </c>
    </row>
    <row r="7132" spans="1:2" x14ac:dyDescent="0.25">
      <c r="A7132" s="62">
        <v>41104610</v>
      </c>
      <c r="B7132" s="63" t="s">
        <v>7793</v>
      </c>
    </row>
    <row r="7133" spans="1:2" x14ac:dyDescent="0.25">
      <c r="A7133" s="62">
        <v>41104611</v>
      </c>
      <c r="B7133" s="63" t="s">
        <v>7794</v>
      </c>
    </row>
    <row r="7134" spans="1:2" x14ac:dyDescent="0.25">
      <c r="A7134" s="62">
        <v>41104612</v>
      </c>
      <c r="B7134" s="63" t="s">
        <v>7795</v>
      </c>
    </row>
    <row r="7135" spans="1:2" x14ac:dyDescent="0.25">
      <c r="A7135" s="62">
        <v>41104701</v>
      </c>
      <c r="B7135" s="63" t="s">
        <v>7796</v>
      </c>
    </row>
    <row r="7136" spans="1:2" x14ac:dyDescent="0.25">
      <c r="A7136" s="62">
        <v>41104702</v>
      </c>
      <c r="B7136" s="63" t="s">
        <v>7797</v>
      </c>
    </row>
    <row r="7137" spans="1:2" x14ac:dyDescent="0.25">
      <c r="A7137" s="62">
        <v>41104703</v>
      </c>
      <c r="B7137" s="63" t="s">
        <v>7798</v>
      </c>
    </row>
    <row r="7138" spans="1:2" x14ac:dyDescent="0.25">
      <c r="A7138" s="62">
        <v>41104704</v>
      </c>
      <c r="B7138" s="63" t="s">
        <v>7799</v>
      </c>
    </row>
    <row r="7139" spans="1:2" x14ac:dyDescent="0.25">
      <c r="A7139" s="62">
        <v>41104801</v>
      </c>
      <c r="B7139" s="63" t="s">
        <v>7800</v>
      </c>
    </row>
    <row r="7140" spans="1:2" x14ac:dyDescent="0.25">
      <c r="A7140" s="62">
        <v>41104802</v>
      </c>
      <c r="B7140" s="63" t="s">
        <v>7801</v>
      </c>
    </row>
    <row r="7141" spans="1:2" x14ac:dyDescent="0.25">
      <c r="A7141" s="62">
        <v>41104803</v>
      </c>
      <c r="B7141" s="63" t="s">
        <v>7802</v>
      </c>
    </row>
    <row r="7142" spans="1:2" x14ac:dyDescent="0.25">
      <c r="A7142" s="62">
        <v>41104804</v>
      </c>
      <c r="B7142" s="63" t="s">
        <v>7803</v>
      </c>
    </row>
    <row r="7143" spans="1:2" x14ac:dyDescent="0.25">
      <c r="A7143" s="62">
        <v>41104805</v>
      </c>
      <c r="B7143" s="63" t="s">
        <v>7804</v>
      </c>
    </row>
    <row r="7144" spans="1:2" x14ac:dyDescent="0.25">
      <c r="A7144" s="62">
        <v>41104806</v>
      </c>
      <c r="B7144" s="63" t="s">
        <v>7805</v>
      </c>
    </row>
    <row r="7145" spans="1:2" x14ac:dyDescent="0.25">
      <c r="A7145" s="62">
        <v>41104807</v>
      </c>
      <c r="B7145" s="63" t="s">
        <v>7806</v>
      </c>
    </row>
    <row r="7146" spans="1:2" x14ac:dyDescent="0.25">
      <c r="A7146" s="62">
        <v>41104808</v>
      </c>
      <c r="B7146" s="63" t="s">
        <v>7807</v>
      </c>
    </row>
    <row r="7147" spans="1:2" x14ac:dyDescent="0.25">
      <c r="A7147" s="62">
        <v>41104809</v>
      </c>
      <c r="B7147" s="63" t="s">
        <v>7808</v>
      </c>
    </row>
    <row r="7148" spans="1:2" x14ac:dyDescent="0.25">
      <c r="A7148" s="62">
        <v>41104810</v>
      </c>
      <c r="B7148" s="63" t="s">
        <v>7809</v>
      </c>
    </row>
    <row r="7149" spans="1:2" x14ac:dyDescent="0.25">
      <c r="A7149" s="62">
        <v>41104811</v>
      </c>
      <c r="B7149" s="63" t="s">
        <v>7810</v>
      </c>
    </row>
    <row r="7150" spans="1:2" x14ac:dyDescent="0.25">
      <c r="A7150" s="62">
        <v>41104812</v>
      </c>
      <c r="B7150" s="63" t="s">
        <v>7811</v>
      </c>
    </row>
    <row r="7151" spans="1:2" x14ac:dyDescent="0.25">
      <c r="A7151" s="62">
        <v>41104813</v>
      </c>
      <c r="B7151" s="63" t="s">
        <v>7812</v>
      </c>
    </row>
    <row r="7152" spans="1:2" x14ac:dyDescent="0.25">
      <c r="A7152" s="62">
        <v>41104814</v>
      </c>
      <c r="B7152" s="63" t="s">
        <v>7813</v>
      </c>
    </row>
    <row r="7153" spans="1:2" x14ac:dyDescent="0.25">
      <c r="A7153" s="62">
        <v>41104815</v>
      </c>
      <c r="B7153" s="63" t="s">
        <v>7814</v>
      </c>
    </row>
    <row r="7154" spans="1:2" x14ac:dyDescent="0.25">
      <c r="A7154" s="62">
        <v>41104816</v>
      </c>
      <c r="B7154" s="63" t="s">
        <v>7815</v>
      </c>
    </row>
    <row r="7155" spans="1:2" x14ac:dyDescent="0.25">
      <c r="A7155" s="62">
        <v>41104817</v>
      </c>
      <c r="B7155" s="63" t="s">
        <v>7816</v>
      </c>
    </row>
    <row r="7156" spans="1:2" x14ac:dyDescent="0.25">
      <c r="A7156" s="62">
        <v>41104901</v>
      </c>
      <c r="B7156" s="63" t="s">
        <v>7817</v>
      </c>
    </row>
    <row r="7157" spans="1:2" x14ac:dyDescent="0.25">
      <c r="A7157" s="62">
        <v>41104902</v>
      </c>
      <c r="B7157" s="63" t="s">
        <v>7818</v>
      </c>
    </row>
    <row r="7158" spans="1:2" x14ac:dyDescent="0.25">
      <c r="A7158" s="62">
        <v>41104903</v>
      </c>
      <c r="B7158" s="63" t="s">
        <v>7819</v>
      </c>
    </row>
    <row r="7159" spans="1:2" x14ac:dyDescent="0.25">
      <c r="A7159" s="62">
        <v>41104904</v>
      </c>
      <c r="B7159" s="63" t="s">
        <v>7820</v>
      </c>
    </row>
    <row r="7160" spans="1:2" x14ac:dyDescent="0.25">
      <c r="A7160" s="62">
        <v>41104905</v>
      </c>
      <c r="B7160" s="63" t="s">
        <v>7821</v>
      </c>
    </row>
    <row r="7161" spans="1:2" x14ac:dyDescent="0.25">
      <c r="A7161" s="62">
        <v>41104906</v>
      </c>
      <c r="B7161" s="63" t="s">
        <v>7822</v>
      </c>
    </row>
    <row r="7162" spans="1:2" x14ac:dyDescent="0.25">
      <c r="A7162" s="62">
        <v>41104907</v>
      </c>
      <c r="B7162" s="63" t="s">
        <v>7823</v>
      </c>
    </row>
    <row r="7163" spans="1:2" x14ac:dyDescent="0.25">
      <c r="A7163" s="62">
        <v>41104908</v>
      </c>
      <c r="B7163" s="63" t="s">
        <v>7824</v>
      </c>
    </row>
    <row r="7164" spans="1:2" x14ac:dyDescent="0.25">
      <c r="A7164" s="62">
        <v>41104909</v>
      </c>
      <c r="B7164" s="63" t="s">
        <v>7825</v>
      </c>
    </row>
    <row r="7165" spans="1:2" x14ac:dyDescent="0.25">
      <c r="A7165" s="62">
        <v>41104910</v>
      </c>
      <c r="B7165" s="63" t="s">
        <v>7826</v>
      </c>
    </row>
    <row r="7166" spans="1:2" x14ac:dyDescent="0.25">
      <c r="A7166" s="62">
        <v>41104911</v>
      </c>
      <c r="B7166" s="63" t="s">
        <v>7827</v>
      </c>
    </row>
    <row r="7167" spans="1:2" x14ac:dyDescent="0.25">
      <c r="A7167" s="62">
        <v>41104912</v>
      </c>
      <c r="B7167" s="63" t="s">
        <v>7828</v>
      </c>
    </row>
    <row r="7168" spans="1:2" x14ac:dyDescent="0.25">
      <c r="A7168" s="62">
        <v>41104913</v>
      </c>
      <c r="B7168" s="63" t="s">
        <v>7829</v>
      </c>
    </row>
    <row r="7169" spans="1:2" x14ac:dyDescent="0.25">
      <c r="A7169" s="62">
        <v>41104914</v>
      </c>
      <c r="B7169" s="63" t="s">
        <v>7830</v>
      </c>
    </row>
    <row r="7170" spans="1:2" x14ac:dyDescent="0.25">
      <c r="A7170" s="62">
        <v>41104915</v>
      </c>
      <c r="B7170" s="63" t="s">
        <v>7831</v>
      </c>
    </row>
    <row r="7171" spans="1:2" x14ac:dyDescent="0.25">
      <c r="A7171" s="62">
        <v>41104916</v>
      </c>
      <c r="B7171" s="63" t="s">
        <v>7832</v>
      </c>
    </row>
    <row r="7172" spans="1:2" x14ac:dyDescent="0.25">
      <c r="A7172" s="62">
        <v>41104917</v>
      </c>
      <c r="B7172" s="63" t="s">
        <v>7833</v>
      </c>
    </row>
    <row r="7173" spans="1:2" x14ac:dyDescent="0.25">
      <c r="A7173" s="62">
        <v>41104918</v>
      </c>
      <c r="B7173" s="63" t="s">
        <v>7834</v>
      </c>
    </row>
    <row r="7174" spans="1:2" x14ac:dyDescent="0.25">
      <c r="A7174" s="62">
        <v>41104919</v>
      </c>
      <c r="B7174" s="63" t="s">
        <v>7835</v>
      </c>
    </row>
    <row r="7175" spans="1:2" x14ac:dyDescent="0.25">
      <c r="A7175" s="62">
        <v>41104920</v>
      </c>
      <c r="B7175" s="63" t="s">
        <v>7836</v>
      </c>
    </row>
    <row r="7176" spans="1:2" x14ac:dyDescent="0.25">
      <c r="A7176" s="62">
        <v>41104921</v>
      </c>
      <c r="B7176" s="63" t="s">
        <v>7837</v>
      </c>
    </row>
    <row r="7177" spans="1:2" x14ac:dyDescent="0.25">
      <c r="A7177" s="62">
        <v>41104922</v>
      </c>
      <c r="B7177" s="63" t="s">
        <v>7838</v>
      </c>
    </row>
    <row r="7178" spans="1:2" x14ac:dyDescent="0.25">
      <c r="A7178" s="62">
        <v>41104923</v>
      </c>
      <c r="B7178" s="63" t="s">
        <v>7839</v>
      </c>
    </row>
    <row r="7179" spans="1:2" x14ac:dyDescent="0.25">
      <c r="A7179" s="62">
        <v>41104924</v>
      </c>
      <c r="B7179" s="63" t="s">
        <v>7840</v>
      </c>
    </row>
    <row r="7180" spans="1:2" x14ac:dyDescent="0.25">
      <c r="A7180" s="62">
        <v>41104925</v>
      </c>
      <c r="B7180" s="63" t="s">
        <v>7841</v>
      </c>
    </row>
    <row r="7181" spans="1:2" x14ac:dyDescent="0.25">
      <c r="A7181" s="62">
        <v>41104926</v>
      </c>
      <c r="B7181" s="63" t="s">
        <v>7842</v>
      </c>
    </row>
    <row r="7182" spans="1:2" x14ac:dyDescent="0.25">
      <c r="A7182" s="62">
        <v>41104927</v>
      </c>
      <c r="B7182" s="63" t="s">
        <v>7843</v>
      </c>
    </row>
    <row r="7183" spans="1:2" x14ac:dyDescent="0.25">
      <c r="A7183" s="62">
        <v>41104928</v>
      </c>
      <c r="B7183" s="63" t="s">
        <v>7844</v>
      </c>
    </row>
    <row r="7184" spans="1:2" x14ac:dyDescent="0.25">
      <c r="A7184" s="62">
        <v>41104929</v>
      </c>
      <c r="B7184" s="63" t="s">
        <v>7845</v>
      </c>
    </row>
    <row r="7185" spans="1:2" x14ac:dyDescent="0.25">
      <c r="A7185" s="62">
        <v>41105001</v>
      </c>
      <c r="B7185" s="63" t="s">
        <v>7846</v>
      </c>
    </row>
    <row r="7186" spans="1:2" x14ac:dyDescent="0.25">
      <c r="A7186" s="62">
        <v>41105002</v>
      </c>
      <c r="B7186" s="63" t="s">
        <v>7847</v>
      </c>
    </row>
    <row r="7187" spans="1:2" x14ac:dyDescent="0.25">
      <c r="A7187" s="62">
        <v>41105003</v>
      </c>
      <c r="B7187" s="63" t="s">
        <v>7848</v>
      </c>
    </row>
    <row r="7188" spans="1:2" x14ac:dyDescent="0.25">
      <c r="A7188" s="62">
        <v>41105101</v>
      </c>
      <c r="B7188" s="63" t="s">
        <v>7849</v>
      </c>
    </row>
    <row r="7189" spans="1:2" x14ac:dyDescent="0.25">
      <c r="A7189" s="62">
        <v>41105102</v>
      </c>
      <c r="B7189" s="63" t="s">
        <v>7850</v>
      </c>
    </row>
    <row r="7190" spans="1:2" x14ac:dyDescent="0.25">
      <c r="A7190" s="62">
        <v>41105103</v>
      </c>
      <c r="B7190" s="63" t="s">
        <v>7851</v>
      </c>
    </row>
    <row r="7191" spans="1:2" x14ac:dyDescent="0.25">
      <c r="A7191" s="62">
        <v>41105104</v>
      </c>
      <c r="B7191" s="63" t="s">
        <v>7852</v>
      </c>
    </row>
    <row r="7192" spans="1:2" x14ac:dyDescent="0.25">
      <c r="A7192" s="62">
        <v>41105105</v>
      </c>
      <c r="B7192" s="63" t="s">
        <v>7853</v>
      </c>
    </row>
    <row r="7193" spans="1:2" x14ac:dyDescent="0.25">
      <c r="A7193" s="62">
        <v>41105106</v>
      </c>
      <c r="B7193" s="63" t="s">
        <v>7854</v>
      </c>
    </row>
    <row r="7194" spans="1:2" x14ac:dyDescent="0.25">
      <c r="A7194" s="62">
        <v>41105107</v>
      </c>
      <c r="B7194" s="63" t="s">
        <v>7855</v>
      </c>
    </row>
    <row r="7195" spans="1:2" x14ac:dyDescent="0.25">
      <c r="A7195" s="62">
        <v>41105108</v>
      </c>
      <c r="B7195" s="63" t="s">
        <v>7856</v>
      </c>
    </row>
    <row r="7196" spans="1:2" x14ac:dyDescent="0.25">
      <c r="A7196" s="62">
        <v>41105109</v>
      </c>
      <c r="B7196" s="63" t="s">
        <v>7857</v>
      </c>
    </row>
    <row r="7197" spans="1:2" x14ac:dyDescent="0.25">
      <c r="A7197" s="62">
        <v>41105201</v>
      </c>
      <c r="B7197" s="63" t="s">
        <v>7858</v>
      </c>
    </row>
    <row r="7198" spans="1:2" x14ac:dyDescent="0.25">
      <c r="A7198" s="62">
        <v>41105202</v>
      </c>
      <c r="B7198" s="63" t="s">
        <v>7859</v>
      </c>
    </row>
    <row r="7199" spans="1:2" x14ac:dyDescent="0.25">
      <c r="A7199" s="62">
        <v>41105203</v>
      </c>
      <c r="B7199" s="63" t="s">
        <v>7860</v>
      </c>
    </row>
    <row r="7200" spans="1:2" x14ac:dyDescent="0.25">
      <c r="A7200" s="62">
        <v>41105204</v>
      </c>
      <c r="B7200" s="63" t="s">
        <v>7861</v>
      </c>
    </row>
    <row r="7201" spans="1:2" x14ac:dyDescent="0.25">
      <c r="A7201" s="62">
        <v>41105205</v>
      </c>
      <c r="B7201" s="63" t="s">
        <v>7862</v>
      </c>
    </row>
    <row r="7202" spans="1:2" x14ac:dyDescent="0.25">
      <c r="A7202" s="62">
        <v>41105301</v>
      </c>
      <c r="B7202" s="63" t="s">
        <v>7863</v>
      </c>
    </row>
    <row r="7203" spans="1:2" x14ac:dyDescent="0.25">
      <c r="A7203" s="62">
        <v>41105302</v>
      </c>
      <c r="B7203" s="63" t="s">
        <v>7864</v>
      </c>
    </row>
    <row r="7204" spans="1:2" x14ac:dyDescent="0.25">
      <c r="A7204" s="62">
        <v>41105303</v>
      </c>
      <c r="B7204" s="63" t="s">
        <v>7865</v>
      </c>
    </row>
    <row r="7205" spans="1:2" x14ac:dyDescent="0.25">
      <c r="A7205" s="62">
        <v>41105304</v>
      </c>
      <c r="B7205" s="63" t="s">
        <v>7866</v>
      </c>
    </row>
    <row r="7206" spans="1:2" x14ac:dyDescent="0.25">
      <c r="A7206" s="62">
        <v>41105305</v>
      </c>
      <c r="B7206" s="63" t="s">
        <v>7867</v>
      </c>
    </row>
    <row r="7207" spans="1:2" x14ac:dyDescent="0.25">
      <c r="A7207" s="62">
        <v>41105307</v>
      </c>
      <c r="B7207" s="63" t="s">
        <v>7868</v>
      </c>
    </row>
    <row r="7208" spans="1:2" x14ac:dyDescent="0.25">
      <c r="A7208" s="62">
        <v>41105308</v>
      </c>
      <c r="B7208" s="63" t="s">
        <v>7869</v>
      </c>
    </row>
    <row r="7209" spans="1:2" x14ac:dyDescent="0.25">
      <c r="A7209" s="62">
        <v>41105309</v>
      </c>
      <c r="B7209" s="63" t="s">
        <v>7870</v>
      </c>
    </row>
    <row r="7210" spans="1:2" x14ac:dyDescent="0.25">
      <c r="A7210" s="62">
        <v>41105310</v>
      </c>
      <c r="B7210" s="63" t="s">
        <v>7871</v>
      </c>
    </row>
    <row r="7211" spans="1:2" x14ac:dyDescent="0.25">
      <c r="A7211" s="62">
        <v>41105311</v>
      </c>
      <c r="B7211" s="63" t="s">
        <v>7872</v>
      </c>
    </row>
    <row r="7212" spans="1:2" x14ac:dyDescent="0.25">
      <c r="A7212" s="62">
        <v>41105312</v>
      </c>
      <c r="B7212" s="63" t="s">
        <v>7873</v>
      </c>
    </row>
    <row r="7213" spans="1:2" x14ac:dyDescent="0.25">
      <c r="A7213" s="62">
        <v>41105313</v>
      </c>
      <c r="B7213" s="63" t="s">
        <v>7874</v>
      </c>
    </row>
    <row r="7214" spans="1:2" x14ac:dyDescent="0.25">
      <c r="A7214" s="62">
        <v>41105314</v>
      </c>
      <c r="B7214" s="63" t="s">
        <v>7875</v>
      </c>
    </row>
    <row r="7215" spans="1:2" x14ac:dyDescent="0.25">
      <c r="A7215" s="62">
        <v>41105315</v>
      </c>
      <c r="B7215" s="63" t="s">
        <v>7876</v>
      </c>
    </row>
    <row r="7216" spans="1:2" x14ac:dyDescent="0.25">
      <c r="A7216" s="62">
        <v>41105316</v>
      </c>
      <c r="B7216" s="63" t="s">
        <v>7877</v>
      </c>
    </row>
    <row r="7217" spans="1:2" x14ac:dyDescent="0.25">
      <c r="A7217" s="62">
        <v>41105317</v>
      </c>
      <c r="B7217" s="63" t="s">
        <v>7878</v>
      </c>
    </row>
    <row r="7218" spans="1:2" x14ac:dyDescent="0.25">
      <c r="A7218" s="62">
        <v>41105318</v>
      </c>
      <c r="B7218" s="63" t="s">
        <v>7879</v>
      </c>
    </row>
    <row r="7219" spans="1:2" x14ac:dyDescent="0.25">
      <c r="A7219" s="62">
        <v>41105319</v>
      </c>
      <c r="B7219" s="63" t="s">
        <v>7880</v>
      </c>
    </row>
    <row r="7220" spans="1:2" x14ac:dyDescent="0.25">
      <c r="A7220" s="62">
        <v>41105320</v>
      </c>
      <c r="B7220" s="63" t="s">
        <v>7881</v>
      </c>
    </row>
    <row r="7221" spans="1:2" x14ac:dyDescent="0.25">
      <c r="A7221" s="62">
        <v>41105321</v>
      </c>
      <c r="B7221" s="63" t="s">
        <v>7882</v>
      </c>
    </row>
    <row r="7222" spans="1:2" x14ac:dyDescent="0.25">
      <c r="A7222" s="62">
        <v>41105322</v>
      </c>
      <c r="B7222" s="63" t="s">
        <v>7883</v>
      </c>
    </row>
    <row r="7223" spans="1:2" x14ac:dyDescent="0.25">
      <c r="A7223" s="62">
        <v>41105323</v>
      </c>
      <c r="B7223" s="63" t="s">
        <v>7884</v>
      </c>
    </row>
    <row r="7224" spans="1:2" x14ac:dyDescent="0.25">
      <c r="A7224" s="62">
        <v>41105324</v>
      </c>
      <c r="B7224" s="63" t="s">
        <v>7885</v>
      </c>
    </row>
    <row r="7225" spans="1:2" x14ac:dyDescent="0.25">
      <c r="A7225" s="62">
        <v>41105325</v>
      </c>
      <c r="B7225" s="63" t="s">
        <v>7886</v>
      </c>
    </row>
    <row r="7226" spans="1:2" x14ac:dyDescent="0.25">
      <c r="A7226" s="62">
        <v>41105326</v>
      </c>
      <c r="B7226" s="63" t="s">
        <v>7887</v>
      </c>
    </row>
    <row r="7227" spans="1:2" x14ac:dyDescent="0.25">
      <c r="A7227" s="62">
        <v>41105327</v>
      </c>
      <c r="B7227" s="63" t="s">
        <v>7888</v>
      </c>
    </row>
    <row r="7228" spans="1:2" x14ac:dyDescent="0.25">
      <c r="A7228" s="62">
        <v>41105328</v>
      </c>
      <c r="B7228" s="63" t="s">
        <v>7889</v>
      </c>
    </row>
    <row r="7229" spans="1:2" x14ac:dyDescent="0.25">
      <c r="A7229" s="62">
        <v>41105329</v>
      </c>
      <c r="B7229" s="63" t="s">
        <v>7890</v>
      </c>
    </row>
    <row r="7230" spans="1:2" x14ac:dyDescent="0.25">
      <c r="A7230" s="62">
        <v>41105330</v>
      </c>
      <c r="B7230" s="63" t="s">
        <v>7891</v>
      </c>
    </row>
    <row r="7231" spans="1:2" x14ac:dyDescent="0.25">
      <c r="A7231" s="62">
        <v>41105331</v>
      </c>
      <c r="B7231" s="63" t="s">
        <v>7892</v>
      </c>
    </row>
    <row r="7232" spans="1:2" x14ac:dyDescent="0.25">
      <c r="A7232" s="62">
        <v>41105332</v>
      </c>
      <c r="B7232" s="63" t="s">
        <v>7893</v>
      </c>
    </row>
    <row r="7233" spans="1:2" x14ac:dyDescent="0.25">
      <c r="A7233" s="62">
        <v>41105333</v>
      </c>
      <c r="B7233" s="63" t="s">
        <v>7894</v>
      </c>
    </row>
    <row r="7234" spans="1:2" x14ac:dyDescent="0.25">
      <c r="A7234" s="62">
        <v>41105334</v>
      </c>
      <c r="B7234" s="63" t="s">
        <v>7895</v>
      </c>
    </row>
    <row r="7235" spans="1:2" x14ac:dyDescent="0.25">
      <c r="A7235" s="62">
        <v>41105335</v>
      </c>
      <c r="B7235" s="63" t="s">
        <v>7896</v>
      </c>
    </row>
    <row r="7236" spans="1:2" x14ac:dyDescent="0.25">
      <c r="A7236" s="62">
        <v>41105336</v>
      </c>
      <c r="B7236" s="63" t="s">
        <v>7897</v>
      </c>
    </row>
    <row r="7237" spans="1:2" x14ac:dyDescent="0.25">
      <c r="A7237" s="62">
        <v>41105337</v>
      </c>
      <c r="B7237" s="63" t="s">
        <v>7898</v>
      </c>
    </row>
    <row r="7238" spans="1:2" x14ac:dyDescent="0.25">
      <c r="A7238" s="62">
        <v>41105338</v>
      </c>
      <c r="B7238" s="63" t="s">
        <v>7899</v>
      </c>
    </row>
    <row r="7239" spans="1:2" x14ac:dyDescent="0.25">
      <c r="A7239" s="62">
        <v>41105339</v>
      </c>
      <c r="B7239" s="63" t="s">
        <v>7900</v>
      </c>
    </row>
    <row r="7240" spans="1:2" x14ac:dyDescent="0.25">
      <c r="A7240" s="62">
        <v>41105501</v>
      </c>
      <c r="B7240" s="63" t="s">
        <v>7901</v>
      </c>
    </row>
    <row r="7241" spans="1:2" x14ac:dyDescent="0.25">
      <c r="A7241" s="62">
        <v>41105502</v>
      </c>
      <c r="B7241" s="63" t="s">
        <v>7902</v>
      </c>
    </row>
    <row r="7242" spans="1:2" x14ac:dyDescent="0.25">
      <c r="A7242" s="62">
        <v>41105503</v>
      </c>
      <c r="B7242" s="63" t="s">
        <v>7903</v>
      </c>
    </row>
    <row r="7243" spans="1:2" x14ac:dyDescent="0.25">
      <c r="A7243" s="62">
        <v>41105504</v>
      </c>
      <c r="B7243" s="63" t="s">
        <v>7904</v>
      </c>
    </row>
    <row r="7244" spans="1:2" x14ac:dyDescent="0.25">
      <c r="A7244" s="62">
        <v>41105505</v>
      </c>
      <c r="B7244" s="63" t="s">
        <v>7905</v>
      </c>
    </row>
    <row r="7245" spans="1:2" x14ac:dyDescent="0.25">
      <c r="A7245" s="62">
        <v>41105506</v>
      </c>
      <c r="B7245" s="63" t="s">
        <v>7906</v>
      </c>
    </row>
    <row r="7246" spans="1:2" x14ac:dyDescent="0.25">
      <c r="A7246" s="62">
        <v>41105507</v>
      </c>
      <c r="B7246" s="63" t="s">
        <v>7907</v>
      </c>
    </row>
    <row r="7247" spans="1:2" x14ac:dyDescent="0.25">
      <c r="A7247" s="62">
        <v>41105508</v>
      </c>
      <c r="B7247" s="63" t="s">
        <v>7908</v>
      </c>
    </row>
    <row r="7248" spans="1:2" x14ac:dyDescent="0.25">
      <c r="A7248" s="62">
        <v>41105509</v>
      </c>
      <c r="B7248" s="63" t="s">
        <v>7909</v>
      </c>
    </row>
    <row r="7249" spans="1:2" x14ac:dyDescent="0.25">
      <c r="A7249" s="62">
        <v>41105510</v>
      </c>
      <c r="B7249" s="63" t="s">
        <v>7910</v>
      </c>
    </row>
    <row r="7250" spans="1:2" x14ac:dyDescent="0.25">
      <c r="A7250" s="62">
        <v>41105511</v>
      </c>
      <c r="B7250" s="63" t="s">
        <v>7911</v>
      </c>
    </row>
    <row r="7251" spans="1:2" x14ac:dyDescent="0.25">
      <c r="A7251" s="62">
        <v>41105512</v>
      </c>
      <c r="B7251" s="63" t="s">
        <v>7912</v>
      </c>
    </row>
    <row r="7252" spans="1:2" x14ac:dyDescent="0.25">
      <c r="A7252" s="62">
        <v>41105513</v>
      </c>
      <c r="B7252" s="63" t="s">
        <v>7913</v>
      </c>
    </row>
    <row r="7253" spans="1:2" x14ac:dyDescent="0.25">
      <c r="A7253" s="62">
        <v>41105514</v>
      </c>
      <c r="B7253" s="63" t="s">
        <v>7914</v>
      </c>
    </row>
    <row r="7254" spans="1:2" x14ac:dyDescent="0.25">
      <c r="A7254" s="62">
        <v>41105515</v>
      </c>
      <c r="B7254" s="63" t="s">
        <v>7915</v>
      </c>
    </row>
    <row r="7255" spans="1:2" x14ac:dyDescent="0.25">
      <c r="A7255" s="62">
        <v>41105516</v>
      </c>
      <c r="B7255" s="63" t="s">
        <v>7916</v>
      </c>
    </row>
    <row r="7256" spans="1:2" x14ac:dyDescent="0.25">
      <c r="A7256" s="62">
        <v>41105517</v>
      </c>
      <c r="B7256" s="63" t="s">
        <v>7917</v>
      </c>
    </row>
    <row r="7257" spans="1:2" x14ac:dyDescent="0.25">
      <c r="A7257" s="62">
        <v>41105518</v>
      </c>
      <c r="B7257" s="63" t="s">
        <v>7918</v>
      </c>
    </row>
    <row r="7258" spans="1:2" x14ac:dyDescent="0.25">
      <c r="A7258" s="62">
        <v>41105519</v>
      </c>
      <c r="B7258" s="63" t="s">
        <v>7919</v>
      </c>
    </row>
    <row r="7259" spans="1:2" x14ac:dyDescent="0.25">
      <c r="A7259" s="62">
        <v>41105520</v>
      </c>
      <c r="B7259" s="63" t="s">
        <v>7920</v>
      </c>
    </row>
    <row r="7260" spans="1:2" x14ac:dyDescent="0.25">
      <c r="A7260" s="62">
        <v>41105601</v>
      </c>
      <c r="B7260" s="63" t="s">
        <v>7921</v>
      </c>
    </row>
    <row r="7261" spans="1:2" x14ac:dyDescent="0.25">
      <c r="A7261" s="62">
        <v>41105701</v>
      </c>
      <c r="B7261" s="63" t="s">
        <v>7922</v>
      </c>
    </row>
    <row r="7262" spans="1:2" x14ac:dyDescent="0.25">
      <c r="A7262" s="62">
        <v>41105801</v>
      </c>
      <c r="B7262" s="63" t="s">
        <v>7923</v>
      </c>
    </row>
    <row r="7263" spans="1:2" x14ac:dyDescent="0.25">
      <c r="A7263" s="62">
        <v>41105802</v>
      </c>
      <c r="B7263" s="63" t="s">
        <v>7924</v>
      </c>
    </row>
    <row r="7264" spans="1:2" x14ac:dyDescent="0.25">
      <c r="A7264" s="62">
        <v>41105803</v>
      </c>
      <c r="B7264" s="63" t="s">
        <v>7925</v>
      </c>
    </row>
    <row r="7265" spans="1:2" x14ac:dyDescent="0.25">
      <c r="A7265" s="62">
        <v>41105804</v>
      </c>
      <c r="B7265" s="63" t="s">
        <v>7926</v>
      </c>
    </row>
    <row r="7266" spans="1:2" x14ac:dyDescent="0.25">
      <c r="A7266" s="62">
        <v>41105901</v>
      </c>
      <c r="B7266" s="63" t="s">
        <v>7927</v>
      </c>
    </row>
    <row r="7267" spans="1:2" x14ac:dyDescent="0.25">
      <c r="A7267" s="62">
        <v>41105902</v>
      </c>
      <c r="B7267" s="63" t="s">
        <v>7928</v>
      </c>
    </row>
    <row r="7268" spans="1:2" x14ac:dyDescent="0.25">
      <c r="A7268" s="62">
        <v>41105903</v>
      </c>
      <c r="B7268" s="63" t="s">
        <v>7929</v>
      </c>
    </row>
    <row r="7269" spans="1:2" x14ac:dyDescent="0.25">
      <c r="A7269" s="62">
        <v>41105904</v>
      </c>
      <c r="B7269" s="63" t="s">
        <v>7930</v>
      </c>
    </row>
    <row r="7270" spans="1:2" x14ac:dyDescent="0.25">
      <c r="A7270" s="62">
        <v>41105905</v>
      </c>
      <c r="B7270" s="63" t="s">
        <v>7931</v>
      </c>
    </row>
    <row r="7271" spans="1:2" x14ac:dyDescent="0.25">
      <c r="A7271" s="62">
        <v>41105906</v>
      </c>
      <c r="B7271" s="63" t="s">
        <v>7932</v>
      </c>
    </row>
    <row r="7272" spans="1:2" x14ac:dyDescent="0.25">
      <c r="A7272" s="62">
        <v>41105907</v>
      </c>
      <c r="B7272" s="63" t="s">
        <v>7933</v>
      </c>
    </row>
    <row r="7273" spans="1:2" x14ac:dyDescent="0.25">
      <c r="A7273" s="62">
        <v>41105908</v>
      </c>
      <c r="B7273" s="63" t="s">
        <v>7934</v>
      </c>
    </row>
    <row r="7274" spans="1:2" x14ac:dyDescent="0.25">
      <c r="A7274" s="62">
        <v>41106001</v>
      </c>
      <c r="B7274" s="63" t="s">
        <v>7935</v>
      </c>
    </row>
    <row r="7275" spans="1:2" x14ac:dyDescent="0.25">
      <c r="A7275" s="62">
        <v>41106002</v>
      </c>
      <c r="B7275" s="63" t="s">
        <v>7936</v>
      </c>
    </row>
    <row r="7276" spans="1:2" x14ac:dyDescent="0.25">
      <c r="A7276" s="62">
        <v>41106003</v>
      </c>
      <c r="B7276" s="63" t="s">
        <v>7937</v>
      </c>
    </row>
    <row r="7277" spans="1:2" x14ac:dyDescent="0.25">
      <c r="A7277" s="62">
        <v>41106004</v>
      </c>
      <c r="B7277" s="63" t="s">
        <v>7938</v>
      </c>
    </row>
    <row r="7278" spans="1:2" x14ac:dyDescent="0.25">
      <c r="A7278" s="62">
        <v>41106005</v>
      </c>
      <c r="B7278" s="63" t="s">
        <v>7939</v>
      </c>
    </row>
    <row r="7279" spans="1:2" x14ac:dyDescent="0.25">
      <c r="A7279" s="62">
        <v>41106006</v>
      </c>
      <c r="B7279" s="63" t="s">
        <v>7940</v>
      </c>
    </row>
    <row r="7280" spans="1:2" x14ac:dyDescent="0.25">
      <c r="A7280" s="62">
        <v>41106101</v>
      </c>
      <c r="B7280" s="63" t="s">
        <v>7941</v>
      </c>
    </row>
    <row r="7281" spans="1:2" x14ac:dyDescent="0.25">
      <c r="A7281" s="62">
        <v>41106102</v>
      </c>
      <c r="B7281" s="63" t="s">
        <v>7942</v>
      </c>
    </row>
    <row r="7282" spans="1:2" x14ac:dyDescent="0.25">
      <c r="A7282" s="62">
        <v>41106103</v>
      </c>
      <c r="B7282" s="63" t="s">
        <v>7943</v>
      </c>
    </row>
    <row r="7283" spans="1:2" x14ac:dyDescent="0.25">
      <c r="A7283" s="62">
        <v>41106104</v>
      </c>
      <c r="B7283" s="63" t="s">
        <v>7944</v>
      </c>
    </row>
    <row r="7284" spans="1:2" x14ac:dyDescent="0.25">
      <c r="A7284" s="62">
        <v>41106201</v>
      </c>
      <c r="B7284" s="63" t="s">
        <v>7945</v>
      </c>
    </row>
    <row r="7285" spans="1:2" x14ac:dyDescent="0.25">
      <c r="A7285" s="62">
        <v>41106202</v>
      </c>
      <c r="B7285" s="63" t="s">
        <v>7946</v>
      </c>
    </row>
    <row r="7286" spans="1:2" x14ac:dyDescent="0.25">
      <c r="A7286" s="62">
        <v>41106203</v>
      </c>
      <c r="B7286" s="63" t="s">
        <v>7947</v>
      </c>
    </row>
    <row r="7287" spans="1:2" x14ac:dyDescent="0.25">
      <c r="A7287" s="62">
        <v>41106204</v>
      </c>
      <c r="B7287" s="63" t="s">
        <v>7948</v>
      </c>
    </row>
    <row r="7288" spans="1:2" x14ac:dyDescent="0.25">
      <c r="A7288" s="62">
        <v>41106205</v>
      </c>
      <c r="B7288" s="63" t="s">
        <v>7949</v>
      </c>
    </row>
    <row r="7289" spans="1:2" x14ac:dyDescent="0.25">
      <c r="A7289" s="62">
        <v>41106206</v>
      </c>
      <c r="B7289" s="63" t="s">
        <v>7950</v>
      </c>
    </row>
    <row r="7290" spans="1:2" x14ac:dyDescent="0.25">
      <c r="A7290" s="62">
        <v>41106207</v>
      </c>
      <c r="B7290" s="63" t="s">
        <v>7951</v>
      </c>
    </row>
    <row r="7291" spans="1:2" x14ac:dyDescent="0.25">
      <c r="A7291" s="62">
        <v>41106208</v>
      </c>
      <c r="B7291" s="63" t="s">
        <v>7952</v>
      </c>
    </row>
    <row r="7292" spans="1:2" x14ac:dyDescent="0.25">
      <c r="A7292" s="62">
        <v>41106209</v>
      </c>
      <c r="B7292" s="63" t="s">
        <v>7953</v>
      </c>
    </row>
    <row r="7293" spans="1:2" x14ac:dyDescent="0.25">
      <c r="A7293" s="62">
        <v>41106210</v>
      </c>
      <c r="B7293" s="63" t="s">
        <v>7954</v>
      </c>
    </row>
    <row r="7294" spans="1:2" x14ac:dyDescent="0.25">
      <c r="A7294" s="62">
        <v>41106211</v>
      </c>
      <c r="B7294" s="63" t="s">
        <v>7955</v>
      </c>
    </row>
    <row r="7295" spans="1:2" x14ac:dyDescent="0.25">
      <c r="A7295" s="62">
        <v>41106212</v>
      </c>
      <c r="B7295" s="63" t="s">
        <v>7956</v>
      </c>
    </row>
    <row r="7296" spans="1:2" x14ac:dyDescent="0.25">
      <c r="A7296" s="62">
        <v>41106213</v>
      </c>
      <c r="B7296" s="63" t="s">
        <v>7957</v>
      </c>
    </row>
    <row r="7297" spans="1:2" x14ac:dyDescent="0.25">
      <c r="A7297" s="62">
        <v>41106214</v>
      </c>
      <c r="B7297" s="63" t="s">
        <v>7958</v>
      </c>
    </row>
    <row r="7298" spans="1:2" x14ac:dyDescent="0.25">
      <c r="A7298" s="62">
        <v>41106215</v>
      </c>
      <c r="B7298" s="63" t="s">
        <v>7959</v>
      </c>
    </row>
    <row r="7299" spans="1:2" x14ac:dyDescent="0.25">
      <c r="A7299" s="62">
        <v>41106216</v>
      </c>
      <c r="B7299" s="63" t="s">
        <v>7960</v>
      </c>
    </row>
    <row r="7300" spans="1:2" x14ac:dyDescent="0.25">
      <c r="A7300" s="62">
        <v>41106217</v>
      </c>
      <c r="B7300" s="63" t="s">
        <v>7961</v>
      </c>
    </row>
    <row r="7301" spans="1:2" x14ac:dyDescent="0.25">
      <c r="A7301" s="62">
        <v>41106218</v>
      </c>
      <c r="B7301" s="63" t="s">
        <v>7962</v>
      </c>
    </row>
    <row r="7302" spans="1:2" x14ac:dyDescent="0.25">
      <c r="A7302" s="62">
        <v>41106219</v>
      </c>
      <c r="B7302" s="63" t="s">
        <v>7963</v>
      </c>
    </row>
    <row r="7303" spans="1:2" x14ac:dyDescent="0.25">
      <c r="A7303" s="62">
        <v>41106220</v>
      </c>
      <c r="B7303" s="63" t="s">
        <v>7964</v>
      </c>
    </row>
    <row r="7304" spans="1:2" x14ac:dyDescent="0.25">
      <c r="A7304" s="62">
        <v>41106221</v>
      </c>
      <c r="B7304" s="63" t="s">
        <v>7965</v>
      </c>
    </row>
    <row r="7305" spans="1:2" x14ac:dyDescent="0.25">
      <c r="A7305" s="62">
        <v>41106222</v>
      </c>
      <c r="B7305" s="63" t="s">
        <v>7966</v>
      </c>
    </row>
    <row r="7306" spans="1:2" x14ac:dyDescent="0.25">
      <c r="A7306" s="62">
        <v>41106223</v>
      </c>
      <c r="B7306" s="63" t="s">
        <v>7967</v>
      </c>
    </row>
    <row r="7307" spans="1:2" x14ac:dyDescent="0.25">
      <c r="A7307" s="62">
        <v>41106301</v>
      </c>
      <c r="B7307" s="63" t="s">
        <v>7968</v>
      </c>
    </row>
    <row r="7308" spans="1:2" x14ac:dyDescent="0.25">
      <c r="A7308" s="62">
        <v>41106302</v>
      </c>
      <c r="B7308" s="63" t="s">
        <v>7969</v>
      </c>
    </row>
    <row r="7309" spans="1:2" x14ac:dyDescent="0.25">
      <c r="A7309" s="62">
        <v>41106303</v>
      </c>
      <c r="B7309" s="63" t="s">
        <v>7970</v>
      </c>
    </row>
    <row r="7310" spans="1:2" x14ac:dyDescent="0.25">
      <c r="A7310" s="62">
        <v>41106304</v>
      </c>
      <c r="B7310" s="63" t="s">
        <v>7971</v>
      </c>
    </row>
    <row r="7311" spans="1:2" x14ac:dyDescent="0.25">
      <c r="A7311" s="62">
        <v>41106305</v>
      </c>
      <c r="B7311" s="63" t="s">
        <v>7972</v>
      </c>
    </row>
    <row r="7312" spans="1:2" x14ac:dyDescent="0.25">
      <c r="A7312" s="62">
        <v>41106306</v>
      </c>
      <c r="B7312" s="63" t="s">
        <v>7973</v>
      </c>
    </row>
    <row r="7313" spans="1:2" x14ac:dyDescent="0.25">
      <c r="A7313" s="62">
        <v>41106307</v>
      </c>
      <c r="B7313" s="63" t="s">
        <v>7974</v>
      </c>
    </row>
    <row r="7314" spans="1:2" x14ac:dyDescent="0.25">
      <c r="A7314" s="62">
        <v>41106308</v>
      </c>
      <c r="B7314" s="63" t="s">
        <v>7975</v>
      </c>
    </row>
    <row r="7315" spans="1:2" x14ac:dyDescent="0.25">
      <c r="A7315" s="62">
        <v>41106309</v>
      </c>
      <c r="B7315" s="63" t="s">
        <v>7976</v>
      </c>
    </row>
    <row r="7316" spans="1:2" x14ac:dyDescent="0.25">
      <c r="A7316" s="62">
        <v>41106310</v>
      </c>
      <c r="B7316" s="63" t="s">
        <v>7977</v>
      </c>
    </row>
    <row r="7317" spans="1:2" x14ac:dyDescent="0.25">
      <c r="A7317" s="62">
        <v>41106311</v>
      </c>
      <c r="B7317" s="63" t="s">
        <v>7978</v>
      </c>
    </row>
    <row r="7318" spans="1:2" x14ac:dyDescent="0.25">
      <c r="A7318" s="62">
        <v>41106312</v>
      </c>
      <c r="B7318" s="63" t="s">
        <v>7979</v>
      </c>
    </row>
    <row r="7319" spans="1:2" x14ac:dyDescent="0.25">
      <c r="A7319" s="62">
        <v>41106313</v>
      </c>
      <c r="B7319" s="63" t="s">
        <v>7980</v>
      </c>
    </row>
    <row r="7320" spans="1:2" x14ac:dyDescent="0.25">
      <c r="A7320" s="62">
        <v>41106314</v>
      </c>
      <c r="B7320" s="63" t="s">
        <v>7981</v>
      </c>
    </row>
    <row r="7321" spans="1:2" x14ac:dyDescent="0.25">
      <c r="A7321" s="62">
        <v>41106401</v>
      </c>
      <c r="B7321" s="63" t="s">
        <v>7982</v>
      </c>
    </row>
    <row r="7322" spans="1:2" x14ac:dyDescent="0.25">
      <c r="A7322" s="62">
        <v>41106402</v>
      </c>
      <c r="B7322" s="63" t="s">
        <v>7983</v>
      </c>
    </row>
    <row r="7323" spans="1:2" x14ac:dyDescent="0.25">
      <c r="A7323" s="62">
        <v>41106403</v>
      </c>
      <c r="B7323" s="63" t="s">
        <v>7984</v>
      </c>
    </row>
    <row r="7324" spans="1:2" x14ac:dyDescent="0.25">
      <c r="A7324" s="62">
        <v>41106501</v>
      </c>
      <c r="B7324" s="63" t="s">
        <v>7985</v>
      </c>
    </row>
    <row r="7325" spans="1:2" x14ac:dyDescent="0.25">
      <c r="A7325" s="62">
        <v>41106502</v>
      </c>
      <c r="B7325" s="63" t="s">
        <v>7986</v>
      </c>
    </row>
    <row r="7326" spans="1:2" x14ac:dyDescent="0.25">
      <c r="A7326" s="62">
        <v>41106503</v>
      </c>
      <c r="B7326" s="63" t="s">
        <v>7987</v>
      </c>
    </row>
    <row r="7327" spans="1:2" x14ac:dyDescent="0.25">
      <c r="A7327" s="62">
        <v>41106504</v>
      </c>
      <c r="B7327" s="63" t="s">
        <v>7988</v>
      </c>
    </row>
    <row r="7328" spans="1:2" x14ac:dyDescent="0.25">
      <c r="A7328" s="62">
        <v>41106505</v>
      </c>
      <c r="B7328" s="63" t="s">
        <v>7989</v>
      </c>
    </row>
    <row r="7329" spans="1:2" x14ac:dyDescent="0.25">
      <c r="A7329" s="62">
        <v>41106506</v>
      </c>
      <c r="B7329" s="63" t="s">
        <v>7990</v>
      </c>
    </row>
    <row r="7330" spans="1:2" x14ac:dyDescent="0.25">
      <c r="A7330" s="62">
        <v>41106507</v>
      </c>
      <c r="B7330" s="63" t="s">
        <v>7991</v>
      </c>
    </row>
    <row r="7331" spans="1:2" x14ac:dyDescent="0.25">
      <c r="A7331" s="62">
        <v>41106508</v>
      </c>
      <c r="B7331" s="63" t="s">
        <v>7992</v>
      </c>
    </row>
    <row r="7332" spans="1:2" x14ac:dyDescent="0.25">
      <c r="A7332" s="62">
        <v>41106509</v>
      </c>
      <c r="B7332" s="63" t="s">
        <v>7993</v>
      </c>
    </row>
    <row r="7333" spans="1:2" x14ac:dyDescent="0.25">
      <c r="A7333" s="62">
        <v>41106510</v>
      </c>
      <c r="B7333" s="63" t="s">
        <v>7994</v>
      </c>
    </row>
    <row r="7334" spans="1:2" x14ac:dyDescent="0.25">
      <c r="A7334" s="62">
        <v>41106511</v>
      </c>
      <c r="B7334" s="63" t="s">
        <v>7995</v>
      </c>
    </row>
    <row r="7335" spans="1:2" x14ac:dyDescent="0.25">
      <c r="A7335" s="62">
        <v>41106512</v>
      </c>
      <c r="B7335" s="63" t="s">
        <v>7996</v>
      </c>
    </row>
    <row r="7336" spans="1:2" x14ac:dyDescent="0.25">
      <c r="A7336" s="62">
        <v>41106513</v>
      </c>
      <c r="B7336" s="63" t="s">
        <v>7997</v>
      </c>
    </row>
    <row r="7337" spans="1:2" x14ac:dyDescent="0.25">
      <c r="A7337" s="62">
        <v>41106514</v>
      </c>
      <c r="B7337" s="63" t="s">
        <v>7998</v>
      </c>
    </row>
    <row r="7338" spans="1:2" x14ac:dyDescent="0.25">
      <c r="A7338" s="62">
        <v>41106515</v>
      </c>
      <c r="B7338" s="63" t="s">
        <v>7999</v>
      </c>
    </row>
    <row r="7339" spans="1:2" x14ac:dyDescent="0.25">
      <c r="A7339" s="62">
        <v>41106601</v>
      </c>
      <c r="B7339" s="63" t="s">
        <v>8000</v>
      </c>
    </row>
    <row r="7340" spans="1:2" x14ac:dyDescent="0.25">
      <c r="A7340" s="62">
        <v>41106602</v>
      </c>
      <c r="B7340" s="63" t="s">
        <v>8001</v>
      </c>
    </row>
    <row r="7341" spans="1:2" x14ac:dyDescent="0.25">
      <c r="A7341" s="62">
        <v>41106603</v>
      </c>
      <c r="B7341" s="63" t="s">
        <v>8002</v>
      </c>
    </row>
    <row r="7342" spans="1:2" x14ac:dyDescent="0.25">
      <c r="A7342" s="62">
        <v>41106604</v>
      </c>
      <c r="B7342" s="63" t="s">
        <v>8003</v>
      </c>
    </row>
    <row r="7343" spans="1:2" x14ac:dyDescent="0.25">
      <c r="A7343" s="62">
        <v>41106605</v>
      </c>
      <c r="B7343" s="63" t="s">
        <v>8004</v>
      </c>
    </row>
    <row r="7344" spans="1:2" x14ac:dyDescent="0.25">
      <c r="A7344" s="62">
        <v>41106606</v>
      </c>
      <c r="B7344" s="63" t="s">
        <v>8005</v>
      </c>
    </row>
    <row r="7345" spans="1:2" x14ac:dyDescent="0.25">
      <c r="A7345" s="62">
        <v>41106607</v>
      </c>
      <c r="B7345" s="63" t="s">
        <v>8006</v>
      </c>
    </row>
    <row r="7346" spans="1:2" x14ac:dyDescent="0.25">
      <c r="A7346" s="62">
        <v>41106608</v>
      </c>
      <c r="B7346" s="63" t="s">
        <v>8007</v>
      </c>
    </row>
    <row r="7347" spans="1:2" x14ac:dyDescent="0.25">
      <c r="A7347" s="62">
        <v>41106609</v>
      </c>
      <c r="B7347" s="63" t="s">
        <v>8008</v>
      </c>
    </row>
    <row r="7348" spans="1:2" x14ac:dyDescent="0.25">
      <c r="A7348" s="62">
        <v>41106610</v>
      </c>
      <c r="B7348" s="63" t="s">
        <v>8009</v>
      </c>
    </row>
    <row r="7349" spans="1:2" x14ac:dyDescent="0.25">
      <c r="A7349" s="62">
        <v>41106611</v>
      </c>
      <c r="B7349" s="63" t="s">
        <v>8010</v>
      </c>
    </row>
    <row r="7350" spans="1:2" x14ac:dyDescent="0.25">
      <c r="A7350" s="62">
        <v>41106612</v>
      </c>
      <c r="B7350" s="63" t="s">
        <v>8011</v>
      </c>
    </row>
    <row r="7351" spans="1:2" x14ac:dyDescent="0.25">
      <c r="A7351" s="62">
        <v>41106613</v>
      </c>
      <c r="B7351" s="63" t="s">
        <v>8012</v>
      </c>
    </row>
    <row r="7352" spans="1:2" x14ac:dyDescent="0.25">
      <c r="A7352" s="62">
        <v>41106614</v>
      </c>
      <c r="B7352" s="63" t="s">
        <v>8013</v>
      </c>
    </row>
    <row r="7353" spans="1:2" x14ac:dyDescent="0.25">
      <c r="A7353" s="62">
        <v>41106615</v>
      </c>
      <c r="B7353" s="63" t="s">
        <v>8014</v>
      </c>
    </row>
    <row r="7354" spans="1:2" x14ac:dyDescent="0.25">
      <c r="A7354" s="62">
        <v>41106616</v>
      </c>
      <c r="B7354" s="63" t="s">
        <v>8015</v>
      </c>
    </row>
    <row r="7355" spans="1:2" x14ac:dyDescent="0.25">
      <c r="A7355" s="62">
        <v>41106617</v>
      </c>
      <c r="B7355" s="63" t="s">
        <v>8016</v>
      </c>
    </row>
    <row r="7356" spans="1:2" x14ac:dyDescent="0.25">
      <c r="A7356" s="62">
        <v>41106618</v>
      </c>
      <c r="B7356" s="63" t="s">
        <v>8017</v>
      </c>
    </row>
    <row r="7357" spans="1:2" x14ac:dyDescent="0.25">
      <c r="A7357" s="62">
        <v>41106619</v>
      </c>
      <c r="B7357" s="63" t="s">
        <v>8018</v>
      </c>
    </row>
    <row r="7358" spans="1:2" x14ac:dyDescent="0.25">
      <c r="A7358" s="62">
        <v>41106620</v>
      </c>
      <c r="B7358" s="63" t="s">
        <v>8019</v>
      </c>
    </row>
    <row r="7359" spans="1:2" x14ac:dyDescent="0.25">
      <c r="A7359" s="62">
        <v>41106621</v>
      </c>
      <c r="B7359" s="63" t="s">
        <v>8020</v>
      </c>
    </row>
    <row r="7360" spans="1:2" x14ac:dyDescent="0.25">
      <c r="A7360" s="62">
        <v>41106622</v>
      </c>
      <c r="B7360" s="63" t="s">
        <v>8021</v>
      </c>
    </row>
    <row r="7361" spans="1:2" x14ac:dyDescent="0.25">
      <c r="A7361" s="62">
        <v>41111501</v>
      </c>
      <c r="B7361" s="63" t="s">
        <v>8022</v>
      </c>
    </row>
    <row r="7362" spans="1:2" x14ac:dyDescent="0.25">
      <c r="A7362" s="62">
        <v>41111502</v>
      </c>
      <c r="B7362" s="63" t="s">
        <v>8023</v>
      </c>
    </row>
    <row r="7363" spans="1:2" x14ac:dyDescent="0.25">
      <c r="A7363" s="62">
        <v>41111503</v>
      </c>
      <c r="B7363" s="63" t="s">
        <v>8024</v>
      </c>
    </row>
    <row r="7364" spans="1:2" x14ac:dyDescent="0.25">
      <c r="A7364" s="62">
        <v>41111504</v>
      </c>
      <c r="B7364" s="63" t="s">
        <v>8025</v>
      </c>
    </row>
    <row r="7365" spans="1:2" x14ac:dyDescent="0.25">
      <c r="A7365" s="62">
        <v>41111505</v>
      </c>
      <c r="B7365" s="63" t="s">
        <v>8026</v>
      </c>
    </row>
    <row r="7366" spans="1:2" x14ac:dyDescent="0.25">
      <c r="A7366" s="62">
        <v>41111506</v>
      </c>
      <c r="B7366" s="63" t="s">
        <v>8027</v>
      </c>
    </row>
    <row r="7367" spans="1:2" x14ac:dyDescent="0.25">
      <c r="A7367" s="62">
        <v>41111507</v>
      </c>
      <c r="B7367" s="63" t="s">
        <v>8028</v>
      </c>
    </row>
    <row r="7368" spans="1:2" x14ac:dyDescent="0.25">
      <c r="A7368" s="62">
        <v>41111508</v>
      </c>
      <c r="B7368" s="63" t="s">
        <v>8029</v>
      </c>
    </row>
    <row r="7369" spans="1:2" x14ac:dyDescent="0.25">
      <c r="A7369" s="62">
        <v>41111509</v>
      </c>
      <c r="B7369" s="63" t="s">
        <v>8030</v>
      </c>
    </row>
    <row r="7370" spans="1:2" x14ac:dyDescent="0.25">
      <c r="A7370" s="62">
        <v>41111510</v>
      </c>
      <c r="B7370" s="63" t="s">
        <v>8031</v>
      </c>
    </row>
    <row r="7371" spans="1:2" x14ac:dyDescent="0.25">
      <c r="A7371" s="62">
        <v>41111511</v>
      </c>
      <c r="B7371" s="63" t="s">
        <v>8032</v>
      </c>
    </row>
    <row r="7372" spans="1:2" x14ac:dyDescent="0.25">
      <c r="A7372" s="62">
        <v>41111512</v>
      </c>
      <c r="B7372" s="63" t="s">
        <v>8033</v>
      </c>
    </row>
    <row r="7373" spans="1:2" x14ac:dyDescent="0.25">
      <c r="A7373" s="62">
        <v>41111513</v>
      </c>
      <c r="B7373" s="63" t="s">
        <v>8034</v>
      </c>
    </row>
    <row r="7374" spans="1:2" x14ac:dyDescent="0.25">
      <c r="A7374" s="62">
        <v>41111515</v>
      </c>
      <c r="B7374" s="63" t="s">
        <v>8035</v>
      </c>
    </row>
    <row r="7375" spans="1:2" x14ac:dyDescent="0.25">
      <c r="A7375" s="62">
        <v>41111516</v>
      </c>
      <c r="B7375" s="63" t="s">
        <v>8036</v>
      </c>
    </row>
    <row r="7376" spans="1:2" x14ac:dyDescent="0.25">
      <c r="A7376" s="62">
        <v>41111517</v>
      </c>
      <c r="B7376" s="63" t="s">
        <v>8037</v>
      </c>
    </row>
    <row r="7377" spans="1:2" x14ac:dyDescent="0.25">
      <c r="A7377" s="62">
        <v>41111601</v>
      </c>
      <c r="B7377" s="63" t="s">
        <v>8038</v>
      </c>
    </row>
    <row r="7378" spans="1:2" x14ac:dyDescent="0.25">
      <c r="A7378" s="62">
        <v>41111602</v>
      </c>
      <c r="B7378" s="63" t="s">
        <v>8039</v>
      </c>
    </row>
    <row r="7379" spans="1:2" x14ac:dyDescent="0.25">
      <c r="A7379" s="62">
        <v>41111603</v>
      </c>
      <c r="B7379" s="63" t="s">
        <v>8040</v>
      </c>
    </row>
    <row r="7380" spans="1:2" x14ac:dyDescent="0.25">
      <c r="A7380" s="62">
        <v>41111604</v>
      </c>
      <c r="B7380" s="63" t="s">
        <v>8041</v>
      </c>
    </row>
    <row r="7381" spans="1:2" x14ac:dyDescent="0.25">
      <c r="A7381" s="62">
        <v>41111605</v>
      </c>
      <c r="B7381" s="63" t="s">
        <v>8042</v>
      </c>
    </row>
    <row r="7382" spans="1:2" x14ac:dyDescent="0.25">
      <c r="A7382" s="62">
        <v>41111606</v>
      </c>
      <c r="B7382" s="63" t="s">
        <v>8043</v>
      </c>
    </row>
    <row r="7383" spans="1:2" x14ac:dyDescent="0.25">
      <c r="A7383" s="62">
        <v>41111607</v>
      </c>
      <c r="B7383" s="63" t="s">
        <v>8044</v>
      </c>
    </row>
    <row r="7384" spans="1:2" x14ac:dyDescent="0.25">
      <c r="A7384" s="62">
        <v>41111613</v>
      </c>
      <c r="B7384" s="63" t="s">
        <v>8045</v>
      </c>
    </row>
    <row r="7385" spans="1:2" x14ac:dyDescent="0.25">
      <c r="A7385" s="62">
        <v>41111614</v>
      </c>
      <c r="B7385" s="63" t="s">
        <v>8046</v>
      </c>
    </row>
    <row r="7386" spans="1:2" x14ac:dyDescent="0.25">
      <c r="A7386" s="62">
        <v>41111615</v>
      </c>
      <c r="B7386" s="63" t="s">
        <v>8047</v>
      </c>
    </row>
    <row r="7387" spans="1:2" x14ac:dyDescent="0.25">
      <c r="A7387" s="62">
        <v>41111616</v>
      </c>
      <c r="B7387" s="63" t="s">
        <v>8048</v>
      </c>
    </row>
    <row r="7388" spans="1:2" x14ac:dyDescent="0.25">
      <c r="A7388" s="62">
        <v>41111617</v>
      </c>
      <c r="B7388" s="63" t="s">
        <v>8049</v>
      </c>
    </row>
    <row r="7389" spans="1:2" x14ac:dyDescent="0.25">
      <c r="A7389" s="62">
        <v>41111618</v>
      </c>
      <c r="B7389" s="63" t="s">
        <v>8050</v>
      </c>
    </row>
    <row r="7390" spans="1:2" x14ac:dyDescent="0.25">
      <c r="A7390" s="62">
        <v>41111619</v>
      </c>
      <c r="B7390" s="63" t="s">
        <v>8051</v>
      </c>
    </row>
    <row r="7391" spans="1:2" x14ac:dyDescent="0.25">
      <c r="A7391" s="62">
        <v>41111620</v>
      </c>
      <c r="B7391" s="63" t="s">
        <v>8052</v>
      </c>
    </row>
    <row r="7392" spans="1:2" x14ac:dyDescent="0.25">
      <c r="A7392" s="62">
        <v>41111621</v>
      </c>
      <c r="B7392" s="63" t="s">
        <v>8053</v>
      </c>
    </row>
    <row r="7393" spans="1:2" x14ac:dyDescent="0.25">
      <c r="A7393" s="62">
        <v>41111622</v>
      </c>
      <c r="B7393" s="63" t="s">
        <v>8054</v>
      </c>
    </row>
    <row r="7394" spans="1:2" x14ac:dyDescent="0.25">
      <c r="A7394" s="62">
        <v>41111623</v>
      </c>
      <c r="B7394" s="63" t="s">
        <v>8055</v>
      </c>
    </row>
    <row r="7395" spans="1:2" x14ac:dyDescent="0.25">
      <c r="A7395" s="62">
        <v>41111701</v>
      </c>
      <c r="B7395" s="63" t="s">
        <v>8056</v>
      </c>
    </row>
    <row r="7396" spans="1:2" x14ac:dyDescent="0.25">
      <c r="A7396" s="62">
        <v>41111702</v>
      </c>
      <c r="B7396" s="63" t="s">
        <v>8057</v>
      </c>
    </row>
    <row r="7397" spans="1:2" x14ac:dyDescent="0.25">
      <c r="A7397" s="62">
        <v>41111703</v>
      </c>
      <c r="B7397" s="63" t="s">
        <v>8058</v>
      </c>
    </row>
    <row r="7398" spans="1:2" x14ac:dyDescent="0.25">
      <c r="A7398" s="62">
        <v>41111704</v>
      </c>
      <c r="B7398" s="63" t="s">
        <v>8059</v>
      </c>
    </row>
    <row r="7399" spans="1:2" x14ac:dyDescent="0.25">
      <c r="A7399" s="62">
        <v>41111705</v>
      </c>
      <c r="B7399" s="63" t="s">
        <v>8060</v>
      </c>
    </row>
    <row r="7400" spans="1:2" x14ac:dyDescent="0.25">
      <c r="A7400" s="62">
        <v>41111706</v>
      </c>
      <c r="B7400" s="63" t="s">
        <v>8061</v>
      </c>
    </row>
    <row r="7401" spans="1:2" x14ac:dyDescent="0.25">
      <c r="A7401" s="62">
        <v>41111707</v>
      </c>
      <c r="B7401" s="63" t="s">
        <v>8062</v>
      </c>
    </row>
    <row r="7402" spans="1:2" x14ac:dyDescent="0.25">
      <c r="A7402" s="62">
        <v>41111708</v>
      </c>
      <c r="B7402" s="63" t="s">
        <v>8063</v>
      </c>
    </row>
    <row r="7403" spans="1:2" x14ac:dyDescent="0.25">
      <c r="A7403" s="62">
        <v>41111709</v>
      </c>
      <c r="B7403" s="63" t="s">
        <v>8064</v>
      </c>
    </row>
    <row r="7404" spans="1:2" x14ac:dyDescent="0.25">
      <c r="A7404" s="62">
        <v>41111710</v>
      </c>
      <c r="B7404" s="63" t="s">
        <v>8065</v>
      </c>
    </row>
    <row r="7405" spans="1:2" x14ac:dyDescent="0.25">
      <c r="A7405" s="62">
        <v>41111711</v>
      </c>
      <c r="B7405" s="63" t="s">
        <v>8066</v>
      </c>
    </row>
    <row r="7406" spans="1:2" x14ac:dyDescent="0.25">
      <c r="A7406" s="62">
        <v>41111712</v>
      </c>
      <c r="B7406" s="63" t="s">
        <v>8067</v>
      </c>
    </row>
    <row r="7407" spans="1:2" x14ac:dyDescent="0.25">
      <c r="A7407" s="62">
        <v>41111713</v>
      </c>
      <c r="B7407" s="63" t="s">
        <v>8068</v>
      </c>
    </row>
    <row r="7408" spans="1:2" x14ac:dyDescent="0.25">
      <c r="A7408" s="62">
        <v>41111714</v>
      </c>
      <c r="B7408" s="63" t="s">
        <v>8069</v>
      </c>
    </row>
    <row r="7409" spans="1:2" x14ac:dyDescent="0.25">
      <c r="A7409" s="62">
        <v>41111715</v>
      </c>
      <c r="B7409" s="63" t="s">
        <v>8070</v>
      </c>
    </row>
    <row r="7410" spans="1:2" x14ac:dyDescent="0.25">
      <c r="A7410" s="62">
        <v>41111716</v>
      </c>
      <c r="B7410" s="63" t="s">
        <v>8071</v>
      </c>
    </row>
    <row r="7411" spans="1:2" x14ac:dyDescent="0.25">
      <c r="A7411" s="62">
        <v>41111717</v>
      </c>
      <c r="B7411" s="63" t="s">
        <v>8072</v>
      </c>
    </row>
    <row r="7412" spans="1:2" x14ac:dyDescent="0.25">
      <c r="A7412" s="62">
        <v>41111718</v>
      </c>
      <c r="B7412" s="63" t="s">
        <v>8073</v>
      </c>
    </row>
    <row r="7413" spans="1:2" x14ac:dyDescent="0.25">
      <c r="A7413" s="62">
        <v>41111719</v>
      </c>
      <c r="B7413" s="63" t="s">
        <v>8074</v>
      </c>
    </row>
    <row r="7414" spans="1:2" x14ac:dyDescent="0.25">
      <c r="A7414" s="62">
        <v>41111720</v>
      </c>
      <c r="B7414" s="63" t="s">
        <v>8075</v>
      </c>
    </row>
    <row r="7415" spans="1:2" x14ac:dyDescent="0.25">
      <c r="A7415" s="62">
        <v>41111721</v>
      </c>
      <c r="B7415" s="63" t="s">
        <v>8076</v>
      </c>
    </row>
    <row r="7416" spans="1:2" x14ac:dyDescent="0.25">
      <c r="A7416" s="62">
        <v>41111722</v>
      </c>
      <c r="B7416" s="63" t="s">
        <v>8077</v>
      </c>
    </row>
    <row r="7417" spans="1:2" x14ac:dyDescent="0.25">
      <c r="A7417" s="62">
        <v>41111723</v>
      </c>
      <c r="B7417" s="63" t="s">
        <v>8078</v>
      </c>
    </row>
    <row r="7418" spans="1:2" x14ac:dyDescent="0.25">
      <c r="A7418" s="62">
        <v>41111724</v>
      </c>
      <c r="B7418" s="63" t="s">
        <v>8079</v>
      </c>
    </row>
    <row r="7419" spans="1:2" x14ac:dyDescent="0.25">
      <c r="A7419" s="62">
        <v>41111725</v>
      </c>
      <c r="B7419" s="63" t="s">
        <v>8080</v>
      </c>
    </row>
    <row r="7420" spans="1:2" x14ac:dyDescent="0.25">
      <c r="A7420" s="62">
        <v>41111726</v>
      </c>
      <c r="B7420" s="63" t="s">
        <v>8081</v>
      </c>
    </row>
    <row r="7421" spans="1:2" x14ac:dyDescent="0.25">
      <c r="A7421" s="62">
        <v>41111727</v>
      </c>
      <c r="B7421" s="63" t="s">
        <v>8082</v>
      </c>
    </row>
    <row r="7422" spans="1:2" x14ac:dyDescent="0.25">
      <c r="A7422" s="62">
        <v>41111728</v>
      </c>
      <c r="B7422" s="63" t="s">
        <v>8083</v>
      </c>
    </row>
    <row r="7423" spans="1:2" x14ac:dyDescent="0.25">
      <c r="A7423" s="62">
        <v>41111729</v>
      </c>
      <c r="B7423" s="63" t="s">
        <v>8084</v>
      </c>
    </row>
    <row r="7424" spans="1:2" x14ac:dyDescent="0.25">
      <c r="A7424" s="62">
        <v>41111730</v>
      </c>
      <c r="B7424" s="63" t="s">
        <v>8085</v>
      </c>
    </row>
    <row r="7425" spans="1:2" x14ac:dyDescent="0.25">
      <c r="A7425" s="62">
        <v>41111731</v>
      </c>
      <c r="B7425" s="63" t="s">
        <v>8086</v>
      </c>
    </row>
    <row r="7426" spans="1:2" x14ac:dyDescent="0.25">
      <c r="A7426" s="62">
        <v>41111733</v>
      </c>
      <c r="B7426" s="63" t="s">
        <v>8087</v>
      </c>
    </row>
    <row r="7427" spans="1:2" x14ac:dyDescent="0.25">
      <c r="A7427" s="62">
        <v>41111734</v>
      </c>
      <c r="B7427" s="63" t="s">
        <v>8088</v>
      </c>
    </row>
    <row r="7428" spans="1:2" x14ac:dyDescent="0.25">
      <c r="A7428" s="62">
        <v>41111735</v>
      </c>
      <c r="B7428" s="63" t="s">
        <v>8089</v>
      </c>
    </row>
    <row r="7429" spans="1:2" x14ac:dyDescent="0.25">
      <c r="A7429" s="62">
        <v>41111736</v>
      </c>
      <c r="B7429" s="63" t="s">
        <v>8090</v>
      </c>
    </row>
    <row r="7430" spans="1:2" x14ac:dyDescent="0.25">
      <c r="A7430" s="62">
        <v>41111737</v>
      </c>
      <c r="B7430" s="63" t="s">
        <v>8091</v>
      </c>
    </row>
    <row r="7431" spans="1:2" x14ac:dyDescent="0.25">
      <c r="A7431" s="62">
        <v>41111738</v>
      </c>
      <c r="B7431" s="63" t="s">
        <v>8092</v>
      </c>
    </row>
    <row r="7432" spans="1:2" x14ac:dyDescent="0.25">
      <c r="A7432" s="62">
        <v>41111739</v>
      </c>
      <c r="B7432" s="63" t="s">
        <v>8093</v>
      </c>
    </row>
    <row r="7433" spans="1:2" x14ac:dyDescent="0.25">
      <c r="A7433" s="62">
        <v>41111801</v>
      </c>
      <c r="B7433" s="63" t="s">
        <v>8094</v>
      </c>
    </row>
    <row r="7434" spans="1:2" x14ac:dyDescent="0.25">
      <c r="A7434" s="62">
        <v>41111802</v>
      </c>
      <c r="B7434" s="63" t="s">
        <v>8095</v>
      </c>
    </row>
    <row r="7435" spans="1:2" x14ac:dyDescent="0.25">
      <c r="A7435" s="62">
        <v>41111803</v>
      </c>
      <c r="B7435" s="63" t="s">
        <v>8096</v>
      </c>
    </row>
    <row r="7436" spans="1:2" x14ac:dyDescent="0.25">
      <c r="A7436" s="62">
        <v>41111804</v>
      </c>
      <c r="B7436" s="63" t="s">
        <v>8097</v>
      </c>
    </row>
    <row r="7437" spans="1:2" x14ac:dyDescent="0.25">
      <c r="A7437" s="62">
        <v>41111805</v>
      </c>
      <c r="B7437" s="63" t="s">
        <v>8098</v>
      </c>
    </row>
    <row r="7438" spans="1:2" x14ac:dyDescent="0.25">
      <c r="A7438" s="62">
        <v>41111806</v>
      </c>
      <c r="B7438" s="63" t="s">
        <v>8099</v>
      </c>
    </row>
    <row r="7439" spans="1:2" x14ac:dyDescent="0.25">
      <c r="A7439" s="62">
        <v>41111807</v>
      </c>
      <c r="B7439" s="63" t="s">
        <v>8100</v>
      </c>
    </row>
    <row r="7440" spans="1:2" x14ac:dyDescent="0.25">
      <c r="A7440" s="62">
        <v>41111808</v>
      </c>
      <c r="B7440" s="63" t="s">
        <v>8101</v>
      </c>
    </row>
    <row r="7441" spans="1:2" x14ac:dyDescent="0.25">
      <c r="A7441" s="62">
        <v>41111809</v>
      </c>
      <c r="B7441" s="63" t="s">
        <v>8102</v>
      </c>
    </row>
    <row r="7442" spans="1:2" x14ac:dyDescent="0.25">
      <c r="A7442" s="62">
        <v>41111901</v>
      </c>
      <c r="B7442" s="63" t="s">
        <v>8103</v>
      </c>
    </row>
    <row r="7443" spans="1:2" x14ac:dyDescent="0.25">
      <c r="A7443" s="62">
        <v>41111902</v>
      </c>
      <c r="B7443" s="63" t="s">
        <v>8104</v>
      </c>
    </row>
    <row r="7444" spans="1:2" x14ac:dyDescent="0.25">
      <c r="A7444" s="62">
        <v>41111903</v>
      </c>
      <c r="B7444" s="63" t="s">
        <v>8105</v>
      </c>
    </row>
    <row r="7445" spans="1:2" x14ac:dyDescent="0.25">
      <c r="A7445" s="62">
        <v>41111904</v>
      </c>
      <c r="B7445" s="63" t="s">
        <v>8106</v>
      </c>
    </row>
    <row r="7446" spans="1:2" x14ac:dyDescent="0.25">
      <c r="A7446" s="62">
        <v>41111905</v>
      </c>
      <c r="B7446" s="63" t="s">
        <v>8107</v>
      </c>
    </row>
    <row r="7447" spans="1:2" x14ac:dyDescent="0.25">
      <c r="A7447" s="62">
        <v>41111906</v>
      </c>
      <c r="B7447" s="63" t="s">
        <v>8108</v>
      </c>
    </row>
    <row r="7448" spans="1:2" x14ac:dyDescent="0.25">
      <c r="A7448" s="62">
        <v>41111907</v>
      </c>
      <c r="B7448" s="63" t="s">
        <v>8109</v>
      </c>
    </row>
    <row r="7449" spans="1:2" x14ac:dyDescent="0.25">
      <c r="A7449" s="62">
        <v>41111908</v>
      </c>
      <c r="B7449" s="63" t="s">
        <v>8110</v>
      </c>
    </row>
    <row r="7450" spans="1:2" x14ac:dyDescent="0.25">
      <c r="A7450" s="62">
        <v>41111909</v>
      </c>
      <c r="B7450" s="63" t="s">
        <v>8111</v>
      </c>
    </row>
    <row r="7451" spans="1:2" x14ac:dyDescent="0.25">
      <c r="A7451" s="62">
        <v>41111910</v>
      </c>
      <c r="B7451" s="63" t="s">
        <v>8112</v>
      </c>
    </row>
    <row r="7452" spans="1:2" x14ac:dyDescent="0.25">
      <c r="A7452" s="62">
        <v>41111911</v>
      </c>
      <c r="B7452" s="63" t="s">
        <v>8113</v>
      </c>
    </row>
    <row r="7453" spans="1:2" x14ac:dyDescent="0.25">
      <c r="A7453" s="62">
        <v>41111912</v>
      </c>
      <c r="B7453" s="63" t="s">
        <v>8114</v>
      </c>
    </row>
    <row r="7454" spans="1:2" x14ac:dyDescent="0.25">
      <c r="A7454" s="62">
        <v>41111913</v>
      </c>
      <c r="B7454" s="63" t="s">
        <v>8115</v>
      </c>
    </row>
    <row r="7455" spans="1:2" x14ac:dyDescent="0.25">
      <c r="A7455" s="62">
        <v>41111914</v>
      </c>
      <c r="B7455" s="63" t="s">
        <v>8116</v>
      </c>
    </row>
    <row r="7456" spans="1:2" x14ac:dyDescent="0.25">
      <c r="A7456" s="62">
        <v>41111915</v>
      </c>
      <c r="B7456" s="63" t="s">
        <v>8117</v>
      </c>
    </row>
    <row r="7457" spans="1:2" x14ac:dyDescent="0.25">
      <c r="A7457" s="62">
        <v>41111916</v>
      </c>
      <c r="B7457" s="63" t="s">
        <v>8118</v>
      </c>
    </row>
    <row r="7458" spans="1:2" x14ac:dyDescent="0.25">
      <c r="A7458" s="62">
        <v>41111917</v>
      </c>
      <c r="B7458" s="63" t="s">
        <v>8119</v>
      </c>
    </row>
    <row r="7459" spans="1:2" x14ac:dyDescent="0.25">
      <c r="A7459" s="62">
        <v>41111918</v>
      </c>
      <c r="B7459" s="63" t="s">
        <v>8120</v>
      </c>
    </row>
    <row r="7460" spans="1:2" x14ac:dyDescent="0.25">
      <c r="A7460" s="62">
        <v>41111919</v>
      </c>
      <c r="B7460" s="63" t="s">
        <v>8121</v>
      </c>
    </row>
    <row r="7461" spans="1:2" x14ac:dyDescent="0.25">
      <c r="A7461" s="62">
        <v>41111920</v>
      </c>
      <c r="B7461" s="63" t="s">
        <v>8122</v>
      </c>
    </row>
    <row r="7462" spans="1:2" x14ac:dyDescent="0.25">
      <c r="A7462" s="62">
        <v>41111921</v>
      </c>
      <c r="B7462" s="63" t="s">
        <v>8123</v>
      </c>
    </row>
    <row r="7463" spans="1:2" x14ac:dyDescent="0.25">
      <c r="A7463" s="62">
        <v>41111922</v>
      </c>
      <c r="B7463" s="63" t="s">
        <v>8124</v>
      </c>
    </row>
    <row r="7464" spans="1:2" x14ac:dyDescent="0.25">
      <c r="A7464" s="62">
        <v>41111923</v>
      </c>
      <c r="B7464" s="63" t="s">
        <v>8125</v>
      </c>
    </row>
    <row r="7465" spans="1:2" x14ac:dyDescent="0.25">
      <c r="A7465" s="62">
        <v>41111924</v>
      </c>
      <c r="B7465" s="63" t="s">
        <v>8126</v>
      </c>
    </row>
    <row r="7466" spans="1:2" x14ac:dyDescent="0.25">
      <c r="A7466" s="62">
        <v>41111926</v>
      </c>
      <c r="B7466" s="63" t="s">
        <v>8127</v>
      </c>
    </row>
    <row r="7467" spans="1:2" x14ac:dyDescent="0.25">
      <c r="A7467" s="62">
        <v>41111927</v>
      </c>
      <c r="B7467" s="63" t="s">
        <v>8128</v>
      </c>
    </row>
    <row r="7468" spans="1:2" x14ac:dyDescent="0.25">
      <c r="A7468" s="62">
        <v>41111928</v>
      </c>
      <c r="B7468" s="63" t="s">
        <v>8129</v>
      </c>
    </row>
    <row r="7469" spans="1:2" x14ac:dyDescent="0.25">
      <c r="A7469" s="62">
        <v>41111929</v>
      </c>
      <c r="B7469" s="63" t="s">
        <v>8130</v>
      </c>
    </row>
    <row r="7470" spans="1:2" x14ac:dyDescent="0.25">
      <c r="A7470" s="62">
        <v>41111930</v>
      </c>
      <c r="B7470" s="63" t="s">
        <v>8131</v>
      </c>
    </row>
    <row r="7471" spans="1:2" x14ac:dyDescent="0.25">
      <c r="A7471" s="62">
        <v>41111931</v>
      </c>
      <c r="B7471" s="63" t="s">
        <v>8132</v>
      </c>
    </row>
    <row r="7472" spans="1:2" x14ac:dyDescent="0.25">
      <c r="A7472" s="62">
        <v>41111932</v>
      </c>
      <c r="B7472" s="63" t="s">
        <v>8133</v>
      </c>
    </row>
    <row r="7473" spans="1:2" x14ac:dyDescent="0.25">
      <c r="A7473" s="62">
        <v>41111933</v>
      </c>
      <c r="B7473" s="63" t="s">
        <v>8134</v>
      </c>
    </row>
    <row r="7474" spans="1:2" x14ac:dyDescent="0.25">
      <c r="A7474" s="62">
        <v>41111934</v>
      </c>
      <c r="B7474" s="63" t="s">
        <v>8135</v>
      </c>
    </row>
    <row r="7475" spans="1:2" x14ac:dyDescent="0.25">
      <c r="A7475" s="62">
        <v>41111935</v>
      </c>
      <c r="B7475" s="63" t="s">
        <v>8136</v>
      </c>
    </row>
    <row r="7476" spans="1:2" x14ac:dyDescent="0.25">
      <c r="A7476" s="62">
        <v>41111936</v>
      </c>
      <c r="B7476" s="63" t="s">
        <v>8137</v>
      </c>
    </row>
    <row r="7477" spans="1:2" x14ac:dyDescent="0.25">
      <c r="A7477" s="62">
        <v>41111937</v>
      </c>
      <c r="B7477" s="63" t="s">
        <v>8138</v>
      </c>
    </row>
    <row r="7478" spans="1:2" x14ac:dyDescent="0.25">
      <c r="A7478" s="62">
        <v>41111938</v>
      </c>
      <c r="B7478" s="63" t="s">
        <v>8139</v>
      </c>
    </row>
    <row r="7479" spans="1:2" x14ac:dyDescent="0.25">
      <c r="A7479" s="62">
        <v>41111939</v>
      </c>
      <c r="B7479" s="63" t="s">
        <v>8140</v>
      </c>
    </row>
    <row r="7480" spans="1:2" x14ac:dyDescent="0.25">
      <c r="A7480" s="62">
        <v>41111940</v>
      </c>
      <c r="B7480" s="63" t="s">
        <v>8141</v>
      </c>
    </row>
    <row r="7481" spans="1:2" x14ac:dyDescent="0.25">
      <c r="A7481" s="62">
        <v>41111941</v>
      </c>
      <c r="B7481" s="63" t="s">
        <v>8142</v>
      </c>
    </row>
    <row r="7482" spans="1:2" x14ac:dyDescent="0.25">
      <c r="A7482" s="62">
        <v>41111942</v>
      </c>
      <c r="B7482" s="63" t="s">
        <v>8143</v>
      </c>
    </row>
    <row r="7483" spans="1:2" x14ac:dyDescent="0.25">
      <c r="A7483" s="62">
        <v>41111943</v>
      </c>
      <c r="B7483" s="63" t="s">
        <v>8144</v>
      </c>
    </row>
    <row r="7484" spans="1:2" x14ac:dyDescent="0.25">
      <c r="A7484" s="62">
        <v>41111944</v>
      </c>
      <c r="B7484" s="63" t="s">
        <v>8145</v>
      </c>
    </row>
    <row r="7485" spans="1:2" x14ac:dyDescent="0.25">
      <c r="A7485" s="62">
        <v>41111945</v>
      </c>
      <c r="B7485" s="63" t="s">
        <v>8146</v>
      </c>
    </row>
    <row r="7486" spans="1:2" x14ac:dyDescent="0.25">
      <c r="A7486" s="62">
        <v>41111946</v>
      </c>
      <c r="B7486" s="63" t="s">
        <v>8147</v>
      </c>
    </row>
    <row r="7487" spans="1:2" x14ac:dyDescent="0.25">
      <c r="A7487" s="62">
        <v>41111947</v>
      </c>
      <c r="B7487" s="63" t="s">
        <v>8148</v>
      </c>
    </row>
    <row r="7488" spans="1:2" x14ac:dyDescent="0.25">
      <c r="A7488" s="62">
        <v>41111948</v>
      </c>
      <c r="B7488" s="63" t="s">
        <v>8149</v>
      </c>
    </row>
    <row r="7489" spans="1:2" x14ac:dyDescent="0.25">
      <c r="A7489" s="62">
        <v>41112101</v>
      </c>
      <c r="B7489" s="63" t="s">
        <v>8150</v>
      </c>
    </row>
    <row r="7490" spans="1:2" x14ac:dyDescent="0.25">
      <c r="A7490" s="62">
        <v>41112103</v>
      </c>
      <c r="B7490" s="63" t="s">
        <v>8151</v>
      </c>
    </row>
    <row r="7491" spans="1:2" x14ac:dyDescent="0.25">
      <c r="A7491" s="62">
        <v>41112104</v>
      </c>
      <c r="B7491" s="63" t="s">
        <v>8152</v>
      </c>
    </row>
    <row r="7492" spans="1:2" x14ac:dyDescent="0.25">
      <c r="A7492" s="62">
        <v>41112105</v>
      </c>
      <c r="B7492" s="63" t="s">
        <v>8153</v>
      </c>
    </row>
    <row r="7493" spans="1:2" x14ac:dyDescent="0.25">
      <c r="A7493" s="62">
        <v>41112106</v>
      </c>
      <c r="B7493" s="63" t="s">
        <v>8154</v>
      </c>
    </row>
    <row r="7494" spans="1:2" x14ac:dyDescent="0.25">
      <c r="A7494" s="62">
        <v>41112107</v>
      </c>
      <c r="B7494" s="63" t="s">
        <v>8155</v>
      </c>
    </row>
    <row r="7495" spans="1:2" x14ac:dyDescent="0.25">
      <c r="A7495" s="62">
        <v>41112108</v>
      </c>
      <c r="B7495" s="63" t="s">
        <v>8156</v>
      </c>
    </row>
    <row r="7496" spans="1:2" x14ac:dyDescent="0.25">
      <c r="A7496" s="62">
        <v>41112201</v>
      </c>
      <c r="B7496" s="63" t="s">
        <v>8157</v>
      </c>
    </row>
    <row r="7497" spans="1:2" x14ac:dyDescent="0.25">
      <c r="A7497" s="62">
        <v>41112202</v>
      </c>
      <c r="B7497" s="63" t="s">
        <v>8158</v>
      </c>
    </row>
    <row r="7498" spans="1:2" x14ac:dyDescent="0.25">
      <c r="A7498" s="62">
        <v>41112203</v>
      </c>
      <c r="B7498" s="63" t="s">
        <v>8159</v>
      </c>
    </row>
    <row r="7499" spans="1:2" x14ac:dyDescent="0.25">
      <c r="A7499" s="62">
        <v>41112204</v>
      </c>
      <c r="B7499" s="63" t="s">
        <v>8160</v>
      </c>
    </row>
    <row r="7500" spans="1:2" x14ac:dyDescent="0.25">
      <c r="A7500" s="62">
        <v>41112205</v>
      </c>
      <c r="B7500" s="63" t="s">
        <v>8161</v>
      </c>
    </row>
    <row r="7501" spans="1:2" x14ac:dyDescent="0.25">
      <c r="A7501" s="62">
        <v>41112206</v>
      </c>
      <c r="B7501" s="63" t="s">
        <v>8162</v>
      </c>
    </row>
    <row r="7502" spans="1:2" x14ac:dyDescent="0.25">
      <c r="A7502" s="62">
        <v>41112207</v>
      </c>
      <c r="B7502" s="63" t="s">
        <v>8163</v>
      </c>
    </row>
    <row r="7503" spans="1:2" x14ac:dyDescent="0.25">
      <c r="A7503" s="62">
        <v>41112209</v>
      </c>
      <c r="B7503" s="63" t="s">
        <v>8164</v>
      </c>
    </row>
    <row r="7504" spans="1:2" x14ac:dyDescent="0.25">
      <c r="A7504" s="62">
        <v>41112210</v>
      </c>
      <c r="B7504" s="63" t="s">
        <v>8165</v>
      </c>
    </row>
    <row r="7505" spans="1:2" x14ac:dyDescent="0.25">
      <c r="A7505" s="62">
        <v>41112211</v>
      </c>
      <c r="B7505" s="63" t="s">
        <v>8166</v>
      </c>
    </row>
    <row r="7506" spans="1:2" x14ac:dyDescent="0.25">
      <c r="A7506" s="62">
        <v>41112212</v>
      </c>
      <c r="B7506" s="63" t="s">
        <v>8167</v>
      </c>
    </row>
    <row r="7507" spans="1:2" x14ac:dyDescent="0.25">
      <c r="A7507" s="62">
        <v>41112213</v>
      </c>
      <c r="B7507" s="63" t="s">
        <v>8168</v>
      </c>
    </row>
    <row r="7508" spans="1:2" x14ac:dyDescent="0.25">
      <c r="A7508" s="62">
        <v>41112214</v>
      </c>
      <c r="B7508" s="63" t="s">
        <v>8169</v>
      </c>
    </row>
    <row r="7509" spans="1:2" x14ac:dyDescent="0.25">
      <c r="A7509" s="62">
        <v>41112215</v>
      </c>
      <c r="B7509" s="63" t="s">
        <v>8170</v>
      </c>
    </row>
    <row r="7510" spans="1:2" x14ac:dyDescent="0.25">
      <c r="A7510" s="62">
        <v>41112216</v>
      </c>
      <c r="B7510" s="63" t="s">
        <v>8171</v>
      </c>
    </row>
    <row r="7511" spans="1:2" x14ac:dyDescent="0.25">
      <c r="A7511" s="62">
        <v>41112217</v>
      </c>
      <c r="B7511" s="63" t="s">
        <v>8172</v>
      </c>
    </row>
    <row r="7512" spans="1:2" x14ac:dyDescent="0.25">
      <c r="A7512" s="62">
        <v>41112218</v>
      </c>
      <c r="B7512" s="63" t="s">
        <v>8173</v>
      </c>
    </row>
    <row r="7513" spans="1:2" x14ac:dyDescent="0.25">
      <c r="A7513" s="62">
        <v>41112219</v>
      </c>
      <c r="B7513" s="63" t="s">
        <v>8174</v>
      </c>
    </row>
    <row r="7514" spans="1:2" x14ac:dyDescent="0.25">
      <c r="A7514" s="62">
        <v>41112220</v>
      </c>
      <c r="B7514" s="63" t="s">
        <v>8175</v>
      </c>
    </row>
    <row r="7515" spans="1:2" x14ac:dyDescent="0.25">
      <c r="A7515" s="62">
        <v>41112221</v>
      </c>
      <c r="B7515" s="63" t="s">
        <v>8176</v>
      </c>
    </row>
    <row r="7516" spans="1:2" x14ac:dyDescent="0.25">
      <c r="A7516" s="62">
        <v>41112301</v>
      </c>
      <c r="B7516" s="63" t="s">
        <v>8177</v>
      </c>
    </row>
    <row r="7517" spans="1:2" x14ac:dyDescent="0.25">
      <c r="A7517" s="62">
        <v>41112302</v>
      </c>
      <c r="B7517" s="63" t="s">
        <v>8178</v>
      </c>
    </row>
    <row r="7518" spans="1:2" x14ac:dyDescent="0.25">
      <c r="A7518" s="62">
        <v>41112303</v>
      </c>
      <c r="B7518" s="63" t="s">
        <v>8179</v>
      </c>
    </row>
    <row r="7519" spans="1:2" x14ac:dyDescent="0.25">
      <c r="A7519" s="62">
        <v>41112304</v>
      </c>
      <c r="B7519" s="63" t="s">
        <v>8180</v>
      </c>
    </row>
    <row r="7520" spans="1:2" x14ac:dyDescent="0.25">
      <c r="A7520" s="62">
        <v>41112401</v>
      </c>
      <c r="B7520" s="63" t="s">
        <v>7612</v>
      </c>
    </row>
    <row r="7521" spans="1:2" x14ac:dyDescent="0.25">
      <c r="A7521" s="62">
        <v>41112402</v>
      </c>
      <c r="B7521" s="63" t="s">
        <v>8181</v>
      </c>
    </row>
    <row r="7522" spans="1:2" x14ac:dyDescent="0.25">
      <c r="A7522" s="62">
        <v>41112403</v>
      </c>
      <c r="B7522" s="63" t="s">
        <v>8182</v>
      </c>
    </row>
    <row r="7523" spans="1:2" x14ac:dyDescent="0.25">
      <c r="A7523" s="62">
        <v>41112404</v>
      </c>
      <c r="B7523" s="63" t="s">
        <v>8183</v>
      </c>
    </row>
    <row r="7524" spans="1:2" x14ac:dyDescent="0.25">
      <c r="A7524" s="62">
        <v>41112405</v>
      </c>
      <c r="B7524" s="63" t="s">
        <v>8184</v>
      </c>
    </row>
    <row r="7525" spans="1:2" x14ac:dyDescent="0.25">
      <c r="A7525" s="62">
        <v>41112406</v>
      </c>
      <c r="B7525" s="63" t="s">
        <v>8185</v>
      </c>
    </row>
    <row r="7526" spans="1:2" x14ac:dyDescent="0.25">
      <c r="A7526" s="62">
        <v>41112407</v>
      </c>
      <c r="B7526" s="63" t="s">
        <v>8186</v>
      </c>
    </row>
    <row r="7527" spans="1:2" x14ac:dyDescent="0.25">
      <c r="A7527" s="62">
        <v>41112408</v>
      </c>
      <c r="B7527" s="63" t="s">
        <v>8187</v>
      </c>
    </row>
    <row r="7528" spans="1:2" x14ac:dyDescent="0.25">
      <c r="A7528" s="62">
        <v>41112409</v>
      </c>
      <c r="B7528" s="63" t="s">
        <v>8188</v>
      </c>
    </row>
    <row r="7529" spans="1:2" x14ac:dyDescent="0.25">
      <c r="A7529" s="62">
        <v>41112410</v>
      </c>
      <c r="B7529" s="63" t="s">
        <v>8189</v>
      </c>
    </row>
    <row r="7530" spans="1:2" x14ac:dyDescent="0.25">
      <c r="A7530" s="62">
        <v>41112411</v>
      </c>
      <c r="B7530" s="63" t="s">
        <v>8190</v>
      </c>
    </row>
    <row r="7531" spans="1:2" x14ac:dyDescent="0.25">
      <c r="A7531" s="62">
        <v>41112501</v>
      </c>
      <c r="B7531" s="63" t="s">
        <v>7501</v>
      </c>
    </row>
    <row r="7532" spans="1:2" x14ac:dyDescent="0.25">
      <c r="A7532" s="62">
        <v>41112502</v>
      </c>
      <c r="B7532" s="63" t="s">
        <v>8191</v>
      </c>
    </row>
    <row r="7533" spans="1:2" x14ac:dyDescent="0.25">
      <c r="A7533" s="62">
        <v>41112503</v>
      </c>
      <c r="B7533" s="63" t="s">
        <v>8192</v>
      </c>
    </row>
    <row r="7534" spans="1:2" x14ac:dyDescent="0.25">
      <c r="A7534" s="62">
        <v>41112504</v>
      </c>
      <c r="B7534" s="63" t="s">
        <v>8193</v>
      </c>
    </row>
    <row r="7535" spans="1:2" x14ac:dyDescent="0.25">
      <c r="A7535" s="62">
        <v>41112505</v>
      </c>
      <c r="B7535" s="63" t="s">
        <v>8194</v>
      </c>
    </row>
    <row r="7536" spans="1:2" x14ac:dyDescent="0.25">
      <c r="A7536" s="62">
        <v>41112506</v>
      </c>
      <c r="B7536" s="63" t="s">
        <v>8195</v>
      </c>
    </row>
    <row r="7537" spans="1:2" x14ac:dyDescent="0.25">
      <c r="A7537" s="62">
        <v>41112508</v>
      </c>
      <c r="B7537" s="63" t="s">
        <v>8196</v>
      </c>
    </row>
    <row r="7538" spans="1:2" x14ac:dyDescent="0.25">
      <c r="A7538" s="62">
        <v>41112509</v>
      </c>
      <c r="B7538" s="63" t="s">
        <v>8197</v>
      </c>
    </row>
    <row r="7539" spans="1:2" x14ac:dyDescent="0.25">
      <c r="A7539" s="62">
        <v>41112510</v>
      </c>
      <c r="B7539" s="63" t="s">
        <v>8198</v>
      </c>
    </row>
    <row r="7540" spans="1:2" x14ac:dyDescent="0.25">
      <c r="A7540" s="62">
        <v>41112511</v>
      </c>
      <c r="B7540" s="63" t="s">
        <v>8199</v>
      </c>
    </row>
    <row r="7541" spans="1:2" x14ac:dyDescent="0.25">
      <c r="A7541" s="62">
        <v>41112512</v>
      </c>
      <c r="B7541" s="63" t="s">
        <v>8200</v>
      </c>
    </row>
    <row r="7542" spans="1:2" x14ac:dyDescent="0.25">
      <c r="A7542" s="62">
        <v>41112513</v>
      </c>
      <c r="B7542" s="63" t="s">
        <v>8201</v>
      </c>
    </row>
    <row r="7543" spans="1:2" x14ac:dyDescent="0.25">
      <c r="A7543" s="62">
        <v>41112514</v>
      </c>
      <c r="B7543" s="63" t="s">
        <v>8202</v>
      </c>
    </row>
    <row r="7544" spans="1:2" x14ac:dyDescent="0.25">
      <c r="A7544" s="62">
        <v>41112516</v>
      </c>
      <c r="B7544" s="63" t="s">
        <v>8203</v>
      </c>
    </row>
    <row r="7545" spans="1:2" x14ac:dyDescent="0.25">
      <c r="A7545" s="62">
        <v>41112601</v>
      </c>
      <c r="B7545" s="63" t="s">
        <v>8204</v>
      </c>
    </row>
    <row r="7546" spans="1:2" x14ac:dyDescent="0.25">
      <c r="A7546" s="62">
        <v>41112602</v>
      </c>
      <c r="B7546" s="63" t="s">
        <v>8205</v>
      </c>
    </row>
    <row r="7547" spans="1:2" x14ac:dyDescent="0.25">
      <c r="A7547" s="62">
        <v>41112701</v>
      </c>
      <c r="B7547" s="63" t="s">
        <v>8206</v>
      </c>
    </row>
    <row r="7548" spans="1:2" x14ac:dyDescent="0.25">
      <c r="A7548" s="62">
        <v>41112702</v>
      </c>
      <c r="B7548" s="63" t="s">
        <v>8207</v>
      </c>
    </row>
    <row r="7549" spans="1:2" x14ac:dyDescent="0.25">
      <c r="A7549" s="62">
        <v>41112704</v>
      </c>
      <c r="B7549" s="63" t="s">
        <v>8208</v>
      </c>
    </row>
    <row r="7550" spans="1:2" x14ac:dyDescent="0.25">
      <c r="A7550" s="62">
        <v>41112801</v>
      </c>
      <c r="B7550" s="63" t="s">
        <v>8209</v>
      </c>
    </row>
    <row r="7551" spans="1:2" x14ac:dyDescent="0.25">
      <c r="A7551" s="62">
        <v>41112802</v>
      </c>
      <c r="B7551" s="63" t="s">
        <v>8210</v>
      </c>
    </row>
    <row r="7552" spans="1:2" x14ac:dyDescent="0.25">
      <c r="A7552" s="62">
        <v>41112803</v>
      </c>
      <c r="B7552" s="63" t="s">
        <v>8211</v>
      </c>
    </row>
    <row r="7553" spans="1:2" x14ac:dyDescent="0.25">
      <c r="A7553" s="62">
        <v>41112901</v>
      </c>
      <c r="B7553" s="63" t="s">
        <v>8212</v>
      </c>
    </row>
    <row r="7554" spans="1:2" x14ac:dyDescent="0.25">
      <c r="A7554" s="62">
        <v>41112902</v>
      </c>
      <c r="B7554" s="63" t="s">
        <v>8213</v>
      </c>
    </row>
    <row r="7555" spans="1:2" x14ac:dyDescent="0.25">
      <c r="A7555" s="62">
        <v>41112903</v>
      </c>
      <c r="B7555" s="63" t="s">
        <v>8214</v>
      </c>
    </row>
    <row r="7556" spans="1:2" x14ac:dyDescent="0.25">
      <c r="A7556" s="62">
        <v>41112904</v>
      </c>
      <c r="B7556" s="63" t="s">
        <v>8215</v>
      </c>
    </row>
    <row r="7557" spans="1:2" x14ac:dyDescent="0.25">
      <c r="A7557" s="62">
        <v>41113001</v>
      </c>
      <c r="B7557" s="63" t="s">
        <v>8216</v>
      </c>
    </row>
    <row r="7558" spans="1:2" x14ac:dyDescent="0.25">
      <c r="A7558" s="62">
        <v>41113002</v>
      </c>
      <c r="B7558" s="63" t="s">
        <v>8217</v>
      </c>
    </row>
    <row r="7559" spans="1:2" x14ac:dyDescent="0.25">
      <c r="A7559" s="62">
        <v>41113003</v>
      </c>
      <c r="B7559" s="63" t="s">
        <v>8218</v>
      </c>
    </row>
    <row r="7560" spans="1:2" x14ac:dyDescent="0.25">
      <c r="A7560" s="62">
        <v>41113004</v>
      </c>
      <c r="B7560" s="63" t="s">
        <v>8219</v>
      </c>
    </row>
    <row r="7561" spans="1:2" x14ac:dyDescent="0.25">
      <c r="A7561" s="62">
        <v>41113005</v>
      </c>
      <c r="B7561" s="63" t="s">
        <v>8220</v>
      </c>
    </row>
    <row r="7562" spans="1:2" x14ac:dyDescent="0.25">
      <c r="A7562" s="62">
        <v>41113006</v>
      </c>
      <c r="B7562" s="63" t="s">
        <v>8221</v>
      </c>
    </row>
    <row r="7563" spans="1:2" x14ac:dyDescent="0.25">
      <c r="A7563" s="62">
        <v>41113007</v>
      </c>
      <c r="B7563" s="63" t="s">
        <v>8222</v>
      </c>
    </row>
    <row r="7564" spans="1:2" x14ac:dyDescent="0.25">
      <c r="A7564" s="62">
        <v>41113008</v>
      </c>
      <c r="B7564" s="63" t="s">
        <v>8223</v>
      </c>
    </row>
    <row r="7565" spans="1:2" x14ac:dyDescent="0.25">
      <c r="A7565" s="62">
        <v>41113009</v>
      </c>
      <c r="B7565" s="63" t="s">
        <v>8224</v>
      </c>
    </row>
    <row r="7566" spans="1:2" x14ac:dyDescent="0.25">
      <c r="A7566" s="62">
        <v>41113010</v>
      </c>
      <c r="B7566" s="63" t="s">
        <v>8225</v>
      </c>
    </row>
    <row r="7567" spans="1:2" x14ac:dyDescent="0.25">
      <c r="A7567" s="62">
        <v>41113023</v>
      </c>
      <c r="B7567" s="63" t="s">
        <v>8226</v>
      </c>
    </row>
    <row r="7568" spans="1:2" x14ac:dyDescent="0.25">
      <c r="A7568" s="62">
        <v>41113024</v>
      </c>
      <c r="B7568" s="63" t="s">
        <v>8227</v>
      </c>
    </row>
    <row r="7569" spans="1:2" x14ac:dyDescent="0.25">
      <c r="A7569" s="62">
        <v>41113025</v>
      </c>
      <c r="B7569" s="63" t="s">
        <v>8228</v>
      </c>
    </row>
    <row r="7570" spans="1:2" x14ac:dyDescent="0.25">
      <c r="A7570" s="62">
        <v>41113026</v>
      </c>
      <c r="B7570" s="63" t="s">
        <v>8229</v>
      </c>
    </row>
    <row r="7571" spans="1:2" x14ac:dyDescent="0.25">
      <c r="A7571" s="62">
        <v>41113027</v>
      </c>
      <c r="B7571" s="63" t="s">
        <v>8230</v>
      </c>
    </row>
    <row r="7572" spans="1:2" x14ac:dyDescent="0.25">
      <c r="A7572" s="62">
        <v>41113029</v>
      </c>
      <c r="B7572" s="63" t="s">
        <v>8231</v>
      </c>
    </row>
    <row r="7573" spans="1:2" x14ac:dyDescent="0.25">
      <c r="A7573" s="62">
        <v>41113030</v>
      </c>
      <c r="B7573" s="63" t="s">
        <v>8232</v>
      </c>
    </row>
    <row r="7574" spans="1:2" x14ac:dyDescent="0.25">
      <c r="A7574" s="62">
        <v>41113031</v>
      </c>
      <c r="B7574" s="63" t="s">
        <v>8233</v>
      </c>
    </row>
    <row r="7575" spans="1:2" x14ac:dyDescent="0.25">
      <c r="A7575" s="62">
        <v>41113033</v>
      </c>
      <c r="B7575" s="63" t="s">
        <v>8234</v>
      </c>
    </row>
    <row r="7576" spans="1:2" x14ac:dyDescent="0.25">
      <c r="A7576" s="62">
        <v>41113034</v>
      </c>
      <c r="B7576" s="63" t="s">
        <v>8235</v>
      </c>
    </row>
    <row r="7577" spans="1:2" x14ac:dyDescent="0.25">
      <c r="A7577" s="62">
        <v>41113035</v>
      </c>
      <c r="B7577" s="63" t="s">
        <v>8236</v>
      </c>
    </row>
    <row r="7578" spans="1:2" x14ac:dyDescent="0.25">
      <c r="A7578" s="62">
        <v>41113036</v>
      </c>
      <c r="B7578" s="63" t="s">
        <v>8237</v>
      </c>
    </row>
    <row r="7579" spans="1:2" x14ac:dyDescent="0.25">
      <c r="A7579" s="62">
        <v>41113037</v>
      </c>
      <c r="B7579" s="63" t="s">
        <v>8238</v>
      </c>
    </row>
    <row r="7580" spans="1:2" x14ac:dyDescent="0.25">
      <c r="A7580" s="62">
        <v>41113101</v>
      </c>
      <c r="B7580" s="63" t="s">
        <v>8239</v>
      </c>
    </row>
    <row r="7581" spans="1:2" x14ac:dyDescent="0.25">
      <c r="A7581" s="62">
        <v>41113102</v>
      </c>
      <c r="B7581" s="63" t="s">
        <v>8240</v>
      </c>
    </row>
    <row r="7582" spans="1:2" x14ac:dyDescent="0.25">
      <c r="A7582" s="62">
        <v>41113103</v>
      </c>
      <c r="B7582" s="63" t="s">
        <v>8241</v>
      </c>
    </row>
    <row r="7583" spans="1:2" x14ac:dyDescent="0.25">
      <c r="A7583" s="62">
        <v>41113104</v>
      </c>
      <c r="B7583" s="63" t="s">
        <v>8242</v>
      </c>
    </row>
    <row r="7584" spans="1:2" x14ac:dyDescent="0.25">
      <c r="A7584" s="62">
        <v>41113105</v>
      </c>
      <c r="B7584" s="63" t="s">
        <v>8243</v>
      </c>
    </row>
    <row r="7585" spans="1:2" x14ac:dyDescent="0.25">
      <c r="A7585" s="62">
        <v>41113106</v>
      </c>
      <c r="B7585" s="63" t="s">
        <v>8244</v>
      </c>
    </row>
    <row r="7586" spans="1:2" x14ac:dyDescent="0.25">
      <c r="A7586" s="62">
        <v>41113107</v>
      </c>
      <c r="B7586" s="63" t="s">
        <v>8245</v>
      </c>
    </row>
    <row r="7587" spans="1:2" x14ac:dyDescent="0.25">
      <c r="A7587" s="62">
        <v>41113108</v>
      </c>
      <c r="B7587" s="63" t="s">
        <v>8246</v>
      </c>
    </row>
    <row r="7588" spans="1:2" x14ac:dyDescent="0.25">
      <c r="A7588" s="62">
        <v>41113109</v>
      </c>
      <c r="B7588" s="63" t="s">
        <v>8247</v>
      </c>
    </row>
    <row r="7589" spans="1:2" x14ac:dyDescent="0.25">
      <c r="A7589" s="62">
        <v>41113110</v>
      </c>
      <c r="B7589" s="63" t="s">
        <v>8248</v>
      </c>
    </row>
    <row r="7590" spans="1:2" x14ac:dyDescent="0.25">
      <c r="A7590" s="62">
        <v>41113111</v>
      </c>
      <c r="B7590" s="63" t="s">
        <v>8249</v>
      </c>
    </row>
    <row r="7591" spans="1:2" x14ac:dyDescent="0.25">
      <c r="A7591" s="62">
        <v>41113112</v>
      </c>
      <c r="B7591" s="63" t="s">
        <v>8250</v>
      </c>
    </row>
    <row r="7592" spans="1:2" x14ac:dyDescent="0.25">
      <c r="A7592" s="62">
        <v>41113113</v>
      </c>
      <c r="B7592" s="63" t="s">
        <v>8251</v>
      </c>
    </row>
    <row r="7593" spans="1:2" x14ac:dyDescent="0.25">
      <c r="A7593" s="62">
        <v>41113114</v>
      </c>
      <c r="B7593" s="63" t="s">
        <v>8252</v>
      </c>
    </row>
    <row r="7594" spans="1:2" x14ac:dyDescent="0.25">
      <c r="A7594" s="62">
        <v>41113115</v>
      </c>
      <c r="B7594" s="63" t="s">
        <v>8253</v>
      </c>
    </row>
    <row r="7595" spans="1:2" x14ac:dyDescent="0.25">
      <c r="A7595" s="62">
        <v>41113116</v>
      </c>
      <c r="B7595" s="63" t="s">
        <v>8254</v>
      </c>
    </row>
    <row r="7596" spans="1:2" x14ac:dyDescent="0.25">
      <c r="A7596" s="62">
        <v>41113117</v>
      </c>
      <c r="B7596" s="63" t="s">
        <v>8255</v>
      </c>
    </row>
    <row r="7597" spans="1:2" x14ac:dyDescent="0.25">
      <c r="A7597" s="62">
        <v>41113118</v>
      </c>
      <c r="B7597" s="63" t="s">
        <v>8256</v>
      </c>
    </row>
    <row r="7598" spans="1:2" x14ac:dyDescent="0.25">
      <c r="A7598" s="62">
        <v>41113119</v>
      </c>
      <c r="B7598" s="63" t="s">
        <v>8257</v>
      </c>
    </row>
    <row r="7599" spans="1:2" x14ac:dyDescent="0.25">
      <c r="A7599" s="62">
        <v>41113301</v>
      </c>
      <c r="B7599" s="63" t="s">
        <v>8258</v>
      </c>
    </row>
    <row r="7600" spans="1:2" x14ac:dyDescent="0.25">
      <c r="A7600" s="62">
        <v>41113302</v>
      </c>
      <c r="B7600" s="63" t="s">
        <v>8259</v>
      </c>
    </row>
    <row r="7601" spans="1:2" x14ac:dyDescent="0.25">
      <c r="A7601" s="62">
        <v>41113304</v>
      </c>
      <c r="B7601" s="63" t="s">
        <v>8260</v>
      </c>
    </row>
    <row r="7602" spans="1:2" x14ac:dyDescent="0.25">
      <c r="A7602" s="62">
        <v>41113305</v>
      </c>
      <c r="B7602" s="63" t="s">
        <v>8261</v>
      </c>
    </row>
    <row r="7603" spans="1:2" x14ac:dyDescent="0.25">
      <c r="A7603" s="62">
        <v>41113306</v>
      </c>
      <c r="B7603" s="63" t="s">
        <v>8262</v>
      </c>
    </row>
    <row r="7604" spans="1:2" x14ac:dyDescent="0.25">
      <c r="A7604" s="62">
        <v>41113308</v>
      </c>
      <c r="B7604" s="63" t="s">
        <v>8263</v>
      </c>
    </row>
    <row r="7605" spans="1:2" x14ac:dyDescent="0.25">
      <c r="A7605" s="62">
        <v>41113309</v>
      </c>
      <c r="B7605" s="63" t="s">
        <v>8264</v>
      </c>
    </row>
    <row r="7606" spans="1:2" x14ac:dyDescent="0.25">
      <c r="A7606" s="62">
        <v>41113310</v>
      </c>
      <c r="B7606" s="63" t="s">
        <v>8265</v>
      </c>
    </row>
    <row r="7607" spans="1:2" x14ac:dyDescent="0.25">
      <c r="A7607" s="62">
        <v>41113311</v>
      </c>
      <c r="B7607" s="63" t="s">
        <v>8266</v>
      </c>
    </row>
    <row r="7608" spans="1:2" x14ac:dyDescent="0.25">
      <c r="A7608" s="62">
        <v>41113312</v>
      </c>
      <c r="B7608" s="63" t="s">
        <v>8267</v>
      </c>
    </row>
    <row r="7609" spans="1:2" x14ac:dyDescent="0.25">
      <c r="A7609" s="62">
        <v>41113313</v>
      </c>
      <c r="B7609" s="63" t="s">
        <v>8268</v>
      </c>
    </row>
    <row r="7610" spans="1:2" x14ac:dyDescent="0.25">
      <c r="A7610" s="62">
        <v>41113314</v>
      </c>
      <c r="B7610" s="63" t="s">
        <v>8269</v>
      </c>
    </row>
    <row r="7611" spans="1:2" x14ac:dyDescent="0.25">
      <c r="A7611" s="62">
        <v>41113315</v>
      </c>
      <c r="B7611" s="63" t="s">
        <v>8270</v>
      </c>
    </row>
    <row r="7612" spans="1:2" x14ac:dyDescent="0.25">
      <c r="A7612" s="62">
        <v>41113316</v>
      </c>
      <c r="B7612" s="63" t="s">
        <v>8271</v>
      </c>
    </row>
    <row r="7613" spans="1:2" x14ac:dyDescent="0.25">
      <c r="A7613" s="62">
        <v>41113318</v>
      </c>
      <c r="B7613" s="63" t="s">
        <v>8272</v>
      </c>
    </row>
    <row r="7614" spans="1:2" x14ac:dyDescent="0.25">
      <c r="A7614" s="62">
        <v>41113319</v>
      </c>
      <c r="B7614" s="63" t="s">
        <v>8273</v>
      </c>
    </row>
    <row r="7615" spans="1:2" x14ac:dyDescent="0.25">
      <c r="A7615" s="62">
        <v>41113320</v>
      </c>
      <c r="B7615" s="63" t="s">
        <v>8274</v>
      </c>
    </row>
    <row r="7616" spans="1:2" x14ac:dyDescent="0.25">
      <c r="A7616" s="62">
        <v>41113321</v>
      </c>
      <c r="B7616" s="63" t="s">
        <v>8275</v>
      </c>
    </row>
    <row r="7617" spans="1:2" x14ac:dyDescent="0.25">
      <c r="A7617" s="62">
        <v>41113322</v>
      </c>
      <c r="B7617" s="63" t="s">
        <v>8276</v>
      </c>
    </row>
    <row r="7618" spans="1:2" x14ac:dyDescent="0.25">
      <c r="A7618" s="62">
        <v>41113323</v>
      </c>
      <c r="B7618" s="63" t="s">
        <v>8277</v>
      </c>
    </row>
    <row r="7619" spans="1:2" x14ac:dyDescent="0.25">
      <c r="A7619" s="62">
        <v>41113401</v>
      </c>
      <c r="B7619" s="63" t="s">
        <v>8278</v>
      </c>
    </row>
    <row r="7620" spans="1:2" x14ac:dyDescent="0.25">
      <c r="A7620" s="62">
        <v>41113402</v>
      </c>
      <c r="B7620" s="63" t="s">
        <v>8279</v>
      </c>
    </row>
    <row r="7621" spans="1:2" x14ac:dyDescent="0.25">
      <c r="A7621" s="62">
        <v>41113403</v>
      </c>
      <c r="B7621" s="63" t="s">
        <v>8280</v>
      </c>
    </row>
    <row r="7622" spans="1:2" x14ac:dyDescent="0.25">
      <c r="A7622" s="62">
        <v>41113404</v>
      </c>
      <c r="B7622" s="63" t="s">
        <v>8281</v>
      </c>
    </row>
    <row r="7623" spans="1:2" x14ac:dyDescent="0.25">
      <c r="A7623" s="62">
        <v>41113405</v>
      </c>
      <c r="B7623" s="63" t="s">
        <v>8282</v>
      </c>
    </row>
    <row r="7624" spans="1:2" x14ac:dyDescent="0.25">
      <c r="A7624" s="62">
        <v>41113406</v>
      </c>
      <c r="B7624" s="63" t="s">
        <v>8283</v>
      </c>
    </row>
    <row r="7625" spans="1:2" x14ac:dyDescent="0.25">
      <c r="A7625" s="62">
        <v>41113407</v>
      </c>
      <c r="B7625" s="63" t="s">
        <v>8284</v>
      </c>
    </row>
    <row r="7626" spans="1:2" x14ac:dyDescent="0.25">
      <c r="A7626" s="62">
        <v>41113601</v>
      </c>
      <c r="B7626" s="63" t="s">
        <v>8285</v>
      </c>
    </row>
    <row r="7627" spans="1:2" x14ac:dyDescent="0.25">
      <c r="A7627" s="62">
        <v>41113602</v>
      </c>
      <c r="B7627" s="63" t="s">
        <v>8286</v>
      </c>
    </row>
    <row r="7628" spans="1:2" x14ac:dyDescent="0.25">
      <c r="A7628" s="62">
        <v>41113603</v>
      </c>
      <c r="B7628" s="63" t="s">
        <v>8287</v>
      </c>
    </row>
    <row r="7629" spans="1:2" x14ac:dyDescent="0.25">
      <c r="A7629" s="62">
        <v>41113604</v>
      </c>
      <c r="B7629" s="63" t="s">
        <v>8288</v>
      </c>
    </row>
    <row r="7630" spans="1:2" x14ac:dyDescent="0.25">
      <c r="A7630" s="62">
        <v>41113605</v>
      </c>
      <c r="B7630" s="63" t="s">
        <v>8289</v>
      </c>
    </row>
    <row r="7631" spans="1:2" x14ac:dyDescent="0.25">
      <c r="A7631" s="62">
        <v>41113606</v>
      </c>
      <c r="B7631" s="63" t="s">
        <v>8290</v>
      </c>
    </row>
    <row r="7632" spans="1:2" x14ac:dyDescent="0.25">
      <c r="A7632" s="62">
        <v>41113607</v>
      </c>
      <c r="B7632" s="63" t="s">
        <v>8291</v>
      </c>
    </row>
    <row r="7633" spans="1:2" x14ac:dyDescent="0.25">
      <c r="A7633" s="62">
        <v>41113608</v>
      </c>
      <c r="B7633" s="63" t="s">
        <v>8292</v>
      </c>
    </row>
    <row r="7634" spans="1:2" x14ac:dyDescent="0.25">
      <c r="A7634" s="62">
        <v>41113611</v>
      </c>
      <c r="B7634" s="63" t="s">
        <v>8293</v>
      </c>
    </row>
    <row r="7635" spans="1:2" x14ac:dyDescent="0.25">
      <c r="A7635" s="62">
        <v>41113612</v>
      </c>
      <c r="B7635" s="63" t="s">
        <v>8294</v>
      </c>
    </row>
    <row r="7636" spans="1:2" x14ac:dyDescent="0.25">
      <c r="A7636" s="62">
        <v>41113613</v>
      </c>
      <c r="B7636" s="63" t="s">
        <v>8295</v>
      </c>
    </row>
    <row r="7637" spans="1:2" x14ac:dyDescent="0.25">
      <c r="A7637" s="62">
        <v>41113614</v>
      </c>
      <c r="B7637" s="63" t="s">
        <v>8296</v>
      </c>
    </row>
    <row r="7638" spans="1:2" x14ac:dyDescent="0.25">
      <c r="A7638" s="62">
        <v>41113615</v>
      </c>
      <c r="B7638" s="63" t="s">
        <v>8297</v>
      </c>
    </row>
    <row r="7639" spans="1:2" x14ac:dyDescent="0.25">
      <c r="A7639" s="62">
        <v>41113616</v>
      </c>
      <c r="B7639" s="63" t="s">
        <v>8298</v>
      </c>
    </row>
    <row r="7640" spans="1:2" x14ac:dyDescent="0.25">
      <c r="A7640" s="62">
        <v>41113617</v>
      </c>
      <c r="B7640" s="63" t="s">
        <v>8299</v>
      </c>
    </row>
    <row r="7641" spans="1:2" x14ac:dyDescent="0.25">
      <c r="A7641" s="62">
        <v>41113618</v>
      </c>
      <c r="B7641" s="63" t="s">
        <v>8300</v>
      </c>
    </row>
    <row r="7642" spans="1:2" x14ac:dyDescent="0.25">
      <c r="A7642" s="62">
        <v>41113619</v>
      </c>
      <c r="B7642" s="63" t="s">
        <v>8301</v>
      </c>
    </row>
    <row r="7643" spans="1:2" x14ac:dyDescent="0.25">
      <c r="A7643" s="62">
        <v>41113620</v>
      </c>
      <c r="B7643" s="63" t="s">
        <v>8302</v>
      </c>
    </row>
    <row r="7644" spans="1:2" x14ac:dyDescent="0.25">
      <c r="A7644" s="62">
        <v>41113621</v>
      </c>
      <c r="B7644" s="63" t="s">
        <v>8303</v>
      </c>
    </row>
    <row r="7645" spans="1:2" x14ac:dyDescent="0.25">
      <c r="A7645" s="62">
        <v>41113622</v>
      </c>
      <c r="B7645" s="63" t="s">
        <v>8304</v>
      </c>
    </row>
    <row r="7646" spans="1:2" x14ac:dyDescent="0.25">
      <c r="A7646" s="62">
        <v>41113623</v>
      </c>
      <c r="B7646" s="63" t="s">
        <v>8305</v>
      </c>
    </row>
    <row r="7647" spans="1:2" x14ac:dyDescent="0.25">
      <c r="A7647" s="62">
        <v>41113624</v>
      </c>
      <c r="B7647" s="63" t="s">
        <v>8306</v>
      </c>
    </row>
    <row r="7648" spans="1:2" x14ac:dyDescent="0.25">
      <c r="A7648" s="62">
        <v>41113625</v>
      </c>
      <c r="B7648" s="63" t="s">
        <v>8307</v>
      </c>
    </row>
    <row r="7649" spans="1:2" x14ac:dyDescent="0.25">
      <c r="A7649" s="62">
        <v>41113626</v>
      </c>
      <c r="B7649" s="63" t="s">
        <v>8308</v>
      </c>
    </row>
    <row r="7650" spans="1:2" x14ac:dyDescent="0.25">
      <c r="A7650" s="62">
        <v>41113627</v>
      </c>
      <c r="B7650" s="63" t="s">
        <v>8309</v>
      </c>
    </row>
    <row r="7651" spans="1:2" x14ac:dyDescent="0.25">
      <c r="A7651" s="62">
        <v>41113628</v>
      </c>
      <c r="B7651" s="63" t="s">
        <v>8310</v>
      </c>
    </row>
    <row r="7652" spans="1:2" x14ac:dyDescent="0.25">
      <c r="A7652" s="62">
        <v>41113629</v>
      </c>
      <c r="B7652" s="63" t="s">
        <v>8311</v>
      </c>
    </row>
    <row r="7653" spans="1:2" x14ac:dyDescent="0.25">
      <c r="A7653" s="62">
        <v>41113630</v>
      </c>
      <c r="B7653" s="63" t="s">
        <v>8312</v>
      </c>
    </row>
    <row r="7654" spans="1:2" x14ac:dyDescent="0.25">
      <c r="A7654" s="62">
        <v>41113631</v>
      </c>
      <c r="B7654" s="63" t="s">
        <v>8313</v>
      </c>
    </row>
    <row r="7655" spans="1:2" x14ac:dyDescent="0.25">
      <c r="A7655" s="62">
        <v>41113632</v>
      </c>
      <c r="B7655" s="63" t="s">
        <v>8314</v>
      </c>
    </row>
    <row r="7656" spans="1:2" x14ac:dyDescent="0.25">
      <c r="A7656" s="62">
        <v>41113633</v>
      </c>
      <c r="B7656" s="63" t="s">
        <v>8315</v>
      </c>
    </row>
    <row r="7657" spans="1:2" x14ac:dyDescent="0.25">
      <c r="A7657" s="62">
        <v>41113634</v>
      </c>
      <c r="B7657" s="63" t="s">
        <v>8316</v>
      </c>
    </row>
    <row r="7658" spans="1:2" x14ac:dyDescent="0.25">
      <c r="A7658" s="62">
        <v>41113635</v>
      </c>
      <c r="B7658" s="63" t="s">
        <v>8317</v>
      </c>
    </row>
    <row r="7659" spans="1:2" x14ac:dyDescent="0.25">
      <c r="A7659" s="62">
        <v>41113636</v>
      </c>
      <c r="B7659" s="63" t="s">
        <v>8318</v>
      </c>
    </row>
    <row r="7660" spans="1:2" x14ac:dyDescent="0.25">
      <c r="A7660" s="62">
        <v>41113637</v>
      </c>
      <c r="B7660" s="63" t="s">
        <v>8319</v>
      </c>
    </row>
    <row r="7661" spans="1:2" x14ac:dyDescent="0.25">
      <c r="A7661" s="62">
        <v>41113638</v>
      </c>
      <c r="B7661" s="63" t="s">
        <v>8320</v>
      </c>
    </row>
    <row r="7662" spans="1:2" x14ac:dyDescent="0.25">
      <c r="A7662" s="62">
        <v>41113639</v>
      </c>
      <c r="B7662" s="63" t="s">
        <v>8321</v>
      </c>
    </row>
    <row r="7663" spans="1:2" x14ac:dyDescent="0.25">
      <c r="A7663" s="62">
        <v>41113640</v>
      </c>
      <c r="B7663" s="63" t="s">
        <v>8322</v>
      </c>
    </row>
    <row r="7664" spans="1:2" x14ac:dyDescent="0.25">
      <c r="A7664" s="62">
        <v>41113641</v>
      </c>
      <c r="B7664" s="63" t="s">
        <v>8323</v>
      </c>
    </row>
    <row r="7665" spans="1:2" x14ac:dyDescent="0.25">
      <c r="A7665" s="62">
        <v>41113642</v>
      </c>
      <c r="B7665" s="63" t="s">
        <v>8324</v>
      </c>
    </row>
    <row r="7666" spans="1:2" x14ac:dyDescent="0.25">
      <c r="A7666" s="62">
        <v>41113643</v>
      </c>
      <c r="B7666" s="63" t="s">
        <v>8325</v>
      </c>
    </row>
    <row r="7667" spans="1:2" x14ac:dyDescent="0.25">
      <c r="A7667" s="62">
        <v>41113644</v>
      </c>
      <c r="B7667" s="63" t="s">
        <v>8326</v>
      </c>
    </row>
    <row r="7668" spans="1:2" x14ac:dyDescent="0.25">
      <c r="A7668" s="62">
        <v>41113645</v>
      </c>
      <c r="B7668" s="63" t="s">
        <v>8327</v>
      </c>
    </row>
    <row r="7669" spans="1:2" x14ac:dyDescent="0.25">
      <c r="A7669" s="62">
        <v>41113646</v>
      </c>
      <c r="B7669" s="63" t="s">
        <v>8328</v>
      </c>
    </row>
    <row r="7670" spans="1:2" x14ac:dyDescent="0.25">
      <c r="A7670" s="62">
        <v>41113647</v>
      </c>
      <c r="B7670" s="63" t="s">
        <v>8329</v>
      </c>
    </row>
    <row r="7671" spans="1:2" x14ac:dyDescent="0.25">
      <c r="A7671" s="62">
        <v>41113648</v>
      </c>
      <c r="B7671" s="63" t="s">
        <v>8330</v>
      </c>
    </row>
    <row r="7672" spans="1:2" x14ac:dyDescent="0.25">
      <c r="A7672" s="62">
        <v>41113701</v>
      </c>
      <c r="B7672" s="63" t="s">
        <v>8331</v>
      </c>
    </row>
    <row r="7673" spans="1:2" x14ac:dyDescent="0.25">
      <c r="A7673" s="62">
        <v>41113702</v>
      </c>
      <c r="B7673" s="63" t="s">
        <v>8332</v>
      </c>
    </row>
    <row r="7674" spans="1:2" x14ac:dyDescent="0.25">
      <c r="A7674" s="62">
        <v>41113703</v>
      </c>
      <c r="B7674" s="63" t="s">
        <v>8333</v>
      </c>
    </row>
    <row r="7675" spans="1:2" x14ac:dyDescent="0.25">
      <c r="A7675" s="62">
        <v>41113704</v>
      </c>
      <c r="B7675" s="63" t="s">
        <v>8334</v>
      </c>
    </row>
    <row r="7676" spans="1:2" x14ac:dyDescent="0.25">
      <c r="A7676" s="62">
        <v>41113705</v>
      </c>
      <c r="B7676" s="63" t="s">
        <v>8335</v>
      </c>
    </row>
    <row r="7677" spans="1:2" x14ac:dyDescent="0.25">
      <c r="A7677" s="62">
        <v>41113706</v>
      </c>
      <c r="B7677" s="63" t="s">
        <v>8336</v>
      </c>
    </row>
    <row r="7678" spans="1:2" x14ac:dyDescent="0.25">
      <c r="A7678" s="62">
        <v>41113707</v>
      </c>
      <c r="B7678" s="63" t="s">
        <v>8337</v>
      </c>
    </row>
    <row r="7679" spans="1:2" x14ac:dyDescent="0.25">
      <c r="A7679" s="62">
        <v>41113708</v>
      </c>
      <c r="B7679" s="63" t="s">
        <v>8338</v>
      </c>
    </row>
    <row r="7680" spans="1:2" x14ac:dyDescent="0.25">
      <c r="A7680" s="62">
        <v>41113709</v>
      </c>
      <c r="B7680" s="63" t="s">
        <v>8339</v>
      </c>
    </row>
    <row r="7681" spans="1:2" x14ac:dyDescent="0.25">
      <c r="A7681" s="62">
        <v>41113710</v>
      </c>
      <c r="B7681" s="63" t="s">
        <v>8340</v>
      </c>
    </row>
    <row r="7682" spans="1:2" x14ac:dyDescent="0.25">
      <c r="A7682" s="62">
        <v>41113711</v>
      </c>
      <c r="B7682" s="63" t="s">
        <v>8341</v>
      </c>
    </row>
    <row r="7683" spans="1:2" x14ac:dyDescent="0.25">
      <c r="A7683" s="62">
        <v>41113712</v>
      </c>
      <c r="B7683" s="63" t="s">
        <v>8342</v>
      </c>
    </row>
    <row r="7684" spans="1:2" x14ac:dyDescent="0.25">
      <c r="A7684" s="62">
        <v>41113713</v>
      </c>
      <c r="B7684" s="63" t="s">
        <v>8343</v>
      </c>
    </row>
    <row r="7685" spans="1:2" x14ac:dyDescent="0.25">
      <c r="A7685" s="62">
        <v>41113714</v>
      </c>
      <c r="B7685" s="63" t="s">
        <v>8344</v>
      </c>
    </row>
    <row r="7686" spans="1:2" x14ac:dyDescent="0.25">
      <c r="A7686" s="62">
        <v>41113715</v>
      </c>
      <c r="B7686" s="63" t="s">
        <v>8345</v>
      </c>
    </row>
    <row r="7687" spans="1:2" x14ac:dyDescent="0.25">
      <c r="A7687" s="62">
        <v>41113716</v>
      </c>
      <c r="B7687" s="63" t="s">
        <v>8346</v>
      </c>
    </row>
    <row r="7688" spans="1:2" x14ac:dyDescent="0.25">
      <c r="A7688" s="62">
        <v>41113717</v>
      </c>
      <c r="B7688" s="63" t="s">
        <v>8347</v>
      </c>
    </row>
    <row r="7689" spans="1:2" x14ac:dyDescent="0.25">
      <c r="A7689" s="62">
        <v>41113718</v>
      </c>
      <c r="B7689" s="63" t="s">
        <v>8348</v>
      </c>
    </row>
    <row r="7690" spans="1:2" x14ac:dyDescent="0.25">
      <c r="A7690" s="62">
        <v>41113801</v>
      </c>
      <c r="B7690" s="63" t="s">
        <v>8349</v>
      </c>
    </row>
    <row r="7691" spans="1:2" x14ac:dyDescent="0.25">
      <c r="A7691" s="62">
        <v>41113802</v>
      </c>
      <c r="B7691" s="63" t="s">
        <v>8350</v>
      </c>
    </row>
    <row r="7692" spans="1:2" x14ac:dyDescent="0.25">
      <c r="A7692" s="62">
        <v>41113803</v>
      </c>
      <c r="B7692" s="63" t="s">
        <v>8351</v>
      </c>
    </row>
    <row r="7693" spans="1:2" x14ac:dyDescent="0.25">
      <c r="A7693" s="62">
        <v>41113804</v>
      </c>
      <c r="B7693" s="63" t="s">
        <v>8352</v>
      </c>
    </row>
    <row r="7694" spans="1:2" x14ac:dyDescent="0.25">
      <c r="A7694" s="62">
        <v>41113805</v>
      </c>
      <c r="B7694" s="63" t="s">
        <v>8353</v>
      </c>
    </row>
    <row r="7695" spans="1:2" x14ac:dyDescent="0.25">
      <c r="A7695" s="62">
        <v>41113806</v>
      </c>
      <c r="B7695" s="63" t="s">
        <v>8354</v>
      </c>
    </row>
    <row r="7696" spans="1:2" x14ac:dyDescent="0.25">
      <c r="A7696" s="62">
        <v>41113807</v>
      </c>
      <c r="B7696" s="63" t="s">
        <v>8355</v>
      </c>
    </row>
    <row r="7697" spans="1:2" x14ac:dyDescent="0.25">
      <c r="A7697" s="62">
        <v>41113808</v>
      </c>
      <c r="B7697" s="63" t="s">
        <v>8356</v>
      </c>
    </row>
    <row r="7698" spans="1:2" x14ac:dyDescent="0.25">
      <c r="A7698" s="62">
        <v>41113901</v>
      </c>
      <c r="B7698" s="63" t="s">
        <v>8357</v>
      </c>
    </row>
    <row r="7699" spans="1:2" x14ac:dyDescent="0.25">
      <c r="A7699" s="62">
        <v>41113902</v>
      </c>
      <c r="B7699" s="63" t="s">
        <v>8358</v>
      </c>
    </row>
    <row r="7700" spans="1:2" x14ac:dyDescent="0.25">
      <c r="A7700" s="62">
        <v>41113903</v>
      </c>
      <c r="B7700" s="63" t="s">
        <v>8359</v>
      </c>
    </row>
    <row r="7701" spans="1:2" x14ac:dyDescent="0.25">
      <c r="A7701" s="62">
        <v>41113904</v>
      </c>
      <c r="B7701" s="63" t="s">
        <v>8360</v>
      </c>
    </row>
    <row r="7702" spans="1:2" x14ac:dyDescent="0.25">
      <c r="A7702" s="62">
        <v>41113905</v>
      </c>
      <c r="B7702" s="63" t="s">
        <v>8361</v>
      </c>
    </row>
    <row r="7703" spans="1:2" x14ac:dyDescent="0.25">
      <c r="A7703" s="62">
        <v>41113906</v>
      </c>
      <c r="B7703" s="63" t="s">
        <v>8362</v>
      </c>
    </row>
    <row r="7704" spans="1:2" x14ac:dyDescent="0.25">
      <c r="A7704" s="62">
        <v>41113907</v>
      </c>
      <c r="B7704" s="63" t="s">
        <v>8363</v>
      </c>
    </row>
    <row r="7705" spans="1:2" x14ac:dyDescent="0.25">
      <c r="A7705" s="62">
        <v>41113908</v>
      </c>
      <c r="B7705" s="63" t="s">
        <v>8364</v>
      </c>
    </row>
    <row r="7706" spans="1:2" x14ac:dyDescent="0.25">
      <c r="A7706" s="62">
        <v>41113909</v>
      </c>
      <c r="B7706" s="63" t="s">
        <v>8365</v>
      </c>
    </row>
    <row r="7707" spans="1:2" x14ac:dyDescent="0.25">
      <c r="A7707" s="62">
        <v>41113910</v>
      </c>
      <c r="B7707" s="63" t="s">
        <v>8366</v>
      </c>
    </row>
    <row r="7708" spans="1:2" x14ac:dyDescent="0.25">
      <c r="A7708" s="62">
        <v>41114001</v>
      </c>
      <c r="B7708" s="63" t="s">
        <v>8367</v>
      </c>
    </row>
    <row r="7709" spans="1:2" x14ac:dyDescent="0.25">
      <c r="A7709" s="62">
        <v>41114102</v>
      </c>
      <c r="B7709" s="63" t="s">
        <v>8368</v>
      </c>
    </row>
    <row r="7710" spans="1:2" x14ac:dyDescent="0.25">
      <c r="A7710" s="62">
        <v>41114103</v>
      </c>
      <c r="B7710" s="63" t="s">
        <v>8369</v>
      </c>
    </row>
    <row r="7711" spans="1:2" x14ac:dyDescent="0.25">
      <c r="A7711" s="62">
        <v>41114104</v>
      </c>
      <c r="B7711" s="63" t="s">
        <v>8370</v>
      </c>
    </row>
    <row r="7712" spans="1:2" x14ac:dyDescent="0.25">
      <c r="A7712" s="62">
        <v>41114105</v>
      </c>
      <c r="B7712" s="63" t="s">
        <v>8371</v>
      </c>
    </row>
    <row r="7713" spans="1:2" x14ac:dyDescent="0.25">
      <c r="A7713" s="62">
        <v>41114106</v>
      </c>
      <c r="B7713" s="63" t="s">
        <v>8372</v>
      </c>
    </row>
    <row r="7714" spans="1:2" x14ac:dyDescent="0.25">
      <c r="A7714" s="62">
        <v>41114107</v>
      </c>
      <c r="B7714" s="63" t="s">
        <v>8373</v>
      </c>
    </row>
    <row r="7715" spans="1:2" x14ac:dyDescent="0.25">
      <c r="A7715" s="62">
        <v>41114108</v>
      </c>
      <c r="B7715" s="63" t="s">
        <v>8374</v>
      </c>
    </row>
    <row r="7716" spans="1:2" x14ac:dyDescent="0.25">
      <c r="A7716" s="62">
        <v>41114201</v>
      </c>
      <c r="B7716" s="63" t="s">
        <v>8375</v>
      </c>
    </row>
    <row r="7717" spans="1:2" x14ac:dyDescent="0.25">
      <c r="A7717" s="62">
        <v>41114202</v>
      </c>
      <c r="B7717" s="63" t="s">
        <v>8376</v>
      </c>
    </row>
    <row r="7718" spans="1:2" x14ac:dyDescent="0.25">
      <c r="A7718" s="62">
        <v>41114203</v>
      </c>
      <c r="B7718" s="63" t="s">
        <v>8377</v>
      </c>
    </row>
    <row r="7719" spans="1:2" x14ac:dyDescent="0.25">
      <c r="A7719" s="62">
        <v>41114204</v>
      </c>
      <c r="B7719" s="63" t="s">
        <v>8378</v>
      </c>
    </row>
    <row r="7720" spans="1:2" x14ac:dyDescent="0.25">
      <c r="A7720" s="62">
        <v>41114205</v>
      </c>
      <c r="B7720" s="63" t="s">
        <v>8379</v>
      </c>
    </row>
    <row r="7721" spans="1:2" x14ac:dyDescent="0.25">
      <c r="A7721" s="62">
        <v>41114206</v>
      </c>
      <c r="B7721" s="63" t="s">
        <v>8380</v>
      </c>
    </row>
    <row r="7722" spans="1:2" x14ac:dyDescent="0.25">
      <c r="A7722" s="62">
        <v>41114301</v>
      </c>
      <c r="B7722" s="63" t="s">
        <v>8381</v>
      </c>
    </row>
    <row r="7723" spans="1:2" x14ac:dyDescent="0.25">
      <c r="A7723" s="62">
        <v>41114302</v>
      </c>
      <c r="B7723" s="63" t="s">
        <v>8382</v>
      </c>
    </row>
    <row r="7724" spans="1:2" x14ac:dyDescent="0.25">
      <c r="A7724" s="62">
        <v>41114303</v>
      </c>
      <c r="B7724" s="63" t="s">
        <v>8383</v>
      </c>
    </row>
    <row r="7725" spans="1:2" x14ac:dyDescent="0.25">
      <c r="A7725" s="62">
        <v>41114401</v>
      </c>
      <c r="B7725" s="63" t="s">
        <v>8384</v>
      </c>
    </row>
    <row r="7726" spans="1:2" x14ac:dyDescent="0.25">
      <c r="A7726" s="62">
        <v>41114402</v>
      </c>
      <c r="B7726" s="63" t="s">
        <v>8385</v>
      </c>
    </row>
    <row r="7727" spans="1:2" x14ac:dyDescent="0.25">
      <c r="A7727" s="62">
        <v>41114403</v>
      </c>
      <c r="B7727" s="63" t="s">
        <v>8386</v>
      </c>
    </row>
    <row r="7728" spans="1:2" x14ac:dyDescent="0.25">
      <c r="A7728" s="62">
        <v>41114404</v>
      </c>
      <c r="B7728" s="63" t="s">
        <v>8387</v>
      </c>
    </row>
    <row r="7729" spans="1:2" x14ac:dyDescent="0.25">
      <c r="A7729" s="62">
        <v>41114405</v>
      </c>
      <c r="B7729" s="63" t="s">
        <v>8388</v>
      </c>
    </row>
    <row r="7730" spans="1:2" x14ac:dyDescent="0.25">
      <c r="A7730" s="62">
        <v>41114406</v>
      </c>
      <c r="B7730" s="63" t="s">
        <v>8389</v>
      </c>
    </row>
    <row r="7731" spans="1:2" x14ac:dyDescent="0.25">
      <c r="A7731" s="62">
        <v>41114407</v>
      </c>
      <c r="B7731" s="63" t="s">
        <v>8390</v>
      </c>
    </row>
    <row r="7732" spans="1:2" x14ac:dyDescent="0.25">
      <c r="A7732" s="62">
        <v>41114408</v>
      </c>
      <c r="B7732" s="63" t="s">
        <v>8391</v>
      </c>
    </row>
    <row r="7733" spans="1:2" x14ac:dyDescent="0.25">
      <c r="A7733" s="62">
        <v>41114409</v>
      </c>
      <c r="B7733" s="63" t="s">
        <v>8392</v>
      </c>
    </row>
    <row r="7734" spans="1:2" x14ac:dyDescent="0.25">
      <c r="A7734" s="62">
        <v>41114410</v>
      </c>
      <c r="B7734" s="63" t="s">
        <v>4863</v>
      </c>
    </row>
    <row r="7735" spans="1:2" x14ac:dyDescent="0.25">
      <c r="A7735" s="62">
        <v>41114411</v>
      </c>
      <c r="B7735" s="63" t="s">
        <v>8393</v>
      </c>
    </row>
    <row r="7736" spans="1:2" x14ac:dyDescent="0.25">
      <c r="A7736" s="62">
        <v>41114501</v>
      </c>
      <c r="B7736" s="63" t="s">
        <v>8394</v>
      </c>
    </row>
    <row r="7737" spans="1:2" x14ac:dyDescent="0.25">
      <c r="A7737" s="62">
        <v>41114502</v>
      </c>
      <c r="B7737" s="63" t="s">
        <v>8395</v>
      </c>
    </row>
    <row r="7738" spans="1:2" x14ac:dyDescent="0.25">
      <c r="A7738" s="62">
        <v>41114503</v>
      </c>
      <c r="B7738" s="63" t="s">
        <v>8396</v>
      </c>
    </row>
    <row r="7739" spans="1:2" x14ac:dyDescent="0.25">
      <c r="A7739" s="62">
        <v>41114504</v>
      </c>
      <c r="B7739" s="63" t="s">
        <v>8397</v>
      </c>
    </row>
    <row r="7740" spans="1:2" x14ac:dyDescent="0.25">
      <c r="A7740" s="62">
        <v>41114505</v>
      </c>
      <c r="B7740" s="63" t="s">
        <v>8398</v>
      </c>
    </row>
    <row r="7741" spans="1:2" x14ac:dyDescent="0.25">
      <c r="A7741" s="62">
        <v>41114506</v>
      </c>
      <c r="B7741" s="63" t="s">
        <v>8399</v>
      </c>
    </row>
    <row r="7742" spans="1:2" x14ac:dyDescent="0.25">
      <c r="A7742" s="62">
        <v>41114507</v>
      </c>
      <c r="B7742" s="63" t="s">
        <v>8400</v>
      </c>
    </row>
    <row r="7743" spans="1:2" x14ac:dyDescent="0.25">
      <c r="A7743" s="62">
        <v>41114508</v>
      </c>
      <c r="B7743" s="63" t="s">
        <v>8401</v>
      </c>
    </row>
    <row r="7744" spans="1:2" x14ac:dyDescent="0.25">
      <c r="A7744" s="62">
        <v>41114509</v>
      </c>
      <c r="B7744" s="63" t="s">
        <v>8402</v>
      </c>
    </row>
    <row r="7745" spans="1:2" x14ac:dyDescent="0.25">
      <c r="A7745" s="62">
        <v>41114510</v>
      </c>
      <c r="B7745" s="63" t="s">
        <v>8403</v>
      </c>
    </row>
    <row r="7746" spans="1:2" x14ac:dyDescent="0.25">
      <c r="A7746" s="62">
        <v>41114601</v>
      </c>
      <c r="B7746" s="63" t="s">
        <v>8404</v>
      </c>
    </row>
    <row r="7747" spans="1:2" x14ac:dyDescent="0.25">
      <c r="A7747" s="62">
        <v>41114602</v>
      </c>
      <c r="B7747" s="63" t="s">
        <v>8405</v>
      </c>
    </row>
    <row r="7748" spans="1:2" x14ac:dyDescent="0.25">
      <c r="A7748" s="62">
        <v>41114603</v>
      </c>
      <c r="B7748" s="63" t="s">
        <v>8406</v>
      </c>
    </row>
    <row r="7749" spans="1:2" x14ac:dyDescent="0.25">
      <c r="A7749" s="62">
        <v>41114604</v>
      </c>
      <c r="B7749" s="63" t="s">
        <v>8407</v>
      </c>
    </row>
    <row r="7750" spans="1:2" x14ac:dyDescent="0.25">
      <c r="A7750" s="62">
        <v>41114605</v>
      </c>
      <c r="B7750" s="63" t="s">
        <v>8408</v>
      </c>
    </row>
    <row r="7751" spans="1:2" x14ac:dyDescent="0.25">
      <c r="A7751" s="62">
        <v>41114606</v>
      </c>
      <c r="B7751" s="63" t="s">
        <v>8409</v>
      </c>
    </row>
    <row r="7752" spans="1:2" x14ac:dyDescent="0.25">
      <c r="A7752" s="62">
        <v>41114607</v>
      </c>
      <c r="B7752" s="63" t="s">
        <v>8410</v>
      </c>
    </row>
    <row r="7753" spans="1:2" x14ac:dyDescent="0.25">
      <c r="A7753" s="62">
        <v>41114608</v>
      </c>
      <c r="B7753" s="63" t="s">
        <v>8411</v>
      </c>
    </row>
    <row r="7754" spans="1:2" x14ac:dyDescent="0.25">
      <c r="A7754" s="62">
        <v>41114609</v>
      </c>
      <c r="B7754" s="63" t="s">
        <v>8412</v>
      </c>
    </row>
    <row r="7755" spans="1:2" x14ac:dyDescent="0.25">
      <c r="A7755" s="62">
        <v>41114610</v>
      </c>
      <c r="B7755" s="63" t="s">
        <v>8413</v>
      </c>
    </row>
    <row r="7756" spans="1:2" x14ac:dyDescent="0.25">
      <c r="A7756" s="62">
        <v>41114611</v>
      </c>
      <c r="B7756" s="63" t="s">
        <v>8414</v>
      </c>
    </row>
    <row r="7757" spans="1:2" x14ac:dyDescent="0.25">
      <c r="A7757" s="62">
        <v>41114612</v>
      </c>
      <c r="B7757" s="63" t="s">
        <v>8415</v>
      </c>
    </row>
    <row r="7758" spans="1:2" x14ac:dyDescent="0.25">
      <c r="A7758" s="62">
        <v>41114613</v>
      </c>
      <c r="B7758" s="63" t="s">
        <v>8416</v>
      </c>
    </row>
    <row r="7759" spans="1:2" x14ac:dyDescent="0.25">
      <c r="A7759" s="62">
        <v>41114614</v>
      </c>
      <c r="B7759" s="63" t="s">
        <v>8417</v>
      </c>
    </row>
    <row r="7760" spans="1:2" x14ac:dyDescent="0.25">
      <c r="A7760" s="62">
        <v>41114615</v>
      </c>
      <c r="B7760" s="63" t="s">
        <v>8418</v>
      </c>
    </row>
    <row r="7761" spans="1:2" x14ac:dyDescent="0.25">
      <c r="A7761" s="62">
        <v>41114616</v>
      </c>
      <c r="B7761" s="63" t="s">
        <v>8419</v>
      </c>
    </row>
    <row r="7762" spans="1:2" x14ac:dyDescent="0.25">
      <c r="A7762" s="62">
        <v>41114617</v>
      </c>
      <c r="B7762" s="63" t="s">
        <v>8420</v>
      </c>
    </row>
    <row r="7763" spans="1:2" x14ac:dyDescent="0.25">
      <c r="A7763" s="62">
        <v>41114618</v>
      </c>
      <c r="B7763" s="63" t="s">
        <v>8421</v>
      </c>
    </row>
    <row r="7764" spans="1:2" x14ac:dyDescent="0.25">
      <c r="A7764" s="62">
        <v>41114619</v>
      </c>
      <c r="B7764" s="63" t="s">
        <v>8422</v>
      </c>
    </row>
    <row r="7765" spans="1:2" x14ac:dyDescent="0.25">
      <c r="A7765" s="62">
        <v>41114620</v>
      </c>
      <c r="B7765" s="63" t="s">
        <v>8423</v>
      </c>
    </row>
    <row r="7766" spans="1:2" x14ac:dyDescent="0.25">
      <c r="A7766" s="62">
        <v>41114621</v>
      </c>
      <c r="B7766" s="63" t="s">
        <v>8424</v>
      </c>
    </row>
    <row r="7767" spans="1:2" x14ac:dyDescent="0.25">
      <c r="A7767" s="62">
        <v>41114622</v>
      </c>
      <c r="B7767" s="63" t="s">
        <v>8425</v>
      </c>
    </row>
    <row r="7768" spans="1:2" x14ac:dyDescent="0.25">
      <c r="A7768" s="62">
        <v>41114623</v>
      </c>
      <c r="B7768" s="63" t="s">
        <v>8426</v>
      </c>
    </row>
    <row r="7769" spans="1:2" x14ac:dyDescent="0.25">
      <c r="A7769" s="62">
        <v>41114624</v>
      </c>
      <c r="B7769" s="63" t="s">
        <v>8427</v>
      </c>
    </row>
    <row r="7770" spans="1:2" x14ac:dyDescent="0.25">
      <c r="A7770" s="62">
        <v>41114625</v>
      </c>
      <c r="B7770" s="63" t="s">
        <v>8428</v>
      </c>
    </row>
    <row r="7771" spans="1:2" x14ac:dyDescent="0.25">
      <c r="A7771" s="62">
        <v>41114626</v>
      </c>
      <c r="B7771" s="63" t="s">
        <v>8429</v>
      </c>
    </row>
    <row r="7772" spans="1:2" x14ac:dyDescent="0.25">
      <c r="A7772" s="62">
        <v>41114701</v>
      </c>
      <c r="B7772" s="63" t="s">
        <v>8430</v>
      </c>
    </row>
    <row r="7773" spans="1:2" x14ac:dyDescent="0.25">
      <c r="A7773" s="62">
        <v>41114702</v>
      </c>
      <c r="B7773" s="63" t="s">
        <v>8431</v>
      </c>
    </row>
    <row r="7774" spans="1:2" x14ac:dyDescent="0.25">
      <c r="A7774" s="62">
        <v>41114703</v>
      </c>
      <c r="B7774" s="63" t="s">
        <v>8432</v>
      </c>
    </row>
    <row r="7775" spans="1:2" x14ac:dyDescent="0.25">
      <c r="A7775" s="62">
        <v>41114704</v>
      </c>
      <c r="B7775" s="63" t="s">
        <v>8433</v>
      </c>
    </row>
    <row r="7776" spans="1:2" x14ac:dyDescent="0.25">
      <c r="A7776" s="62">
        <v>41114705</v>
      </c>
      <c r="B7776" s="63" t="s">
        <v>8434</v>
      </c>
    </row>
    <row r="7777" spans="1:2" x14ac:dyDescent="0.25">
      <c r="A7777" s="62">
        <v>41114706</v>
      </c>
      <c r="B7777" s="63" t="s">
        <v>8435</v>
      </c>
    </row>
    <row r="7778" spans="1:2" x14ac:dyDescent="0.25">
      <c r="A7778" s="62">
        <v>41114801</v>
      </c>
      <c r="B7778" s="63" t="s">
        <v>8436</v>
      </c>
    </row>
    <row r="7779" spans="1:2" x14ac:dyDescent="0.25">
      <c r="A7779" s="62">
        <v>41114802</v>
      </c>
      <c r="B7779" s="63" t="s">
        <v>8437</v>
      </c>
    </row>
    <row r="7780" spans="1:2" x14ac:dyDescent="0.25">
      <c r="A7780" s="62">
        <v>41114803</v>
      </c>
      <c r="B7780" s="63" t="s">
        <v>8438</v>
      </c>
    </row>
    <row r="7781" spans="1:2" x14ac:dyDescent="0.25">
      <c r="A7781" s="62">
        <v>41115101</v>
      </c>
      <c r="B7781" s="63" t="s">
        <v>8439</v>
      </c>
    </row>
    <row r="7782" spans="1:2" x14ac:dyDescent="0.25">
      <c r="A7782" s="62">
        <v>41115201</v>
      </c>
      <c r="B7782" s="63" t="s">
        <v>8440</v>
      </c>
    </row>
    <row r="7783" spans="1:2" x14ac:dyDescent="0.25">
      <c r="A7783" s="62">
        <v>41115202</v>
      </c>
      <c r="B7783" s="63" t="s">
        <v>8441</v>
      </c>
    </row>
    <row r="7784" spans="1:2" x14ac:dyDescent="0.25">
      <c r="A7784" s="62">
        <v>41115301</v>
      </c>
      <c r="B7784" s="63" t="s">
        <v>8442</v>
      </c>
    </row>
    <row r="7785" spans="1:2" x14ac:dyDescent="0.25">
      <c r="A7785" s="62">
        <v>41115302</v>
      </c>
      <c r="B7785" s="63" t="s">
        <v>8443</v>
      </c>
    </row>
    <row r="7786" spans="1:2" x14ac:dyDescent="0.25">
      <c r="A7786" s="62">
        <v>41115303</v>
      </c>
      <c r="B7786" s="63" t="s">
        <v>8444</v>
      </c>
    </row>
    <row r="7787" spans="1:2" x14ac:dyDescent="0.25">
      <c r="A7787" s="62">
        <v>41115304</v>
      </c>
      <c r="B7787" s="63" t="s">
        <v>8445</v>
      </c>
    </row>
    <row r="7788" spans="1:2" x14ac:dyDescent="0.25">
      <c r="A7788" s="62">
        <v>41115305</v>
      </c>
      <c r="B7788" s="63" t="s">
        <v>8446</v>
      </c>
    </row>
    <row r="7789" spans="1:2" x14ac:dyDescent="0.25">
      <c r="A7789" s="62">
        <v>41115306</v>
      </c>
      <c r="B7789" s="63" t="s">
        <v>8447</v>
      </c>
    </row>
    <row r="7790" spans="1:2" x14ac:dyDescent="0.25">
      <c r="A7790" s="62">
        <v>41115307</v>
      </c>
      <c r="B7790" s="63" t="s">
        <v>8448</v>
      </c>
    </row>
    <row r="7791" spans="1:2" x14ac:dyDescent="0.25">
      <c r="A7791" s="62">
        <v>41115308</v>
      </c>
      <c r="B7791" s="63" t="s">
        <v>8449</v>
      </c>
    </row>
    <row r="7792" spans="1:2" x14ac:dyDescent="0.25">
      <c r="A7792" s="62">
        <v>41115309</v>
      </c>
      <c r="B7792" s="63" t="s">
        <v>8450</v>
      </c>
    </row>
    <row r="7793" spans="1:2" x14ac:dyDescent="0.25">
      <c r="A7793" s="62">
        <v>41115310</v>
      </c>
      <c r="B7793" s="63" t="s">
        <v>8451</v>
      </c>
    </row>
    <row r="7794" spans="1:2" x14ac:dyDescent="0.25">
      <c r="A7794" s="62">
        <v>41115311</v>
      </c>
      <c r="B7794" s="63" t="s">
        <v>8452</v>
      </c>
    </row>
    <row r="7795" spans="1:2" x14ac:dyDescent="0.25">
      <c r="A7795" s="62">
        <v>41115312</v>
      </c>
      <c r="B7795" s="63" t="s">
        <v>8453</v>
      </c>
    </row>
    <row r="7796" spans="1:2" x14ac:dyDescent="0.25">
      <c r="A7796" s="62">
        <v>41115313</v>
      </c>
      <c r="B7796" s="63" t="s">
        <v>8454</v>
      </c>
    </row>
    <row r="7797" spans="1:2" x14ac:dyDescent="0.25">
      <c r="A7797" s="62">
        <v>41115314</v>
      </c>
      <c r="B7797" s="63" t="s">
        <v>8455</v>
      </c>
    </row>
    <row r="7798" spans="1:2" x14ac:dyDescent="0.25">
      <c r="A7798" s="62">
        <v>41115315</v>
      </c>
      <c r="B7798" s="63" t="s">
        <v>8456</v>
      </c>
    </row>
    <row r="7799" spans="1:2" x14ac:dyDescent="0.25">
      <c r="A7799" s="62">
        <v>41115316</v>
      </c>
      <c r="B7799" s="63" t="s">
        <v>8457</v>
      </c>
    </row>
    <row r="7800" spans="1:2" x14ac:dyDescent="0.25">
      <c r="A7800" s="62">
        <v>41115317</v>
      </c>
      <c r="B7800" s="63" t="s">
        <v>8458</v>
      </c>
    </row>
    <row r="7801" spans="1:2" x14ac:dyDescent="0.25">
      <c r="A7801" s="62">
        <v>41115318</v>
      </c>
      <c r="B7801" s="63" t="s">
        <v>8459</v>
      </c>
    </row>
    <row r="7802" spans="1:2" x14ac:dyDescent="0.25">
      <c r="A7802" s="62">
        <v>41115319</v>
      </c>
      <c r="B7802" s="63" t="s">
        <v>8460</v>
      </c>
    </row>
    <row r="7803" spans="1:2" x14ac:dyDescent="0.25">
      <c r="A7803" s="62">
        <v>41115320</v>
      </c>
      <c r="B7803" s="63" t="s">
        <v>8461</v>
      </c>
    </row>
    <row r="7804" spans="1:2" x14ac:dyDescent="0.25">
      <c r="A7804" s="62">
        <v>41115321</v>
      </c>
      <c r="B7804" s="63" t="s">
        <v>8462</v>
      </c>
    </row>
    <row r="7805" spans="1:2" x14ac:dyDescent="0.25">
      <c r="A7805" s="62">
        <v>41115322</v>
      </c>
      <c r="B7805" s="63" t="s">
        <v>8463</v>
      </c>
    </row>
    <row r="7806" spans="1:2" x14ac:dyDescent="0.25">
      <c r="A7806" s="62">
        <v>41115401</v>
      </c>
      <c r="B7806" s="63" t="s">
        <v>8464</v>
      </c>
    </row>
    <row r="7807" spans="1:2" x14ac:dyDescent="0.25">
      <c r="A7807" s="62">
        <v>41115402</v>
      </c>
      <c r="B7807" s="63" t="s">
        <v>8465</v>
      </c>
    </row>
    <row r="7808" spans="1:2" x14ac:dyDescent="0.25">
      <c r="A7808" s="62">
        <v>41115403</v>
      </c>
      <c r="B7808" s="63" t="s">
        <v>8466</v>
      </c>
    </row>
    <row r="7809" spans="1:2" x14ac:dyDescent="0.25">
      <c r="A7809" s="62">
        <v>41115404</v>
      </c>
      <c r="B7809" s="63" t="s">
        <v>8467</v>
      </c>
    </row>
    <row r="7810" spans="1:2" x14ac:dyDescent="0.25">
      <c r="A7810" s="62">
        <v>41115405</v>
      </c>
      <c r="B7810" s="63" t="s">
        <v>8468</v>
      </c>
    </row>
    <row r="7811" spans="1:2" x14ac:dyDescent="0.25">
      <c r="A7811" s="62">
        <v>41115406</v>
      </c>
      <c r="B7811" s="63" t="s">
        <v>8469</v>
      </c>
    </row>
    <row r="7812" spans="1:2" x14ac:dyDescent="0.25">
      <c r="A7812" s="62">
        <v>41115407</v>
      </c>
      <c r="B7812" s="63" t="s">
        <v>8470</v>
      </c>
    </row>
    <row r="7813" spans="1:2" x14ac:dyDescent="0.25">
      <c r="A7813" s="62">
        <v>41115408</v>
      </c>
      <c r="B7813" s="63" t="s">
        <v>8471</v>
      </c>
    </row>
    <row r="7814" spans="1:2" x14ac:dyDescent="0.25">
      <c r="A7814" s="62">
        <v>41115409</v>
      </c>
      <c r="B7814" s="63" t="s">
        <v>8472</v>
      </c>
    </row>
    <row r="7815" spans="1:2" x14ac:dyDescent="0.25">
      <c r="A7815" s="62">
        <v>41115410</v>
      </c>
      <c r="B7815" s="63" t="s">
        <v>8473</v>
      </c>
    </row>
    <row r="7816" spans="1:2" x14ac:dyDescent="0.25">
      <c r="A7816" s="62">
        <v>41115411</v>
      </c>
      <c r="B7816" s="63" t="s">
        <v>8474</v>
      </c>
    </row>
    <row r="7817" spans="1:2" x14ac:dyDescent="0.25">
      <c r="A7817" s="62">
        <v>41115501</v>
      </c>
      <c r="B7817" s="63" t="s">
        <v>8475</v>
      </c>
    </row>
    <row r="7818" spans="1:2" x14ac:dyDescent="0.25">
      <c r="A7818" s="62">
        <v>41115502</v>
      </c>
      <c r="B7818" s="63" t="s">
        <v>8476</v>
      </c>
    </row>
    <row r="7819" spans="1:2" x14ac:dyDescent="0.25">
      <c r="A7819" s="62">
        <v>41115503</v>
      </c>
      <c r="B7819" s="63" t="s">
        <v>8477</v>
      </c>
    </row>
    <row r="7820" spans="1:2" x14ac:dyDescent="0.25">
      <c r="A7820" s="62">
        <v>41115504</v>
      </c>
      <c r="B7820" s="63" t="s">
        <v>8478</v>
      </c>
    </row>
    <row r="7821" spans="1:2" x14ac:dyDescent="0.25">
      <c r="A7821" s="62">
        <v>41115505</v>
      </c>
      <c r="B7821" s="63" t="s">
        <v>8479</v>
      </c>
    </row>
    <row r="7822" spans="1:2" x14ac:dyDescent="0.25">
      <c r="A7822" s="62">
        <v>41115601</v>
      </c>
      <c r="B7822" s="63" t="s">
        <v>8480</v>
      </c>
    </row>
    <row r="7823" spans="1:2" x14ac:dyDescent="0.25">
      <c r="A7823" s="62">
        <v>41115602</v>
      </c>
      <c r="B7823" s="63" t="s">
        <v>8481</v>
      </c>
    </row>
    <row r="7824" spans="1:2" x14ac:dyDescent="0.25">
      <c r="A7824" s="62">
        <v>41115603</v>
      </c>
      <c r="B7824" s="63" t="s">
        <v>8482</v>
      </c>
    </row>
    <row r="7825" spans="1:2" x14ac:dyDescent="0.25">
      <c r="A7825" s="62">
        <v>41115604</v>
      </c>
      <c r="B7825" s="63" t="s">
        <v>8483</v>
      </c>
    </row>
    <row r="7826" spans="1:2" x14ac:dyDescent="0.25">
      <c r="A7826" s="62">
        <v>41115605</v>
      </c>
      <c r="B7826" s="63" t="s">
        <v>8484</v>
      </c>
    </row>
    <row r="7827" spans="1:2" x14ac:dyDescent="0.25">
      <c r="A7827" s="62">
        <v>41115606</v>
      </c>
      <c r="B7827" s="63" t="s">
        <v>8485</v>
      </c>
    </row>
    <row r="7828" spans="1:2" x14ac:dyDescent="0.25">
      <c r="A7828" s="62">
        <v>41115607</v>
      </c>
      <c r="B7828" s="63" t="s">
        <v>8486</v>
      </c>
    </row>
    <row r="7829" spans="1:2" x14ac:dyDescent="0.25">
      <c r="A7829" s="62">
        <v>41115608</v>
      </c>
      <c r="B7829" s="63" t="s">
        <v>8487</v>
      </c>
    </row>
    <row r="7830" spans="1:2" x14ac:dyDescent="0.25">
      <c r="A7830" s="62">
        <v>41115609</v>
      </c>
      <c r="B7830" s="63" t="s">
        <v>8488</v>
      </c>
    </row>
    <row r="7831" spans="1:2" x14ac:dyDescent="0.25">
      <c r="A7831" s="62">
        <v>41115610</v>
      </c>
      <c r="B7831" s="63" t="s">
        <v>8489</v>
      </c>
    </row>
    <row r="7832" spans="1:2" x14ac:dyDescent="0.25">
      <c r="A7832" s="62">
        <v>41115611</v>
      </c>
      <c r="B7832" s="63" t="s">
        <v>8490</v>
      </c>
    </row>
    <row r="7833" spans="1:2" x14ac:dyDescent="0.25">
      <c r="A7833" s="62">
        <v>41115612</v>
      </c>
      <c r="B7833" s="63" t="s">
        <v>8491</v>
      </c>
    </row>
    <row r="7834" spans="1:2" x14ac:dyDescent="0.25">
      <c r="A7834" s="62">
        <v>41115613</v>
      </c>
      <c r="B7834" s="63" t="s">
        <v>8492</v>
      </c>
    </row>
    <row r="7835" spans="1:2" x14ac:dyDescent="0.25">
      <c r="A7835" s="62">
        <v>41115614</v>
      </c>
      <c r="B7835" s="63" t="s">
        <v>8493</v>
      </c>
    </row>
    <row r="7836" spans="1:2" x14ac:dyDescent="0.25">
      <c r="A7836" s="62">
        <v>41115701</v>
      </c>
      <c r="B7836" s="63" t="s">
        <v>8494</v>
      </c>
    </row>
    <row r="7837" spans="1:2" x14ac:dyDescent="0.25">
      <c r="A7837" s="62">
        <v>41115702</v>
      </c>
      <c r="B7837" s="63" t="s">
        <v>8495</v>
      </c>
    </row>
    <row r="7838" spans="1:2" x14ac:dyDescent="0.25">
      <c r="A7838" s="62">
        <v>41115703</v>
      </c>
      <c r="B7838" s="63" t="s">
        <v>8496</v>
      </c>
    </row>
    <row r="7839" spans="1:2" x14ac:dyDescent="0.25">
      <c r="A7839" s="62">
        <v>41115704</v>
      </c>
      <c r="B7839" s="63" t="s">
        <v>8497</v>
      </c>
    </row>
    <row r="7840" spans="1:2" x14ac:dyDescent="0.25">
      <c r="A7840" s="62">
        <v>41115705</v>
      </c>
      <c r="B7840" s="63" t="s">
        <v>8498</v>
      </c>
    </row>
    <row r="7841" spans="1:2" x14ac:dyDescent="0.25">
      <c r="A7841" s="62">
        <v>41115706</v>
      </c>
      <c r="B7841" s="63" t="s">
        <v>8499</v>
      </c>
    </row>
    <row r="7842" spans="1:2" x14ac:dyDescent="0.25">
      <c r="A7842" s="62">
        <v>41115707</v>
      </c>
      <c r="B7842" s="63" t="s">
        <v>8500</v>
      </c>
    </row>
    <row r="7843" spans="1:2" x14ac:dyDescent="0.25">
      <c r="A7843" s="62">
        <v>41115708</v>
      </c>
      <c r="B7843" s="63" t="s">
        <v>8501</v>
      </c>
    </row>
    <row r="7844" spans="1:2" x14ac:dyDescent="0.25">
      <c r="A7844" s="62">
        <v>41115709</v>
      </c>
      <c r="B7844" s="63" t="s">
        <v>8502</v>
      </c>
    </row>
    <row r="7845" spans="1:2" x14ac:dyDescent="0.25">
      <c r="A7845" s="62">
        <v>41115710</v>
      </c>
      <c r="B7845" s="63" t="s">
        <v>8503</v>
      </c>
    </row>
    <row r="7846" spans="1:2" x14ac:dyDescent="0.25">
      <c r="A7846" s="62">
        <v>41115711</v>
      </c>
      <c r="B7846" s="63" t="s">
        <v>8504</v>
      </c>
    </row>
    <row r="7847" spans="1:2" x14ac:dyDescent="0.25">
      <c r="A7847" s="62">
        <v>41115712</v>
      </c>
      <c r="B7847" s="63" t="s">
        <v>8505</v>
      </c>
    </row>
    <row r="7848" spans="1:2" x14ac:dyDescent="0.25">
      <c r="A7848" s="62">
        <v>41115713</v>
      </c>
      <c r="B7848" s="63" t="s">
        <v>8506</v>
      </c>
    </row>
    <row r="7849" spans="1:2" x14ac:dyDescent="0.25">
      <c r="A7849" s="62">
        <v>41115714</v>
      </c>
      <c r="B7849" s="63" t="s">
        <v>8507</v>
      </c>
    </row>
    <row r="7850" spans="1:2" x14ac:dyDescent="0.25">
      <c r="A7850" s="62">
        <v>41115715</v>
      </c>
      <c r="B7850" s="63" t="s">
        <v>8508</v>
      </c>
    </row>
    <row r="7851" spans="1:2" x14ac:dyDescent="0.25">
      <c r="A7851" s="62">
        <v>41115716</v>
      </c>
      <c r="B7851" s="63" t="s">
        <v>8509</v>
      </c>
    </row>
    <row r="7852" spans="1:2" x14ac:dyDescent="0.25">
      <c r="A7852" s="62">
        <v>41115717</v>
      </c>
      <c r="B7852" s="63" t="s">
        <v>8510</v>
      </c>
    </row>
    <row r="7853" spans="1:2" x14ac:dyDescent="0.25">
      <c r="A7853" s="62">
        <v>41115718</v>
      </c>
      <c r="B7853" s="63" t="s">
        <v>8511</v>
      </c>
    </row>
    <row r="7854" spans="1:2" x14ac:dyDescent="0.25">
      <c r="A7854" s="62">
        <v>41115719</v>
      </c>
      <c r="B7854" s="63" t="s">
        <v>8512</v>
      </c>
    </row>
    <row r="7855" spans="1:2" x14ac:dyDescent="0.25">
      <c r="A7855" s="62">
        <v>41115720</v>
      </c>
      <c r="B7855" s="63" t="s">
        <v>8513</v>
      </c>
    </row>
    <row r="7856" spans="1:2" x14ac:dyDescent="0.25">
      <c r="A7856" s="62">
        <v>41115801</v>
      </c>
      <c r="B7856" s="63" t="s">
        <v>8514</v>
      </c>
    </row>
    <row r="7857" spans="1:2" x14ac:dyDescent="0.25">
      <c r="A7857" s="62">
        <v>41115802</v>
      </c>
      <c r="B7857" s="63" t="s">
        <v>8515</v>
      </c>
    </row>
    <row r="7858" spans="1:2" x14ac:dyDescent="0.25">
      <c r="A7858" s="62">
        <v>41115803</v>
      </c>
      <c r="B7858" s="63" t="s">
        <v>8516</v>
      </c>
    </row>
    <row r="7859" spans="1:2" x14ac:dyDescent="0.25">
      <c r="A7859" s="62">
        <v>41115804</v>
      </c>
      <c r="B7859" s="63" t="s">
        <v>8517</v>
      </c>
    </row>
    <row r="7860" spans="1:2" x14ac:dyDescent="0.25">
      <c r="A7860" s="62">
        <v>41115805</v>
      </c>
      <c r="B7860" s="63" t="s">
        <v>8518</v>
      </c>
    </row>
    <row r="7861" spans="1:2" x14ac:dyDescent="0.25">
      <c r="A7861" s="62">
        <v>41115806</v>
      </c>
      <c r="B7861" s="63" t="s">
        <v>8519</v>
      </c>
    </row>
    <row r="7862" spans="1:2" x14ac:dyDescent="0.25">
      <c r="A7862" s="62">
        <v>41115807</v>
      </c>
      <c r="B7862" s="63" t="s">
        <v>8520</v>
      </c>
    </row>
    <row r="7863" spans="1:2" x14ac:dyDescent="0.25">
      <c r="A7863" s="62">
        <v>41115808</v>
      </c>
      <c r="B7863" s="63" t="s">
        <v>8521</v>
      </c>
    </row>
    <row r="7864" spans="1:2" x14ac:dyDescent="0.25">
      <c r="A7864" s="62">
        <v>41115809</v>
      </c>
      <c r="B7864" s="63" t="s">
        <v>8522</v>
      </c>
    </row>
    <row r="7865" spans="1:2" x14ac:dyDescent="0.25">
      <c r="A7865" s="62">
        <v>41115810</v>
      </c>
      <c r="B7865" s="63" t="s">
        <v>8523</v>
      </c>
    </row>
    <row r="7866" spans="1:2" x14ac:dyDescent="0.25">
      <c r="A7866" s="62">
        <v>41115811</v>
      </c>
      <c r="B7866" s="63" t="s">
        <v>8524</v>
      </c>
    </row>
    <row r="7867" spans="1:2" x14ac:dyDescent="0.25">
      <c r="A7867" s="62">
        <v>41115812</v>
      </c>
      <c r="B7867" s="63" t="s">
        <v>8525</v>
      </c>
    </row>
    <row r="7868" spans="1:2" x14ac:dyDescent="0.25">
      <c r="A7868" s="62">
        <v>41115813</v>
      </c>
      <c r="B7868" s="63" t="s">
        <v>8526</v>
      </c>
    </row>
    <row r="7869" spans="1:2" x14ac:dyDescent="0.25">
      <c r="A7869" s="62">
        <v>41115814</v>
      </c>
      <c r="B7869" s="63" t="s">
        <v>8527</v>
      </c>
    </row>
    <row r="7870" spans="1:2" x14ac:dyDescent="0.25">
      <c r="A7870" s="62">
        <v>41115815</v>
      </c>
      <c r="B7870" s="63" t="s">
        <v>8528</v>
      </c>
    </row>
    <row r="7871" spans="1:2" x14ac:dyDescent="0.25">
      <c r="A7871" s="62">
        <v>41115816</v>
      </c>
      <c r="B7871" s="63" t="s">
        <v>8529</v>
      </c>
    </row>
    <row r="7872" spans="1:2" x14ac:dyDescent="0.25">
      <c r="A7872" s="62">
        <v>41115817</v>
      </c>
      <c r="B7872" s="63" t="s">
        <v>8530</v>
      </c>
    </row>
    <row r="7873" spans="1:2" x14ac:dyDescent="0.25">
      <c r="A7873" s="62">
        <v>41115818</v>
      </c>
      <c r="B7873" s="63" t="s">
        <v>8531</v>
      </c>
    </row>
    <row r="7874" spans="1:2" x14ac:dyDescent="0.25">
      <c r="A7874" s="62">
        <v>41115819</v>
      </c>
      <c r="B7874" s="63" t="s">
        <v>8532</v>
      </c>
    </row>
    <row r="7875" spans="1:2" x14ac:dyDescent="0.25">
      <c r="A7875" s="62">
        <v>41115820</v>
      </c>
      <c r="B7875" s="63" t="s">
        <v>8533</v>
      </c>
    </row>
    <row r="7876" spans="1:2" x14ac:dyDescent="0.25">
      <c r="A7876" s="62">
        <v>41115821</v>
      </c>
      <c r="B7876" s="63" t="s">
        <v>8534</v>
      </c>
    </row>
    <row r="7877" spans="1:2" x14ac:dyDescent="0.25">
      <c r="A7877" s="62">
        <v>41115822</v>
      </c>
      <c r="B7877" s="63" t="s">
        <v>8535</v>
      </c>
    </row>
    <row r="7878" spans="1:2" x14ac:dyDescent="0.25">
      <c r="A7878" s="62">
        <v>41115823</v>
      </c>
      <c r="B7878" s="63" t="s">
        <v>8536</v>
      </c>
    </row>
    <row r="7879" spans="1:2" x14ac:dyDescent="0.25">
      <c r="A7879" s="62">
        <v>41115824</v>
      </c>
      <c r="B7879" s="63" t="s">
        <v>8537</v>
      </c>
    </row>
    <row r="7880" spans="1:2" x14ac:dyDescent="0.25">
      <c r="A7880" s="62">
        <v>41115825</v>
      </c>
      <c r="B7880" s="63" t="s">
        <v>8538</v>
      </c>
    </row>
    <row r="7881" spans="1:2" x14ac:dyDescent="0.25">
      <c r="A7881" s="62">
        <v>41115826</v>
      </c>
      <c r="B7881" s="63" t="s">
        <v>8539</v>
      </c>
    </row>
    <row r="7882" spans="1:2" x14ac:dyDescent="0.25">
      <c r="A7882" s="62">
        <v>41115827</v>
      </c>
      <c r="B7882" s="63" t="s">
        <v>8540</v>
      </c>
    </row>
    <row r="7883" spans="1:2" x14ac:dyDescent="0.25">
      <c r="A7883" s="62">
        <v>41115828</v>
      </c>
      <c r="B7883" s="63" t="s">
        <v>8541</v>
      </c>
    </row>
    <row r="7884" spans="1:2" x14ac:dyDescent="0.25">
      <c r="A7884" s="62">
        <v>41115829</v>
      </c>
      <c r="B7884" s="63" t="s">
        <v>8542</v>
      </c>
    </row>
    <row r="7885" spans="1:2" x14ac:dyDescent="0.25">
      <c r="A7885" s="62">
        <v>41115830</v>
      </c>
      <c r="B7885" s="63" t="s">
        <v>8543</v>
      </c>
    </row>
    <row r="7886" spans="1:2" x14ac:dyDescent="0.25">
      <c r="A7886" s="62">
        <v>41116001</v>
      </c>
      <c r="B7886" s="63" t="s">
        <v>8544</v>
      </c>
    </row>
    <row r="7887" spans="1:2" x14ac:dyDescent="0.25">
      <c r="A7887" s="62">
        <v>41116002</v>
      </c>
      <c r="B7887" s="63" t="s">
        <v>8545</v>
      </c>
    </row>
    <row r="7888" spans="1:2" x14ac:dyDescent="0.25">
      <c r="A7888" s="62">
        <v>41116003</v>
      </c>
      <c r="B7888" s="63" t="s">
        <v>8546</v>
      </c>
    </row>
    <row r="7889" spans="1:2" x14ac:dyDescent="0.25">
      <c r="A7889" s="62">
        <v>41116004</v>
      </c>
      <c r="B7889" s="63" t="s">
        <v>8547</v>
      </c>
    </row>
    <row r="7890" spans="1:2" x14ac:dyDescent="0.25">
      <c r="A7890" s="62">
        <v>41116005</v>
      </c>
      <c r="B7890" s="63" t="s">
        <v>8548</v>
      </c>
    </row>
    <row r="7891" spans="1:2" x14ac:dyDescent="0.25">
      <c r="A7891" s="62">
        <v>41116006</v>
      </c>
      <c r="B7891" s="63" t="s">
        <v>8549</v>
      </c>
    </row>
    <row r="7892" spans="1:2" x14ac:dyDescent="0.25">
      <c r="A7892" s="62">
        <v>41116007</v>
      </c>
      <c r="B7892" s="63" t="s">
        <v>8550</v>
      </c>
    </row>
    <row r="7893" spans="1:2" x14ac:dyDescent="0.25">
      <c r="A7893" s="62">
        <v>41116008</v>
      </c>
      <c r="B7893" s="63" t="s">
        <v>8551</v>
      </c>
    </row>
    <row r="7894" spans="1:2" x14ac:dyDescent="0.25">
      <c r="A7894" s="62">
        <v>41116009</v>
      </c>
      <c r="B7894" s="63" t="s">
        <v>8552</v>
      </c>
    </row>
    <row r="7895" spans="1:2" x14ac:dyDescent="0.25">
      <c r="A7895" s="62">
        <v>41116010</v>
      </c>
      <c r="B7895" s="63" t="s">
        <v>8553</v>
      </c>
    </row>
    <row r="7896" spans="1:2" x14ac:dyDescent="0.25">
      <c r="A7896" s="62">
        <v>41116011</v>
      </c>
      <c r="B7896" s="63" t="s">
        <v>8554</v>
      </c>
    </row>
    <row r="7897" spans="1:2" x14ac:dyDescent="0.25">
      <c r="A7897" s="62">
        <v>41116012</v>
      </c>
      <c r="B7897" s="63" t="s">
        <v>8555</v>
      </c>
    </row>
    <row r="7898" spans="1:2" x14ac:dyDescent="0.25">
      <c r="A7898" s="62">
        <v>41116013</v>
      </c>
      <c r="B7898" s="63" t="s">
        <v>8556</v>
      </c>
    </row>
    <row r="7899" spans="1:2" x14ac:dyDescent="0.25">
      <c r="A7899" s="62">
        <v>41116014</v>
      </c>
      <c r="B7899" s="63" t="s">
        <v>8557</v>
      </c>
    </row>
    <row r="7900" spans="1:2" x14ac:dyDescent="0.25">
      <c r="A7900" s="62">
        <v>41116015</v>
      </c>
      <c r="B7900" s="63" t="s">
        <v>8558</v>
      </c>
    </row>
    <row r="7901" spans="1:2" x14ac:dyDescent="0.25">
      <c r="A7901" s="62">
        <v>41116101</v>
      </c>
      <c r="B7901" s="63" t="s">
        <v>8559</v>
      </c>
    </row>
    <row r="7902" spans="1:2" x14ac:dyDescent="0.25">
      <c r="A7902" s="62">
        <v>41116102</v>
      </c>
      <c r="B7902" s="63" t="s">
        <v>8560</v>
      </c>
    </row>
    <row r="7903" spans="1:2" x14ac:dyDescent="0.25">
      <c r="A7903" s="62">
        <v>41116103</v>
      </c>
      <c r="B7903" s="63" t="s">
        <v>8561</v>
      </c>
    </row>
    <row r="7904" spans="1:2" x14ac:dyDescent="0.25">
      <c r="A7904" s="62">
        <v>41116104</v>
      </c>
      <c r="B7904" s="63" t="s">
        <v>8562</v>
      </c>
    </row>
    <row r="7905" spans="1:2" x14ac:dyDescent="0.25">
      <c r="A7905" s="62">
        <v>41116105</v>
      </c>
      <c r="B7905" s="63" t="s">
        <v>8563</v>
      </c>
    </row>
    <row r="7906" spans="1:2" x14ac:dyDescent="0.25">
      <c r="A7906" s="62">
        <v>41116106</v>
      </c>
      <c r="B7906" s="63" t="s">
        <v>8564</v>
      </c>
    </row>
    <row r="7907" spans="1:2" x14ac:dyDescent="0.25">
      <c r="A7907" s="62">
        <v>41116107</v>
      </c>
      <c r="B7907" s="63" t="s">
        <v>8565</v>
      </c>
    </row>
    <row r="7908" spans="1:2" x14ac:dyDescent="0.25">
      <c r="A7908" s="62">
        <v>41116108</v>
      </c>
      <c r="B7908" s="63" t="s">
        <v>8566</v>
      </c>
    </row>
    <row r="7909" spans="1:2" x14ac:dyDescent="0.25">
      <c r="A7909" s="62">
        <v>41116109</v>
      </c>
      <c r="B7909" s="63" t="s">
        <v>8567</v>
      </c>
    </row>
    <row r="7910" spans="1:2" x14ac:dyDescent="0.25">
      <c r="A7910" s="62">
        <v>41116110</v>
      </c>
      <c r="B7910" s="63" t="s">
        <v>8568</v>
      </c>
    </row>
    <row r="7911" spans="1:2" x14ac:dyDescent="0.25">
      <c r="A7911" s="62">
        <v>41116111</v>
      </c>
      <c r="B7911" s="63" t="s">
        <v>8569</v>
      </c>
    </row>
    <row r="7912" spans="1:2" x14ac:dyDescent="0.25">
      <c r="A7912" s="62">
        <v>41116112</v>
      </c>
      <c r="B7912" s="63" t="s">
        <v>8570</v>
      </c>
    </row>
    <row r="7913" spans="1:2" x14ac:dyDescent="0.25">
      <c r="A7913" s="62">
        <v>41116113</v>
      </c>
      <c r="B7913" s="63" t="s">
        <v>8571</v>
      </c>
    </row>
    <row r="7914" spans="1:2" x14ac:dyDescent="0.25">
      <c r="A7914" s="62">
        <v>41116116</v>
      </c>
      <c r="B7914" s="63" t="s">
        <v>8572</v>
      </c>
    </row>
    <row r="7915" spans="1:2" x14ac:dyDescent="0.25">
      <c r="A7915" s="62">
        <v>41116117</v>
      </c>
      <c r="B7915" s="63" t="s">
        <v>8573</v>
      </c>
    </row>
    <row r="7916" spans="1:2" x14ac:dyDescent="0.25">
      <c r="A7916" s="62">
        <v>41116118</v>
      </c>
      <c r="B7916" s="63" t="s">
        <v>8574</v>
      </c>
    </row>
    <row r="7917" spans="1:2" x14ac:dyDescent="0.25">
      <c r="A7917" s="62">
        <v>41116119</v>
      </c>
      <c r="B7917" s="63" t="s">
        <v>8575</v>
      </c>
    </row>
    <row r="7918" spans="1:2" x14ac:dyDescent="0.25">
      <c r="A7918" s="62">
        <v>41116120</v>
      </c>
      <c r="B7918" s="63" t="s">
        <v>8576</v>
      </c>
    </row>
    <row r="7919" spans="1:2" x14ac:dyDescent="0.25">
      <c r="A7919" s="62">
        <v>41116121</v>
      </c>
      <c r="B7919" s="63" t="s">
        <v>8577</v>
      </c>
    </row>
    <row r="7920" spans="1:2" x14ac:dyDescent="0.25">
      <c r="A7920" s="62">
        <v>41116122</v>
      </c>
      <c r="B7920" s="63" t="s">
        <v>8578</v>
      </c>
    </row>
    <row r="7921" spans="1:2" x14ac:dyDescent="0.25">
      <c r="A7921" s="62">
        <v>41116123</v>
      </c>
      <c r="B7921" s="63" t="s">
        <v>8579</v>
      </c>
    </row>
    <row r="7922" spans="1:2" x14ac:dyDescent="0.25">
      <c r="A7922" s="62">
        <v>41116124</v>
      </c>
      <c r="B7922" s="63" t="s">
        <v>8580</v>
      </c>
    </row>
    <row r="7923" spans="1:2" x14ac:dyDescent="0.25">
      <c r="A7923" s="62">
        <v>41116125</v>
      </c>
      <c r="B7923" s="63" t="s">
        <v>8581</v>
      </c>
    </row>
    <row r="7924" spans="1:2" x14ac:dyDescent="0.25">
      <c r="A7924" s="62">
        <v>41116126</v>
      </c>
      <c r="B7924" s="63" t="s">
        <v>8582</v>
      </c>
    </row>
    <row r="7925" spans="1:2" x14ac:dyDescent="0.25">
      <c r="A7925" s="62">
        <v>41116127</v>
      </c>
      <c r="B7925" s="63" t="s">
        <v>8583</v>
      </c>
    </row>
    <row r="7926" spans="1:2" x14ac:dyDescent="0.25">
      <c r="A7926" s="62">
        <v>41116128</v>
      </c>
      <c r="B7926" s="63" t="s">
        <v>8584</v>
      </c>
    </row>
    <row r="7927" spans="1:2" x14ac:dyDescent="0.25">
      <c r="A7927" s="62">
        <v>41116129</v>
      </c>
      <c r="B7927" s="63" t="s">
        <v>8585</v>
      </c>
    </row>
    <row r="7928" spans="1:2" x14ac:dyDescent="0.25">
      <c r="A7928" s="62">
        <v>41116130</v>
      </c>
      <c r="B7928" s="63" t="s">
        <v>8586</v>
      </c>
    </row>
    <row r="7929" spans="1:2" x14ac:dyDescent="0.25">
      <c r="A7929" s="62">
        <v>41116131</v>
      </c>
      <c r="B7929" s="63" t="s">
        <v>8587</v>
      </c>
    </row>
    <row r="7930" spans="1:2" x14ac:dyDescent="0.25">
      <c r="A7930" s="62">
        <v>41116132</v>
      </c>
      <c r="B7930" s="63" t="s">
        <v>8588</v>
      </c>
    </row>
    <row r="7931" spans="1:2" x14ac:dyDescent="0.25">
      <c r="A7931" s="62">
        <v>41116133</v>
      </c>
      <c r="B7931" s="63" t="s">
        <v>8589</v>
      </c>
    </row>
    <row r="7932" spans="1:2" x14ac:dyDescent="0.25">
      <c r="A7932" s="62">
        <v>41116134</v>
      </c>
      <c r="B7932" s="63" t="s">
        <v>8590</v>
      </c>
    </row>
    <row r="7933" spans="1:2" x14ac:dyDescent="0.25">
      <c r="A7933" s="62">
        <v>41116135</v>
      </c>
      <c r="B7933" s="63" t="s">
        <v>8591</v>
      </c>
    </row>
    <row r="7934" spans="1:2" x14ac:dyDescent="0.25">
      <c r="A7934" s="62">
        <v>41116136</v>
      </c>
      <c r="B7934" s="63" t="s">
        <v>8592</v>
      </c>
    </row>
    <row r="7935" spans="1:2" x14ac:dyDescent="0.25">
      <c r="A7935" s="62">
        <v>41116137</v>
      </c>
      <c r="B7935" s="63" t="s">
        <v>8593</v>
      </c>
    </row>
    <row r="7936" spans="1:2" x14ac:dyDescent="0.25">
      <c r="A7936" s="62">
        <v>41116138</v>
      </c>
      <c r="B7936" s="63" t="s">
        <v>8594</v>
      </c>
    </row>
    <row r="7937" spans="1:2" x14ac:dyDescent="0.25">
      <c r="A7937" s="62">
        <v>41116139</v>
      </c>
      <c r="B7937" s="63" t="s">
        <v>8595</v>
      </c>
    </row>
    <row r="7938" spans="1:2" x14ac:dyDescent="0.25">
      <c r="A7938" s="62">
        <v>41116140</v>
      </c>
      <c r="B7938" s="63" t="s">
        <v>8596</v>
      </c>
    </row>
    <row r="7939" spans="1:2" x14ac:dyDescent="0.25">
      <c r="A7939" s="62">
        <v>41116141</v>
      </c>
      <c r="B7939" s="63" t="s">
        <v>8597</v>
      </c>
    </row>
    <row r="7940" spans="1:2" x14ac:dyDescent="0.25">
      <c r="A7940" s="62">
        <v>41116142</v>
      </c>
      <c r="B7940" s="63" t="s">
        <v>8598</v>
      </c>
    </row>
    <row r="7941" spans="1:2" x14ac:dyDescent="0.25">
      <c r="A7941" s="62">
        <v>41116143</v>
      </c>
      <c r="B7941" s="63" t="s">
        <v>8599</v>
      </c>
    </row>
    <row r="7942" spans="1:2" x14ac:dyDescent="0.25">
      <c r="A7942" s="62">
        <v>41116144</v>
      </c>
      <c r="B7942" s="63" t="s">
        <v>8600</v>
      </c>
    </row>
    <row r="7943" spans="1:2" x14ac:dyDescent="0.25">
      <c r="A7943" s="62">
        <v>41116145</v>
      </c>
      <c r="B7943" s="63" t="s">
        <v>8601</v>
      </c>
    </row>
    <row r="7944" spans="1:2" x14ac:dyDescent="0.25">
      <c r="A7944" s="62">
        <v>41116146</v>
      </c>
      <c r="B7944" s="63" t="s">
        <v>8602</v>
      </c>
    </row>
    <row r="7945" spans="1:2" x14ac:dyDescent="0.25">
      <c r="A7945" s="62">
        <v>41116147</v>
      </c>
      <c r="B7945" s="63" t="s">
        <v>8603</v>
      </c>
    </row>
    <row r="7946" spans="1:2" x14ac:dyDescent="0.25">
      <c r="A7946" s="62">
        <v>41116148</v>
      </c>
      <c r="B7946" s="63" t="s">
        <v>8604</v>
      </c>
    </row>
    <row r="7947" spans="1:2" x14ac:dyDescent="0.25">
      <c r="A7947" s="62">
        <v>41116201</v>
      </c>
      <c r="B7947" s="63" t="s">
        <v>8605</v>
      </c>
    </row>
    <row r="7948" spans="1:2" x14ac:dyDescent="0.25">
      <c r="A7948" s="62">
        <v>41116202</v>
      </c>
      <c r="B7948" s="63" t="s">
        <v>8606</v>
      </c>
    </row>
    <row r="7949" spans="1:2" x14ac:dyDescent="0.25">
      <c r="A7949" s="62">
        <v>41116203</v>
      </c>
      <c r="B7949" s="63" t="s">
        <v>8607</v>
      </c>
    </row>
    <row r="7950" spans="1:2" x14ac:dyDescent="0.25">
      <c r="A7950" s="62">
        <v>41116205</v>
      </c>
      <c r="B7950" s="63" t="s">
        <v>8608</v>
      </c>
    </row>
    <row r="7951" spans="1:2" x14ac:dyDescent="0.25">
      <c r="A7951" s="62">
        <v>41116301</v>
      </c>
      <c r="B7951" s="63" t="s">
        <v>8609</v>
      </c>
    </row>
    <row r="7952" spans="1:2" x14ac:dyDescent="0.25">
      <c r="A7952" s="62">
        <v>41116401</v>
      </c>
      <c r="B7952" s="63" t="s">
        <v>8610</v>
      </c>
    </row>
    <row r="7953" spans="1:2" x14ac:dyDescent="0.25">
      <c r="A7953" s="62">
        <v>41116501</v>
      </c>
      <c r="B7953" s="63" t="s">
        <v>8611</v>
      </c>
    </row>
    <row r="7954" spans="1:2" x14ac:dyDescent="0.25">
      <c r="A7954" s="62">
        <v>41121501</v>
      </c>
      <c r="B7954" s="63" t="s">
        <v>8612</v>
      </c>
    </row>
    <row r="7955" spans="1:2" x14ac:dyDescent="0.25">
      <c r="A7955" s="62">
        <v>41121502</v>
      </c>
      <c r="B7955" s="63" t="s">
        <v>8613</v>
      </c>
    </row>
    <row r="7956" spans="1:2" x14ac:dyDescent="0.25">
      <c r="A7956" s="62">
        <v>41121503</v>
      </c>
      <c r="B7956" s="63" t="s">
        <v>8614</v>
      </c>
    </row>
    <row r="7957" spans="1:2" x14ac:dyDescent="0.25">
      <c r="A7957" s="62">
        <v>41121504</v>
      </c>
      <c r="B7957" s="63" t="s">
        <v>8615</v>
      </c>
    </row>
    <row r="7958" spans="1:2" x14ac:dyDescent="0.25">
      <c r="A7958" s="62">
        <v>41121505</v>
      </c>
      <c r="B7958" s="63" t="s">
        <v>8616</v>
      </c>
    </row>
    <row r="7959" spans="1:2" x14ac:dyDescent="0.25">
      <c r="A7959" s="62">
        <v>41121506</v>
      </c>
      <c r="B7959" s="63" t="s">
        <v>8617</v>
      </c>
    </row>
    <row r="7960" spans="1:2" x14ac:dyDescent="0.25">
      <c r="A7960" s="62">
        <v>41121507</v>
      </c>
      <c r="B7960" s="63" t="s">
        <v>8618</v>
      </c>
    </row>
    <row r="7961" spans="1:2" x14ac:dyDescent="0.25">
      <c r="A7961" s="62">
        <v>41121508</v>
      </c>
      <c r="B7961" s="63" t="s">
        <v>8619</v>
      </c>
    </row>
    <row r="7962" spans="1:2" x14ac:dyDescent="0.25">
      <c r="A7962" s="62">
        <v>41121509</v>
      </c>
      <c r="B7962" s="63" t="s">
        <v>8620</v>
      </c>
    </row>
    <row r="7963" spans="1:2" x14ac:dyDescent="0.25">
      <c r="A7963" s="62">
        <v>41121510</v>
      </c>
      <c r="B7963" s="63" t="s">
        <v>8621</v>
      </c>
    </row>
    <row r="7964" spans="1:2" x14ac:dyDescent="0.25">
      <c r="A7964" s="62">
        <v>41121511</v>
      </c>
      <c r="B7964" s="63" t="s">
        <v>8622</v>
      </c>
    </row>
    <row r="7965" spans="1:2" x14ac:dyDescent="0.25">
      <c r="A7965" s="62">
        <v>41121513</v>
      </c>
      <c r="B7965" s="63" t="s">
        <v>8623</v>
      </c>
    </row>
    <row r="7966" spans="1:2" x14ac:dyDescent="0.25">
      <c r="A7966" s="62">
        <v>41121514</v>
      </c>
      <c r="B7966" s="63" t="s">
        <v>8624</v>
      </c>
    </row>
    <row r="7967" spans="1:2" x14ac:dyDescent="0.25">
      <c r="A7967" s="62">
        <v>41121515</v>
      </c>
      <c r="B7967" s="63" t="s">
        <v>8625</v>
      </c>
    </row>
    <row r="7968" spans="1:2" x14ac:dyDescent="0.25">
      <c r="A7968" s="62">
        <v>41121516</v>
      </c>
      <c r="B7968" s="63" t="s">
        <v>8626</v>
      </c>
    </row>
    <row r="7969" spans="1:2" x14ac:dyDescent="0.25">
      <c r="A7969" s="62">
        <v>41121517</v>
      </c>
      <c r="B7969" s="63" t="s">
        <v>8627</v>
      </c>
    </row>
    <row r="7970" spans="1:2" x14ac:dyDescent="0.25">
      <c r="A7970" s="62">
        <v>41121601</v>
      </c>
      <c r="B7970" s="63" t="s">
        <v>8628</v>
      </c>
    </row>
    <row r="7971" spans="1:2" x14ac:dyDescent="0.25">
      <c r="A7971" s="62">
        <v>41121602</v>
      </c>
      <c r="B7971" s="63" t="s">
        <v>8629</v>
      </c>
    </row>
    <row r="7972" spans="1:2" x14ac:dyDescent="0.25">
      <c r="A7972" s="62">
        <v>41121603</v>
      </c>
      <c r="B7972" s="63" t="s">
        <v>8630</v>
      </c>
    </row>
    <row r="7973" spans="1:2" x14ac:dyDescent="0.25">
      <c r="A7973" s="62">
        <v>41121604</v>
      </c>
      <c r="B7973" s="63" t="s">
        <v>8631</v>
      </c>
    </row>
    <row r="7974" spans="1:2" x14ac:dyDescent="0.25">
      <c r="A7974" s="62">
        <v>41121605</v>
      </c>
      <c r="B7974" s="63" t="s">
        <v>8632</v>
      </c>
    </row>
    <row r="7975" spans="1:2" x14ac:dyDescent="0.25">
      <c r="A7975" s="62">
        <v>41121606</v>
      </c>
      <c r="B7975" s="63" t="s">
        <v>8633</v>
      </c>
    </row>
    <row r="7976" spans="1:2" x14ac:dyDescent="0.25">
      <c r="A7976" s="62">
        <v>41121607</v>
      </c>
      <c r="B7976" s="63" t="s">
        <v>8634</v>
      </c>
    </row>
    <row r="7977" spans="1:2" x14ac:dyDescent="0.25">
      <c r="A7977" s="62">
        <v>41121608</v>
      </c>
      <c r="B7977" s="63" t="s">
        <v>8635</v>
      </c>
    </row>
    <row r="7978" spans="1:2" x14ac:dyDescent="0.25">
      <c r="A7978" s="62">
        <v>41121609</v>
      </c>
      <c r="B7978" s="63" t="s">
        <v>8636</v>
      </c>
    </row>
    <row r="7979" spans="1:2" x14ac:dyDescent="0.25">
      <c r="A7979" s="62">
        <v>41121701</v>
      </c>
      <c r="B7979" s="63" t="s">
        <v>8637</v>
      </c>
    </row>
    <row r="7980" spans="1:2" x14ac:dyDescent="0.25">
      <c r="A7980" s="62">
        <v>41121702</v>
      </c>
      <c r="B7980" s="63" t="s">
        <v>8638</v>
      </c>
    </row>
    <row r="7981" spans="1:2" x14ac:dyDescent="0.25">
      <c r="A7981" s="62">
        <v>41121703</v>
      </c>
      <c r="B7981" s="63" t="s">
        <v>8639</v>
      </c>
    </row>
    <row r="7982" spans="1:2" x14ac:dyDescent="0.25">
      <c r="A7982" s="62">
        <v>41121704</v>
      </c>
      <c r="B7982" s="63" t="s">
        <v>8640</v>
      </c>
    </row>
    <row r="7983" spans="1:2" x14ac:dyDescent="0.25">
      <c r="A7983" s="62">
        <v>41121705</v>
      </c>
      <c r="B7983" s="63" t="s">
        <v>8641</v>
      </c>
    </row>
    <row r="7984" spans="1:2" x14ac:dyDescent="0.25">
      <c r="A7984" s="62">
        <v>41121706</v>
      </c>
      <c r="B7984" s="63" t="s">
        <v>8642</v>
      </c>
    </row>
    <row r="7985" spans="1:2" x14ac:dyDescent="0.25">
      <c r="A7985" s="62">
        <v>41121707</v>
      </c>
      <c r="B7985" s="63" t="s">
        <v>8643</v>
      </c>
    </row>
    <row r="7986" spans="1:2" x14ac:dyDescent="0.25">
      <c r="A7986" s="62">
        <v>41121708</v>
      </c>
      <c r="B7986" s="63" t="s">
        <v>8644</v>
      </c>
    </row>
    <row r="7987" spans="1:2" x14ac:dyDescent="0.25">
      <c r="A7987" s="62">
        <v>41121709</v>
      </c>
      <c r="B7987" s="63" t="s">
        <v>8645</v>
      </c>
    </row>
    <row r="7988" spans="1:2" x14ac:dyDescent="0.25">
      <c r="A7988" s="62">
        <v>41121710</v>
      </c>
      <c r="B7988" s="63" t="s">
        <v>8646</v>
      </c>
    </row>
    <row r="7989" spans="1:2" x14ac:dyDescent="0.25">
      <c r="A7989" s="62">
        <v>41121711</v>
      </c>
      <c r="B7989" s="63" t="s">
        <v>8647</v>
      </c>
    </row>
    <row r="7990" spans="1:2" x14ac:dyDescent="0.25">
      <c r="A7990" s="62">
        <v>41121801</v>
      </c>
      <c r="B7990" s="63" t="s">
        <v>8648</v>
      </c>
    </row>
    <row r="7991" spans="1:2" x14ac:dyDescent="0.25">
      <c r="A7991" s="62">
        <v>41121802</v>
      </c>
      <c r="B7991" s="63" t="s">
        <v>8649</v>
      </c>
    </row>
    <row r="7992" spans="1:2" x14ac:dyDescent="0.25">
      <c r="A7992" s="62">
        <v>41121803</v>
      </c>
      <c r="B7992" s="63" t="s">
        <v>8650</v>
      </c>
    </row>
    <row r="7993" spans="1:2" x14ac:dyDescent="0.25">
      <c r="A7993" s="62">
        <v>41121804</v>
      </c>
      <c r="B7993" s="63" t="s">
        <v>8651</v>
      </c>
    </row>
    <row r="7994" spans="1:2" x14ac:dyDescent="0.25">
      <c r="A7994" s="62">
        <v>41121805</v>
      </c>
      <c r="B7994" s="63" t="s">
        <v>8652</v>
      </c>
    </row>
    <row r="7995" spans="1:2" x14ac:dyDescent="0.25">
      <c r="A7995" s="62">
        <v>41121806</v>
      </c>
      <c r="B7995" s="63" t="s">
        <v>8653</v>
      </c>
    </row>
    <row r="7996" spans="1:2" x14ac:dyDescent="0.25">
      <c r="A7996" s="62">
        <v>41121807</v>
      </c>
      <c r="B7996" s="63" t="s">
        <v>8654</v>
      </c>
    </row>
    <row r="7997" spans="1:2" x14ac:dyDescent="0.25">
      <c r="A7997" s="62">
        <v>41121808</v>
      </c>
      <c r="B7997" s="63" t="s">
        <v>8655</v>
      </c>
    </row>
    <row r="7998" spans="1:2" x14ac:dyDescent="0.25">
      <c r="A7998" s="62">
        <v>41121809</v>
      </c>
      <c r="B7998" s="63" t="s">
        <v>8656</v>
      </c>
    </row>
    <row r="7999" spans="1:2" x14ac:dyDescent="0.25">
      <c r="A7999" s="62">
        <v>41121810</v>
      </c>
      <c r="B7999" s="63" t="s">
        <v>8657</v>
      </c>
    </row>
    <row r="8000" spans="1:2" x14ac:dyDescent="0.25">
      <c r="A8000" s="62">
        <v>41121811</v>
      </c>
      <c r="B8000" s="63" t="s">
        <v>8658</v>
      </c>
    </row>
    <row r="8001" spans="1:2" x14ac:dyDescent="0.25">
      <c r="A8001" s="62">
        <v>41121812</v>
      </c>
      <c r="B8001" s="63" t="s">
        <v>8659</v>
      </c>
    </row>
    <row r="8002" spans="1:2" x14ac:dyDescent="0.25">
      <c r="A8002" s="62">
        <v>41121813</v>
      </c>
      <c r="B8002" s="63" t="s">
        <v>8660</v>
      </c>
    </row>
    <row r="8003" spans="1:2" x14ac:dyDescent="0.25">
      <c r="A8003" s="62">
        <v>41121814</v>
      </c>
      <c r="B8003" s="63" t="s">
        <v>8661</v>
      </c>
    </row>
    <row r="8004" spans="1:2" x14ac:dyDescent="0.25">
      <c r="A8004" s="62">
        <v>41121815</v>
      </c>
      <c r="B8004" s="63" t="s">
        <v>8662</v>
      </c>
    </row>
    <row r="8005" spans="1:2" x14ac:dyDescent="0.25">
      <c r="A8005" s="62">
        <v>41122001</v>
      </c>
      <c r="B8005" s="63" t="s">
        <v>8663</v>
      </c>
    </row>
    <row r="8006" spans="1:2" x14ac:dyDescent="0.25">
      <c r="A8006" s="62">
        <v>41122002</v>
      </c>
      <c r="B8006" s="63" t="s">
        <v>8664</v>
      </c>
    </row>
    <row r="8007" spans="1:2" x14ac:dyDescent="0.25">
      <c r="A8007" s="62">
        <v>41122003</v>
      </c>
      <c r="B8007" s="63" t="s">
        <v>8665</v>
      </c>
    </row>
    <row r="8008" spans="1:2" x14ac:dyDescent="0.25">
      <c r="A8008" s="62">
        <v>41122004</v>
      </c>
      <c r="B8008" s="63" t="s">
        <v>8666</v>
      </c>
    </row>
    <row r="8009" spans="1:2" x14ac:dyDescent="0.25">
      <c r="A8009" s="62">
        <v>41122101</v>
      </c>
      <c r="B8009" s="63" t="s">
        <v>8667</v>
      </c>
    </row>
    <row r="8010" spans="1:2" x14ac:dyDescent="0.25">
      <c r="A8010" s="62">
        <v>41122102</v>
      </c>
      <c r="B8010" s="63" t="s">
        <v>8668</v>
      </c>
    </row>
    <row r="8011" spans="1:2" x14ac:dyDescent="0.25">
      <c r="A8011" s="62">
        <v>41122103</v>
      </c>
      <c r="B8011" s="63" t="s">
        <v>8669</v>
      </c>
    </row>
    <row r="8012" spans="1:2" x14ac:dyDescent="0.25">
      <c r="A8012" s="62">
        <v>41122104</v>
      </c>
      <c r="B8012" s="63" t="s">
        <v>8670</v>
      </c>
    </row>
    <row r="8013" spans="1:2" x14ac:dyDescent="0.25">
      <c r="A8013" s="62">
        <v>41122105</v>
      </c>
      <c r="B8013" s="63" t="s">
        <v>8671</v>
      </c>
    </row>
    <row r="8014" spans="1:2" x14ac:dyDescent="0.25">
      <c r="A8014" s="62">
        <v>41122106</v>
      </c>
      <c r="B8014" s="63" t="s">
        <v>8672</v>
      </c>
    </row>
    <row r="8015" spans="1:2" x14ac:dyDescent="0.25">
      <c r="A8015" s="62">
        <v>41122107</v>
      </c>
      <c r="B8015" s="63" t="s">
        <v>8673</v>
      </c>
    </row>
    <row r="8016" spans="1:2" x14ac:dyDescent="0.25">
      <c r="A8016" s="62">
        <v>41122108</v>
      </c>
      <c r="B8016" s="63" t="s">
        <v>8674</v>
      </c>
    </row>
    <row r="8017" spans="1:2" x14ac:dyDescent="0.25">
      <c r="A8017" s="62">
        <v>41122109</v>
      </c>
      <c r="B8017" s="63" t="s">
        <v>8675</v>
      </c>
    </row>
    <row r="8018" spans="1:2" x14ac:dyDescent="0.25">
      <c r="A8018" s="62">
        <v>41122110</v>
      </c>
      <c r="B8018" s="63" t="s">
        <v>8676</v>
      </c>
    </row>
    <row r="8019" spans="1:2" x14ac:dyDescent="0.25">
      <c r="A8019" s="62">
        <v>41122201</v>
      </c>
      <c r="B8019" s="63" t="s">
        <v>8677</v>
      </c>
    </row>
    <row r="8020" spans="1:2" x14ac:dyDescent="0.25">
      <c r="A8020" s="62">
        <v>41122202</v>
      </c>
      <c r="B8020" s="63" t="s">
        <v>8678</v>
      </c>
    </row>
    <row r="8021" spans="1:2" x14ac:dyDescent="0.25">
      <c r="A8021" s="62">
        <v>41122203</v>
      </c>
      <c r="B8021" s="63" t="s">
        <v>8679</v>
      </c>
    </row>
    <row r="8022" spans="1:2" x14ac:dyDescent="0.25">
      <c r="A8022" s="62">
        <v>41122301</v>
      </c>
      <c r="B8022" s="63" t="s">
        <v>8680</v>
      </c>
    </row>
    <row r="8023" spans="1:2" x14ac:dyDescent="0.25">
      <c r="A8023" s="62">
        <v>41122401</v>
      </c>
      <c r="B8023" s="63" t="s">
        <v>8681</v>
      </c>
    </row>
    <row r="8024" spans="1:2" x14ac:dyDescent="0.25">
      <c r="A8024" s="62">
        <v>41122402</v>
      </c>
      <c r="B8024" s="63" t="s">
        <v>8682</v>
      </c>
    </row>
    <row r="8025" spans="1:2" x14ac:dyDescent="0.25">
      <c r="A8025" s="62">
        <v>41122403</v>
      </c>
      <c r="B8025" s="63" t="s">
        <v>8683</v>
      </c>
    </row>
    <row r="8026" spans="1:2" x14ac:dyDescent="0.25">
      <c r="A8026" s="62">
        <v>41122404</v>
      </c>
      <c r="B8026" s="63" t="s">
        <v>8684</v>
      </c>
    </row>
    <row r="8027" spans="1:2" x14ac:dyDescent="0.25">
      <c r="A8027" s="62">
        <v>41122405</v>
      </c>
      <c r="B8027" s="63" t="s">
        <v>8685</v>
      </c>
    </row>
    <row r="8028" spans="1:2" x14ac:dyDescent="0.25">
      <c r="A8028" s="62">
        <v>41122406</v>
      </c>
      <c r="B8028" s="63" t="s">
        <v>8686</v>
      </c>
    </row>
    <row r="8029" spans="1:2" x14ac:dyDescent="0.25">
      <c r="A8029" s="62">
        <v>41122407</v>
      </c>
      <c r="B8029" s="63" t="s">
        <v>8687</v>
      </c>
    </row>
    <row r="8030" spans="1:2" x14ac:dyDescent="0.25">
      <c r="A8030" s="62">
        <v>41122408</v>
      </c>
      <c r="B8030" s="63" t="s">
        <v>8688</v>
      </c>
    </row>
    <row r="8031" spans="1:2" x14ac:dyDescent="0.25">
      <c r="A8031" s="62">
        <v>41122409</v>
      </c>
      <c r="B8031" s="63" t="s">
        <v>8689</v>
      </c>
    </row>
    <row r="8032" spans="1:2" x14ac:dyDescent="0.25">
      <c r="A8032" s="62">
        <v>41122410</v>
      </c>
      <c r="B8032" s="63" t="s">
        <v>8690</v>
      </c>
    </row>
    <row r="8033" spans="1:2" x14ac:dyDescent="0.25">
      <c r="A8033" s="62">
        <v>41122411</v>
      </c>
      <c r="B8033" s="63" t="s">
        <v>8691</v>
      </c>
    </row>
    <row r="8034" spans="1:2" x14ac:dyDescent="0.25">
      <c r="A8034" s="62">
        <v>41122412</v>
      </c>
      <c r="B8034" s="63" t="s">
        <v>8692</v>
      </c>
    </row>
    <row r="8035" spans="1:2" x14ac:dyDescent="0.25">
      <c r="A8035" s="62">
        <v>41122413</v>
      </c>
      <c r="B8035" s="63" t="s">
        <v>8693</v>
      </c>
    </row>
    <row r="8036" spans="1:2" x14ac:dyDescent="0.25">
      <c r="A8036" s="62">
        <v>41122501</v>
      </c>
      <c r="B8036" s="63" t="s">
        <v>8694</v>
      </c>
    </row>
    <row r="8037" spans="1:2" x14ac:dyDescent="0.25">
      <c r="A8037" s="62">
        <v>41122502</v>
      </c>
      <c r="B8037" s="63" t="s">
        <v>8695</v>
      </c>
    </row>
    <row r="8038" spans="1:2" x14ac:dyDescent="0.25">
      <c r="A8038" s="62">
        <v>41122503</v>
      </c>
      <c r="B8038" s="63" t="s">
        <v>8696</v>
      </c>
    </row>
    <row r="8039" spans="1:2" x14ac:dyDescent="0.25">
      <c r="A8039" s="62">
        <v>41122601</v>
      </c>
      <c r="B8039" s="63" t="s">
        <v>8697</v>
      </c>
    </row>
    <row r="8040" spans="1:2" x14ac:dyDescent="0.25">
      <c r="A8040" s="62">
        <v>41122602</v>
      </c>
      <c r="B8040" s="63" t="s">
        <v>8698</v>
      </c>
    </row>
    <row r="8041" spans="1:2" x14ac:dyDescent="0.25">
      <c r="A8041" s="62">
        <v>41122603</v>
      </c>
      <c r="B8041" s="63" t="s">
        <v>8699</v>
      </c>
    </row>
    <row r="8042" spans="1:2" x14ac:dyDescent="0.25">
      <c r="A8042" s="62">
        <v>41122604</v>
      </c>
      <c r="B8042" s="63" t="s">
        <v>8700</v>
      </c>
    </row>
    <row r="8043" spans="1:2" x14ac:dyDescent="0.25">
      <c r="A8043" s="62">
        <v>41122605</v>
      </c>
      <c r="B8043" s="63" t="s">
        <v>8701</v>
      </c>
    </row>
    <row r="8044" spans="1:2" x14ac:dyDescent="0.25">
      <c r="A8044" s="62">
        <v>41122606</v>
      </c>
      <c r="B8044" s="63" t="s">
        <v>8702</v>
      </c>
    </row>
    <row r="8045" spans="1:2" x14ac:dyDescent="0.25">
      <c r="A8045" s="62">
        <v>41122701</v>
      </c>
      <c r="B8045" s="63" t="s">
        <v>8703</v>
      </c>
    </row>
    <row r="8046" spans="1:2" x14ac:dyDescent="0.25">
      <c r="A8046" s="62">
        <v>41122702</v>
      </c>
      <c r="B8046" s="63" t="s">
        <v>8704</v>
      </c>
    </row>
    <row r="8047" spans="1:2" x14ac:dyDescent="0.25">
      <c r="A8047" s="62">
        <v>41122703</v>
      </c>
      <c r="B8047" s="63" t="s">
        <v>8705</v>
      </c>
    </row>
    <row r="8048" spans="1:2" x14ac:dyDescent="0.25">
      <c r="A8048" s="62">
        <v>41122704</v>
      </c>
      <c r="B8048" s="63" t="s">
        <v>8706</v>
      </c>
    </row>
    <row r="8049" spans="1:2" x14ac:dyDescent="0.25">
      <c r="A8049" s="62">
        <v>41122801</v>
      </c>
      <c r="B8049" s="63" t="s">
        <v>8707</v>
      </c>
    </row>
    <row r="8050" spans="1:2" x14ac:dyDescent="0.25">
      <c r="A8050" s="62">
        <v>41122802</v>
      </c>
      <c r="B8050" s="63" t="s">
        <v>8708</v>
      </c>
    </row>
    <row r="8051" spans="1:2" x14ac:dyDescent="0.25">
      <c r="A8051" s="62">
        <v>41122803</v>
      </c>
      <c r="B8051" s="63" t="s">
        <v>8709</v>
      </c>
    </row>
    <row r="8052" spans="1:2" x14ac:dyDescent="0.25">
      <c r="A8052" s="62">
        <v>41122804</v>
      </c>
      <c r="B8052" s="63" t="s">
        <v>8710</v>
      </c>
    </row>
    <row r="8053" spans="1:2" x14ac:dyDescent="0.25">
      <c r="A8053" s="62">
        <v>41122805</v>
      </c>
      <c r="B8053" s="63" t="s">
        <v>8711</v>
      </c>
    </row>
    <row r="8054" spans="1:2" x14ac:dyDescent="0.25">
      <c r="A8054" s="62">
        <v>41122806</v>
      </c>
      <c r="B8054" s="63" t="s">
        <v>8712</v>
      </c>
    </row>
    <row r="8055" spans="1:2" x14ac:dyDescent="0.25">
      <c r="A8055" s="62">
        <v>41122807</v>
      </c>
      <c r="B8055" s="63" t="s">
        <v>8713</v>
      </c>
    </row>
    <row r="8056" spans="1:2" x14ac:dyDescent="0.25">
      <c r="A8056" s="62">
        <v>41122808</v>
      </c>
      <c r="B8056" s="63" t="s">
        <v>8714</v>
      </c>
    </row>
    <row r="8057" spans="1:2" x14ac:dyDescent="0.25">
      <c r="A8057" s="62">
        <v>41122809</v>
      </c>
      <c r="B8057" s="63" t="s">
        <v>8715</v>
      </c>
    </row>
    <row r="8058" spans="1:2" x14ac:dyDescent="0.25">
      <c r="A8058" s="62">
        <v>41123001</v>
      </c>
      <c r="B8058" s="63" t="s">
        <v>8716</v>
      </c>
    </row>
    <row r="8059" spans="1:2" x14ac:dyDescent="0.25">
      <c r="A8059" s="62">
        <v>41123002</v>
      </c>
      <c r="B8059" s="63" t="s">
        <v>8717</v>
      </c>
    </row>
    <row r="8060" spans="1:2" x14ac:dyDescent="0.25">
      <c r="A8060" s="62">
        <v>41123003</v>
      </c>
      <c r="B8060" s="63" t="s">
        <v>8718</v>
      </c>
    </row>
    <row r="8061" spans="1:2" x14ac:dyDescent="0.25">
      <c r="A8061" s="62">
        <v>41123004</v>
      </c>
      <c r="B8061" s="63" t="s">
        <v>8719</v>
      </c>
    </row>
    <row r="8062" spans="1:2" x14ac:dyDescent="0.25">
      <c r="A8062" s="62">
        <v>41123101</v>
      </c>
      <c r="B8062" s="63" t="s">
        <v>8720</v>
      </c>
    </row>
    <row r="8063" spans="1:2" x14ac:dyDescent="0.25">
      <c r="A8063" s="62">
        <v>41123102</v>
      </c>
      <c r="B8063" s="63" t="s">
        <v>8721</v>
      </c>
    </row>
    <row r="8064" spans="1:2" x14ac:dyDescent="0.25">
      <c r="A8064" s="62">
        <v>41123201</v>
      </c>
      <c r="B8064" s="63" t="s">
        <v>8722</v>
      </c>
    </row>
    <row r="8065" spans="1:2" x14ac:dyDescent="0.25">
      <c r="A8065" s="62">
        <v>41123202</v>
      </c>
      <c r="B8065" s="63" t="s">
        <v>8723</v>
      </c>
    </row>
    <row r="8066" spans="1:2" x14ac:dyDescent="0.25">
      <c r="A8066" s="62">
        <v>41123302</v>
      </c>
      <c r="B8066" s="63" t="s">
        <v>8724</v>
      </c>
    </row>
    <row r="8067" spans="1:2" x14ac:dyDescent="0.25">
      <c r="A8067" s="62">
        <v>41123303</v>
      </c>
      <c r="B8067" s="63" t="s">
        <v>8725</v>
      </c>
    </row>
    <row r="8068" spans="1:2" x14ac:dyDescent="0.25">
      <c r="A8068" s="62">
        <v>41123304</v>
      </c>
      <c r="B8068" s="63" t="s">
        <v>8726</v>
      </c>
    </row>
    <row r="8069" spans="1:2" x14ac:dyDescent="0.25">
      <c r="A8069" s="62">
        <v>41123305</v>
      </c>
      <c r="B8069" s="63" t="s">
        <v>8727</v>
      </c>
    </row>
    <row r="8070" spans="1:2" x14ac:dyDescent="0.25">
      <c r="A8070" s="62">
        <v>41123401</v>
      </c>
      <c r="B8070" s="63" t="s">
        <v>8728</v>
      </c>
    </row>
    <row r="8071" spans="1:2" x14ac:dyDescent="0.25">
      <c r="A8071" s="62">
        <v>41123402</v>
      </c>
      <c r="B8071" s="63" t="s">
        <v>8729</v>
      </c>
    </row>
    <row r="8072" spans="1:2" x14ac:dyDescent="0.25">
      <c r="A8072" s="62">
        <v>41123403</v>
      </c>
      <c r="B8072" s="63" t="s">
        <v>8730</v>
      </c>
    </row>
    <row r="8073" spans="1:2" x14ac:dyDescent="0.25">
      <c r="A8073" s="62">
        <v>42121501</v>
      </c>
      <c r="B8073" s="63" t="s">
        <v>8731</v>
      </c>
    </row>
    <row r="8074" spans="1:2" x14ac:dyDescent="0.25">
      <c r="A8074" s="62">
        <v>42121502</v>
      </c>
      <c r="B8074" s="63" t="s">
        <v>8732</v>
      </c>
    </row>
    <row r="8075" spans="1:2" x14ac:dyDescent="0.25">
      <c r="A8075" s="62">
        <v>42121503</v>
      </c>
      <c r="B8075" s="63" t="s">
        <v>8733</v>
      </c>
    </row>
    <row r="8076" spans="1:2" x14ac:dyDescent="0.25">
      <c r="A8076" s="62">
        <v>42121504</v>
      </c>
      <c r="B8076" s="63" t="s">
        <v>8734</v>
      </c>
    </row>
    <row r="8077" spans="1:2" x14ac:dyDescent="0.25">
      <c r="A8077" s="62">
        <v>42121505</v>
      </c>
      <c r="B8077" s="63" t="s">
        <v>8735</v>
      </c>
    </row>
    <row r="8078" spans="1:2" x14ac:dyDescent="0.25">
      <c r="A8078" s="62">
        <v>42121506</v>
      </c>
      <c r="B8078" s="63" t="s">
        <v>8736</v>
      </c>
    </row>
    <row r="8079" spans="1:2" x14ac:dyDescent="0.25">
      <c r="A8079" s="62">
        <v>42121507</v>
      </c>
      <c r="B8079" s="63" t="s">
        <v>8737</v>
      </c>
    </row>
    <row r="8080" spans="1:2" x14ac:dyDescent="0.25">
      <c r="A8080" s="62">
        <v>42121508</v>
      </c>
      <c r="B8080" s="63" t="s">
        <v>8738</v>
      </c>
    </row>
    <row r="8081" spans="1:2" x14ac:dyDescent="0.25">
      <c r="A8081" s="62">
        <v>42121509</v>
      </c>
      <c r="B8081" s="63" t="s">
        <v>8739</v>
      </c>
    </row>
    <row r="8082" spans="1:2" x14ac:dyDescent="0.25">
      <c r="A8082" s="62">
        <v>42121510</v>
      </c>
      <c r="B8082" s="63" t="s">
        <v>8740</v>
      </c>
    </row>
    <row r="8083" spans="1:2" x14ac:dyDescent="0.25">
      <c r="A8083" s="62">
        <v>42121511</v>
      </c>
      <c r="B8083" s="63" t="s">
        <v>8741</v>
      </c>
    </row>
    <row r="8084" spans="1:2" x14ac:dyDescent="0.25">
      <c r="A8084" s="62">
        <v>42121512</v>
      </c>
      <c r="B8084" s="63" t="s">
        <v>8742</v>
      </c>
    </row>
    <row r="8085" spans="1:2" x14ac:dyDescent="0.25">
      <c r="A8085" s="62">
        <v>42121513</v>
      </c>
      <c r="B8085" s="63" t="s">
        <v>8743</v>
      </c>
    </row>
    <row r="8086" spans="1:2" x14ac:dyDescent="0.25">
      <c r="A8086" s="62">
        <v>42121514</v>
      </c>
      <c r="B8086" s="63" t="s">
        <v>8744</v>
      </c>
    </row>
    <row r="8087" spans="1:2" x14ac:dyDescent="0.25">
      <c r="A8087" s="62">
        <v>42121515</v>
      </c>
      <c r="B8087" s="63" t="s">
        <v>8745</v>
      </c>
    </row>
    <row r="8088" spans="1:2" x14ac:dyDescent="0.25">
      <c r="A8088" s="62">
        <v>42121601</v>
      </c>
      <c r="B8088" s="63" t="s">
        <v>8746</v>
      </c>
    </row>
    <row r="8089" spans="1:2" x14ac:dyDescent="0.25">
      <c r="A8089" s="62">
        <v>42121602</v>
      </c>
      <c r="B8089" s="63" t="s">
        <v>8747</v>
      </c>
    </row>
    <row r="8090" spans="1:2" x14ac:dyDescent="0.25">
      <c r="A8090" s="62">
        <v>42121603</v>
      </c>
      <c r="B8090" s="63" t="s">
        <v>8748</v>
      </c>
    </row>
    <row r="8091" spans="1:2" x14ac:dyDescent="0.25">
      <c r="A8091" s="62">
        <v>42121604</v>
      </c>
      <c r="B8091" s="63" t="s">
        <v>8749</v>
      </c>
    </row>
    <row r="8092" spans="1:2" x14ac:dyDescent="0.25">
      <c r="A8092" s="62">
        <v>42121605</v>
      </c>
      <c r="B8092" s="63" t="s">
        <v>8750</v>
      </c>
    </row>
    <row r="8093" spans="1:2" x14ac:dyDescent="0.25">
      <c r="A8093" s="62">
        <v>42121606</v>
      </c>
      <c r="B8093" s="63" t="s">
        <v>8751</v>
      </c>
    </row>
    <row r="8094" spans="1:2" x14ac:dyDescent="0.25">
      <c r="A8094" s="62">
        <v>42121607</v>
      </c>
      <c r="B8094" s="63" t="s">
        <v>8752</v>
      </c>
    </row>
    <row r="8095" spans="1:2" x14ac:dyDescent="0.25">
      <c r="A8095" s="62">
        <v>42121608</v>
      </c>
      <c r="B8095" s="63" t="s">
        <v>8753</v>
      </c>
    </row>
    <row r="8096" spans="1:2" x14ac:dyDescent="0.25">
      <c r="A8096" s="62">
        <v>42121701</v>
      </c>
      <c r="B8096" s="63" t="s">
        <v>8754</v>
      </c>
    </row>
    <row r="8097" spans="1:2" x14ac:dyDescent="0.25">
      <c r="A8097" s="62">
        <v>42121702</v>
      </c>
      <c r="B8097" s="63" t="s">
        <v>8755</v>
      </c>
    </row>
    <row r="8098" spans="1:2" x14ac:dyDescent="0.25">
      <c r="A8098" s="62">
        <v>42131501</v>
      </c>
      <c r="B8098" s="63" t="s">
        <v>8756</v>
      </c>
    </row>
    <row r="8099" spans="1:2" x14ac:dyDescent="0.25">
      <c r="A8099" s="62">
        <v>42131502</v>
      </c>
      <c r="B8099" s="63" t="s">
        <v>8757</v>
      </c>
    </row>
    <row r="8100" spans="1:2" x14ac:dyDescent="0.25">
      <c r="A8100" s="62">
        <v>42131503</v>
      </c>
      <c r="B8100" s="63" t="s">
        <v>8758</v>
      </c>
    </row>
    <row r="8101" spans="1:2" x14ac:dyDescent="0.25">
      <c r="A8101" s="62">
        <v>42131504</v>
      </c>
      <c r="B8101" s="63" t="s">
        <v>8759</v>
      </c>
    </row>
    <row r="8102" spans="1:2" x14ac:dyDescent="0.25">
      <c r="A8102" s="62">
        <v>42131505</v>
      </c>
      <c r="B8102" s="63" t="s">
        <v>8760</v>
      </c>
    </row>
    <row r="8103" spans="1:2" x14ac:dyDescent="0.25">
      <c r="A8103" s="62">
        <v>42131506</v>
      </c>
      <c r="B8103" s="63" t="s">
        <v>8761</v>
      </c>
    </row>
    <row r="8104" spans="1:2" x14ac:dyDescent="0.25">
      <c r="A8104" s="62">
        <v>42131507</v>
      </c>
      <c r="B8104" s="63" t="s">
        <v>8762</v>
      </c>
    </row>
    <row r="8105" spans="1:2" x14ac:dyDescent="0.25">
      <c r="A8105" s="62">
        <v>42131508</v>
      </c>
      <c r="B8105" s="63" t="s">
        <v>8763</v>
      </c>
    </row>
    <row r="8106" spans="1:2" x14ac:dyDescent="0.25">
      <c r="A8106" s="62">
        <v>42131509</v>
      </c>
      <c r="B8106" s="63" t="s">
        <v>8764</v>
      </c>
    </row>
    <row r="8107" spans="1:2" x14ac:dyDescent="0.25">
      <c r="A8107" s="62">
        <v>42131510</v>
      </c>
      <c r="B8107" s="63" t="s">
        <v>8765</v>
      </c>
    </row>
    <row r="8108" spans="1:2" x14ac:dyDescent="0.25">
      <c r="A8108" s="62">
        <v>42131601</v>
      </c>
      <c r="B8108" s="63" t="s">
        <v>8766</v>
      </c>
    </row>
    <row r="8109" spans="1:2" x14ac:dyDescent="0.25">
      <c r="A8109" s="62">
        <v>42131602</v>
      </c>
      <c r="B8109" s="63" t="s">
        <v>8767</v>
      </c>
    </row>
    <row r="8110" spans="1:2" x14ac:dyDescent="0.25">
      <c r="A8110" s="62">
        <v>42131603</v>
      </c>
      <c r="B8110" s="63" t="s">
        <v>8768</v>
      </c>
    </row>
    <row r="8111" spans="1:2" x14ac:dyDescent="0.25">
      <c r="A8111" s="62">
        <v>42131604</v>
      </c>
      <c r="B8111" s="63" t="s">
        <v>8769</v>
      </c>
    </row>
    <row r="8112" spans="1:2" x14ac:dyDescent="0.25">
      <c r="A8112" s="62">
        <v>42131605</v>
      </c>
      <c r="B8112" s="63" t="s">
        <v>8770</v>
      </c>
    </row>
    <row r="8113" spans="1:2" x14ac:dyDescent="0.25">
      <c r="A8113" s="62">
        <v>42131606</v>
      </c>
      <c r="B8113" s="63" t="s">
        <v>8771</v>
      </c>
    </row>
    <row r="8114" spans="1:2" x14ac:dyDescent="0.25">
      <c r="A8114" s="62">
        <v>42131607</v>
      </c>
      <c r="B8114" s="63" t="s">
        <v>8772</v>
      </c>
    </row>
    <row r="8115" spans="1:2" x14ac:dyDescent="0.25">
      <c r="A8115" s="62">
        <v>42131608</v>
      </c>
      <c r="B8115" s="63" t="s">
        <v>8773</v>
      </c>
    </row>
    <row r="8116" spans="1:2" x14ac:dyDescent="0.25">
      <c r="A8116" s="62">
        <v>42131609</v>
      </c>
      <c r="B8116" s="63" t="s">
        <v>8774</v>
      </c>
    </row>
    <row r="8117" spans="1:2" x14ac:dyDescent="0.25">
      <c r="A8117" s="62">
        <v>42131610</v>
      </c>
      <c r="B8117" s="63" t="s">
        <v>8775</v>
      </c>
    </row>
    <row r="8118" spans="1:2" x14ac:dyDescent="0.25">
      <c r="A8118" s="62">
        <v>42131611</v>
      </c>
      <c r="B8118" s="63" t="s">
        <v>8776</v>
      </c>
    </row>
    <row r="8119" spans="1:2" x14ac:dyDescent="0.25">
      <c r="A8119" s="62">
        <v>42131612</v>
      </c>
      <c r="B8119" s="63" t="s">
        <v>8777</v>
      </c>
    </row>
    <row r="8120" spans="1:2" x14ac:dyDescent="0.25">
      <c r="A8120" s="62">
        <v>42131613</v>
      </c>
      <c r="B8120" s="63" t="s">
        <v>8778</v>
      </c>
    </row>
    <row r="8121" spans="1:2" x14ac:dyDescent="0.25">
      <c r="A8121" s="62">
        <v>42131701</v>
      </c>
      <c r="B8121" s="63" t="s">
        <v>8779</v>
      </c>
    </row>
    <row r="8122" spans="1:2" x14ac:dyDescent="0.25">
      <c r="A8122" s="62">
        <v>42131702</v>
      </c>
      <c r="B8122" s="63" t="s">
        <v>8780</v>
      </c>
    </row>
    <row r="8123" spans="1:2" x14ac:dyDescent="0.25">
      <c r="A8123" s="62">
        <v>42131703</v>
      </c>
      <c r="B8123" s="63" t="s">
        <v>8781</v>
      </c>
    </row>
    <row r="8124" spans="1:2" x14ac:dyDescent="0.25">
      <c r="A8124" s="62">
        <v>42131704</v>
      </c>
      <c r="B8124" s="63" t="s">
        <v>8782</v>
      </c>
    </row>
    <row r="8125" spans="1:2" x14ac:dyDescent="0.25">
      <c r="A8125" s="62">
        <v>42131705</v>
      </c>
      <c r="B8125" s="63" t="s">
        <v>8783</v>
      </c>
    </row>
    <row r="8126" spans="1:2" x14ac:dyDescent="0.25">
      <c r="A8126" s="62">
        <v>42131706</v>
      </c>
      <c r="B8126" s="63" t="s">
        <v>8784</v>
      </c>
    </row>
    <row r="8127" spans="1:2" x14ac:dyDescent="0.25">
      <c r="A8127" s="62">
        <v>42131707</v>
      </c>
      <c r="B8127" s="63" t="s">
        <v>8785</v>
      </c>
    </row>
    <row r="8128" spans="1:2" x14ac:dyDescent="0.25">
      <c r="A8128" s="62">
        <v>42132101</v>
      </c>
      <c r="B8128" s="63" t="s">
        <v>8786</v>
      </c>
    </row>
    <row r="8129" spans="1:2" x14ac:dyDescent="0.25">
      <c r="A8129" s="62">
        <v>42132102</v>
      </c>
      <c r="B8129" s="63" t="s">
        <v>8787</v>
      </c>
    </row>
    <row r="8130" spans="1:2" x14ac:dyDescent="0.25">
      <c r="A8130" s="62">
        <v>42132103</v>
      </c>
      <c r="B8130" s="63" t="s">
        <v>8788</v>
      </c>
    </row>
    <row r="8131" spans="1:2" x14ac:dyDescent="0.25">
      <c r="A8131" s="62">
        <v>42132104</v>
      </c>
      <c r="B8131" s="63" t="s">
        <v>8789</v>
      </c>
    </row>
    <row r="8132" spans="1:2" x14ac:dyDescent="0.25">
      <c r="A8132" s="62">
        <v>42132105</v>
      </c>
      <c r="B8132" s="63" t="s">
        <v>8790</v>
      </c>
    </row>
    <row r="8133" spans="1:2" x14ac:dyDescent="0.25">
      <c r="A8133" s="62">
        <v>42132106</v>
      </c>
      <c r="B8133" s="63" t="s">
        <v>8791</v>
      </c>
    </row>
    <row r="8134" spans="1:2" x14ac:dyDescent="0.25">
      <c r="A8134" s="62">
        <v>42132107</v>
      </c>
      <c r="B8134" s="63" t="s">
        <v>8792</v>
      </c>
    </row>
    <row r="8135" spans="1:2" x14ac:dyDescent="0.25">
      <c r="A8135" s="62">
        <v>42132108</v>
      </c>
      <c r="B8135" s="63" t="s">
        <v>8793</v>
      </c>
    </row>
    <row r="8136" spans="1:2" x14ac:dyDescent="0.25">
      <c r="A8136" s="62">
        <v>42132201</v>
      </c>
      <c r="B8136" s="63" t="s">
        <v>8794</v>
      </c>
    </row>
    <row r="8137" spans="1:2" x14ac:dyDescent="0.25">
      <c r="A8137" s="62">
        <v>42132202</v>
      </c>
      <c r="B8137" s="63" t="s">
        <v>8795</v>
      </c>
    </row>
    <row r="8138" spans="1:2" x14ac:dyDescent="0.25">
      <c r="A8138" s="62">
        <v>42132203</v>
      </c>
      <c r="B8138" s="63" t="s">
        <v>8796</v>
      </c>
    </row>
    <row r="8139" spans="1:2" x14ac:dyDescent="0.25">
      <c r="A8139" s="62">
        <v>42132204</v>
      </c>
      <c r="B8139" s="63" t="s">
        <v>8797</v>
      </c>
    </row>
    <row r="8140" spans="1:2" x14ac:dyDescent="0.25">
      <c r="A8140" s="62">
        <v>42132205</v>
      </c>
      <c r="B8140" s="63" t="s">
        <v>8798</v>
      </c>
    </row>
    <row r="8141" spans="1:2" x14ac:dyDescent="0.25">
      <c r="A8141" s="62">
        <v>42141501</v>
      </c>
      <c r="B8141" s="63" t="s">
        <v>8799</v>
      </c>
    </row>
    <row r="8142" spans="1:2" x14ac:dyDescent="0.25">
      <c r="A8142" s="62">
        <v>42141502</v>
      </c>
      <c r="B8142" s="63" t="s">
        <v>8800</v>
      </c>
    </row>
    <row r="8143" spans="1:2" x14ac:dyDescent="0.25">
      <c r="A8143" s="62">
        <v>42141503</v>
      </c>
      <c r="B8143" s="63" t="s">
        <v>8801</v>
      </c>
    </row>
    <row r="8144" spans="1:2" x14ac:dyDescent="0.25">
      <c r="A8144" s="62">
        <v>42141504</v>
      </c>
      <c r="B8144" s="63" t="s">
        <v>8802</v>
      </c>
    </row>
    <row r="8145" spans="1:2" x14ac:dyDescent="0.25">
      <c r="A8145" s="62">
        <v>42141601</v>
      </c>
      <c r="B8145" s="63" t="s">
        <v>8803</v>
      </c>
    </row>
    <row r="8146" spans="1:2" x14ac:dyDescent="0.25">
      <c r="A8146" s="62">
        <v>42141602</v>
      </c>
      <c r="B8146" s="63" t="s">
        <v>8804</v>
      </c>
    </row>
    <row r="8147" spans="1:2" x14ac:dyDescent="0.25">
      <c r="A8147" s="62">
        <v>42141603</v>
      </c>
      <c r="B8147" s="63" t="s">
        <v>8805</v>
      </c>
    </row>
    <row r="8148" spans="1:2" x14ac:dyDescent="0.25">
      <c r="A8148" s="62">
        <v>42141604</v>
      </c>
      <c r="B8148" s="63" t="s">
        <v>8806</v>
      </c>
    </row>
    <row r="8149" spans="1:2" x14ac:dyDescent="0.25">
      <c r="A8149" s="62">
        <v>42141605</v>
      </c>
      <c r="B8149" s="63" t="s">
        <v>8807</v>
      </c>
    </row>
    <row r="8150" spans="1:2" x14ac:dyDescent="0.25">
      <c r="A8150" s="62">
        <v>42141606</v>
      </c>
      <c r="B8150" s="63" t="s">
        <v>8808</v>
      </c>
    </row>
    <row r="8151" spans="1:2" x14ac:dyDescent="0.25">
      <c r="A8151" s="62">
        <v>42141607</v>
      </c>
      <c r="B8151" s="63" t="s">
        <v>8809</v>
      </c>
    </row>
    <row r="8152" spans="1:2" x14ac:dyDescent="0.25">
      <c r="A8152" s="62">
        <v>42141701</v>
      </c>
      <c r="B8152" s="63" t="s">
        <v>8810</v>
      </c>
    </row>
    <row r="8153" spans="1:2" x14ac:dyDescent="0.25">
      <c r="A8153" s="62">
        <v>42141702</v>
      </c>
      <c r="B8153" s="63" t="s">
        <v>8811</v>
      </c>
    </row>
    <row r="8154" spans="1:2" x14ac:dyDescent="0.25">
      <c r="A8154" s="62">
        <v>42141703</v>
      </c>
      <c r="B8154" s="63" t="s">
        <v>8812</v>
      </c>
    </row>
    <row r="8155" spans="1:2" x14ac:dyDescent="0.25">
      <c r="A8155" s="62">
        <v>42141704</v>
      </c>
      <c r="B8155" s="63" t="s">
        <v>8813</v>
      </c>
    </row>
    <row r="8156" spans="1:2" x14ac:dyDescent="0.25">
      <c r="A8156" s="62">
        <v>42141705</v>
      </c>
      <c r="B8156" s="63" t="s">
        <v>8814</v>
      </c>
    </row>
    <row r="8157" spans="1:2" x14ac:dyDescent="0.25">
      <c r="A8157" s="62">
        <v>42141801</v>
      </c>
      <c r="B8157" s="63" t="s">
        <v>8815</v>
      </c>
    </row>
    <row r="8158" spans="1:2" x14ac:dyDescent="0.25">
      <c r="A8158" s="62">
        <v>42141802</v>
      </c>
      <c r="B8158" s="63" t="s">
        <v>8816</v>
      </c>
    </row>
    <row r="8159" spans="1:2" x14ac:dyDescent="0.25">
      <c r="A8159" s="62">
        <v>42141803</v>
      </c>
      <c r="B8159" s="63" t="s">
        <v>8817</v>
      </c>
    </row>
    <row r="8160" spans="1:2" x14ac:dyDescent="0.25">
      <c r="A8160" s="62">
        <v>42141804</v>
      </c>
      <c r="B8160" s="63" t="s">
        <v>8818</v>
      </c>
    </row>
    <row r="8161" spans="1:2" x14ac:dyDescent="0.25">
      <c r="A8161" s="62">
        <v>42141805</v>
      </c>
      <c r="B8161" s="63" t="s">
        <v>8819</v>
      </c>
    </row>
    <row r="8162" spans="1:2" x14ac:dyDescent="0.25">
      <c r="A8162" s="62">
        <v>42141806</v>
      </c>
      <c r="B8162" s="63" t="s">
        <v>8820</v>
      </c>
    </row>
    <row r="8163" spans="1:2" x14ac:dyDescent="0.25">
      <c r="A8163" s="62">
        <v>42141807</v>
      </c>
      <c r="B8163" s="63" t="s">
        <v>8821</v>
      </c>
    </row>
    <row r="8164" spans="1:2" x14ac:dyDescent="0.25">
      <c r="A8164" s="62">
        <v>42141808</v>
      </c>
      <c r="B8164" s="63" t="s">
        <v>8822</v>
      </c>
    </row>
    <row r="8165" spans="1:2" x14ac:dyDescent="0.25">
      <c r="A8165" s="62">
        <v>42141809</v>
      </c>
      <c r="B8165" s="63" t="s">
        <v>8823</v>
      </c>
    </row>
    <row r="8166" spans="1:2" x14ac:dyDescent="0.25">
      <c r="A8166" s="62">
        <v>42141901</v>
      </c>
      <c r="B8166" s="63" t="s">
        <v>8824</v>
      </c>
    </row>
    <row r="8167" spans="1:2" x14ac:dyDescent="0.25">
      <c r="A8167" s="62">
        <v>42141902</v>
      </c>
      <c r="B8167" s="63" t="s">
        <v>8825</v>
      </c>
    </row>
    <row r="8168" spans="1:2" x14ac:dyDescent="0.25">
      <c r="A8168" s="62">
        <v>42141903</v>
      </c>
      <c r="B8168" s="63" t="s">
        <v>8826</v>
      </c>
    </row>
    <row r="8169" spans="1:2" x14ac:dyDescent="0.25">
      <c r="A8169" s="62">
        <v>42141904</v>
      </c>
      <c r="B8169" s="63" t="s">
        <v>8827</v>
      </c>
    </row>
    <row r="8170" spans="1:2" x14ac:dyDescent="0.25">
      <c r="A8170" s="62">
        <v>42141905</v>
      </c>
      <c r="B8170" s="63" t="s">
        <v>8828</v>
      </c>
    </row>
    <row r="8171" spans="1:2" x14ac:dyDescent="0.25">
      <c r="A8171" s="62">
        <v>42142001</v>
      </c>
      <c r="B8171" s="63" t="s">
        <v>8829</v>
      </c>
    </row>
    <row r="8172" spans="1:2" x14ac:dyDescent="0.25">
      <c r="A8172" s="62">
        <v>42142002</v>
      </c>
      <c r="B8172" s="63" t="s">
        <v>8830</v>
      </c>
    </row>
    <row r="8173" spans="1:2" x14ac:dyDescent="0.25">
      <c r="A8173" s="62">
        <v>42142003</v>
      </c>
      <c r="B8173" s="63" t="s">
        <v>8831</v>
      </c>
    </row>
    <row r="8174" spans="1:2" x14ac:dyDescent="0.25">
      <c r="A8174" s="62">
        <v>42142004</v>
      </c>
      <c r="B8174" s="63" t="s">
        <v>8832</v>
      </c>
    </row>
    <row r="8175" spans="1:2" x14ac:dyDescent="0.25">
      <c r="A8175" s="62">
        <v>42142005</v>
      </c>
      <c r="B8175" s="63" t="s">
        <v>8833</v>
      </c>
    </row>
    <row r="8176" spans="1:2" x14ac:dyDescent="0.25">
      <c r="A8176" s="62">
        <v>42142006</v>
      </c>
      <c r="B8176" s="63" t="s">
        <v>8834</v>
      </c>
    </row>
    <row r="8177" spans="1:2" x14ac:dyDescent="0.25">
      <c r="A8177" s="62">
        <v>42142007</v>
      </c>
      <c r="B8177" s="63" t="s">
        <v>8835</v>
      </c>
    </row>
    <row r="8178" spans="1:2" x14ac:dyDescent="0.25">
      <c r="A8178" s="62">
        <v>42142101</v>
      </c>
      <c r="B8178" s="63" t="s">
        <v>8836</v>
      </c>
    </row>
    <row r="8179" spans="1:2" x14ac:dyDescent="0.25">
      <c r="A8179" s="62">
        <v>42142102</v>
      </c>
      <c r="B8179" s="63" t="s">
        <v>8837</v>
      </c>
    </row>
    <row r="8180" spans="1:2" x14ac:dyDescent="0.25">
      <c r="A8180" s="62">
        <v>42142103</v>
      </c>
      <c r="B8180" s="63" t="s">
        <v>8838</v>
      </c>
    </row>
    <row r="8181" spans="1:2" x14ac:dyDescent="0.25">
      <c r="A8181" s="62">
        <v>42142104</v>
      </c>
      <c r="B8181" s="63" t="s">
        <v>8839</v>
      </c>
    </row>
    <row r="8182" spans="1:2" x14ac:dyDescent="0.25">
      <c r="A8182" s="62">
        <v>42142105</v>
      </c>
      <c r="B8182" s="63" t="s">
        <v>8840</v>
      </c>
    </row>
    <row r="8183" spans="1:2" x14ac:dyDescent="0.25">
      <c r="A8183" s="62">
        <v>42142106</v>
      </c>
      <c r="B8183" s="63" t="s">
        <v>8841</v>
      </c>
    </row>
    <row r="8184" spans="1:2" x14ac:dyDescent="0.25">
      <c r="A8184" s="62">
        <v>42142107</v>
      </c>
      <c r="B8184" s="63" t="s">
        <v>8842</v>
      </c>
    </row>
    <row r="8185" spans="1:2" x14ac:dyDescent="0.25">
      <c r="A8185" s="62">
        <v>42142108</v>
      </c>
      <c r="B8185" s="63" t="s">
        <v>8843</v>
      </c>
    </row>
    <row r="8186" spans="1:2" x14ac:dyDescent="0.25">
      <c r="A8186" s="62">
        <v>42142109</v>
      </c>
      <c r="B8186" s="63" t="s">
        <v>8844</v>
      </c>
    </row>
    <row r="8187" spans="1:2" x14ac:dyDescent="0.25">
      <c r="A8187" s="62">
        <v>42142110</v>
      </c>
      <c r="B8187" s="63" t="s">
        <v>8845</v>
      </c>
    </row>
    <row r="8188" spans="1:2" x14ac:dyDescent="0.25">
      <c r="A8188" s="62">
        <v>42142111</v>
      </c>
      <c r="B8188" s="63" t="s">
        <v>8846</v>
      </c>
    </row>
    <row r="8189" spans="1:2" x14ac:dyDescent="0.25">
      <c r="A8189" s="62">
        <v>42142112</v>
      </c>
      <c r="B8189" s="63" t="s">
        <v>8847</v>
      </c>
    </row>
    <row r="8190" spans="1:2" x14ac:dyDescent="0.25">
      <c r="A8190" s="62">
        <v>42142113</v>
      </c>
      <c r="B8190" s="63" t="s">
        <v>8848</v>
      </c>
    </row>
    <row r="8191" spans="1:2" x14ac:dyDescent="0.25">
      <c r="A8191" s="62">
        <v>42142114</v>
      </c>
      <c r="B8191" s="63" t="s">
        <v>8849</v>
      </c>
    </row>
    <row r="8192" spans="1:2" x14ac:dyDescent="0.25">
      <c r="A8192" s="62">
        <v>42142119</v>
      </c>
      <c r="B8192" s="63" t="s">
        <v>8850</v>
      </c>
    </row>
    <row r="8193" spans="1:2" x14ac:dyDescent="0.25">
      <c r="A8193" s="62">
        <v>42142201</v>
      </c>
      <c r="B8193" s="63" t="s">
        <v>8851</v>
      </c>
    </row>
    <row r="8194" spans="1:2" x14ac:dyDescent="0.25">
      <c r="A8194" s="62">
        <v>42142202</v>
      </c>
      <c r="B8194" s="63" t="s">
        <v>8852</v>
      </c>
    </row>
    <row r="8195" spans="1:2" x14ac:dyDescent="0.25">
      <c r="A8195" s="62">
        <v>42142203</v>
      </c>
      <c r="B8195" s="63" t="s">
        <v>8853</v>
      </c>
    </row>
    <row r="8196" spans="1:2" x14ac:dyDescent="0.25">
      <c r="A8196" s="62">
        <v>42142204</v>
      </c>
      <c r="B8196" s="63" t="s">
        <v>8854</v>
      </c>
    </row>
    <row r="8197" spans="1:2" x14ac:dyDescent="0.25">
      <c r="A8197" s="62">
        <v>42142301</v>
      </c>
      <c r="B8197" s="63" t="s">
        <v>8855</v>
      </c>
    </row>
    <row r="8198" spans="1:2" x14ac:dyDescent="0.25">
      <c r="A8198" s="62">
        <v>42142302</v>
      </c>
      <c r="B8198" s="63" t="s">
        <v>8856</v>
      </c>
    </row>
    <row r="8199" spans="1:2" x14ac:dyDescent="0.25">
      <c r="A8199" s="62">
        <v>42142303</v>
      </c>
      <c r="B8199" s="63" t="s">
        <v>8857</v>
      </c>
    </row>
    <row r="8200" spans="1:2" x14ac:dyDescent="0.25">
      <c r="A8200" s="62">
        <v>42142401</v>
      </c>
      <c r="B8200" s="63" t="s">
        <v>8858</v>
      </c>
    </row>
    <row r="8201" spans="1:2" x14ac:dyDescent="0.25">
      <c r="A8201" s="62">
        <v>42142402</v>
      </c>
      <c r="B8201" s="63" t="s">
        <v>8859</v>
      </c>
    </row>
    <row r="8202" spans="1:2" x14ac:dyDescent="0.25">
      <c r="A8202" s="62">
        <v>42142403</v>
      </c>
      <c r="B8202" s="63" t="s">
        <v>8860</v>
      </c>
    </row>
    <row r="8203" spans="1:2" x14ac:dyDescent="0.25">
      <c r="A8203" s="62">
        <v>42142404</v>
      </c>
      <c r="B8203" s="63" t="s">
        <v>8861</v>
      </c>
    </row>
    <row r="8204" spans="1:2" x14ac:dyDescent="0.25">
      <c r="A8204" s="62">
        <v>42142405</v>
      </c>
      <c r="B8204" s="63" t="s">
        <v>8862</v>
      </c>
    </row>
    <row r="8205" spans="1:2" x14ac:dyDescent="0.25">
      <c r="A8205" s="62">
        <v>42142406</v>
      </c>
      <c r="B8205" s="63" t="s">
        <v>8863</v>
      </c>
    </row>
    <row r="8206" spans="1:2" x14ac:dyDescent="0.25">
      <c r="A8206" s="62">
        <v>42142407</v>
      </c>
      <c r="B8206" s="63" t="s">
        <v>8864</v>
      </c>
    </row>
    <row r="8207" spans="1:2" x14ac:dyDescent="0.25">
      <c r="A8207" s="62">
        <v>42142501</v>
      </c>
      <c r="B8207" s="63" t="s">
        <v>8865</v>
      </c>
    </row>
    <row r="8208" spans="1:2" x14ac:dyDescent="0.25">
      <c r="A8208" s="62">
        <v>42142502</v>
      </c>
      <c r="B8208" s="63" t="s">
        <v>8866</v>
      </c>
    </row>
    <row r="8209" spans="1:2" x14ac:dyDescent="0.25">
      <c r="A8209" s="62">
        <v>42142503</v>
      </c>
      <c r="B8209" s="63" t="s">
        <v>8867</v>
      </c>
    </row>
    <row r="8210" spans="1:2" x14ac:dyDescent="0.25">
      <c r="A8210" s="62">
        <v>42142504</v>
      </c>
      <c r="B8210" s="63" t="s">
        <v>8868</v>
      </c>
    </row>
    <row r="8211" spans="1:2" x14ac:dyDescent="0.25">
      <c r="A8211" s="62">
        <v>42142505</v>
      </c>
      <c r="B8211" s="63" t="s">
        <v>8869</v>
      </c>
    </row>
    <row r="8212" spans="1:2" x14ac:dyDescent="0.25">
      <c r="A8212" s="62">
        <v>42142506</v>
      </c>
      <c r="B8212" s="63" t="s">
        <v>8870</v>
      </c>
    </row>
    <row r="8213" spans="1:2" x14ac:dyDescent="0.25">
      <c r="A8213" s="62">
        <v>42142507</v>
      </c>
      <c r="B8213" s="63" t="s">
        <v>8871</v>
      </c>
    </row>
    <row r="8214" spans="1:2" x14ac:dyDescent="0.25">
      <c r="A8214" s="62">
        <v>42142509</v>
      </c>
      <c r="B8214" s="63" t="s">
        <v>8872</v>
      </c>
    </row>
    <row r="8215" spans="1:2" x14ac:dyDescent="0.25">
      <c r="A8215" s="62">
        <v>42142510</v>
      </c>
      <c r="B8215" s="63" t="s">
        <v>8873</v>
      </c>
    </row>
    <row r="8216" spans="1:2" x14ac:dyDescent="0.25">
      <c r="A8216" s="62">
        <v>42142511</v>
      </c>
      <c r="B8216" s="63" t="s">
        <v>8874</v>
      </c>
    </row>
    <row r="8217" spans="1:2" x14ac:dyDescent="0.25">
      <c r="A8217" s="62">
        <v>42142512</v>
      </c>
      <c r="B8217" s="63" t="s">
        <v>8875</v>
      </c>
    </row>
    <row r="8218" spans="1:2" x14ac:dyDescent="0.25">
      <c r="A8218" s="62">
        <v>42142513</v>
      </c>
      <c r="B8218" s="63" t="s">
        <v>8876</v>
      </c>
    </row>
    <row r="8219" spans="1:2" x14ac:dyDescent="0.25">
      <c r="A8219" s="62">
        <v>42142514</v>
      </c>
      <c r="B8219" s="63" t="s">
        <v>8877</v>
      </c>
    </row>
    <row r="8220" spans="1:2" x14ac:dyDescent="0.25">
      <c r="A8220" s="62">
        <v>42142515</v>
      </c>
      <c r="B8220" s="63" t="s">
        <v>8878</v>
      </c>
    </row>
    <row r="8221" spans="1:2" x14ac:dyDescent="0.25">
      <c r="A8221" s="62">
        <v>42142516</v>
      </c>
      <c r="B8221" s="63" t="s">
        <v>8879</v>
      </c>
    </row>
    <row r="8222" spans="1:2" x14ac:dyDescent="0.25">
      <c r="A8222" s="62">
        <v>42142517</v>
      </c>
      <c r="B8222" s="63" t="s">
        <v>8880</v>
      </c>
    </row>
    <row r="8223" spans="1:2" x14ac:dyDescent="0.25">
      <c r="A8223" s="62">
        <v>42142518</v>
      </c>
      <c r="B8223" s="63" t="s">
        <v>8881</v>
      </c>
    </row>
    <row r="8224" spans="1:2" x14ac:dyDescent="0.25">
      <c r="A8224" s="62">
        <v>42142519</v>
      </c>
      <c r="B8224" s="63" t="s">
        <v>8882</v>
      </c>
    </row>
    <row r="8225" spans="1:2" x14ac:dyDescent="0.25">
      <c r="A8225" s="62">
        <v>42142520</v>
      </c>
      <c r="B8225" s="63" t="s">
        <v>8883</v>
      </c>
    </row>
    <row r="8226" spans="1:2" x14ac:dyDescent="0.25">
      <c r="A8226" s="62">
        <v>42142521</v>
      </c>
      <c r="B8226" s="63" t="s">
        <v>8884</v>
      </c>
    </row>
    <row r="8227" spans="1:2" x14ac:dyDescent="0.25">
      <c r="A8227" s="62">
        <v>42142522</v>
      </c>
      <c r="B8227" s="63" t="s">
        <v>8885</v>
      </c>
    </row>
    <row r="8228" spans="1:2" x14ac:dyDescent="0.25">
      <c r="A8228" s="62">
        <v>42142523</v>
      </c>
      <c r="B8228" s="63" t="s">
        <v>8886</v>
      </c>
    </row>
    <row r="8229" spans="1:2" x14ac:dyDescent="0.25">
      <c r="A8229" s="62">
        <v>42142524</v>
      </c>
      <c r="B8229" s="63" t="s">
        <v>8887</v>
      </c>
    </row>
    <row r="8230" spans="1:2" x14ac:dyDescent="0.25">
      <c r="A8230" s="62">
        <v>42142525</v>
      </c>
      <c r="B8230" s="63" t="s">
        <v>8888</v>
      </c>
    </row>
    <row r="8231" spans="1:2" x14ac:dyDescent="0.25">
      <c r="A8231" s="62">
        <v>42142526</v>
      </c>
      <c r="B8231" s="63" t="s">
        <v>8889</v>
      </c>
    </row>
    <row r="8232" spans="1:2" x14ac:dyDescent="0.25">
      <c r="A8232" s="62">
        <v>42142527</v>
      </c>
      <c r="B8232" s="63" t="s">
        <v>8890</v>
      </c>
    </row>
    <row r="8233" spans="1:2" x14ac:dyDescent="0.25">
      <c r="A8233" s="62">
        <v>42142528</v>
      </c>
      <c r="B8233" s="63" t="s">
        <v>8891</v>
      </c>
    </row>
    <row r="8234" spans="1:2" x14ac:dyDescent="0.25">
      <c r="A8234" s="62">
        <v>42142529</v>
      </c>
      <c r="B8234" s="63" t="s">
        <v>8892</v>
      </c>
    </row>
    <row r="8235" spans="1:2" x14ac:dyDescent="0.25">
      <c r="A8235" s="62">
        <v>42142530</v>
      </c>
      <c r="B8235" s="63" t="s">
        <v>8893</v>
      </c>
    </row>
    <row r="8236" spans="1:2" x14ac:dyDescent="0.25">
      <c r="A8236" s="62">
        <v>42142531</v>
      </c>
      <c r="B8236" s="63" t="s">
        <v>8894</v>
      </c>
    </row>
    <row r="8237" spans="1:2" x14ac:dyDescent="0.25">
      <c r="A8237" s="62">
        <v>42142532</v>
      </c>
      <c r="B8237" s="63" t="s">
        <v>8895</v>
      </c>
    </row>
    <row r="8238" spans="1:2" x14ac:dyDescent="0.25">
      <c r="A8238" s="62">
        <v>42142601</v>
      </c>
      <c r="B8238" s="63" t="s">
        <v>8896</v>
      </c>
    </row>
    <row r="8239" spans="1:2" x14ac:dyDescent="0.25">
      <c r="A8239" s="62">
        <v>42142602</v>
      </c>
      <c r="B8239" s="63" t="s">
        <v>8897</v>
      </c>
    </row>
    <row r="8240" spans="1:2" x14ac:dyDescent="0.25">
      <c r="A8240" s="62">
        <v>42142603</v>
      </c>
      <c r="B8240" s="63" t="s">
        <v>8898</v>
      </c>
    </row>
    <row r="8241" spans="1:2" x14ac:dyDescent="0.25">
      <c r="A8241" s="62">
        <v>42142604</v>
      </c>
      <c r="B8241" s="63" t="s">
        <v>8899</v>
      </c>
    </row>
    <row r="8242" spans="1:2" x14ac:dyDescent="0.25">
      <c r="A8242" s="62">
        <v>42142605</v>
      </c>
      <c r="B8242" s="63" t="s">
        <v>8900</v>
      </c>
    </row>
    <row r="8243" spans="1:2" x14ac:dyDescent="0.25">
      <c r="A8243" s="62">
        <v>42142606</v>
      </c>
      <c r="B8243" s="63" t="s">
        <v>8901</v>
      </c>
    </row>
    <row r="8244" spans="1:2" x14ac:dyDescent="0.25">
      <c r="A8244" s="62">
        <v>42142607</v>
      </c>
      <c r="B8244" s="63" t="s">
        <v>8902</v>
      </c>
    </row>
    <row r="8245" spans="1:2" x14ac:dyDescent="0.25">
      <c r="A8245" s="62">
        <v>42142608</v>
      </c>
      <c r="B8245" s="63" t="s">
        <v>8903</v>
      </c>
    </row>
    <row r="8246" spans="1:2" x14ac:dyDescent="0.25">
      <c r="A8246" s="62">
        <v>42142609</v>
      </c>
      <c r="B8246" s="63" t="s">
        <v>8904</v>
      </c>
    </row>
    <row r="8247" spans="1:2" x14ac:dyDescent="0.25">
      <c r="A8247" s="62">
        <v>42142610</v>
      </c>
      <c r="B8247" s="63" t="s">
        <v>8905</v>
      </c>
    </row>
    <row r="8248" spans="1:2" x14ac:dyDescent="0.25">
      <c r="A8248" s="62">
        <v>42142611</v>
      </c>
      <c r="B8248" s="63" t="s">
        <v>8906</v>
      </c>
    </row>
    <row r="8249" spans="1:2" x14ac:dyDescent="0.25">
      <c r="A8249" s="62">
        <v>42142612</v>
      </c>
      <c r="B8249" s="63" t="s">
        <v>8907</v>
      </c>
    </row>
    <row r="8250" spans="1:2" x14ac:dyDescent="0.25">
      <c r="A8250" s="62">
        <v>42142613</v>
      </c>
      <c r="B8250" s="63" t="s">
        <v>8908</v>
      </c>
    </row>
    <row r="8251" spans="1:2" x14ac:dyDescent="0.25">
      <c r="A8251" s="62">
        <v>42142614</v>
      </c>
      <c r="B8251" s="63" t="s">
        <v>8909</v>
      </c>
    </row>
    <row r="8252" spans="1:2" x14ac:dyDescent="0.25">
      <c r="A8252" s="62">
        <v>42142615</v>
      </c>
      <c r="B8252" s="63" t="s">
        <v>8910</v>
      </c>
    </row>
    <row r="8253" spans="1:2" x14ac:dyDescent="0.25">
      <c r="A8253" s="62">
        <v>42142616</v>
      </c>
      <c r="B8253" s="63" t="s">
        <v>8911</v>
      </c>
    </row>
    <row r="8254" spans="1:2" x14ac:dyDescent="0.25">
      <c r="A8254" s="62">
        <v>42142617</v>
      </c>
      <c r="B8254" s="63" t="s">
        <v>8912</v>
      </c>
    </row>
    <row r="8255" spans="1:2" x14ac:dyDescent="0.25">
      <c r="A8255" s="62">
        <v>42142618</v>
      </c>
      <c r="B8255" s="63" t="s">
        <v>8913</v>
      </c>
    </row>
    <row r="8256" spans="1:2" x14ac:dyDescent="0.25">
      <c r="A8256" s="62">
        <v>42142701</v>
      </c>
      <c r="B8256" s="63" t="s">
        <v>8914</v>
      </c>
    </row>
    <row r="8257" spans="1:2" x14ac:dyDescent="0.25">
      <c r="A8257" s="62">
        <v>42142702</v>
      </c>
      <c r="B8257" s="63" t="s">
        <v>8915</v>
      </c>
    </row>
    <row r="8258" spans="1:2" x14ac:dyDescent="0.25">
      <c r="A8258" s="62">
        <v>42142703</v>
      </c>
      <c r="B8258" s="63" t="s">
        <v>8916</v>
      </c>
    </row>
    <row r="8259" spans="1:2" x14ac:dyDescent="0.25">
      <c r="A8259" s="62">
        <v>42142704</v>
      </c>
      <c r="B8259" s="63" t="s">
        <v>8917</v>
      </c>
    </row>
    <row r="8260" spans="1:2" x14ac:dyDescent="0.25">
      <c r="A8260" s="62">
        <v>42142705</v>
      </c>
      <c r="B8260" s="63" t="s">
        <v>8918</v>
      </c>
    </row>
    <row r="8261" spans="1:2" x14ac:dyDescent="0.25">
      <c r="A8261" s="62">
        <v>42142706</v>
      </c>
      <c r="B8261" s="63" t="s">
        <v>8919</v>
      </c>
    </row>
    <row r="8262" spans="1:2" x14ac:dyDescent="0.25">
      <c r="A8262" s="62">
        <v>42142707</v>
      </c>
      <c r="B8262" s="63" t="s">
        <v>8920</v>
      </c>
    </row>
    <row r="8263" spans="1:2" x14ac:dyDescent="0.25">
      <c r="A8263" s="62">
        <v>42142708</v>
      </c>
      <c r="B8263" s="63" t="s">
        <v>8921</v>
      </c>
    </row>
    <row r="8264" spans="1:2" x14ac:dyDescent="0.25">
      <c r="A8264" s="62">
        <v>42142709</v>
      </c>
      <c r="B8264" s="63" t="s">
        <v>8922</v>
      </c>
    </row>
    <row r="8265" spans="1:2" x14ac:dyDescent="0.25">
      <c r="A8265" s="62">
        <v>42142710</v>
      </c>
      <c r="B8265" s="63" t="s">
        <v>8923</v>
      </c>
    </row>
    <row r="8266" spans="1:2" x14ac:dyDescent="0.25">
      <c r="A8266" s="62">
        <v>42142711</v>
      </c>
      <c r="B8266" s="63" t="s">
        <v>8924</v>
      </c>
    </row>
    <row r="8267" spans="1:2" x14ac:dyDescent="0.25">
      <c r="A8267" s="62">
        <v>42142712</v>
      </c>
      <c r="B8267" s="63" t="s">
        <v>8925</v>
      </c>
    </row>
    <row r="8268" spans="1:2" x14ac:dyDescent="0.25">
      <c r="A8268" s="62">
        <v>42142713</v>
      </c>
      <c r="B8268" s="63" t="s">
        <v>8926</v>
      </c>
    </row>
    <row r="8269" spans="1:2" x14ac:dyDescent="0.25">
      <c r="A8269" s="62">
        <v>42142714</v>
      </c>
      <c r="B8269" s="63" t="s">
        <v>8927</v>
      </c>
    </row>
    <row r="8270" spans="1:2" x14ac:dyDescent="0.25">
      <c r="A8270" s="62">
        <v>42142715</v>
      </c>
      <c r="B8270" s="63" t="s">
        <v>8928</v>
      </c>
    </row>
    <row r="8271" spans="1:2" x14ac:dyDescent="0.25">
      <c r="A8271" s="62">
        <v>42142716</v>
      </c>
      <c r="B8271" s="63" t="s">
        <v>8929</v>
      </c>
    </row>
    <row r="8272" spans="1:2" x14ac:dyDescent="0.25">
      <c r="A8272" s="62">
        <v>42142801</v>
      </c>
      <c r="B8272" s="63" t="s">
        <v>8930</v>
      </c>
    </row>
    <row r="8273" spans="1:2" x14ac:dyDescent="0.25">
      <c r="A8273" s="62">
        <v>42142802</v>
      </c>
      <c r="B8273" s="63" t="s">
        <v>8931</v>
      </c>
    </row>
    <row r="8274" spans="1:2" x14ac:dyDescent="0.25">
      <c r="A8274" s="62">
        <v>42142901</v>
      </c>
      <c r="B8274" s="63" t="s">
        <v>8932</v>
      </c>
    </row>
    <row r="8275" spans="1:2" x14ac:dyDescent="0.25">
      <c r="A8275" s="62">
        <v>42142902</v>
      </c>
      <c r="B8275" s="63" t="s">
        <v>8933</v>
      </c>
    </row>
    <row r="8276" spans="1:2" x14ac:dyDescent="0.25">
      <c r="A8276" s="62">
        <v>42142903</v>
      </c>
      <c r="B8276" s="63" t="s">
        <v>8934</v>
      </c>
    </row>
    <row r="8277" spans="1:2" x14ac:dyDescent="0.25">
      <c r="A8277" s="62">
        <v>42142904</v>
      </c>
      <c r="B8277" s="63" t="s">
        <v>8935</v>
      </c>
    </row>
    <row r="8278" spans="1:2" x14ac:dyDescent="0.25">
      <c r="A8278" s="62">
        <v>42142905</v>
      </c>
      <c r="B8278" s="63" t="s">
        <v>8936</v>
      </c>
    </row>
    <row r="8279" spans="1:2" x14ac:dyDescent="0.25">
      <c r="A8279" s="62">
        <v>42142906</v>
      </c>
      <c r="B8279" s="63" t="s">
        <v>8937</v>
      </c>
    </row>
    <row r="8280" spans="1:2" x14ac:dyDescent="0.25">
      <c r="A8280" s="62">
        <v>42142907</v>
      </c>
      <c r="B8280" s="63" t="s">
        <v>8938</v>
      </c>
    </row>
    <row r="8281" spans="1:2" x14ac:dyDescent="0.25">
      <c r="A8281" s="62">
        <v>42142908</v>
      </c>
      <c r="B8281" s="63" t="s">
        <v>8939</v>
      </c>
    </row>
    <row r="8282" spans="1:2" x14ac:dyDescent="0.25">
      <c r="A8282" s="62">
        <v>42142909</v>
      </c>
      <c r="B8282" s="63" t="s">
        <v>8940</v>
      </c>
    </row>
    <row r="8283" spans="1:2" x14ac:dyDescent="0.25">
      <c r="A8283" s="62">
        <v>42142910</v>
      </c>
      <c r="B8283" s="63" t="s">
        <v>8941</v>
      </c>
    </row>
    <row r="8284" spans="1:2" x14ac:dyDescent="0.25">
      <c r="A8284" s="62">
        <v>42142911</v>
      </c>
      <c r="B8284" s="63" t="s">
        <v>8942</v>
      </c>
    </row>
    <row r="8285" spans="1:2" x14ac:dyDescent="0.25">
      <c r="A8285" s="62">
        <v>42142912</v>
      </c>
      <c r="B8285" s="63" t="s">
        <v>8943</v>
      </c>
    </row>
    <row r="8286" spans="1:2" x14ac:dyDescent="0.25">
      <c r="A8286" s="62">
        <v>42142913</v>
      </c>
      <c r="B8286" s="63" t="s">
        <v>8944</v>
      </c>
    </row>
    <row r="8287" spans="1:2" x14ac:dyDescent="0.25">
      <c r="A8287" s="62">
        <v>42143101</v>
      </c>
      <c r="B8287" s="63" t="s">
        <v>8945</v>
      </c>
    </row>
    <row r="8288" spans="1:2" x14ac:dyDescent="0.25">
      <c r="A8288" s="62">
        <v>42143102</v>
      </c>
      <c r="B8288" s="63" t="s">
        <v>8946</v>
      </c>
    </row>
    <row r="8289" spans="1:2" x14ac:dyDescent="0.25">
      <c r="A8289" s="62">
        <v>42143103</v>
      </c>
      <c r="B8289" s="63" t="s">
        <v>8947</v>
      </c>
    </row>
    <row r="8290" spans="1:2" x14ac:dyDescent="0.25">
      <c r="A8290" s="62">
        <v>42143104</v>
      </c>
      <c r="B8290" s="63" t="s">
        <v>8948</v>
      </c>
    </row>
    <row r="8291" spans="1:2" x14ac:dyDescent="0.25">
      <c r="A8291" s="62">
        <v>42143105</v>
      </c>
      <c r="B8291" s="63" t="s">
        <v>8949</v>
      </c>
    </row>
    <row r="8292" spans="1:2" x14ac:dyDescent="0.25">
      <c r="A8292" s="62">
        <v>42143106</v>
      </c>
      <c r="B8292" s="63" t="s">
        <v>8950</v>
      </c>
    </row>
    <row r="8293" spans="1:2" x14ac:dyDescent="0.25">
      <c r="A8293" s="62">
        <v>42143201</v>
      </c>
      <c r="B8293" s="63" t="s">
        <v>8951</v>
      </c>
    </row>
    <row r="8294" spans="1:2" x14ac:dyDescent="0.25">
      <c r="A8294" s="62">
        <v>42143202</v>
      </c>
      <c r="B8294" s="63" t="s">
        <v>8952</v>
      </c>
    </row>
    <row r="8295" spans="1:2" x14ac:dyDescent="0.25">
      <c r="A8295" s="62">
        <v>42143301</v>
      </c>
      <c r="B8295" s="63" t="s">
        <v>8953</v>
      </c>
    </row>
    <row r="8296" spans="1:2" x14ac:dyDescent="0.25">
      <c r="A8296" s="62">
        <v>42143401</v>
      </c>
      <c r="B8296" s="63" t="s">
        <v>8954</v>
      </c>
    </row>
    <row r="8297" spans="1:2" x14ac:dyDescent="0.25">
      <c r="A8297" s="62">
        <v>42143501</v>
      </c>
      <c r="B8297" s="63" t="s">
        <v>8955</v>
      </c>
    </row>
    <row r="8298" spans="1:2" x14ac:dyDescent="0.25">
      <c r="A8298" s="62">
        <v>42143502</v>
      </c>
      <c r="B8298" s="63" t="s">
        <v>8956</v>
      </c>
    </row>
    <row r="8299" spans="1:2" x14ac:dyDescent="0.25">
      <c r="A8299" s="62">
        <v>42143503</v>
      </c>
      <c r="B8299" s="63" t="s">
        <v>8957</v>
      </c>
    </row>
    <row r="8300" spans="1:2" x14ac:dyDescent="0.25">
      <c r="A8300" s="62">
        <v>42143504</v>
      </c>
      <c r="B8300" s="63" t="s">
        <v>8958</v>
      </c>
    </row>
    <row r="8301" spans="1:2" x14ac:dyDescent="0.25">
      <c r="A8301" s="62">
        <v>42143505</v>
      </c>
      <c r="B8301" s="63" t="s">
        <v>8959</v>
      </c>
    </row>
    <row r="8302" spans="1:2" x14ac:dyDescent="0.25">
      <c r="A8302" s="62">
        <v>42143506</v>
      </c>
      <c r="B8302" s="63" t="s">
        <v>8960</v>
      </c>
    </row>
    <row r="8303" spans="1:2" x14ac:dyDescent="0.25">
      <c r="A8303" s="62">
        <v>42143507</v>
      </c>
      <c r="B8303" s="63" t="s">
        <v>8961</v>
      </c>
    </row>
    <row r="8304" spans="1:2" x14ac:dyDescent="0.25">
      <c r="A8304" s="62">
        <v>42143508</v>
      </c>
      <c r="B8304" s="63" t="s">
        <v>8962</v>
      </c>
    </row>
    <row r="8305" spans="1:2" x14ac:dyDescent="0.25">
      <c r="A8305" s="62">
        <v>42143509</v>
      </c>
      <c r="B8305" s="63" t="s">
        <v>8963</v>
      </c>
    </row>
    <row r="8306" spans="1:2" x14ac:dyDescent="0.25">
      <c r="A8306" s="62">
        <v>42143510</v>
      </c>
      <c r="B8306" s="63" t="s">
        <v>8964</v>
      </c>
    </row>
    <row r="8307" spans="1:2" x14ac:dyDescent="0.25">
      <c r="A8307" s="62">
        <v>42143511</v>
      </c>
      <c r="B8307" s="63" t="s">
        <v>8965</v>
      </c>
    </row>
    <row r="8308" spans="1:2" x14ac:dyDescent="0.25">
      <c r="A8308" s="62">
        <v>42143512</v>
      </c>
      <c r="B8308" s="63" t="s">
        <v>8966</v>
      </c>
    </row>
    <row r="8309" spans="1:2" x14ac:dyDescent="0.25">
      <c r="A8309" s="62">
        <v>42143513</v>
      </c>
      <c r="B8309" s="63" t="s">
        <v>8967</v>
      </c>
    </row>
    <row r="8310" spans="1:2" x14ac:dyDescent="0.25">
      <c r="A8310" s="62">
        <v>42143601</v>
      </c>
      <c r="B8310" s="63" t="s">
        <v>8968</v>
      </c>
    </row>
    <row r="8311" spans="1:2" x14ac:dyDescent="0.25">
      <c r="A8311" s="62">
        <v>42143602</v>
      </c>
      <c r="B8311" s="63" t="s">
        <v>8969</v>
      </c>
    </row>
    <row r="8312" spans="1:2" x14ac:dyDescent="0.25">
      <c r="A8312" s="62">
        <v>42143603</v>
      </c>
      <c r="B8312" s="63" t="s">
        <v>8970</v>
      </c>
    </row>
    <row r="8313" spans="1:2" x14ac:dyDescent="0.25">
      <c r="A8313" s="62">
        <v>42143604</v>
      </c>
      <c r="B8313" s="63" t="s">
        <v>8971</v>
      </c>
    </row>
    <row r="8314" spans="1:2" x14ac:dyDescent="0.25">
      <c r="A8314" s="62">
        <v>42143605</v>
      </c>
      <c r="B8314" s="63" t="s">
        <v>8972</v>
      </c>
    </row>
    <row r="8315" spans="1:2" x14ac:dyDescent="0.25">
      <c r="A8315" s="62">
        <v>42143606</v>
      </c>
      <c r="B8315" s="63" t="s">
        <v>8973</v>
      </c>
    </row>
    <row r="8316" spans="1:2" x14ac:dyDescent="0.25">
      <c r="A8316" s="62">
        <v>42143607</v>
      </c>
      <c r="B8316" s="63" t="s">
        <v>8974</v>
      </c>
    </row>
    <row r="8317" spans="1:2" x14ac:dyDescent="0.25">
      <c r="A8317" s="62">
        <v>42143608</v>
      </c>
      <c r="B8317" s="63" t="s">
        <v>8975</v>
      </c>
    </row>
    <row r="8318" spans="1:2" x14ac:dyDescent="0.25">
      <c r="A8318" s="62">
        <v>42151501</v>
      </c>
      <c r="B8318" s="63" t="s">
        <v>8976</v>
      </c>
    </row>
    <row r="8319" spans="1:2" x14ac:dyDescent="0.25">
      <c r="A8319" s="62">
        <v>42151502</v>
      </c>
      <c r="B8319" s="63" t="s">
        <v>8977</v>
      </c>
    </row>
    <row r="8320" spans="1:2" x14ac:dyDescent="0.25">
      <c r="A8320" s="62">
        <v>42151503</v>
      </c>
      <c r="B8320" s="63" t="s">
        <v>8978</v>
      </c>
    </row>
    <row r="8321" spans="1:2" x14ac:dyDescent="0.25">
      <c r="A8321" s="62">
        <v>42151504</v>
      </c>
      <c r="B8321" s="63" t="s">
        <v>8979</v>
      </c>
    </row>
    <row r="8322" spans="1:2" x14ac:dyDescent="0.25">
      <c r="A8322" s="62">
        <v>42151505</v>
      </c>
      <c r="B8322" s="63" t="s">
        <v>8980</v>
      </c>
    </row>
    <row r="8323" spans="1:2" x14ac:dyDescent="0.25">
      <c r="A8323" s="62">
        <v>42151506</v>
      </c>
      <c r="B8323" s="63" t="s">
        <v>8981</v>
      </c>
    </row>
    <row r="8324" spans="1:2" x14ac:dyDescent="0.25">
      <c r="A8324" s="62">
        <v>42151507</v>
      </c>
      <c r="B8324" s="63" t="s">
        <v>8982</v>
      </c>
    </row>
    <row r="8325" spans="1:2" x14ac:dyDescent="0.25">
      <c r="A8325" s="62">
        <v>42151601</v>
      </c>
      <c r="B8325" s="63" t="s">
        <v>8983</v>
      </c>
    </row>
    <row r="8326" spans="1:2" x14ac:dyDescent="0.25">
      <c r="A8326" s="62">
        <v>42151602</v>
      </c>
      <c r="B8326" s="63" t="s">
        <v>8984</v>
      </c>
    </row>
    <row r="8327" spans="1:2" x14ac:dyDescent="0.25">
      <c r="A8327" s="62">
        <v>42151603</v>
      </c>
      <c r="B8327" s="63" t="s">
        <v>8985</v>
      </c>
    </row>
    <row r="8328" spans="1:2" x14ac:dyDescent="0.25">
      <c r="A8328" s="62">
        <v>42151604</v>
      </c>
      <c r="B8328" s="63" t="s">
        <v>8986</v>
      </c>
    </row>
    <row r="8329" spans="1:2" x14ac:dyDescent="0.25">
      <c r="A8329" s="62">
        <v>42151605</v>
      </c>
      <c r="B8329" s="63" t="s">
        <v>8987</v>
      </c>
    </row>
    <row r="8330" spans="1:2" x14ac:dyDescent="0.25">
      <c r="A8330" s="62">
        <v>42151606</v>
      </c>
      <c r="B8330" s="63" t="s">
        <v>8988</v>
      </c>
    </row>
    <row r="8331" spans="1:2" x14ac:dyDescent="0.25">
      <c r="A8331" s="62">
        <v>42151607</v>
      </c>
      <c r="B8331" s="63" t="s">
        <v>8989</v>
      </c>
    </row>
    <row r="8332" spans="1:2" x14ac:dyDescent="0.25">
      <c r="A8332" s="62">
        <v>42151608</v>
      </c>
      <c r="B8332" s="63" t="s">
        <v>8990</v>
      </c>
    </row>
    <row r="8333" spans="1:2" x14ac:dyDescent="0.25">
      <c r="A8333" s="62">
        <v>42151609</v>
      </c>
      <c r="B8333" s="63" t="s">
        <v>8991</v>
      </c>
    </row>
    <row r="8334" spans="1:2" x14ac:dyDescent="0.25">
      <c r="A8334" s="62">
        <v>42151610</v>
      </c>
      <c r="B8334" s="63" t="s">
        <v>8992</v>
      </c>
    </row>
    <row r="8335" spans="1:2" x14ac:dyDescent="0.25">
      <c r="A8335" s="62">
        <v>42151611</v>
      </c>
      <c r="B8335" s="63" t="s">
        <v>8993</v>
      </c>
    </row>
    <row r="8336" spans="1:2" x14ac:dyDescent="0.25">
      <c r="A8336" s="62">
        <v>42151612</v>
      </c>
      <c r="B8336" s="63" t="s">
        <v>8994</v>
      </c>
    </row>
    <row r="8337" spans="1:2" x14ac:dyDescent="0.25">
      <c r="A8337" s="62">
        <v>42151613</v>
      </c>
      <c r="B8337" s="63" t="s">
        <v>8995</v>
      </c>
    </row>
    <row r="8338" spans="1:2" x14ac:dyDescent="0.25">
      <c r="A8338" s="62">
        <v>42151614</v>
      </c>
      <c r="B8338" s="63" t="s">
        <v>8996</v>
      </c>
    </row>
    <row r="8339" spans="1:2" x14ac:dyDescent="0.25">
      <c r="A8339" s="62">
        <v>42151615</v>
      </c>
      <c r="B8339" s="63" t="s">
        <v>8997</v>
      </c>
    </row>
    <row r="8340" spans="1:2" x14ac:dyDescent="0.25">
      <c r="A8340" s="62">
        <v>42151616</v>
      </c>
      <c r="B8340" s="63" t="s">
        <v>8998</v>
      </c>
    </row>
    <row r="8341" spans="1:2" x14ac:dyDescent="0.25">
      <c r="A8341" s="62">
        <v>42151617</v>
      </c>
      <c r="B8341" s="63" t="s">
        <v>8999</v>
      </c>
    </row>
    <row r="8342" spans="1:2" x14ac:dyDescent="0.25">
      <c r="A8342" s="62">
        <v>42151618</v>
      </c>
      <c r="B8342" s="63" t="s">
        <v>9000</v>
      </c>
    </row>
    <row r="8343" spans="1:2" x14ac:dyDescent="0.25">
      <c r="A8343" s="62">
        <v>42151619</v>
      </c>
      <c r="B8343" s="63" t="s">
        <v>9001</v>
      </c>
    </row>
    <row r="8344" spans="1:2" x14ac:dyDescent="0.25">
      <c r="A8344" s="62">
        <v>42151620</v>
      </c>
      <c r="B8344" s="63" t="s">
        <v>9002</v>
      </c>
    </row>
    <row r="8345" spans="1:2" x14ac:dyDescent="0.25">
      <c r="A8345" s="62">
        <v>42151621</v>
      </c>
      <c r="B8345" s="63" t="s">
        <v>9003</v>
      </c>
    </row>
    <row r="8346" spans="1:2" x14ac:dyDescent="0.25">
      <c r="A8346" s="62">
        <v>42151622</v>
      </c>
      <c r="B8346" s="63" t="s">
        <v>9004</v>
      </c>
    </row>
    <row r="8347" spans="1:2" x14ac:dyDescent="0.25">
      <c r="A8347" s="62">
        <v>42151623</v>
      </c>
      <c r="B8347" s="63" t="s">
        <v>9005</v>
      </c>
    </row>
    <row r="8348" spans="1:2" x14ac:dyDescent="0.25">
      <c r="A8348" s="62">
        <v>42151624</v>
      </c>
      <c r="B8348" s="63" t="s">
        <v>9006</v>
      </c>
    </row>
    <row r="8349" spans="1:2" x14ac:dyDescent="0.25">
      <c r="A8349" s="62">
        <v>42151625</v>
      </c>
      <c r="B8349" s="63" t="s">
        <v>9007</v>
      </c>
    </row>
    <row r="8350" spans="1:2" x14ac:dyDescent="0.25">
      <c r="A8350" s="62">
        <v>42151626</v>
      </c>
      <c r="B8350" s="63" t="s">
        <v>9008</v>
      </c>
    </row>
    <row r="8351" spans="1:2" x14ac:dyDescent="0.25">
      <c r="A8351" s="62">
        <v>42151627</v>
      </c>
      <c r="B8351" s="63" t="s">
        <v>9009</v>
      </c>
    </row>
    <row r="8352" spans="1:2" x14ac:dyDescent="0.25">
      <c r="A8352" s="62">
        <v>42151628</v>
      </c>
      <c r="B8352" s="63" t="s">
        <v>9010</v>
      </c>
    </row>
    <row r="8353" spans="1:2" x14ac:dyDescent="0.25">
      <c r="A8353" s="62">
        <v>42151629</v>
      </c>
      <c r="B8353" s="63" t="s">
        <v>9011</v>
      </c>
    </row>
    <row r="8354" spans="1:2" x14ac:dyDescent="0.25">
      <c r="A8354" s="62">
        <v>42151630</v>
      </c>
      <c r="B8354" s="63" t="s">
        <v>9012</v>
      </c>
    </row>
    <row r="8355" spans="1:2" x14ac:dyDescent="0.25">
      <c r="A8355" s="62">
        <v>42151631</v>
      </c>
      <c r="B8355" s="63" t="s">
        <v>9013</v>
      </c>
    </row>
    <row r="8356" spans="1:2" x14ac:dyDescent="0.25">
      <c r="A8356" s="62">
        <v>42151632</v>
      </c>
      <c r="B8356" s="63" t="s">
        <v>9014</v>
      </c>
    </row>
    <row r="8357" spans="1:2" x14ac:dyDescent="0.25">
      <c r="A8357" s="62">
        <v>42151633</v>
      </c>
      <c r="B8357" s="63" t="s">
        <v>9015</v>
      </c>
    </row>
    <row r="8358" spans="1:2" x14ac:dyDescent="0.25">
      <c r="A8358" s="62">
        <v>42151634</v>
      </c>
      <c r="B8358" s="63" t="s">
        <v>9016</v>
      </c>
    </row>
    <row r="8359" spans="1:2" x14ac:dyDescent="0.25">
      <c r="A8359" s="62">
        <v>42151635</v>
      </c>
      <c r="B8359" s="63" t="s">
        <v>9017</v>
      </c>
    </row>
    <row r="8360" spans="1:2" x14ac:dyDescent="0.25">
      <c r="A8360" s="62">
        <v>42151636</v>
      </c>
      <c r="B8360" s="63" t="s">
        <v>9018</v>
      </c>
    </row>
    <row r="8361" spans="1:2" x14ac:dyDescent="0.25">
      <c r="A8361" s="62">
        <v>42151637</v>
      </c>
      <c r="B8361" s="63" t="s">
        <v>9019</v>
      </c>
    </row>
    <row r="8362" spans="1:2" x14ac:dyDescent="0.25">
      <c r="A8362" s="62">
        <v>42151638</v>
      </c>
      <c r="B8362" s="63" t="s">
        <v>9020</v>
      </c>
    </row>
    <row r="8363" spans="1:2" x14ac:dyDescent="0.25">
      <c r="A8363" s="62">
        <v>42151639</v>
      </c>
      <c r="B8363" s="63" t="s">
        <v>9021</v>
      </c>
    </row>
    <row r="8364" spans="1:2" x14ac:dyDescent="0.25">
      <c r="A8364" s="62">
        <v>42151640</v>
      </c>
      <c r="B8364" s="63" t="s">
        <v>9022</v>
      </c>
    </row>
    <row r="8365" spans="1:2" x14ac:dyDescent="0.25">
      <c r="A8365" s="62">
        <v>42151641</v>
      </c>
      <c r="B8365" s="63" t="s">
        <v>9023</v>
      </c>
    </row>
    <row r="8366" spans="1:2" x14ac:dyDescent="0.25">
      <c r="A8366" s="62">
        <v>42151642</v>
      </c>
      <c r="B8366" s="63" t="s">
        <v>9024</v>
      </c>
    </row>
    <row r="8367" spans="1:2" x14ac:dyDescent="0.25">
      <c r="A8367" s="62">
        <v>42151643</v>
      </c>
      <c r="B8367" s="63" t="s">
        <v>9025</v>
      </c>
    </row>
    <row r="8368" spans="1:2" x14ac:dyDescent="0.25">
      <c r="A8368" s="62">
        <v>42151644</v>
      </c>
      <c r="B8368" s="63" t="s">
        <v>9026</v>
      </c>
    </row>
    <row r="8369" spans="1:2" x14ac:dyDescent="0.25">
      <c r="A8369" s="62">
        <v>42151645</v>
      </c>
      <c r="B8369" s="63" t="s">
        <v>9027</v>
      </c>
    </row>
    <row r="8370" spans="1:2" x14ac:dyDescent="0.25">
      <c r="A8370" s="62">
        <v>42151646</v>
      </c>
      <c r="B8370" s="63" t="s">
        <v>9028</v>
      </c>
    </row>
    <row r="8371" spans="1:2" x14ac:dyDescent="0.25">
      <c r="A8371" s="62">
        <v>42151647</v>
      </c>
      <c r="B8371" s="63" t="s">
        <v>9029</v>
      </c>
    </row>
    <row r="8372" spans="1:2" x14ac:dyDescent="0.25">
      <c r="A8372" s="62">
        <v>42151648</v>
      </c>
      <c r="B8372" s="63" t="s">
        <v>9030</v>
      </c>
    </row>
    <row r="8373" spans="1:2" x14ac:dyDescent="0.25">
      <c r="A8373" s="62">
        <v>42151650</v>
      </c>
      <c r="B8373" s="63" t="s">
        <v>9031</v>
      </c>
    </row>
    <row r="8374" spans="1:2" x14ac:dyDescent="0.25">
      <c r="A8374" s="62">
        <v>42151651</v>
      </c>
      <c r="B8374" s="63" t="s">
        <v>9032</v>
      </c>
    </row>
    <row r="8375" spans="1:2" x14ac:dyDescent="0.25">
      <c r="A8375" s="62">
        <v>42151652</v>
      </c>
      <c r="B8375" s="63" t="s">
        <v>9033</v>
      </c>
    </row>
    <row r="8376" spans="1:2" x14ac:dyDescent="0.25">
      <c r="A8376" s="62">
        <v>42151653</v>
      </c>
      <c r="B8376" s="63" t="s">
        <v>9034</v>
      </c>
    </row>
    <row r="8377" spans="1:2" x14ac:dyDescent="0.25">
      <c r="A8377" s="62">
        <v>42151654</v>
      </c>
      <c r="B8377" s="63" t="s">
        <v>9035</v>
      </c>
    </row>
    <row r="8378" spans="1:2" x14ac:dyDescent="0.25">
      <c r="A8378" s="62">
        <v>42151655</v>
      </c>
      <c r="B8378" s="63" t="s">
        <v>9036</v>
      </c>
    </row>
    <row r="8379" spans="1:2" x14ac:dyDescent="0.25">
      <c r="A8379" s="62">
        <v>42151656</v>
      </c>
      <c r="B8379" s="63" t="s">
        <v>9037</v>
      </c>
    </row>
    <row r="8380" spans="1:2" x14ac:dyDescent="0.25">
      <c r="A8380" s="62">
        <v>42151657</v>
      </c>
      <c r="B8380" s="63" t="s">
        <v>9038</v>
      </c>
    </row>
    <row r="8381" spans="1:2" x14ac:dyDescent="0.25">
      <c r="A8381" s="62">
        <v>42151658</v>
      </c>
      <c r="B8381" s="63" t="s">
        <v>9039</v>
      </c>
    </row>
    <row r="8382" spans="1:2" x14ac:dyDescent="0.25">
      <c r="A8382" s="62">
        <v>42151659</v>
      </c>
      <c r="B8382" s="63" t="s">
        <v>9040</v>
      </c>
    </row>
    <row r="8383" spans="1:2" x14ac:dyDescent="0.25">
      <c r="A8383" s="62">
        <v>42151660</v>
      </c>
      <c r="B8383" s="63" t="s">
        <v>9041</v>
      </c>
    </row>
    <row r="8384" spans="1:2" x14ac:dyDescent="0.25">
      <c r="A8384" s="62">
        <v>42151661</v>
      </c>
      <c r="B8384" s="63" t="s">
        <v>9042</v>
      </c>
    </row>
    <row r="8385" spans="1:2" x14ac:dyDescent="0.25">
      <c r="A8385" s="62">
        <v>42151662</v>
      </c>
      <c r="B8385" s="63" t="s">
        <v>9043</v>
      </c>
    </row>
    <row r="8386" spans="1:2" x14ac:dyDescent="0.25">
      <c r="A8386" s="62">
        <v>42151663</v>
      </c>
      <c r="B8386" s="63" t="s">
        <v>9044</v>
      </c>
    </row>
    <row r="8387" spans="1:2" x14ac:dyDescent="0.25">
      <c r="A8387" s="62">
        <v>42151664</v>
      </c>
      <c r="B8387" s="63" t="s">
        <v>9045</v>
      </c>
    </row>
    <row r="8388" spans="1:2" x14ac:dyDescent="0.25">
      <c r="A8388" s="62">
        <v>42151665</v>
      </c>
      <c r="B8388" s="63" t="s">
        <v>9046</v>
      </c>
    </row>
    <row r="8389" spans="1:2" x14ac:dyDescent="0.25">
      <c r="A8389" s="62">
        <v>42151666</v>
      </c>
      <c r="B8389" s="63" t="s">
        <v>9047</v>
      </c>
    </row>
    <row r="8390" spans="1:2" x14ac:dyDescent="0.25">
      <c r="A8390" s="62">
        <v>42151667</v>
      </c>
      <c r="B8390" s="63" t="s">
        <v>9048</v>
      </c>
    </row>
    <row r="8391" spans="1:2" x14ac:dyDescent="0.25">
      <c r="A8391" s="62">
        <v>42151668</v>
      </c>
      <c r="B8391" s="63" t="s">
        <v>9049</v>
      </c>
    </row>
    <row r="8392" spans="1:2" x14ac:dyDescent="0.25">
      <c r="A8392" s="62">
        <v>42151669</v>
      </c>
      <c r="B8392" s="63" t="s">
        <v>9050</v>
      </c>
    </row>
    <row r="8393" spans="1:2" x14ac:dyDescent="0.25">
      <c r="A8393" s="62">
        <v>42151670</v>
      </c>
      <c r="B8393" s="63" t="s">
        <v>9051</v>
      </c>
    </row>
    <row r="8394" spans="1:2" x14ac:dyDescent="0.25">
      <c r="A8394" s="62">
        <v>42151671</v>
      </c>
      <c r="B8394" s="63" t="s">
        <v>9052</v>
      </c>
    </row>
    <row r="8395" spans="1:2" x14ac:dyDescent="0.25">
      <c r="A8395" s="62">
        <v>42151672</v>
      </c>
      <c r="B8395" s="63" t="s">
        <v>9053</v>
      </c>
    </row>
    <row r="8396" spans="1:2" x14ac:dyDescent="0.25">
      <c r="A8396" s="62">
        <v>42151673</v>
      </c>
      <c r="B8396" s="63" t="s">
        <v>9054</v>
      </c>
    </row>
    <row r="8397" spans="1:2" x14ac:dyDescent="0.25">
      <c r="A8397" s="62">
        <v>42151674</v>
      </c>
      <c r="B8397" s="63" t="s">
        <v>9055</v>
      </c>
    </row>
    <row r="8398" spans="1:2" x14ac:dyDescent="0.25">
      <c r="A8398" s="62">
        <v>42151675</v>
      </c>
      <c r="B8398" s="63" t="s">
        <v>9056</v>
      </c>
    </row>
    <row r="8399" spans="1:2" x14ac:dyDescent="0.25">
      <c r="A8399" s="62">
        <v>42151676</v>
      </c>
      <c r="B8399" s="63" t="s">
        <v>9057</v>
      </c>
    </row>
    <row r="8400" spans="1:2" x14ac:dyDescent="0.25">
      <c r="A8400" s="62">
        <v>42151677</v>
      </c>
      <c r="B8400" s="63" t="s">
        <v>9058</v>
      </c>
    </row>
    <row r="8401" spans="1:2" x14ac:dyDescent="0.25">
      <c r="A8401" s="62">
        <v>42151678</v>
      </c>
      <c r="B8401" s="63" t="s">
        <v>9059</v>
      </c>
    </row>
    <row r="8402" spans="1:2" x14ac:dyDescent="0.25">
      <c r="A8402" s="62">
        <v>42151679</v>
      </c>
      <c r="B8402" s="63" t="s">
        <v>9060</v>
      </c>
    </row>
    <row r="8403" spans="1:2" x14ac:dyDescent="0.25">
      <c r="A8403" s="62">
        <v>42151680</v>
      </c>
      <c r="B8403" s="63" t="s">
        <v>9061</v>
      </c>
    </row>
    <row r="8404" spans="1:2" x14ac:dyDescent="0.25">
      <c r="A8404" s="62">
        <v>42151681</v>
      </c>
      <c r="B8404" s="63" t="s">
        <v>9062</v>
      </c>
    </row>
    <row r="8405" spans="1:2" x14ac:dyDescent="0.25">
      <c r="A8405" s="62">
        <v>42151701</v>
      </c>
      <c r="B8405" s="63" t="s">
        <v>9063</v>
      </c>
    </row>
    <row r="8406" spans="1:2" x14ac:dyDescent="0.25">
      <c r="A8406" s="62">
        <v>42151702</v>
      </c>
      <c r="B8406" s="63" t="s">
        <v>9064</v>
      </c>
    </row>
    <row r="8407" spans="1:2" x14ac:dyDescent="0.25">
      <c r="A8407" s="62">
        <v>42151703</v>
      </c>
      <c r="B8407" s="63" t="s">
        <v>9065</v>
      </c>
    </row>
    <row r="8408" spans="1:2" x14ac:dyDescent="0.25">
      <c r="A8408" s="62">
        <v>42151704</v>
      </c>
      <c r="B8408" s="63" t="s">
        <v>9066</v>
      </c>
    </row>
    <row r="8409" spans="1:2" x14ac:dyDescent="0.25">
      <c r="A8409" s="62">
        <v>42151705</v>
      </c>
      <c r="B8409" s="63" t="s">
        <v>9067</v>
      </c>
    </row>
    <row r="8410" spans="1:2" x14ac:dyDescent="0.25">
      <c r="A8410" s="62">
        <v>42151801</v>
      </c>
      <c r="B8410" s="63" t="s">
        <v>9068</v>
      </c>
    </row>
    <row r="8411" spans="1:2" x14ac:dyDescent="0.25">
      <c r="A8411" s="62">
        <v>42151802</v>
      </c>
      <c r="B8411" s="63" t="s">
        <v>9069</v>
      </c>
    </row>
    <row r="8412" spans="1:2" x14ac:dyDescent="0.25">
      <c r="A8412" s="62">
        <v>42151803</v>
      </c>
      <c r="B8412" s="63" t="s">
        <v>9070</v>
      </c>
    </row>
    <row r="8413" spans="1:2" x14ac:dyDescent="0.25">
      <c r="A8413" s="62">
        <v>42151804</v>
      </c>
      <c r="B8413" s="63" t="s">
        <v>9071</v>
      </c>
    </row>
    <row r="8414" spans="1:2" x14ac:dyDescent="0.25">
      <c r="A8414" s="62">
        <v>42151805</v>
      </c>
      <c r="B8414" s="63" t="s">
        <v>9072</v>
      </c>
    </row>
    <row r="8415" spans="1:2" x14ac:dyDescent="0.25">
      <c r="A8415" s="62">
        <v>42151806</v>
      </c>
      <c r="B8415" s="63" t="s">
        <v>9073</v>
      </c>
    </row>
    <row r="8416" spans="1:2" x14ac:dyDescent="0.25">
      <c r="A8416" s="62">
        <v>42151807</v>
      </c>
      <c r="B8416" s="63" t="s">
        <v>9074</v>
      </c>
    </row>
    <row r="8417" spans="1:2" x14ac:dyDescent="0.25">
      <c r="A8417" s="62">
        <v>42151808</v>
      </c>
      <c r="B8417" s="63" t="s">
        <v>9075</v>
      </c>
    </row>
    <row r="8418" spans="1:2" x14ac:dyDescent="0.25">
      <c r="A8418" s="62">
        <v>42151809</v>
      </c>
      <c r="B8418" s="63" t="s">
        <v>9076</v>
      </c>
    </row>
    <row r="8419" spans="1:2" x14ac:dyDescent="0.25">
      <c r="A8419" s="62">
        <v>42151810</v>
      </c>
      <c r="B8419" s="63" t="s">
        <v>9077</v>
      </c>
    </row>
    <row r="8420" spans="1:2" x14ac:dyDescent="0.25">
      <c r="A8420" s="62">
        <v>42151811</v>
      </c>
      <c r="B8420" s="63" t="s">
        <v>9078</v>
      </c>
    </row>
    <row r="8421" spans="1:2" x14ac:dyDescent="0.25">
      <c r="A8421" s="62">
        <v>42151812</v>
      </c>
      <c r="B8421" s="63" t="s">
        <v>9079</v>
      </c>
    </row>
    <row r="8422" spans="1:2" x14ac:dyDescent="0.25">
      <c r="A8422" s="62">
        <v>42151813</v>
      </c>
      <c r="B8422" s="63" t="s">
        <v>9080</v>
      </c>
    </row>
    <row r="8423" spans="1:2" x14ac:dyDescent="0.25">
      <c r="A8423" s="62">
        <v>42151814</v>
      </c>
      <c r="B8423" s="63" t="s">
        <v>9081</v>
      </c>
    </row>
    <row r="8424" spans="1:2" x14ac:dyDescent="0.25">
      <c r="A8424" s="62">
        <v>42151815</v>
      </c>
      <c r="B8424" s="63" t="s">
        <v>9082</v>
      </c>
    </row>
    <row r="8425" spans="1:2" x14ac:dyDescent="0.25">
      <c r="A8425" s="62">
        <v>42151816</v>
      </c>
      <c r="B8425" s="63" t="s">
        <v>9083</v>
      </c>
    </row>
    <row r="8426" spans="1:2" x14ac:dyDescent="0.25">
      <c r="A8426" s="62">
        <v>42151901</v>
      </c>
      <c r="B8426" s="63" t="s">
        <v>9084</v>
      </c>
    </row>
    <row r="8427" spans="1:2" x14ac:dyDescent="0.25">
      <c r="A8427" s="62">
        <v>42151902</v>
      </c>
      <c r="B8427" s="63" t="s">
        <v>9085</v>
      </c>
    </row>
    <row r="8428" spans="1:2" x14ac:dyDescent="0.25">
      <c r="A8428" s="62">
        <v>42151903</v>
      </c>
      <c r="B8428" s="63" t="s">
        <v>9086</v>
      </c>
    </row>
    <row r="8429" spans="1:2" x14ac:dyDescent="0.25">
      <c r="A8429" s="62">
        <v>42151904</v>
      </c>
      <c r="B8429" s="63" t="s">
        <v>9087</v>
      </c>
    </row>
    <row r="8430" spans="1:2" x14ac:dyDescent="0.25">
      <c r="A8430" s="62">
        <v>42151905</v>
      </c>
      <c r="B8430" s="63" t="s">
        <v>9088</v>
      </c>
    </row>
    <row r="8431" spans="1:2" x14ac:dyDescent="0.25">
      <c r="A8431" s="62">
        <v>42151906</v>
      </c>
      <c r="B8431" s="63" t="s">
        <v>9089</v>
      </c>
    </row>
    <row r="8432" spans="1:2" x14ac:dyDescent="0.25">
      <c r="A8432" s="62">
        <v>42151907</v>
      </c>
      <c r="B8432" s="63" t="s">
        <v>9090</v>
      </c>
    </row>
    <row r="8433" spans="1:2" x14ac:dyDescent="0.25">
      <c r="A8433" s="62">
        <v>42151908</v>
      </c>
      <c r="B8433" s="63" t="s">
        <v>9091</v>
      </c>
    </row>
    <row r="8434" spans="1:2" x14ac:dyDescent="0.25">
      <c r="A8434" s="62">
        <v>42151909</v>
      </c>
      <c r="B8434" s="63" t="s">
        <v>9092</v>
      </c>
    </row>
    <row r="8435" spans="1:2" x14ac:dyDescent="0.25">
      <c r="A8435" s="62">
        <v>42151910</v>
      </c>
      <c r="B8435" s="63" t="s">
        <v>9093</v>
      </c>
    </row>
    <row r="8436" spans="1:2" x14ac:dyDescent="0.25">
      <c r="A8436" s="62">
        <v>42151911</v>
      </c>
      <c r="B8436" s="63" t="s">
        <v>9094</v>
      </c>
    </row>
    <row r="8437" spans="1:2" x14ac:dyDescent="0.25">
      <c r="A8437" s="62">
        <v>42151912</v>
      </c>
      <c r="B8437" s="63" t="s">
        <v>9095</v>
      </c>
    </row>
    <row r="8438" spans="1:2" x14ac:dyDescent="0.25">
      <c r="A8438" s="62">
        <v>42152001</v>
      </c>
      <c r="B8438" s="63" t="s">
        <v>9096</v>
      </c>
    </row>
    <row r="8439" spans="1:2" x14ac:dyDescent="0.25">
      <c r="A8439" s="62">
        <v>42152002</v>
      </c>
      <c r="B8439" s="63" t="s">
        <v>9097</v>
      </c>
    </row>
    <row r="8440" spans="1:2" x14ac:dyDescent="0.25">
      <c r="A8440" s="62">
        <v>42152003</v>
      </c>
      <c r="B8440" s="63" t="s">
        <v>9098</v>
      </c>
    </row>
    <row r="8441" spans="1:2" x14ac:dyDescent="0.25">
      <c r="A8441" s="62">
        <v>42152004</v>
      </c>
      <c r="B8441" s="63" t="s">
        <v>9099</v>
      </c>
    </row>
    <row r="8442" spans="1:2" x14ac:dyDescent="0.25">
      <c r="A8442" s="62">
        <v>42152005</v>
      </c>
      <c r="B8442" s="63" t="s">
        <v>9100</v>
      </c>
    </row>
    <row r="8443" spans="1:2" x14ac:dyDescent="0.25">
      <c r="A8443" s="62">
        <v>42152006</v>
      </c>
      <c r="B8443" s="63" t="s">
        <v>9101</v>
      </c>
    </row>
    <row r="8444" spans="1:2" x14ac:dyDescent="0.25">
      <c r="A8444" s="62">
        <v>42152007</v>
      </c>
      <c r="B8444" s="63" t="s">
        <v>9102</v>
      </c>
    </row>
    <row r="8445" spans="1:2" x14ac:dyDescent="0.25">
      <c r="A8445" s="62">
        <v>42152008</v>
      </c>
      <c r="B8445" s="63" t="s">
        <v>9103</v>
      </c>
    </row>
    <row r="8446" spans="1:2" x14ac:dyDescent="0.25">
      <c r="A8446" s="62">
        <v>42152009</v>
      </c>
      <c r="B8446" s="63" t="s">
        <v>9104</v>
      </c>
    </row>
    <row r="8447" spans="1:2" x14ac:dyDescent="0.25">
      <c r="A8447" s="62">
        <v>42152010</v>
      </c>
      <c r="B8447" s="63" t="s">
        <v>9105</v>
      </c>
    </row>
    <row r="8448" spans="1:2" x14ac:dyDescent="0.25">
      <c r="A8448" s="62">
        <v>42152011</v>
      </c>
      <c r="B8448" s="63" t="s">
        <v>9106</v>
      </c>
    </row>
    <row r="8449" spans="1:2" x14ac:dyDescent="0.25">
      <c r="A8449" s="62">
        <v>42152012</v>
      </c>
      <c r="B8449" s="63" t="s">
        <v>9107</v>
      </c>
    </row>
    <row r="8450" spans="1:2" x14ac:dyDescent="0.25">
      <c r="A8450" s="62">
        <v>42152013</v>
      </c>
      <c r="B8450" s="63" t="s">
        <v>9108</v>
      </c>
    </row>
    <row r="8451" spans="1:2" x14ac:dyDescent="0.25">
      <c r="A8451" s="62">
        <v>42152014</v>
      </c>
      <c r="B8451" s="63" t="s">
        <v>9109</v>
      </c>
    </row>
    <row r="8452" spans="1:2" x14ac:dyDescent="0.25">
      <c r="A8452" s="62">
        <v>42152101</v>
      </c>
      <c r="B8452" s="63" t="s">
        <v>9110</v>
      </c>
    </row>
    <row r="8453" spans="1:2" x14ac:dyDescent="0.25">
      <c r="A8453" s="62">
        <v>42152102</v>
      </c>
      <c r="B8453" s="63" t="s">
        <v>9111</v>
      </c>
    </row>
    <row r="8454" spans="1:2" x14ac:dyDescent="0.25">
      <c r="A8454" s="62">
        <v>42152103</v>
      </c>
      <c r="B8454" s="63" t="s">
        <v>9112</v>
      </c>
    </row>
    <row r="8455" spans="1:2" x14ac:dyDescent="0.25">
      <c r="A8455" s="62">
        <v>42152104</v>
      </c>
      <c r="B8455" s="63" t="s">
        <v>9113</v>
      </c>
    </row>
    <row r="8456" spans="1:2" x14ac:dyDescent="0.25">
      <c r="A8456" s="62">
        <v>42152105</v>
      </c>
      <c r="B8456" s="63" t="s">
        <v>9114</v>
      </c>
    </row>
    <row r="8457" spans="1:2" x14ac:dyDescent="0.25">
      <c r="A8457" s="62">
        <v>42152106</v>
      </c>
      <c r="B8457" s="63" t="s">
        <v>9115</v>
      </c>
    </row>
    <row r="8458" spans="1:2" x14ac:dyDescent="0.25">
      <c r="A8458" s="62">
        <v>42152107</v>
      </c>
      <c r="B8458" s="63" t="s">
        <v>9116</v>
      </c>
    </row>
    <row r="8459" spans="1:2" x14ac:dyDescent="0.25">
      <c r="A8459" s="62">
        <v>42152108</v>
      </c>
      <c r="B8459" s="63" t="s">
        <v>9117</v>
      </c>
    </row>
    <row r="8460" spans="1:2" x14ac:dyDescent="0.25">
      <c r="A8460" s="62">
        <v>42152109</v>
      </c>
      <c r="B8460" s="63" t="s">
        <v>9118</v>
      </c>
    </row>
    <row r="8461" spans="1:2" x14ac:dyDescent="0.25">
      <c r="A8461" s="62">
        <v>42152110</v>
      </c>
      <c r="B8461" s="63" t="s">
        <v>9119</v>
      </c>
    </row>
    <row r="8462" spans="1:2" x14ac:dyDescent="0.25">
      <c r="A8462" s="62">
        <v>42152111</v>
      </c>
      <c r="B8462" s="63" t="s">
        <v>9120</v>
      </c>
    </row>
    <row r="8463" spans="1:2" x14ac:dyDescent="0.25">
      <c r="A8463" s="62">
        <v>42152112</v>
      </c>
      <c r="B8463" s="63" t="s">
        <v>9121</v>
      </c>
    </row>
    <row r="8464" spans="1:2" x14ac:dyDescent="0.25">
      <c r="A8464" s="62">
        <v>42152113</v>
      </c>
      <c r="B8464" s="63" t="s">
        <v>9122</v>
      </c>
    </row>
    <row r="8465" spans="1:2" x14ac:dyDescent="0.25">
      <c r="A8465" s="62">
        <v>42152114</v>
      </c>
      <c r="B8465" s="63" t="s">
        <v>9123</v>
      </c>
    </row>
    <row r="8466" spans="1:2" x14ac:dyDescent="0.25">
      <c r="A8466" s="62">
        <v>42152115</v>
      </c>
      <c r="B8466" s="63" t="s">
        <v>9124</v>
      </c>
    </row>
    <row r="8467" spans="1:2" x14ac:dyDescent="0.25">
      <c r="A8467" s="62">
        <v>42152201</v>
      </c>
      <c r="B8467" s="63" t="s">
        <v>9125</v>
      </c>
    </row>
    <row r="8468" spans="1:2" x14ac:dyDescent="0.25">
      <c r="A8468" s="62">
        <v>42152202</v>
      </c>
      <c r="B8468" s="63" t="s">
        <v>9126</v>
      </c>
    </row>
    <row r="8469" spans="1:2" x14ac:dyDescent="0.25">
      <c r="A8469" s="62">
        <v>42152203</v>
      </c>
      <c r="B8469" s="63" t="s">
        <v>9127</v>
      </c>
    </row>
    <row r="8470" spans="1:2" x14ac:dyDescent="0.25">
      <c r="A8470" s="62">
        <v>42152204</v>
      </c>
      <c r="B8470" s="63" t="s">
        <v>9128</v>
      </c>
    </row>
    <row r="8471" spans="1:2" x14ac:dyDescent="0.25">
      <c r="A8471" s="62">
        <v>42152205</v>
      </c>
      <c r="B8471" s="63" t="s">
        <v>9129</v>
      </c>
    </row>
    <row r="8472" spans="1:2" x14ac:dyDescent="0.25">
      <c r="A8472" s="62">
        <v>42152206</v>
      </c>
      <c r="B8472" s="63" t="s">
        <v>9130</v>
      </c>
    </row>
    <row r="8473" spans="1:2" x14ac:dyDescent="0.25">
      <c r="A8473" s="62">
        <v>42152207</v>
      </c>
      <c r="B8473" s="63" t="s">
        <v>9131</v>
      </c>
    </row>
    <row r="8474" spans="1:2" x14ac:dyDescent="0.25">
      <c r="A8474" s="62">
        <v>42152208</v>
      </c>
      <c r="B8474" s="63" t="s">
        <v>9132</v>
      </c>
    </row>
    <row r="8475" spans="1:2" x14ac:dyDescent="0.25">
      <c r="A8475" s="62">
        <v>42152209</v>
      </c>
      <c r="B8475" s="63" t="s">
        <v>9133</v>
      </c>
    </row>
    <row r="8476" spans="1:2" x14ac:dyDescent="0.25">
      <c r="A8476" s="62">
        <v>42152210</v>
      </c>
      <c r="B8476" s="63" t="s">
        <v>9134</v>
      </c>
    </row>
    <row r="8477" spans="1:2" x14ac:dyDescent="0.25">
      <c r="A8477" s="62">
        <v>42152211</v>
      </c>
      <c r="B8477" s="63" t="s">
        <v>9135</v>
      </c>
    </row>
    <row r="8478" spans="1:2" x14ac:dyDescent="0.25">
      <c r="A8478" s="62">
        <v>42152212</v>
      </c>
      <c r="B8478" s="63" t="s">
        <v>9136</v>
      </c>
    </row>
    <row r="8479" spans="1:2" x14ac:dyDescent="0.25">
      <c r="A8479" s="62">
        <v>42152213</v>
      </c>
      <c r="B8479" s="63" t="s">
        <v>9137</v>
      </c>
    </row>
    <row r="8480" spans="1:2" x14ac:dyDescent="0.25">
      <c r="A8480" s="62">
        <v>42152214</v>
      </c>
      <c r="B8480" s="63" t="s">
        <v>9138</v>
      </c>
    </row>
    <row r="8481" spans="1:2" x14ac:dyDescent="0.25">
      <c r="A8481" s="62">
        <v>42152215</v>
      </c>
      <c r="B8481" s="63" t="s">
        <v>9139</v>
      </c>
    </row>
    <row r="8482" spans="1:2" x14ac:dyDescent="0.25">
      <c r="A8482" s="62">
        <v>42152216</v>
      </c>
      <c r="B8482" s="63" t="s">
        <v>9140</v>
      </c>
    </row>
    <row r="8483" spans="1:2" x14ac:dyDescent="0.25">
      <c r="A8483" s="62">
        <v>42152217</v>
      </c>
      <c r="B8483" s="63" t="s">
        <v>9141</v>
      </c>
    </row>
    <row r="8484" spans="1:2" x14ac:dyDescent="0.25">
      <c r="A8484" s="62">
        <v>42152218</v>
      </c>
      <c r="B8484" s="63" t="s">
        <v>9142</v>
      </c>
    </row>
    <row r="8485" spans="1:2" x14ac:dyDescent="0.25">
      <c r="A8485" s="62">
        <v>42152219</v>
      </c>
      <c r="B8485" s="63" t="s">
        <v>9143</v>
      </c>
    </row>
    <row r="8486" spans="1:2" x14ac:dyDescent="0.25">
      <c r="A8486" s="62">
        <v>42152220</v>
      </c>
      <c r="B8486" s="63" t="s">
        <v>9144</v>
      </c>
    </row>
    <row r="8487" spans="1:2" x14ac:dyDescent="0.25">
      <c r="A8487" s="62">
        <v>42152221</v>
      </c>
      <c r="B8487" s="63" t="s">
        <v>9145</v>
      </c>
    </row>
    <row r="8488" spans="1:2" x14ac:dyDescent="0.25">
      <c r="A8488" s="62">
        <v>42152222</v>
      </c>
      <c r="B8488" s="63" t="s">
        <v>9146</v>
      </c>
    </row>
    <row r="8489" spans="1:2" x14ac:dyDescent="0.25">
      <c r="A8489" s="62">
        <v>42152223</v>
      </c>
      <c r="B8489" s="63" t="s">
        <v>9147</v>
      </c>
    </row>
    <row r="8490" spans="1:2" x14ac:dyDescent="0.25">
      <c r="A8490" s="62">
        <v>42152224</v>
      </c>
      <c r="B8490" s="63" t="s">
        <v>9148</v>
      </c>
    </row>
    <row r="8491" spans="1:2" x14ac:dyDescent="0.25">
      <c r="A8491" s="62">
        <v>42152301</v>
      </c>
      <c r="B8491" s="63" t="s">
        <v>9149</v>
      </c>
    </row>
    <row r="8492" spans="1:2" x14ac:dyDescent="0.25">
      <c r="A8492" s="62">
        <v>42152302</v>
      </c>
      <c r="B8492" s="63" t="s">
        <v>9150</v>
      </c>
    </row>
    <row r="8493" spans="1:2" x14ac:dyDescent="0.25">
      <c r="A8493" s="62">
        <v>42152303</v>
      </c>
      <c r="B8493" s="63" t="s">
        <v>9151</v>
      </c>
    </row>
    <row r="8494" spans="1:2" x14ac:dyDescent="0.25">
      <c r="A8494" s="62">
        <v>42152304</v>
      </c>
      <c r="B8494" s="63" t="s">
        <v>9152</v>
      </c>
    </row>
    <row r="8495" spans="1:2" x14ac:dyDescent="0.25">
      <c r="A8495" s="62">
        <v>42152305</v>
      </c>
      <c r="B8495" s="63" t="s">
        <v>9153</v>
      </c>
    </row>
    <row r="8496" spans="1:2" x14ac:dyDescent="0.25">
      <c r="A8496" s="62">
        <v>42152306</v>
      </c>
      <c r="B8496" s="63" t="s">
        <v>9154</v>
      </c>
    </row>
    <row r="8497" spans="1:2" x14ac:dyDescent="0.25">
      <c r="A8497" s="62">
        <v>42152307</v>
      </c>
      <c r="B8497" s="63" t="s">
        <v>9155</v>
      </c>
    </row>
    <row r="8498" spans="1:2" x14ac:dyDescent="0.25">
      <c r="A8498" s="62">
        <v>42152401</v>
      </c>
      <c r="B8498" s="63" t="s">
        <v>9156</v>
      </c>
    </row>
    <row r="8499" spans="1:2" x14ac:dyDescent="0.25">
      <c r="A8499" s="62">
        <v>42152402</v>
      </c>
      <c r="B8499" s="63" t="s">
        <v>9157</v>
      </c>
    </row>
    <row r="8500" spans="1:2" x14ac:dyDescent="0.25">
      <c r="A8500" s="62">
        <v>42152403</v>
      </c>
      <c r="B8500" s="63" t="s">
        <v>9158</v>
      </c>
    </row>
    <row r="8501" spans="1:2" x14ac:dyDescent="0.25">
      <c r="A8501" s="62">
        <v>42152404</v>
      </c>
      <c r="B8501" s="63" t="s">
        <v>9159</v>
      </c>
    </row>
    <row r="8502" spans="1:2" x14ac:dyDescent="0.25">
      <c r="A8502" s="62">
        <v>42152405</v>
      </c>
      <c r="B8502" s="63" t="s">
        <v>9160</v>
      </c>
    </row>
    <row r="8503" spans="1:2" x14ac:dyDescent="0.25">
      <c r="A8503" s="62">
        <v>42152406</v>
      </c>
      <c r="B8503" s="63" t="s">
        <v>9161</v>
      </c>
    </row>
    <row r="8504" spans="1:2" x14ac:dyDescent="0.25">
      <c r="A8504" s="62">
        <v>42152407</v>
      </c>
      <c r="B8504" s="63" t="s">
        <v>9162</v>
      </c>
    </row>
    <row r="8505" spans="1:2" x14ac:dyDescent="0.25">
      <c r="A8505" s="62">
        <v>42152408</v>
      </c>
      <c r="B8505" s="63" t="s">
        <v>9163</v>
      </c>
    </row>
    <row r="8506" spans="1:2" x14ac:dyDescent="0.25">
      <c r="A8506" s="62">
        <v>42152409</v>
      </c>
      <c r="B8506" s="63" t="s">
        <v>9164</v>
      </c>
    </row>
    <row r="8507" spans="1:2" x14ac:dyDescent="0.25">
      <c r="A8507" s="62">
        <v>42152410</v>
      </c>
      <c r="B8507" s="63" t="s">
        <v>9165</v>
      </c>
    </row>
    <row r="8508" spans="1:2" x14ac:dyDescent="0.25">
      <c r="A8508" s="62">
        <v>42152411</v>
      </c>
      <c r="B8508" s="63" t="s">
        <v>9166</v>
      </c>
    </row>
    <row r="8509" spans="1:2" x14ac:dyDescent="0.25">
      <c r="A8509" s="62">
        <v>42152412</v>
      </c>
      <c r="B8509" s="63" t="s">
        <v>9167</v>
      </c>
    </row>
    <row r="8510" spans="1:2" x14ac:dyDescent="0.25">
      <c r="A8510" s="62">
        <v>42152413</v>
      </c>
      <c r="B8510" s="63" t="s">
        <v>9168</v>
      </c>
    </row>
    <row r="8511" spans="1:2" x14ac:dyDescent="0.25">
      <c r="A8511" s="62">
        <v>42152414</v>
      </c>
      <c r="B8511" s="63" t="s">
        <v>9169</v>
      </c>
    </row>
    <row r="8512" spans="1:2" x14ac:dyDescent="0.25">
      <c r="A8512" s="62">
        <v>42152415</v>
      </c>
      <c r="B8512" s="63" t="s">
        <v>9170</v>
      </c>
    </row>
    <row r="8513" spans="1:2" x14ac:dyDescent="0.25">
      <c r="A8513" s="62">
        <v>42152416</v>
      </c>
      <c r="B8513" s="63" t="s">
        <v>9171</v>
      </c>
    </row>
    <row r="8514" spans="1:2" x14ac:dyDescent="0.25">
      <c r="A8514" s="62">
        <v>42152417</v>
      </c>
      <c r="B8514" s="63" t="s">
        <v>9172</v>
      </c>
    </row>
    <row r="8515" spans="1:2" x14ac:dyDescent="0.25">
      <c r="A8515" s="62">
        <v>42152418</v>
      </c>
      <c r="B8515" s="63" t="s">
        <v>9173</v>
      </c>
    </row>
    <row r="8516" spans="1:2" x14ac:dyDescent="0.25">
      <c r="A8516" s="62">
        <v>42152419</v>
      </c>
      <c r="B8516" s="63" t="s">
        <v>9174</v>
      </c>
    </row>
    <row r="8517" spans="1:2" x14ac:dyDescent="0.25">
      <c r="A8517" s="62">
        <v>42152420</v>
      </c>
      <c r="B8517" s="63" t="s">
        <v>9175</v>
      </c>
    </row>
    <row r="8518" spans="1:2" x14ac:dyDescent="0.25">
      <c r="A8518" s="62">
        <v>42152421</v>
      </c>
      <c r="B8518" s="63" t="s">
        <v>9176</v>
      </c>
    </row>
    <row r="8519" spans="1:2" x14ac:dyDescent="0.25">
      <c r="A8519" s="62">
        <v>42152422</v>
      </c>
      <c r="B8519" s="63" t="s">
        <v>9177</v>
      </c>
    </row>
    <row r="8520" spans="1:2" x14ac:dyDescent="0.25">
      <c r="A8520" s="62">
        <v>42152423</v>
      </c>
      <c r="B8520" s="63" t="s">
        <v>9178</v>
      </c>
    </row>
    <row r="8521" spans="1:2" x14ac:dyDescent="0.25">
      <c r="A8521" s="62">
        <v>42152424</v>
      </c>
      <c r="B8521" s="63" t="s">
        <v>9179</v>
      </c>
    </row>
    <row r="8522" spans="1:2" x14ac:dyDescent="0.25">
      <c r="A8522" s="62">
        <v>42152425</v>
      </c>
      <c r="B8522" s="63" t="s">
        <v>9180</v>
      </c>
    </row>
    <row r="8523" spans="1:2" x14ac:dyDescent="0.25">
      <c r="A8523" s="62">
        <v>42152426</v>
      </c>
      <c r="B8523" s="63" t="s">
        <v>9181</v>
      </c>
    </row>
    <row r="8524" spans="1:2" x14ac:dyDescent="0.25">
      <c r="A8524" s="62">
        <v>42152427</v>
      </c>
      <c r="B8524" s="63" t="s">
        <v>9182</v>
      </c>
    </row>
    <row r="8525" spans="1:2" x14ac:dyDescent="0.25">
      <c r="A8525" s="62">
        <v>42152428</v>
      </c>
      <c r="B8525" s="63" t="s">
        <v>9183</v>
      </c>
    </row>
    <row r="8526" spans="1:2" x14ac:dyDescent="0.25">
      <c r="A8526" s="62">
        <v>42152429</v>
      </c>
      <c r="B8526" s="63" t="s">
        <v>9184</v>
      </c>
    </row>
    <row r="8527" spans="1:2" x14ac:dyDescent="0.25">
      <c r="A8527" s="62">
        <v>42152430</v>
      </c>
      <c r="B8527" s="63" t="s">
        <v>9185</v>
      </c>
    </row>
    <row r="8528" spans="1:2" x14ac:dyDescent="0.25">
      <c r="A8528" s="62">
        <v>42152431</v>
      </c>
      <c r="B8528" s="63" t="s">
        <v>9186</v>
      </c>
    </row>
    <row r="8529" spans="1:2" x14ac:dyDescent="0.25">
      <c r="A8529" s="62">
        <v>42152432</v>
      </c>
      <c r="B8529" s="63" t="s">
        <v>9187</v>
      </c>
    </row>
    <row r="8530" spans="1:2" x14ac:dyDescent="0.25">
      <c r="A8530" s="62">
        <v>42152433</v>
      </c>
      <c r="B8530" s="63" t="s">
        <v>9188</v>
      </c>
    </row>
    <row r="8531" spans="1:2" x14ac:dyDescent="0.25">
      <c r="A8531" s="62">
        <v>42152434</v>
      </c>
      <c r="B8531" s="63" t="s">
        <v>9189</v>
      </c>
    </row>
    <row r="8532" spans="1:2" x14ac:dyDescent="0.25">
      <c r="A8532" s="62">
        <v>42152435</v>
      </c>
      <c r="B8532" s="63" t="s">
        <v>9190</v>
      </c>
    </row>
    <row r="8533" spans="1:2" x14ac:dyDescent="0.25">
      <c r="A8533" s="62">
        <v>42152436</v>
      </c>
      <c r="B8533" s="63" t="s">
        <v>9191</v>
      </c>
    </row>
    <row r="8534" spans="1:2" x14ac:dyDescent="0.25">
      <c r="A8534" s="62">
        <v>42152437</v>
      </c>
      <c r="B8534" s="63" t="s">
        <v>9192</v>
      </c>
    </row>
    <row r="8535" spans="1:2" x14ac:dyDescent="0.25">
      <c r="A8535" s="62">
        <v>42152438</v>
      </c>
      <c r="B8535" s="63" t="s">
        <v>9193</v>
      </c>
    </row>
    <row r="8536" spans="1:2" x14ac:dyDescent="0.25">
      <c r="A8536" s="62">
        <v>42152439</v>
      </c>
      <c r="B8536" s="63" t="s">
        <v>9194</v>
      </c>
    </row>
    <row r="8537" spans="1:2" x14ac:dyDescent="0.25">
      <c r="A8537" s="62">
        <v>42152440</v>
      </c>
      <c r="B8537" s="63" t="s">
        <v>9195</v>
      </c>
    </row>
    <row r="8538" spans="1:2" x14ac:dyDescent="0.25">
      <c r="A8538" s="62">
        <v>42152441</v>
      </c>
      <c r="B8538" s="63" t="s">
        <v>9196</v>
      </c>
    </row>
    <row r="8539" spans="1:2" x14ac:dyDescent="0.25">
      <c r="A8539" s="62">
        <v>42152442</v>
      </c>
      <c r="B8539" s="63" t="s">
        <v>9197</v>
      </c>
    </row>
    <row r="8540" spans="1:2" x14ac:dyDescent="0.25">
      <c r="A8540" s="62">
        <v>42152443</v>
      </c>
      <c r="B8540" s="63" t="s">
        <v>9198</v>
      </c>
    </row>
    <row r="8541" spans="1:2" x14ac:dyDescent="0.25">
      <c r="A8541" s="62">
        <v>42152444</v>
      </c>
      <c r="B8541" s="63" t="s">
        <v>9199</v>
      </c>
    </row>
    <row r="8542" spans="1:2" x14ac:dyDescent="0.25">
      <c r="A8542" s="62">
        <v>42152445</v>
      </c>
      <c r="B8542" s="63" t="s">
        <v>9200</v>
      </c>
    </row>
    <row r="8543" spans="1:2" x14ac:dyDescent="0.25">
      <c r="A8543" s="62">
        <v>42152446</v>
      </c>
      <c r="B8543" s="63" t="s">
        <v>9201</v>
      </c>
    </row>
    <row r="8544" spans="1:2" x14ac:dyDescent="0.25">
      <c r="A8544" s="62">
        <v>42152447</v>
      </c>
      <c r="B8544" s="63" t="s">
        <v>9202</v>
      </c>
    </row>
    <row r="8545" spans="1:2" x14ac:dyDescent="0.25">
      <c r="A8545" s="62">
        <v>42152449</v>
      </c>
      <c r="B8545" s="63" t="s">
        <v>9203</v>
      </c>
    </row>
    <row r="8546" spans="1:2" x14ac:dyDescent="0.25">
      <c r="A8546" s="62">
        <v>42152450</v>
      </c>
      <c r="B8546" s="63" t="s">
        <v>9204</v>
      </c>
    </row>
    <row r="8547" spans="1:2" x14ac:dyDescent="0.25">
      <c r="A8547" s="62">
        <v>42152451</v>
      </c>
      <c r="B8547" s="63" t="s">
        <v>9205</v>
      </c>
    </row>
    <row r="8548" spans="1:2" x14ac:dyDescent="0.25">
      <c r="A8548" s="62">
        <v>42152452</v>
      </c>
      <c r="B8548" s="63" t="s">
        <v>9206</v>
      </c>
    </row>
    <row r="8549" spans="1:2" x14ac:dyDescent="0.25">
      <c r="A8549" s="62">
        <v>42152453</v>
      </c>
      <c r="B8549" s="63" t="s">
        <v>9207</v>
      </c>
    </row>
    <row r="8550" spans="1:2" x14ac:dyDescent="0.25">
      <c r="A8550" s="62">
        <v>42152454</v>
      </c>
      <c r="B8550" s="63" t="s">
        <v>9208</v>
      </c>
    </row>
    <row r="8551" spans="1:2" x14ac:dyDescent="0.25">
      <c r="A8551" s="62">
        <v>42152455</v>
      </c>
      <c r="B8551" s="63" t="s">
        <v>9209</v>
      </c>
    </row>
    <row r="8552" spans="1:2" x14ac:dyDescent="0.25">
      <c r="A8552" s="62">
        <v>42152456</v>
      </c>
      <c r="B8552" s="63" t="s">
        <v>9210</v>
      </c>
    </row>
    <row r="8553" spans="1:2" x14ac:dyDescent="0.25">
      <c r="A8553" s="62">
        <v>42152457</v>
      </c>
      <c r="B8553" s="63" t="s">
        <v>9211</v>
      </c>
    </row>
    <row r="8554" spans="1:2" x14ac:dyDescent="0.25">
      <c r="A8554" s="62">
        <v>42152458</v>
      </c>
      <c r="B8554" s="63" t="s">
        <v>9212</v>
      </c>
    </row>
    <row r="8555" spans="1:2" x14ac:dyDescent="0.25">
      <c r="A8555" s="62">
        <v>42152459</v>
      </c>
      <c r="B8555" s="63" t="s">
        <v>9213</v>
      </c>
    </row>
    <row r="8556" spans="1:2" x14ac:dyDescent="0.25">
      <c r="A8556" s="62">
        <v>42152460</v>
      </c>
      <c r="B8556" s="63" t="s">
        <v>9214</v>
      </c>
    </row>
    <row r="8557" spans="1:2" x14ac:dyDescent="0.25">
      <c r="A8557" s="62">
        <v>42152461</v>
      </c>
      <c r="B8557" s="63" t="s">
        <v>9215</v>
      </c>
    </row>
    <row r="8558" spans="1:2" x14ac:dyDescent="0.25">
      <c r="A8558" s="62">
        <v>42152462</v>
      </c>
      <c r="B8558" s="63" t="s">
        <v>9216</v>
      </c>
    </row>
    <row r="8559" spans="1:2" x14ac:dyDescent="0.25">
      <c r="A8559" s="62">
        <v>42152463</v>
      </c>
      <c r="B8559" s="63" t="s">
        <v>9217</v>
      </c>
    </row>
    <row r="8560" spans="1:2" x14ac:dyDescent="0.25">
      <c r="A8560" s="62">
        <v>42152464</v>
      </c>
      <c r="B8560" s="63" t="s">
        <v>9218</v>
      </c>
    </row>
    <row r="8561" spans="1:2" x14ac:dyDescent="0.25">
      <c r="A8561" s="62">
        <v>42152465</v>
      </c>
      <c r="B8561" s="63" t="s">
        <v>9219</v>
      </c>
    </row>
    <row r="8562" spans="1:2" x14ac:dyDescent="0.25">
      <c r="A8562" s="62">
        <v>42152501</v>
      </c>
      <c r="B8562" s="63" t="s">
        <v>9220</v>
      </c>
    </row>
    <row r="8563" spans="1:2" x14ac:dyDescent="0.25">
      <c r="A8563" s="62">
        <v>42152502</v>
      </c>
      <c r="B8563" s="63" t="s">
        <v>9221</v>
      </c>
    </row>
    <row r="8564" spans="1:2" x14ac:dyDescent="0.25">
      <c r="A8564" s="62">
        <v>42152503</v>
      </c>
      <c r="B8564" s="63" t="s">
        <v>9222</v>
      </c>
    </row>
    <row r="8565" spans="1:2" x14ac:dyDescent="0.25">
      <c r="A8565" s="62">
        <v>42152504</v>
      </c>
      <c r="B8565" s="63" t="s">
        <v>9223</v>
      </c>
    </row>
    <row r="8566" spans="1:2" x14ac:dyDescent="0.25">
      <c r="A8566" s="62">
        <v>42152505</v>
      </c>
      <c r="B8566" s="63" t="s">
        <v>9224</v>
      </c>
    </row>
    <row r="8567" spans="1:2" x14ac:dyDescent="0.25">
      <c r="A8567" s="62">
        <v>42152506</v>
      </c>
      <c r="B8567" s="63" t="s">
        <v>9225</v>
      </c>
    </row>
    <row r="8568" spans="1:2" x14ac:dyDescent="0.25">
      <c r="A8568" s="62">
        <v>42152507</v>
      </c>
      <c r="B8568" s="63" t="s">
        <v>9226</v>
      </c>
    </row>
    <row r="8569" spans="1:2" x14ac:dyDescent="0.25">
      <c r="A8569" s="62">
        <v>42152508</v>
      </c>
      <c r="B8569" s="63" t="s">
        <v>9227</v>
      </c>
    </row>
    <row r="8570" spans="1:2" x14ac:dyDescent="0.25">
      <c r="A8570" s="62">
        <v>42152509</v>
      </c>
      <c r="B8570" s="63" t="s">
        <v>9228</v>
      </c>
    </row>
    <row r="8571" spans="1:2" x14ac:dyDescent="0.25">
      <c r="A8571" s="62">
        <v>42152510</v>
      </c>
      <c r="B8571" s="63" t="s">
        <v>9229</v>
      </c>
    </row>
    <row r="8572" spans="1:2" x14ac:dyDescent="0.25">
      <c r="A8572" s="62">
        <v>42152511</v>
      </c>
      <c r="B8572" s="63" t="s">
        <v>9230</v>
      </c>
    </row>
    <row r="8573" spans="1:2" x14ac:dyDescent="0.25">
      <c r="A8573" s="62">
        <v>42152512</v>
      </c>
      <c r="B8573" s="63" t="s">
        <v>9231</v>
      </c>
    </row>
    <row r="8574" spans="1:2" x14ac:dyDescent="0.25">
      <c r="A8574" s="62">
        <v>42152513</v>
      </c>
      <c r="B8574" s="63" t="s">
        <v>9232</v>
      </c>
    </row>
    <row r="8575" spans="1:2" x14ac:dyDescent="0.25">
      <c r="A8575" s="62">
        <v>42152514</v>
      </c>
      <c r="B8575" s="63" t="s">
        <v>9233</v>
      </c>
    </row>
    <row r="8576" spans="1:2" x14ac:dyDescent="0.25">
      <c r="A8576" s="62">
        <v>42152516</v>
      </c>
      <c r="B8576" s="63" t="s">
        <v>9234</v>
      </c>
    </row>
    <row r="8577" spans="1:2" x14ac:dyDescent="0.25">
      <c r="A8577" s="62">
        <v>42152517</v>
      </c>
      <c r="B8577" s="63" t="s">
        <v>9235</v>
      </c>
    </row>
    <row r="8578" spans="1:2" x14ac:dyDescent="0.25">
      <c r="A8578" s="62">
        <v>42152518</v>
      </c>
      <c r="B8578" s="63" t="s">
        <v>9236</v>
      </c>
    </row>
    <row r="8579" spans="1:2" x14ac:dyDescent="0.25">
      <c r="A8579" s="62">
        <v>42152519</v>
      </c>
      <c r="B8579" s="63" t="s">
        <v>9237</v>
      </c>
    </row>
    <row r="8580" spans="1:2" x14ac:dyDescent="0.25">
      <c r="A8580" s="62">
        <v>42152520</v>
      </c>
      <c r="B8580" s="63" t="s">
        <v>9238</v>
      </c>
    </row>
    <row r="8581" spans="1:2" x14ac:dyDescent="0.25">
      <c r="A8581" s="62">
        <v>42152601</v>
      </c>
      <c r="B8581" s="63" t="s">
        <v>9239</v>
      </c>
    </row>
    <row r="8582" spans="1:2" x14ac:dyDescent="0.25">
      <c r="A8582" s="62">
        <v>42152602</v>
      </c>
      <c r="B8582" s="63" t="s">
        <v>9240</v>
      </c>
    </row>
    <row r="8583" spans="1:2" x14ac:dyDescent="0.25">
      <c r="A8583" s="62">
        <v>42152603</v>
      </c>
      <c r="B8583" s="63" t="s">
        <v>9241</v>
      </c>
    </row>
    <row r="8584" spans="1:2" x14ac:dyDescent="0.25">
      <c r="A8584" s="62">
        <v>42152604</v>
      </c>
      <c r="B8584" s="63" t="s">
        <v>9242</v>
      </c>
    </row>
    <row r="8585" spans="1:2" x14ac:dyDescent="0.25">
      <c r="A8585" s="62">
        <v>42152605</v>
      </c>
      <c r="B8585" s="63" t="s">
        <v>9243</v>
      </c>
    </row>
    <row r="8586" spans="1:2" x14ac:dyDescent="0.25">
      <c r="A8586" s="62">
        <v>42152606</v>
      </c>
      <c r="B8586" s="63" t="s">
        <v>9244</v>
      </c>
    </row>
    <row r="8587" spans="1:2" x14ac:dyDescent="0.25">
      <c r="A8587" s="62">
        <v>42152607</v>
      </c>
      <c r="B8587" s="63" t="s">
        <v>9245</v>
      </c>
    </row>
    <row r="8588" spans="1:2" x14ac:dyDescent="0.25">
      <c r="A8588" s="62">
        <v>42152608</v>
      </c>
      <c r="B8588" s="63" t="s">
        <v>9246</v>
      </c>
    </row>
    <row r="8589" spans="1:2" x14ac:dyDescent="0.25">
      <c r="A8589" s="62">
        <v>42152701</v>
      </c>
      <c r="B8589" s="63" t="s">
        <v>9247</v>
      </c>
    </row>
    <row r="8590" spans="1:2" x14ac:dyDescent="0.25">
      <c r="A8590" s="62">
        <v>42152702</v>
      </c>
      <c r="B8590" s="63" t="s">
        <v>9248</v>
      </c>
    </row>
    <row r="8591" spans="1:2" x14ac:dyDescent="0.25">
      <c r="A8591" s="62">
        <v>42152703</v>
      </c>
      <c r="B8591" s="63" t="s">
        <v>9249</v>
      </c>
    </row>
    <row r="8592" spans="1:2" x14ac:dyDescent="0.25">
      <c r="A8592" s="62">
        <v>42152704</v>
      </c>
      <c r="B8592" s="63" t="s">
        <v>9250</v>
      </c>
    </row>
    <row r="8593" spans="1:2" x14ac:dyDescent="0.25">
      <c r="A8593" s="62">
        <v>42152705</v>
      </c>
      <c r="B8593" s="63" t="s">
        <v>9251</v>
      </c>
    </row>
    <row r="8594" spans="1:2" x14ac:dyDescent="0.25">
      <c r="A8594" s="62">
        <v>42152706</v>
      </c>
      <c r="B8594" s="63" t="s">
        <v>9252</v>
      </c>
    </row>
    <row r="8595" spans="1:2" x14ac:dyDescent="0.25">
      <c r="A8595" s="62">
        <v>42152707</v>
      </c>
      <c r="B8595" s="63" t="s">
        <v>9253</v>
      </c>
    </row>
    <row r="8596" spans="1:2" x14ac:dyDescent="0.25">
      <c r="A8596" s="62">
        <v>42152708</v>
      </c>
      <c r="B8596" s="63" t="s">
        <v>9254</v>
      </c>
    </row>
    <row r="8597" spans="1:2" x14ac:dyDescent="0.25">
      <c r="A8597" s="62">
        <v>42152709</v>
      </c>
      <c r="B8597" s="63" t="s">
        <v>9255</v>
      </c>
    </row>
    <row r="8598" spans="1:2" x14ac:dyDescent="0.25">
      <c r="A8598" s="62">
        <v>42152710</v>
      </c>
      <c r="B8598" s="63" t="s">
        <v>9256</v>
      </c>
    </row>
    <row r="8599" spans="1:2" x14ac:dyDescent="0.25">
      <c r="A8599" s="62">
        <v>42152711</v>
      </c>
      <c r="B8599" s="63" t="s">
        <v>9257</v>
      </c>
    </row>
    <row r="8600" spans="1:2" x14ac:dyDescent="0.25">
      <c r="A8600" s="62">
        <v>42152712</v>
      </c>
      <c r="B8600" s="63" t="s">
        <v>9258</v>
      </c>
    </row>
    <row r="8601" spans="1:2" x14ac:dyDescent="0.25">
      <c r="A8601" s="62">
        <v>42152713</v>
      </c>
      <c r="B8601" s="63" t="s">
        <v>9259</v>
      </c>
    </row>
    <row r="8602" spans="1:2" x14ac:dyDescent="0.25">
      <c r="A8602" s="62">
        <v>42152714</v>
      </c>
      <c r="B8602" s="63" t="s">
        <v>9260</v>
      </c>
    </row>
    <row r="8603" spans="1:2" x14ac:dyDescent="0.25">
      <c r="A8603" s="62">
        <v>42152715</v>
      </c>
      <c r="B8603" s="63" t="s">
        <v>9261</v>
      </c>
    </row>
    <row r="8604" spans="1:2" x14ac:dyDescent="0.25">
      <c r="A8604" s="62">
        <v>42152716</v>
      </c>
      <c r="B8604" s="63" t="s">
        <v>9262</v>
      </c>
    </row>
    <row r="8605" spans="1:2" x14ac:dyDescent="0.25">
      <c r="A8605" s="62">
        <v>42152801</v>
      </c>
      <c r="B8605" s="63" t="s">
        <v>9263</v>
      </c>
    </row>
    <row r="8606" spans="1:2" x14ac:dyDescent="0.25">
      <c r="A8606" s="62">
        <v>42152802</v>
      </c>
      <c r="B8606" s="63" t="s">
        <v>9264</v>
      </c>
    </row>
    <row r="8607" spans="1:2" x14ac:dyDescent="0.25">
      <c r="A8607" s="62">
        <v>42152803</v>
      </c>
      <c r="B8607" s="63" t="s">
        <v>9265</v>
      </c>
    </row>
    <row r="8608" spans="1:2" x14ac:dyDescent="0.25">
      <c r="A8608" s="62">
        <v>42152804</v>
      </c>
      <c r="B8608" s="63" t="s">
        <v>9266</v>
      </c>
    </row>
    <row r="8609" spans="1:2" x14ac:dyDescent="0.25">
      <c r="A8609" s="62">
        <v>42152805</v>
      </c>
      <c r="B8609" s="63" t="s">
        <v>9267</v>
      </c>
    </row>
    <row r="8610" spans="1:2" x14ac:dyDescent="0.25">
      <c r="A8610" s="62">
        <v>42152806</v>
      </c>
      <c r="B8610" s="63" t="s">
        <v>9268</v>
      </c>
    </row>
    <row r="8611" spans="1:2" x14ac:dyDescent="0.25">
      <c r="A8611" s="62">
        <v>42152807</v>
      </c>
      <c r="B8611" s="63" t="s">
        <v>9269</v>
      </c>
    </row>
    <row r="8612" spans="1:2" x14ac:dyDescent="0.25">
      <c r="A8612" s="62">
        <v>42152808</v>
      </c>
      <c r="B8612" s="63" t="s">
        <v>9270</v>
      </c>
    </row>
    <row r="8613" spans="1:2" x14ac:dyDescent="0.25">
      <c r="A8613" s="62">
        <v>42152809</v>
      </c>
      <c r="B8613" s="63" t="s">
        <v>9271</v>
      </c>
    </row>
    <row r="8614" spans="1:2" x14ac:dyDescent="0.25">
      <c r="A8614" s="62">
        <v>42152810</v>
      </c>
      <c r="B8614" s="63" t="s">
        <v>9272</v>
      </c>
    </row>
    <row r="8615" spans="1:2" x14ac:dyDescent="0.25">
      <c r="A8615" s="62">
        <v>42161501</v>
      </c>
      <c r="B8615" s="63" t="s">
        <v>9273</v>
      </c>
    </row>
    <row r="8616" spans="1:2" x14ac:dyDescent="0.25">
      <c r="A8616" s="62">
        <v>42161502</v>
      </c>
      <c r="B8616" s="63" t="s">
        <v>9274</v>
      </c>
    </row>
    <row r="8617" spans="1:2" x14ac:dyDescent="0.25">
      <c r="A8617" s="62">
        <v>42161503</v>
      </c>
      <c r="B8617" s="63" t="s">
        <v>9275</v>
      </c>
    </row>
    <row r="8618" spans="1:2" x14ac:dyDescent="0.25">
      <c r="A8618" s="62">
        <v>42161504</v>
      </c>
      <c r="B8618" s="63" t="s">
        <v>9276</v>
      </c>
    </row>
    <row r="8619" spans="1:2" x14ac:dyDescent="0.25">
      <c r="A8619" s="62">
        <v>42161505</v>
      </c>
      <c r="B8619" s="63" t="s">
        <v>9277</v>
      </c>
    </row>
    <row r="8620" spans="1:2" x14ac:dyDescent="0.25">
      <c r="A8620" s="62">
        <v>42161506</v>
      </c>
      <c r="B8620" s="63" t="s">
        <v>9278</v>
      </c>
    </row>
    <row r="8621" spans="1:2" x14ac:dyDescent="0.25">
      <c r="A8621" s="62">
        <v>42161507</v>
      </c>
      <c r="B8621" s="63" t="s">
        <v>9279</v>
      </c>
    </row>
    <row r="8622" spans="1:2" x14ac:dyDescent="0.25">
      <c r="A8622" s="62">
        <v>42161508</v>
      </c>
      <c r="B8622" s="63" t="s">
        <v>9280</v>
      </c>
    </row>
    <row r="8623" spans="1:2" x14ac:dyDescent="0.25">
      <c r="A8623" s="62">
        <v>42161509</v>
      </c>
      <c r="B8623" s="63" t="s">
        <v>9281</v>
      </c>
    </row>
    <row r="8624" spans="1:2" x14ac:dyDescent="0.25">
      <c r="A8624" s="62">
        <v>42161510</v>
      </c>
      <c r="B8624" s="63" t="s">
        <v>9282</v>
      </c>
    </row>
    <row r="8625" spans="1:2" x14ac:dyDescent="0.25">
      <c r="A8625" s="62">
        <v>42161601</v>
      </c>
      <c r="B8625" s="63" t="s">
        <v>9283</v>
      </c>
    </row>
    <row r="8626" spans="1:2" x14ac:dyDescent="0.25">
      <c r="A8626" s="62">
        <v>42161602</v>
      </c>
      <c r="B8626" s="63" t="s">
        <v>9284</v>
      </c>
    </row>
    <row r="8627" spans="1:2" x14ac:dyDescent="0.25">
      <c r="A8627" s="62">
        <v>42161603</v>
      </c>
      <c r="B8627" s="63" t="s">
        <v>9285</v>
      </c>
    </row>
    <row r="8628" spans="1:2" x14ac:dyDescent="0.25">
      <c r="A8628" s="62">
        <v>42161604</v>
      </c>
      <c r="B8628" s="63" t="s">
        <v>9286</v>
      </c>
    </row>
    <row r="8629" spans="1:2" x14ac:dyDescent="0.25">
      <c r="A8629" s="62">
        <v>42161605</v>
      </c>
      <c r="B8629" s="63" t="s">
        <v>9287</v>
      </c>
    </row>
    <row r="8630" spans="1:2" x14ac:dyDescent="0.25">
      <c r="A8630" s="62">
        <v>42161606</v>
      </c>
      <c r="B8630" s="63" t="s">
        <v>9288</v>
      </c>
    </row>
    <row r="8631" spans="1:2" x14ac:dyDescent="0.25">
      <c r="A8631" s="62">
        <v>42161607</v>
      </c>
      <c r="B8631" s="63" t="s">
        <v>9289</v>
      </c>
    </row>
    <row r="8632" spans="1:2" x14ac:dyDescent="0.25">
      <c r="A8632" s="62">
        <v>42161608</v>
      </c>
      <c r="B8632" s="63" t="s">
        <v>9290</v>
      </c>
    </row>
    <row r="8633" spans="1:2" x14ac:dyDescent="0.25">
      <c r="A8633" s="62">
        <v>42161609</v>
      </c>
      <c r="B8633" s="63" t="s">
        <v>9291</v>
      </c>
    </row>
    <row r="8634" spans="1:2" x14ac:dyDescent="0.25">
      <c r="A8634" s="62">
        <v>42161610</v>
      </c>
      <c r="B8634" s="63" t="s">
        <v>9292</v>
      </c>
    </row>
    <row r="8635" spans="1:2" x14ac:dyDescent="0.25">
      <c r="A8635" s="62">
        <v>42161611</v>
      </c>
      <c r="B8635" s="63" t="s">
        <v>9293</v>
      </c>
    </row>
    <row r="8636" spans="1:2" x14ac:dyDescent="0.25">
      <c r="A8636" s="62">
        <v>42161612</v>
      </c>
      <c r="B8636" s="63" t="s">
        <v>9294</v>
      </c>
    </row>
    <row r="8637" spans="1:2" x14ac:dyDescent="0.25">
      <c r="A8637" s="62">
        <v>42161613</v>
      </c>
      <c r="B8637" s="63" t="s">
        <v>9295</v>
      </c>
    </row>
    <row r="8638" spans="1:2" x14ac:dyDescent="0.25">
      <c r="A8638" s="62">
        <v>42161614</v>
      </c>
      <c r="B8638" s="63" t="s">
        <v>9296</v>
      </c>
    </row>
    <row r="8639" spans="1:2" x14ac:dyDescent="0.25">
      <c r="A8639" s="62">
        <v>42161615</v>
      </c>
      <c r="B8639" s="63" t="s">
        <v>9297</v>
      </c>
    </row>
    <row r="8640" spans="1:2" x14ac:dyDescent="0.25">
      <c r="A8640" s="62">
        <v>42161616</v>
      </c>
      <c r="B8640" s="63" t="s">
        <v>9298</v>
      </c>
    </row>
    <row r="8641" spans="1:2" x14ac:dyDescent="0.25">
      <c r="A8641" s="62">
        <v>42161617</v>
      </c>
      <c r="B8641" s="63" t="s">
        <v>9299</v>
      </c>
    </row>
    <row r="8642" spans="1:2" x14ac:dyDescent="0.25">
      <c r="A8642" s="62">
        <v>42161618</v>
      </c>
      <c r="B8642" s="63" t="s">
        <v>9300</v>
      </c>
    </row>
    <row r="8643" spans="1:2" x14ac:dyDescent="0.25">
      <c r="A8643" s="62">
        <v>42161619</v>
      </c>
      <c r="B8643" s="63" t="s">
        <v>9301</v>
      </c>
    </row>
    <row r="8644" spans="1:2" x14ac:dyDescent="0.25">
      <c r="A8644" s="62">
        <v>42161620</v>
      </c>
      <c r="B8644" s="63" t="s">
        <v>9302</v>
      </c>
    </row>
    <row r="8645" spans="1:2" x14ac:dyDescent="0.25">
      <c r="A8645" s="62">
        <v>42161621</v>
      </c>
      <c r="B8645" s="63" t="s">
        <v>9303</v>
      </c>
    </row>
    <row r="8646" spans="1:2" x14ac:dyDescent="0.25">
      <c r="A8646" s="62">
        <v>42161622</v>
      </c>
      <c r="B8646" s="63" t="s">
        <v>9304</v>
      </c>
    </row>
    <row r="8647" spans="1:2" x14ac:dyDescent="0.25">
      <c r="A8647" s="62">
        <v>42161623</v>
      </c>
      <c r="B8647" s="63" t="s">
        <v>9305</v>
      </c>
    </row>
    <row r="8648" spans="1:2" x14ac:dyDescent="0.25">
      <c r="A8648" s="62">
        <v>42161624</v>
      </c>
      <c r="B8648" s="63" t="s">
        <v>9306</v>
      </c>
    </row>
    <row r="8649" spans="1:2" x14ac:dyDescent="0.25">
      <c r="A8649" s="62">
        <v>42161625</v>
      </c>
      <c r="B8649" s="63" t="s">
        <v>9307</v>
      </c>
    </row>
    <row r="8650" spans="1:2" x14ac:dyDescent="0.25">
      <c r="A8650" s="62">
        <v>42161626</v>
      </c>
      <c r="B8650" s="63" t="s">
        <v>9308</v>
      </c>
    </row>
    <row r="8651" spans="1:2" x14ac:dyDescent="0.25">
      <c r="A8651" s="62">
        <v>42161627</v>
      </c>
      <c r="B8651" s="63" t="s">
        <v>9309</v>
      </c>
    </row>
    <row r="8652" spans="1:2" x14ac:dyDescent="0.25">
      <c r="A8652" s="62">
        <v>42161628</v>
      </c>
      <c r="B8652" s="63" t="s">
        <v>9310</v>
      </c>
    </row>
    <row r="8653" spans="1:2" x14ac:dyDescent="0.25">
      <c r="A8653" s="62">
        <v>42161629</v>
      </c>
      <c r="B8653" s="63" t="s">
        <v>9311</v>
      </c>
    </row>
    <row r="8654" spans="1:2" x14ac:dyDescent="0.25">
      <c r="A8654" s="62">
        <v>42161630</v>
      </c>
      <c r="B8654" s="63" t="s">
        <v>9312</v>
      </c>
    </row>
    <row r="8655" spans="1:2" x14ac:dyDescent="0.25">
      <c r="A8655" s="62">
        <v>42161631</v>
      </c>
      <c r="B8655" s="63" t="s">
        <v>9313</v>
      </c>
    </row>
    <row r="8656" spans="1:2" x14ac:dyDescent="0.25">
      <c r="A8656" s="62">
        <v>42161632</v>
      </c>
      <c r="B8656" s="63" t="s">
        <v>9314</v>
      </c>
    </row>
    <row r="8657" spans="1:2" x14ac:dyDescent="0.25">
      <c r="A8657" s="62">
        <v>42161633</v>
      </c>
      <c r="B8657" s="63" t="s">
        <v>9315</v>
      </c>
    </row>
    <row r="8658" spans="1:2" x14ac:dyDescent="0.25">
      <c r="A8658" s="62">
        <v>42161634</v>
      </c>
      <c r="B8658" s="63" t="s">
        <v>9316</v>
      </c>
    </row>
    <row r="8659" spans="1:2" x14ac:dyDescent="0.25">
      <c r="A8659" s="62">
        <v>42161635</v>
      </c>
      <c r="B8659" s="63" t="s">
        <v>9317</v>
      </c>
    </row>
    <row r="8660" spans="1:2" x14ac:dyDescent="0.25">
      <c r="A8660" s="62">
        <v>42161701</v>
      </c>
      <c r="B8660" s="63" t="s">
        <v>9318</v>
      </c>
    </row>
    <row r="8661" spans="1:2" x14ac:dyDescent="0.25">
      <c r="A8661" s="62">
        <v>42161702</v>
      </c>
      <c r="B8661" s="63" t="s">
        <v>9319</v>
      </c>
    </row>
    <row r="8662" spans="1:2" x14ac:dyDescent="0.25">
      <c r="A8662" s="62">
        <v>42161703</v>
      </c>
      <c r="B8662" s="63" t="s">
        <v>9320</v>
      </c>
    </row>
    <row r="8663" spans="1:2" x14ac:dyDescent="0.25">
      <c r="A8663" s="62">
        <v>42161704</v>
      </c>
      <c r="B8663" s="63" t="s">
        <v>9321</v>
      </c>
    </row>
    <row r="8664" spans="1:2" x14ac:dyDescent="0.25">
      <c r="A8664" s="62">
        <v>42161801</v>
      </c>
      <c r="B8664" s="63" t="s">
        <v>9322</v>
      </c>
    </row>
    <row r="8665" spans="1:2" x14ac:dyDescent="0.25">
      <c r="A8665" s="62">
        <v>42161802</v>
      </c>
      <c r="B8665" s="63" t="s">
        <v>9323</v>
      </c>
    </row>
    <row r="8666" spans="1:2" x14ac:dyDescent="0.25">
      <c r="A8666" s="62">
        <v>42161803</v>
      </c>
      <c r="B8666" s="63" t="s">
        <v>9324</v>
      </c>
    </row>
    <row r="8667" spans="1:2" x14ac:dyDescent="0.25">
      <c r="A8667" s="62">
        <v>42161804</v>
      </c>
      <c r="B8667" s="63" t="s">
        <v>9325</v>
      </c>
    </row>
    <row r="8668" spans="1:2" x14ac:dyDescent="0.25">
      <c r="A8668" s="62">
        <v>42171501</v>
      </c>
      <c r="B8668" s="63" t="s">
        <v>9326</v>
      </c>
    </row>
    <row r="8669" spans="1:2" x14ac:dyDescent="0.25">
      <c r="A8669" s="62">
        <v>42171502</v>
      </c>
      <c r="B8669" s="63" t="s">
        <v>9327</v>
      </c>
    </row>
    <row r="8670" spans="1:2" x14ac:dyDescent="0.25">
      <c r="A8670" s="62">
        <v>42171601</v>
      </c>
      <c r="B8670" s="63" t="s">
        <v>9328</v>
      </c>
    </row>
    <row r="8671" spans="1:2" x14ac:dyDescent="0.25">
      <c r="A8671" s="62">
        <v>42171602</v>
      </c>
      <c r="B8671" s="63" t="s">
        <v>9329</v>
      </c>
    </row>
    <row r="8672" spans="1:2" x14ac:dyDescent="0.25">
      <c r="A8672" s="62">
        <v>42171603</v>
      </c>
      <c r="B8672" s="63" t="s">
        <v>9330</v>
      </c>
    </row>
    <row r="8673" spans="1:2" x14ac:dyDescent="0.25">
      <c r="A8673" s="62">
        <v>42171604</v>
      </c>
      <c r="B8673" s="63" t="s">
        <v>9331</v>
      </c>
    </row>
    <row r="8674" spans="1:2" x14ac:dyDescent="0.25">
      <c r="A8674" s="62">
        <v>42171605</v>
      </c>
      <c r="B8674" s="63" t="s">
        <v>9332</v>
      </c>
    </row>
    <row r="8675" spans="1:2" x14ac:dyDescent="0.25">
      <c r="A8675" s="62">
        <v>42171606</v>
      </c>
      <c r="B8675" s="63" t="s">
        <v>9333</v>
      </c>
    </row>
    <row r="8676" spans="1:2" x14ac:dyDescent="0.25">
      <c r="A8676" s="62">
        <v>42171607</v>
      </c>
      <c r="B8676" s="63" t="s">
        <v>9334</v>
      </c>
    </row>
    <row r="8677" spans="1:2" x14ac:dyDescent="0.25">
      <c r="A8677" s="62">
        <v>42171608</v>
      </c>
      <c r="B8677" s="63" t="s">
        <v>9335</v>
      </c>
    </row>
    <row r="8678" spans="1:2" x14ac:dyDescent="0.25">
      <c r="A8678" s="62">
        <v>42171609</v>
      </c>
      <c r="B8678" s="63" t="s">
        <v>9336</v>
      </c>
    </row>
    <row r="8679" spans="1:2" x14ac:dyDescent="0.25">
      <c r="A8679" s="62">
        <v>42171610</v>
      </c>
      <c r="B8679" s="63" t="s">
        <v>9337</v>
      </c>
    </row>
    <row r="8680" spans="1:2" x14ac:dyDescent="0.25">
      <c r="A8680" s="62">
        <v>42171611</v>
      </c>
      <c r="B8680" s="63" t="s">
        <v>9338</v>
      </c>
    </row>
    <row r="8681" spans="1:2" x14ac:dyDescent="0.25">
      <c r="A8681" s="62">
        <v>42171612</v>
      </c>
      <c r="B8681" s="63" t="s">
        <v>9339</v>
      </c>
    </row>
    <row r="8682" spans="1:2" x14ac:dyDescent="0.25">
      <c r="A8682" s="62">
        <v>42171613</v>
      </c>
      <c r="B8682" s="63" t="s">
        <v>9340</v>
      </c>
    </row>
    <row r="8683" spans="1:2" x14ac:dyDescent="0.25">
      <c r="A8683" s="62">
        <v>42171614</v>
      </c>
      <c r="B8683" s="63" t="s">
        <v>9341</v>
      </c>
    </row>
    <row r="8684" spans="1:2" x14ac:dyDescent="0.25">
      <c r="A8684" s="62">
        <v>42171701</v>
      </c>
      <c r="B8684" s="63" t="s">
        <v>9342</v>
      </c>
    </row>
    <row r="8685" spans="1:2" x14ac:dyDescent="0.25">
      <c r="A8685" s="62">
        <v>42171702</v>
      </c>
      <c r="B8685" s="63" t="s">
        <v>9343</v>
      </c>
    </row>
    <row r="8686" spans="1:2" x14ac:dyDescent="0.25">
      <c r="A8686" s="62">
        <v>42171703</v>
      </c>
      <c r="B8686" s="63" t="s">
        <v>9344</v>
      </c>
    </row>
    <row r="8687" spans="1:2" x14ac:dyDescent="0.25">
      <c r="A8687" s="62">
        <v>42171704</v>
      </c>
      <c r="B8687" s="63" t="s">
        <v>9345</v>
      </c>
    </row>
    <row r="8688" spans="1:2" x14ac:dyDescent="0.25">
      <c r="A8688" s="62">
        <v>42171801</v>
      </c>
      <c r="B8688" s="63" t="s">
        <v>9346</v>
      </c>
    </row>
    <row r="8689" spans="1:2" x14ac:dyDescent="0.25">
      <c r="A8689" s="62">
        <v>42171802</v>
      </c>
      <c r="B8689" s="63" t="s">
        <v>9347</v>
      </c>
    </row>
    <row r="8690" spans="1:2" x14ac:dyDescent="0.25">
      <c r="A8690" s="62">
        <v>42171803</v>
      </c>
      <c r="B8690" s="63" t="s">
        <v>9348</v>
      </c>
    </row>
    <row r="8691" spans="1:2" x14ac:dyDescent="0.25">
      <c r="A8691" s="62">
        <v>42171804</v>
      </c>
      <c r="B8691" s="63" t="s">
        <v>9349</v>
      </c>
    </row>
    <row r="8692" spans="1:2" x14ac:dyDescent="0.25">
      <c r="A8692" s="62">
        <v>42171805</v>
      </c>
      <c r="B8692" s="63" t="s">
        <v>9350</v>
      </c>
    </row>
    <row r="8693" spans="1:2" x14ac:dyDescent="0.25">
      <c r="A8693" s="62">
        <v>42171806</v>
      </c>
      <c r="B8693" s="63" t="s">
        <v>9351</v>
      </c>
    </row>
    <row r="8694" spans="1:2" x14ac:dyDescent="0.25">
      <c r="A8694" s="62">
        <v>42171901</v>
      </c>
      <c r="B8694" s="63" t="s">
        <v>9352</v>
      </c>
    </row>
    <row r="8695" spans="1:2" x14ac:dyDescent="0.25">
      <c r="A8695" s="62">
        <v>42171902</v>
      </c>
      <c r="B8695" s="63" t="s">
        <v>9353</v>
      </c>
    </row>
    <row r="8696" spans="1:2" x14ac:dyDescent="0.25">
      <c r="A8696" s="62">
        <v>42171903</v>
      </c>
      <c r="B8696" s="63" t="s">
        <v>9354</v>
      </c>
    </row>
    <row r="8697" spans="1:2" x14ac:dyDescent="0.25">
      <c r="A8697" s="62">
        <v>42171904</v>
      </c>
      <c r="B8697" s="63" t="s">
        <v>9355</v>
      </c>
    </row>
    <row r="8698" spans="1:2" x14ac:dyDescent="0.25">
      <c r="A8698" s="62">
        <v>42171905</v>
      </c>
      <c r="B8698" s="63" t="s">
        <v>9356</v>
      </c>
    </row>
    <row r="8699" spans="1:2" x14ac:dyDescent="0.25">
      <c r="A8699" s="62">
        <v>42171906</v>
      </c>
      <c r="B8699" s="63" t="s">
        <v>9357</v>
      </c>
    </row>
    <row r="8700" spans="1:2" x14ac:dyDescent="0.25">
      <c r="A8700" s="62">
        <v>42171907</v>
      </c>
      <c r="B8700" s="63" t="s">
        <v>9358</v>
      </c>
    </row>
    <row r="8701" spans="1:2" x14ac:dyDescent="0.25">
      <c r="A8701" s="62">
        <v>42171908</v>
      </c>
      <c r="B8701" s="63" t="s">
        <v>9359</v>
      </c>
    </row>
    <row r="8702" spans="1:2" x14ac:dyDescent="0.25">
      <c r="A8702" s="62">
        <v>42171909</v>
      </c>
      <c r="B8702" s="63" t="s">
        <v>9360</v>
      </c>
    </row>
    <row r="8703" spans="1:2" x14ac:dyDescent="0.25">
      <c r="A8703" s="62">
        <v>42171910</v>
      </c>
      <c r="B8703" s="63" t="s">
        <v>9361</v>
      </c>
    </row>
    <row r="8704" spans="1:2" x14ac:dyDescent="0.25">
      <c r="A8704" s="62">
        <v>42171911</v>
      </c>
      <c r="B8704" s="63" t="s">
        <v>9362</v>
      </c>
    </row>
    <row r="8705" spans="1:2" x14ac:dyDescent="0.25">
      <c r="A8705" s="62">
        <v>42171912</v>
      </c>
      <c r="B8705" s="63" t="s">
        <v>9363</v>
      </c>
    </row>
    <row r="8706" spans="1:2" x14ac:dyDescent="0.25">
      <c r="A8706" s="62">
        <v>42171913</v>
      </c>
      <c r="B8706" s="63" t="s">
        <v>9364</v>
      </c>
    </row>
    <row r="8707" spans="1:2" x14ac:dyDescent="0.25">
      <c r="A8707" s="62">
        <v>42171914</v>
      </c>
      <c r="B8707" s="63" t="s">
        <v>9365</v>
      </c>
    </row>
    <row r="8708" spans="1:2" x14ac:dyDescent="0.25">
      <c r="A8708" s="62">
        <v>42171915</v>
      </c>
      <c r="B8708" s="63" t="s">
        <v>9366</v>
      </c>
    </row>
    <row r="8709" spans="1:2" x14ac:dyDescent="0.25">
      <c r="A8709" s="62">
        <v>42171916</v>
      </c>
      <c r="B8709" s="63" t="s">
        <v>9367</v>
      </c>
    </row>
    <row r="8710" spans="1:2" x14ac:dyDescent="0.25">
      <c r="A8710" s="62">
        <v>42171917</v>
      </c>
      <c r="B8710" s="63" t="s">
        <v>9368</v>
      </c>
    </row>
    <row r="8711" spans="1:2" x14ac:dyDescent="0.25">
      <c r="A8711" s="62">
        <v>42171918</v>
      </c>
      <c r="B8711" s="63" t="s">
        <v>9369</v>
      </c>
    </row>
    <row r="8712" spans="1:2" x14ac:dyDescent="0.25">
      <c r="A8712" s="62">
        <v>42171919</v>
      </c>
      <c r="B8712" s="63" t="s">
        <v>9370</v>
      </c>
    </row>
    <row r="8713" spans="1:2" x14ac:dyDescent="0.25">
      <c r="A8713" s="62">
        <v>42171920</v>
      </c>
      <c r="B8713" s="63" t="s">
        <v>9371</v>
      </c>
    </row>
    <row r="8714" spans="1:2" x14ac:dyDescent="0.25">
      <c r="A8714" s="62">
        <v>42172001</v>
      </c>
      <c r="B8714" s="63" t="s">
        <v>9372</v>
      </c>
    </row>
    <row r="8715" spans="1:2" x14ac:dyDescent="0.25">
      <c r="A8715" s="62">
        <v>42172002</v>
      </c>
      <c r="B8715" s="63" t="s">
        <v>9373</v>
      </c>
    </row>
    <row r="8716" spans="1:2" x14ac:dyDescent="0.25">
      <c r="A8716" s="62">
        <v>42172003</v>
      </c>
      <c r="B8716" s="63" t="s">
        <v>9374</v>
      </c>
    </row>
    <row r="8717" spans="1:2" x14ac:dyDescent="0.25">
      <c r="A8717" s="62">
        <v>42172004</v>
      </c>
      <c r="B8717" s="63" t="s">
        <v>9375</v>
      </c>
    </row>
    <row r="8718" spans="1:2" x14ac:dyDescent="0.25">
      <c r="A8718" s="62">
        <v>42172005</v>
      </c>
      <c r="B8718" s="63" t="s">
        <v>9376</v>
      </c>
    </row>
    <row r="8719" spans="1:2" x14ac:dyDescent="0.25">
      <c r="A8719" s="62">
        <v>42172006</v>
      </c>
      <c r="B8719" s="63" t="s">
        <v>9377</v>
      </c>
    </row>
    <row r="8720" spans="1:2" x14ac:dyDescent="0.25">
      <c r="A8720" s="62">
        <v>42172007</v>
      </c>
      <c r="B8720" s="63" t="s">
        <v>9378</v>
      </c>
    </row>
    <row r="8721" spans="1:2" x14ac:dyDescent="0.25">
      <c r="A8721" s="62">
        <v>42172008</v>
      </c>
      <c r="B8721" s="63" t="s">
        <v>9379</v>
      </c>
    </row>
    <row r="8722" spans="1:2" x14ac:dyDescent="0.25">
      <c r="A8722" s="62">
        <v>42172009</v>
      </c>
      <c r="B8722" s="63" t="s">
        <v>9380</v>
      </c>
    </row>
    <row r="8723" spans="1:2" x14ac:dyDescent="0.25">
      <c r="A8723" s="62">
        <v>42172010</v>
      </c>
      <c r="B8723" s="63" t="s">
        <v>9381</v>
      </c>
    </row>
    <row r="8724" spans="1:2" x14ac:dyDescent="0.25">
      <c r="A8724" s="62">
        <v>42172011</v>
      </c>
      <c r="B8724" s="63" t="s">
        <v>9382</v>
      </c>
    </row>
    <row r="8725" spans="1:2" x14ac:dyDescent="0.25">
      <c r="A8725" s="62">
        <v>42172012</v>
      </c>
      <c r="B8725" s="63" t="s">
        <v>9383</v>
      </c>
    </row>
    <row r="8726" spans="1:2" x14ac:dyDescent="0.25">
      <c r="A8726" s="62">
        <v>42172013</v>
      </c>
      <c r="B8726" s="63" t="s">
        <v>9384</v>
      </c>
    </row>
    <row r="8727" spans="1:2" x14ac:dyDescent="0.25">
      <c r="A8727" s="62">
        <v>42172014</v>
      </c>
      <c r="B8727" s="63" t="s">
        <v>9385</v>
      </c>
    </row>
    <row r="8728" spans="1:2" x14ac:dyDescent="0.25">
      <c r="A8728" s="62">
        <v>42172015</v>
      </c>
      <c r="B8728" s="63" t="s">
        <v>9386</v>
      </c>
    </row>
    <row r="8729" spans="1:2" x14ac:dyDescent="0.25">
      <c r="A8729" s="62">
        <v>42172016</v>
      </c>
      <c r="B8729" s="63" t="s">
        <v>9387</v>
      </c>
    </row>
    <row r="8730" spans="1:2" x14ac:dyDescent="0.25">
      <c r="A8730" s="62">
        <v>42172017</v>
      </c>
      <c r="B8730" s="63" t="s">
        <v>9388</v>
      </c>
    </row>
    <row r="8731" spans="1:2" x14ac:dyDescent="0.25">
      <c r="A8731" s="62">
        <v>42172101</v>
      </c>
      <c r="B8731" s="63" t="s">
        <v>9389</v>
      </c>
    </row>
    <row r="8732" spans="1:2" x14ac:dyDescent="0.25">
      <c r="A8732" s="62">
        <v>42172102</v>
      </c>
      <c r="B8732" s="63" t="s">
        <v>9390</v>
      </c>
    </row>
    <row r="8733" spans="1:2" x14ac:dyDescent="0.25">
      <c r="A8733" s="62">
        <v>42172103</v>
      </c>
      <c r="B8733" s="63" t="s">
        <v>9391</v>
      </c>
    </row>
    <row r="8734" spans="1:2" x14ac:dyDescent="0.25">
      <c r="A8734" s="62">
        <v>42172201</v>
      </c>
      <c r="B8734" s="63" t="s">
        <v>9392</v>
      </c>
    </row>
    <row r="8735" spans="1:2" x14ac:dyDescent="0.25">
      <c r="A8735" s="62">
        <v>42181501</v>
      </c>
      <c r="B8735" s="63" t="s">
        <v>9393</v>
      </c>
    </row>
    <row r="8736" spans="1:2" x14ac:dyDescent="0.25">
      <c r="A8736" s="62">
        <v>42181502</v>
      </c>
      <c r="B8736" s="63" t="s">
        <v>9394</v>
      </c>
    </row>
    <row r="8737" spans="1:2" x14ac:dyDescent="0.25">
      <c r="A8737" s="62">
        <v>42181503</v>
      </c>
      <c r="B8737" s="63" t="s">
        <v>9395</v>
      </c>
    </row>
    <row r="8738" spans="1:2" x14ac:dyDescent="0.25">
      <c r="A8738" s="62">
        <v>42181504</v>
      </c>
      <c r="B8738" s="63" t="s">
        <v>9396</v>
      </c>
    </row>
    <row r="8739" spans="1:2" x14ac:dyDescent="0.25">
      <c r="A8739" s="62">
        <v>42181505</v>
      </c>
      <c r="B8739" s="63" t="s">
        <v>9397</v>
      </c>
    </row>
    <row r="8740" spans="1:2" x14ac:dyDescent="0.25">
      <c r="A8740" s="62">
        <v>42181506</v>
      </c>
      <c r="B8740" s="63" t="s">
        <v>9398</v>
      </c>
    </row>
    <row r="8741" spans="1:2" x14ac:dyDescent="0.25">
      <c r="A8741" s="62">
        <v>42181507</v>
      </c>
      <c r="B8741" s="63" t="s">
        <v>9399</v>
      </c>
    </row>
    <row r="8742" spans="1:2" x14ac:dyDescent="0.25">
      <c r="A8742" s="62">
        <v>42181508</v>
      </c>
      <c r="B8742" s="63" t="s">
        <v>9400</v>
      </c>
    </row>
    <row r="8743" spans="1:2" x14ac:dyDescent="0.25">
      <c r="A8743" s="62">
        <v>42181509</v>
      </c>
      <c r="B8743" s="63" t="s">
        <v>9401</v>
      </c>
    </row>
    <row r="8744" spans="1:2" x14ac:dyDescent="0.25">
      <c r="A8744" s="62">
        <v>42181510</v>
      </c>
      <c r="B8744" s="63" t="s">
        <v>9402</v>
      </c>
    </row>
    <row r="8745" spans="1:2" x14ac:dyDescent="0.25">
      <c r="A8745" s="62">
        <v>42181511</v>
      </c>
      <c r="B8745" s="63" t="s">
        <v>9403</v>
      </c>
    </row>
    <row r="8746" spans="1:2" x14ac:dyDescent="0.25">
      <c r="A8746" s="62">
        <v>42181512</v>
      </c>
      <c r="B8746" s="63" t="s">
        <v>9404</v>
      </c>
    </row>
    <row r="8747" spans="1:2" x14ac:dyDescent="0.25">
      <c r="A8747" s="62">
        <v>42181513</v>
      </c>
      <c r="B8747" s="63" t="s">
        <v>9405</v>
      </c>
    </row>
    <row r="8748" spans="1:2" x14ac:dyDescent="0.25">
      <c r="A8748" s="62">
        <v>42181514</v>
      </c>
      <c r="B8748" s="63" t="s">
        <v>9406</v>
      </c>
    </row>
    <row r="8749" spans="1:2" x14ac:dyDescent="0.25">
      <c r="A8749" s="62">
        <v>42181515</v>
      </c>
      <c r="B8749" s="63" t="s">
        <v>9407</v>
      </c>
    </row>
    <row r="8750" spans="1:2" x14ac:dyDescent="0.25">
      <c r="A8750" s="62">
        <v>42181516</v>
      </c>
      <c r="B8750" s="63" t="s">
        <v>9408</v>
      </c>
    </row>
    <row r="8751" spans="1:2" x14ac:dyDescent="0.25">
      <c r="A8751" s="62">
        <v>42181517</v>
      </c>
      <c r="B8751" s="63" t="s">
        <v>9409</v>
      </c>
    </row>
    <row r="8752" spans="1:2" x14ac:dyDescent="0.25">
      <c r="A8752" s="62">
        <v>42181601</v>
      </c>
      <c r="B8752" s="63" t="s">
        <v>9410</v>
      </c>
    </row>
    <row r="8753" spans="1:2" x14ac:dyDescent="0.25">
      <c r="A8753" s="62">
        <v>42181602</v>
      </c>
      <c r="B8753" s="63" t="s">
        <v>9411</v>
      </c>
    </row>
    <row r="8754" spans="1:2" x14ac:dyDescent="0.25">
      <c r="A8754" s="62">
        <v>42181603</v>
      </c>
      <c r="B8754" s="63" t="s">
        <v>9412</v>
      </c>
    </row>
    <row r="8755" spans="1:2" x14ac:dyDescent="0.25">
      <c r="A8755" s="62">
        <v>42181604</v>
      </c>
      <c r="B8755" s="63" t="s">
        <v>9413</v>
      </c>
    </row>
    <row r="8756" spans="1:2" x14ac:dyDescent="0.25">
      <c r="A8756" s="62">
        <v>42181605</v>
      </c>
      <c r="B8756" s="63" t="s">
        <v>9414</v>
      </c>
    </row>
    <row r="8757" spans="1:2" x14ac:dyDescent="0.25">
      <c r="A8757" s="62">
        <v>42181606</v>
      </c>
      <c r="B8757" s="63" t="s">
        <v>9415</v>
      </c>
    </row>
    <row r="8758" spans="1:2" x14ac:dyDescent="0.25">
      <c r="A8758" s="62">
        <v>42181607</v>
      </c>
      <c r="B8758" s="63" t="s">
        <v>9416</v>
      </c>
    </row>
    <row r="8759" spans="1:2" x14ac:dyDescent="0.25">
      <c r="A8759" s="62">
        <v>42181608</v>
      </c>
      <c r="B8759" s="63" t="s">
        <v>9417</v>
      </c>
    </row>
    <row r="8760" spans="1:2" x14ac:dyDescent="0.25">
      <c r="A8760" s="62">
        <v>42181609</v>
      </c>
      <c r="B8760" s="63" t="s">
        <v>9418</v>
      </c>
    </row>
    <row r="8761" spans="1:2" x14ac:dyDescent="0.25">
      <c r="A8761" s="62">
        <v>42181610</v>
      </c>
      <c r="B8761" s="63" t="s">
        <v>9419</v>
      </c>
    </row>
    <row r="8762" spans="1:2" x14ac:dyDescent="0.25">
      <c r="A8762" s="62">
        <v>42181701</v>
      </c>
      <c r="B8762" s="63" t="s">
        <v>9420</v>
      </c>
    </row>
    <row r="8763" spans="1:2" x14ac:dyDescent="0.25">
      <c r="A8763" s="62">
        <v>42181702</v>
      </c>
      <c r="B8763" s="63" t="s">
        <v>9421</v>
      </c>
    </row>
    <row r="8764" spans="1:2" x14ac:dyDescent="0.25">
      <c r="A8764" s="62">
        <v>42181703</v>
      </c>
      <c r="B8764" s="63" t="s">
        <v>9422</v>
      </c>
    </row>
    <row r="8765" spans="1:2" x14ac:dyDescent="0.25">
      <c r="A8765" s="62">
        <v>42181704</v>
      </c>
      <c r="B8765" s="63" t="s">
        <v>9423</v>
      </c>
    </row>
    <row r="8766" spans="1:2" x14ac:dyDescent="0.25">
      <c r="A8766" s="62">
        <v>42181705</v>
      </c>
      <c r="B8766" s="63" t="s">
        <v>9424</v>
      </c>
    </row>
    <row r="8767" spans="1:2" x14ac:dyDescent="0.25">
      <c r="A8767" s="62">
        <v>42181706</v>
      </c>
      <c r="B8767" s="63" t="s">
        <v>9425</v>
      </c>
    </row>
    <row r="8768" spans="1:2" x14ac:dyDescent="0.25">
      <c r="A8768" s="62">
        <v>42181707</v>
      </c>
      <c r="B8768" s="63" t="s">
        <v>9426</v>
      </c>
    </row>
    <row r="8769" spans="1:2" x14ac:dyDescent="0.25">
      <c r="A8769" s="62">
        <v>42181708</v>
      </c>
      <c r="B8769" s="63" t="s">
        <v>9427</v>
      </c>
    </row>
    <row r="8770" spans="1:2" x14ac:dyDescent="0.25">
      <c r="A8770" s="62">
        <v>42181709</v>
      </c>
      <c r="B8770" s="63" t="s">
        <v>9428</v>
      </c>
    </row>
    <row r="8771" spans="1:2" x14ac:dyDescent="0.25">
      <c r="A8771" s="62">
        <v>42181710</v>
      </c>
      <c r="B8771" s="63" t="s">
        <v>9429</v>
      </c>
    </row>
    <row r="8772" spans="1:2" x14ac:dyDescent="0.25">
      <c r="A8772" s="62">
        <v>42181711</v>
      </c>
      <c r="B8772" s="63" t="s">
        <v>9430</v>
      </c>
    </row>
    <row r="8773" spans="1:2" x14ac:dyDescent="0.25">
      <c r="A8773" s="62">
        <v>42181712</v>
      </c>
      <c r="B8773" s="63" t="s">
        <v>9431</v>
      </c>
    </row>
    <row r="8774" spans="1:2" x14ac:dyDescent="0.25">
      <c r="A8774" s="62">
        <v>42181713</v>
      </c>
      <c r="B8774" s="63" t="s">
        <v>9432</v>
      </c>
    </row>
    <row r="8775" spans="1:2" x14ac:dyDescent="0.25">
      <c r="A8775" s="62">
        <v>42181714</v>
      </c>
      <c r="B8775" s="63" t="s">
        <v>9433</v>
      </c>
    </row>
    <row r="8776" spans="1:2" x14ac:dyDescent="0.25">
      <c r="A8776" s="62">
        <v>42181715</v>
      </c>
      <c r="B8776" s="63" t="s">
        <v>9434</v>
      </c>
    </row>
    <row r="8777" spans="1:2" x14ac:dyDescent="0.25">
      <c r="A8777" s="62">
        <v>42181716</v>
      </c>
      <c r="B8777" s="63" t="s">
        <v>9435</v>
      </c>
    </row>
    <row r="8778" spans="1:2" x14ac:dyDescent="0.25">
      <c r="A8778" s="62">
        <v>42181717</v>
      </c>
      <c r="B8778" s="63" t="s">
        <v>9436</v>
      </c>
    </row>
    <row r="8779" spans="1:2" x14ac:dyDescent="0.25">
      <c r="A8779" s="62">
        <v>42181718</v>
      </c>
      <c r="B8779" s="63" t="s">
        <v>9437</v>
      </c>
    </row>
    <row r="8780" spans="1:2" x14ac:dyDescent="0.25">
      <c r="A8780" s="62">
        <v>42181719</v>
      </c>
      <c r="B8780" s="63" t="s">
        <v>9438</v>
      </c>
    </row>
    <row r="8781" spans="1:2" x14ac:dyDescent="0.25">
      <c r="A8781" s="62">
        <v>42181801</v>
      </c>
      <c r="B8781" s="63" t="s">
        <v>9439</v>
      </c>
    </row>
    <row r="8782" spans="1:2" x14ac:dyDescent="0.25">
      <c r="A8782" s="62">
        <v>42181802</v>
      </c>
      <c r="B8782" s="63" t="s">
        <v>9440</v>
      </c>
    </row>
    <row r="8783" spans="1:2" x14ac:dyDescent="0.25">
      <c r="A8783" s="62">
        <v>42181803</v>
      </c>
      <c r="B8783" s="63" t="s">
        <v>9441</v>
      </c>
    </row>
    <row r="8784" spans="1:2" x14ac:dyDescent="0.25">
      <c r="A8784" s="62">
        <v>42181804</v>
      </c>
      <c r="B8784" s="63" t="s">
        <v>9442</v>
      </c>
    </row>
    <row r="8785" spans="1:2" x14ac:dyDescent="0.25">
      <c r="A8785" s="62">
        <v>42181805</v>
      </c>
      <c r="B8785" s="63" t="s">
        <v>9443</v>
      </c>
    </row>
    <row r="8786" spans="1:2" x14ac:dyDescent="0.25">
      <c r="A8786" s="62">
        <v>42181901</v>
      </c>
      <c r="B8786" s="63" t="s">
        <v>9444</v>
      </c>
    </row>
    <row r="8787" spans="1:2" x14ac:dyDescent="0.25">
      <c r="A8787" s="62">
        <v>42181902</v>
      </c>
      <c r="B8787" s="63" t="s">
        <v>9445</v>
      </c>
    </row>
    <row r="8788" spans="1:2" x14ac:dyDescent="0.25">
      <c r="A8788" s="62">
        <v>42181903</v>
      </c>
      <c r="B8788" s="63" t="s">
        <v>9446</v>
      </c>
    </row>
    <row r="8789" spans="1:2" x14ac:dyDescent="0.25">
      <c r="A8789" s="62">
        <v>42181904</v>
      </c>
      <c r="B8789" s="63" t="s">
        <v>9447</v>
      </c>
    </row>
    <row r="8790" spans="1:2" x14ac:dyDescent="0.25">
      <c r="A8790" s="62">
        <v>42181905</v>
      </c>
      <c r="B8790" s="63" t="s">
        <v>9448</v>
      </c>
    </row>
    <row r="8791" spans="1:2" x14ac:dyDescent="0.25">
      <c r="A8791" s="62">
        <v>42181906</v>
      </c>
      <c r="B8791" s="63" t="s">
        <v>9449</v>
      </c>
    </row>
    <row r="8792" spans="1:2" x14ac:dyDescent="0.25">
      <c r="A8792" s="62">
        <v>42181907</v>
      </c>
      <c r="B8792" s="63" t="s">
        <v>9450</v>
      </c>
    </row>
    <row r="8793" spans="1:2" x14ac:dyDescent="0.25">
      <c r="A8793" s="62">
        <v>42181908</v>
      </c>
      <c r="B8793" s="63" t="s">
        <v>9451</v>
      </c>
    </row>
    <row r="8794" spans="1:2" x14ac:dyDescent="0.25">
      <c r="A8794" s="62">
        <v>42181909</v>
      </c>
      <c r="B8794" s="63" t="s">
        <v>9452</v>
      </c>
    </row>
    <row r="8795" spans="1:2" x14ac:dyDescent="0.25">
      <c r="A8795" s="62">
        <v>42181910</v>
      </c>
      <c r="B8795" s="63" t="s">
        <v>9453</v>
      </c>
    </row>
    <row r="8796" spans="1:2" x14ac:dyDescent="0.25">
      <c r="A8796" s="62">
        <v>42181911</v>
      </c>
      <c r="B8796" s="63" t="s">
        <v>9454</v>
      </c>
    </row>
    <row r="8797" spans="1:2" x14ac:dyDescent="0.25">
      <c r="A8797" s="62">
        <v>42182001</v>
      </c>
      <c r="B8797" s="63" t="s">
        <v>9455</v>
      </c>
    </row>
    <row r="8798" spans="1:2" x14ac:dyDescent="0.25">
      <c r="A8798" s="62">
        <v>42182002</v>
      </c>
      <c r="B8798" s="63" t="s">
        <v>9456</v>
      </c>
    </row>
    <row r="8799" spans="1:2" x14ac:dyDescent="0.25">
      <c r="A8799" s="62">
        <v>42182003</v>
      </c>
      <c r="B8799" s="63" t="s">
        <v>9457</v>
      </c>
    </row>
    <row r="8800" spans="1:2" x14ac:dyDescent="0.25">
      <c r="A8800" s="62">
        <v>42182004</v>
      </c>
      <c r="B8800" s="63" t="s">
        <v>9458</v>
      </c>
    </row>
    <row r="8801" spans="1:2" x14ac:dyDescent="0.25">
      <c r="A8801" s="62">
        <v>42182005</v>
      </c>
      <c r="B8801" s="63" t="s">
        <v>9459</v>
      </c>
    </row>
    <row r="8802" spans="1:2" x14ac:dyDescent="0.25">
      <c r="A8802" s="62">
        <v>42182006</v>
      </c>
      <c r="B8802" s="63" t="s">
        <v>9460</v>
      </c>
    </row>
    <row r="8803" spans="1:2" x14ac:dyDescent="0.25">
      <c r="A8803" s="62">
        <v>42182007</v>
      </c>
      <c r="B8803" s="63" t="s">
        <v>9461</v>
      </c>
    </row>
    <row r="8804" spans="1:2" x14ac:dyDescent="0.25">
      <c r="A8804" s="62">
        <v>42182008</v>
      </c>
      <c r="B8804" s="63" t="s">
        <v>9462</v>
      </c>
    </row>
    <row r="8805" spans="1:2" x14ac:dyDescent="0.25">
      <c r="A8805" s="62">
        <v>42182009</v>
      </c>
      <c r="B8805" s="63" t="s">
        <v>9463</v>
      </c>
    </row>
    <row r="8806" spans="1:2" x14ac:dyDescent="0.25">
      <c r="A8806" s="62">
        <v>42182010</v>
      </c>
      <c r="B8806" s="63" t="s">
        <v>9464</v>
      </c>
    </row>
    <row r="8807" spans="1:2" x14ac:dyDescent="0.25">
      <c r="A8807" s="62">
        <v>42182011</v>
      </c>
      <c r="B8807" s="63" t="s">
        <v>9465</v>
      </c>
    </row>
    <row r="8808" spans="1:2" x14ac:dyDescent="0.25">
      <c r="A8808" s="62">
        <v>42182012</v>
      </c>
      <c r="B8808" s="63" t="s">
        <v>9466</v>
      </c>
    </row>
    <row r="8809" spans="1:2" x14ac:dyDescent="0.25">
      <c r="A8809" s="62">
        <v>42182013</v>
      </c>
      <c r="B8809" s="63" t="s">
        <v>9467</v>
      </c>
    </row>
    <row r="8810" spans="1:2" x14ac:dyDescent="0.25">
      <c r="A8810" s="62">
        <v>42182014</v>
      </c>
      <c r="B8810" s="63" t="s">
        <v>9468</v>
      </c>
    </row>
    <row r="8811" spans="1:2" x14ac:dyDescent="0.25">
      <c r="A8811" s="62">
        <v>42182015</v>
      </c>
      <c r="B8811" s="63" t="s">
        <v>9469</v>
      </c>
    </row>
    <row r="8812" spans="1:2" x14ac:dyDescent="0.25">
      <c r="A8812" s="62">
        <v>42182016</v>
      </c>
      <c r="B8812" s="63" t="s">
        <v>9470</v>
      </c>
    </row>
    <row r="8813" spans="1:2" x14ac:dyDescent="0.25">
      <c r="A8813" s="62">
        <v>42182017</v>
      </c>
      <c r="B8813" s="63" t="s">
        <v>9471</v>
      </c>
    </row>
    <row r="8814" spans="1:2" x14ac:dyDescent="0.25">
      <c r="A8814" s="62">
        <v>42182018</v>
      </c>
      <c r="B8814" s="63" t="s">
        <v>9472</v>
      </c>
    </row>
    <row r="8815" spans="1:2" x14ac:dyDescent="0.25">
      <c r="A8815" s="62">
        <v>42182019</v>
      </c>
      <c r="B8815" s="63" t="s">
        <v>9473</v>
      </c>
    </row>
    <row r="8816" spans="1:2" x14ac:dyDescent="0.25">
      <c r="A8816" s="62">
        <v>42182020</v>
      </c>
      <c r="B8816" s="63" t="s">
        <v>9474</v>
      </c>
    </row>
    <row r="8817" spans="1:2" x14ac:dyDescent="0.25">
      <c r="A8817" s="62">
        <v>42182101</v>
      </c>
      <c r="B8817" s="63" t="s">
        <v>9475</v>
      </c>
    </row>
    <row r="8818" spans="1:2" x14ac:dyDescent="0.25">
      <c r="A8818" s="62">
        <v>42182102</v>
      </c>
      <c r="B8818" s="63" t="s">
        <v>9476</v>
      </c>
    </row>
    <row r="8819" spans="1:2" x14ac:dyDescent="0.25">
      <c r="A8819" s="62">
        <v>42182103</v>
      </c>
      <c r="B8819" s="63" t="s">
        <v>9477</v>
      </c>
    </row>
    <row r="8820" spans="1:2" x14ac:dyDescent="0.25">
      <c r="A8820" s="62">
        <v>42182104</v>
      </c>
      <c r="B8820" s="63" t="s">
        <v>9478</v>
      </c>
    </row>
    <row r="8821" spans="1:2" x14ac:dyDescent="0.25">
      <c r="A8821" s="62">
        <v>42182105</v>
      </c>
      <c r="B8821" s="63" t="s">
        <v>9479</v>
      </c>
    </row>
    <row r="8822" spans="1:2" x14ac:dyDescent="0.25">
      <c r="A8822" s="62">
        <v>42182106</v>
      </c>
      <c r="B8822" s="63" t="s">
        <v>9480</v>
      </c>
    </row>
    <row r="8823" spans="1:2" x14ac:dyDescent="0.25">
      <c r="A8823" s="62">
        <v>42182107</v>
      </c>
      <c r="B8823" s="63" t="s">
        <v>9481</v>
      </c>
    </row>
    <row r="8824" spans="1:2" x14ac:dyDescent="0.25">
      <c r="A8824" s="62">
        <v>42182108</v>
      </c>
      <c r="B8824" s="63" t="s">
        <v>9482</v>
      </c>
    </row>
    <row r="8825" spans="1:2" x14ac:dyDescent="0.25">
      <c r="A8825" s="62">
        <v>42182201</v>
      </c>
      <c r="B8825" s="63" t="s">
        <v>9483</v>
      </c>
    </row>
    <row r="8826" spans="1:2" x14ac:dyDescent="0.25">
      <c r="A8826" s="62">
        <v>42182202</v>
      </c>
      <c r="B8826" s="63" t="s">
        <v>9484</v>
      </c>
    </row>
    <row r="8827" spans="1:2" x14ac:dyDescent="0.25">
      <c r="A8827" s="62">
        <v>42182203</v>
      </c>
      <c r="B8827" s="63" t="s">
        <v>9485</v>
      </c>
    </row>
    <row r="8828" spans="1:2" x14ac:dyDescent="0.25">
      <c r="A8828" s="62">
        <v>42182204</v>
      </c>
      <c r="B8828" s="63" t="s">
        <v>9486</v>
      </c>
    </row>
    <row r="8829" spans="1:2" x14ac:dyDescent="0.25">
      <c r="A8829" s="62">
        <v>42182205</v>
      </c>
      <c r="B8829" s="63" t="s">
        <v>9487</v>
      </c>
    </row>
    <row r="8830" spans="1:2" x14ac:dyDescent="0.25">
      <c r="A8830" s="62">
        <v>42182206</v>
      </c>
      <c r="B8830" s="63" t="s">
        <v>9488</v>
      </c>
    </row>
    <row r="8831" spans="1:2" x14ac:dyDescent="0.25">
      <c r="A8831" s="62">
        <v>42182207</v>
      </c>
      <c r="B8831" s="63" t="s">
        <v>9489</v>
      </c>
    </row>
    <row r="8832" spans="1:2" x14ac:dyDescent="0.25">
      <c r="A8832" s="62">
        <v>42182208</v>
      </c>
      <c r="B8832" s="63" t="s">
        <v>9490</v>
      </c>
    </row>
    <row r="8833" spans="1:2" x14ac:dyDescent="0.25">
      <c r="A8833" s="62">
        <v>42182209</v>
      </c>
      <c r="B8833" s="63" t="s">
        <v>9491</v>
      </c>
    </row>
    <row r="8834" spans="1:2" x14ac:dyDescent="0.25">
      <c r="A8834" s="62">
        <v>42182301</v>
      </c>
      <c r="B8834" s="63" t="s">
        <v>9492</v>
      </c>
    </row>
    <row r="8835" spans="1:2" x14ac:dyDescent="0.25">
      <c r="A8835" s="62">
        <v>42182302</v>
      </c>
      <c r="B8835" s="63" t="s">
        <v>9493</v>
      </c>
    </row>
    <row r="8836" spans="1:2" x14ac:dyDescent="0.25">
      <c r="A8836" s="62">
        <v>42182303</v>
      </c>
      <c r="B8836" s="63" t="s">
        <v>9494</v>
      </c>
    </row>
    <row r="8837" spans="1:2" x14ac:dyDescent="0.25">
      <c r="A8837" s="62">
        <v>42182304</v>
      </c>
      <c r="B8837" s="63" t="s">
        <v>9495</v>
      </c>
    </row>
    <row r="8838" spans="1:2" x14ac:dyDescent="0.25">
      <c r="A8838" s="62">
        <v>42182305</v>
      </c>
      <c r="B8838" s="63" t="s">
        <v>9496</v>
      </c>
    </row>
    <row r="8839" spans="1:2" x14ac:dyDescent="0.25">
      <c r="A8839" s="62">
        <v>42182306</v>
      </c>
      <c r="B8839" s="63" t="s">
        <v>9497</v>
      </c>
    </row>
    <row r="8840" spans="1:2" x14ac:dyDescent="0.25">
      <c r="A8840" s="62">
        <v>42182307</v>
      </c>
      <c r="B8840" s="63" t="s">
        <v>9498</v>
      </c>
    </row>
    <row r="8841" spans="1:2" x14ac:dyDescent="0.25">
      <c r="A8841" s="62">
        <v>42182308</v>
      </c>
      <c r="B8841" s="63" t="s">
        <v>9499</v>
      </c>
    </row>
    <row r="8842" spans="1:2" x14ac:dyDescent="0.25">
      <c r="A8842" s="62">
        <v>42182309</v>
      </c>
      <c r="B8842" s="63" t="s">
        <v>9500</v>
      </c>
    </row>
    <row r="8843" spans="1:2" x14ac:dyDescent="0.25">
      <c r="A8843" s="62">
        <v>42182310</v>
      </c>
      <c r="B8843" s="63" t="s">
        <v>9501</v>
      </c>
    </row>
    <row r="8844" spans="1:2" x14ac:dyDescent="0.25">
      <c r="A8844" s="62">
        <v>42182311</v>
      </c>
      <c r="B8844" s="63" t="s">
        <v>9502</v>
      </c>
    </row>
    <row r="8845" spans="1:2" x14ac:dyDescent="0.25">
      <c r="A8845" s="62">
        <v>42182312</v>
      </c>
      <c r="B8845" s="63" t="s">
        <v>9503</v>
      </c>
    </row>
    <row r="8846" spans="1:2" x14ac:dyDescent="0.25">
      <c r="A8846" s="62">
        <v>42182313</v>
      </c>
      <c r="B8846" s="63" t="s">
        <v>9504</v>
      </c>
    </row>
    <row r="8847" spans="1:2" x14ac:dyDescent="0.25">
      <c r="A8847" s="62">
        <v>42182314</v>
      </c>
      <c r="B8847" s="63" t="s">
        <v>9505</v>
      </c>
    </row>
    <row r="8848" spans="1:2" x14ac:dyDescent="0.25">
      <c r="A8848" s="62">
        <v>42182401</v>
      </c>
      <c r="B8848" s="63" t="s">
        <v>9506</v>
      </c>
    </row>
    <row r="8849" spans="1:2" x14ac:dyDescent="0.25">
      <c r="A8849" s="62">
        <v>42182402</v>
      </c>
      <c r="B8849" s="63" t="s">
        <v>9507</v>
      </c>
    </row>
    <row r="8850" spans="1:2" x14ac:dyDescent="0.25">
      <c r="A8850" s="62">
        <v>42182403</v>
      </c>
      <c r="B8850" s="63" t="s">
        <v>9508</v>
      </c>
    </row>
    <row r="8851" spans="1:2" x14ac:dyDescent="0.25">
      <c r="A8851" s="62">
        <v>42182404</v>
      </c>
      <c r="B8851" s="63" t="s">
        <v>9509</v>
      </c>
    </row>
    <row r="8852" spans="1:2" x14ac:dyDescent="0.25">
      <c r="A8852" s="62">
        <v>42182405</v>
      </c>
      <c r="B8852" s="63" t="s">
        <v>9510</v>
      </c>
    </row>
    <row r="8853" spans="1:2" x14ac:dyDescent="0.25">
      <c r="A8853" s="62">
        <v>42182406</v>
      </c>
      <c r="B8853" s="63" t="s">
        <v>9511</v>
      </c>
    </row>
    <row r="8854" spans="1:2" x14ac:dyDescent="0.25">
      <c r="A8854" s="62">
        <v>42182407</v>
      </c>
      <c r="B8854" s="63" t="s">
        <v>9512</v>
      </c>
    </row>
    <row r="8855" spans="1:2" x14ac:dyDescent="0.25">
      <c r="A8855" s="62">
        <v>42182408</v>
      </c>
      <c r="B8855" s="63" t="s">
        <v>9513</v>
      </c>
    </row>
    <row r="8856" spans="1:2" x14ac:dyDescent="0.25">
      <c r="A8856" s="62">
        <v>42182409</v>
      </c>
      <c r="B8856" s="63" t="s">
        <v>9514</v>
      </c>
    </row>
    <row r="8857" spans="1:2" x14ac:dyDescent="0.25">
      <c r="A8857" s="62">
        <v>42182410</v>
      </c>
      <c r="B8857" s="63" t="s">
        <v>9515</v>
      </c>
    </row>
    <row r="8858" spans="1:2" x14ac:dyDescent="0.25">
      <c r="A8858" s="62">
        <v>42182411</v>
      </c>
      <c r="B8858" s="63" t="s">
        <v>9516</v>
      </c>
    </row>
    <row r="8859" spans="1:2" x14ac:dyDescent="0.25">
      <c r="A8859" s="62">
        <v>42182412</v>
      </c>
      <c r="B8859" s="63" t="s">
        <v>9517</v>
      </c>
    </row>
    <row r="8860" spans="1:2" x14ac:dyDescent="0.25">
      <c r="A8860" s="62">
        <v>42182413</v>
      </c>
      <c r="B8860" s="63" t="s">
        <v>9518</v>
      </c>
    </row>
    <row r="8861" spans="1:2" x14ac:dyDescent="0.25">
      <c r="A8861" s="62">
        <v>42182414</v>
      </c>
      <c r="B8861" s="63" t="s">
        <v>9519</v>
      </c>
    </row>
    <row r="8862" spans="1:2" x14ac:dyDescent="0.25">
      <c r="A8862" s="62">
        <v>42182415</v>
      </c>
      <c r="B8862" s="63" t="s">
        <v>9520</v>
      </c>
    </row>
    <row r="8863" spans="1:2" x14ac:dyDescent="0.25">
      <c r="A8863" s="62">
        <v>42182416</v>
      </c>
      <c r="B8863" s="63" t="s">
        <v>9521</v>
      </c>
    </row>
    <row r="8864" spans="1:2" x14ac:dyDescent="0.25">
      <c r="A8864" s="62">
        <v>42182417</v>
      </c>
      <c r="B8864" s="63" t="s">
        <v>9522</v>
      </c>
    </row>
    <row r="8865" spans="1:2" x14ac:dyDescent="0.25">
      <c r="A8865" s="62">
        <v>42182418</v>
      </c>
      <c r="B8865" s="63" t="s">
        <v>9523</v>
      </c>
    </row>
    <row r="8866" spans="1:2" x14ac:dyDescent="0.25">
      <c r="A8866" s="62">
        <v>42182419</v>
      </c>
      <c r="B8866" s="63" t="s">
        <v>9524</v>
      </c>
    </row>
    <row r="8867" spans="1:2" x14ac:dyDescent="0.25">
      <c r="A8867" s="62">
        <v>42182420</v>
      </c>
      <c r="B8867" s="63" t="s">
        <v>9525</v>
      </c>
    </row>
    <row r="8868" spans="1:2" x14ac:dyDescent="0.25">
      <c r="A8868" s="62">
        <v>42182421</v>
      </c>
      <c r="B8868" s="63" t="s">
        <v>9526</v>
      </c>
    </row>
    <row r="8869" spans="1:2" x14ac:dyDescent="0.25">
      <c r="A8869" s="62">
        <v>42182422</v>
      </c>
      <c r="B8869" s="63" t="s">
        <v>9527</v>
      </c>
    </row>
    <row r="8870" spans="1:2" x14ac:dyDescent="0.25">
      <c r="A8870" s="62">
        <v>42182501</v>
      </c>
      <c r="B8870" s="63" t="s">
        <v>9528</v>
      </c>
    </row>
    <row r="8871" spans="1:2" x14ac:dyDescent="0.25">
      <c r="A8871" s="62">
        <v>42182502</v>
      </c>
      <c r="B8871" s="63" t="s">
        <v>9529</v>
      </c>
    </row>
    <row r="8872" spans="1:2" x14ac:dyDescent="0.25">
      <c r="A8872" s="62">
        <v>42182601</v>
      </c>
      <c r="B8872" s="63" t="s">
        <v>9530</v>
      </c>
    </row>
    <row r="8873" spans="1:2" x14ac:dyDescent="0.25">
      <c r="A8873" s="62">
        <v>42182602</v>
      </c>
      <c r="B8873" s="63" t="s">
        <v>9531</v>
      </c>
    </row>
    <row r="8874" spans="1:2" x14ac:dyDescent="0.25">
      <c r="A8874" s="62">
        <v>42182603</v>
      </c>
      <c r="B8874" s="63" t="s">
        <v>9532</v>
      </c>
    </row>
    <row r="8875" spans="1:2" x14ac:dyDescent="0.25">
      <c r="A8875" s="62">
        <v>42182604</v>
      </c>
      <c r="B8875" s="63" t="s">
        <v>9533</v>
      </c>
    </row>
    <row r="8876" spans="1:2" x14ac:dyDescent="0.25">
      <c r="A8876" s="62">
        <v>42182701</v>
      </c>
      <c r="B8876" s="63" t="s">
        <v>9534</v>
      </c>
    </row>
    <row r="8877" spans="1:2" x14ac:dyDescent="0.25">
      <c r="A8877" s="62">
        <v>42182702</v>
      </c>
      <c r="B8877" s="63" t="s">
        <v>9535</v>
      </c>
    </row>
    <row r="8878" spans="1:2" x14ac:dyDescent="0.25">
      <c r="A8878" s="62">
        <v>42182703</v>
      </c>
      <c r="B8878" s="63" t="s">
        <v>9536</v>
      </c>
    </row>
    <row r="8879" spans="1:2" x14ac:dyDescent="0.25">
      <c r="A8879" s="62">
        <v>42182704</v>
      </c>
      <c r="B8879" s="63" t="s">
        <v>9537</v>
      </c>
    </row>
    <row r="8880" spans="1:2" x14ac:dyDescent="0.25">
      <c r="A8880" s="62">
        <v>42182801</v>
      </c>
      <c r="B8880" s="63" t="s">
        <v>9538</v>
      </c>
    </row>
    <row r="8881" spans="1:2" x14ac:dyDescent="0.25">
      <c r="A8881" s="62">
        <v>42182802</v>
      </c>
      <c r="B8881" s="63" t="s">
        <v>9539</v>
      </c>
    </row>
    <row r="8882" spans="1:2" x14ac:dyDescent="0.25">
      <c r="A8882" s="62">
        <v>42182803</v>
      </c>
      <c r="B8882" s="63" t="s">
        <v>9540</v>
      </c>
    </row>
    <row r="8883" spans="1:2" x14ac:dyDescent="0.25">
      <c r="A8883" s="62">
        <v>42182804</v>
      </c>
      <c r="B8883" s="63" t="s">
        <v>9541</v>
      </c>
    </row>
    <row r="8884" spans="1:2" x14ac:dyDescent="0.25">
      <c r="A8884" s="62">
        <v>42182805</v>
      </c>
      <c r="B8884" s="63" t="s">
        <v>9542</v>
      </c>
    </row>
    <row r="8885" spans="1:2" x14ac:dyDescent="0.25">
      <c r="A8885" s="62">
        <v>42182806</v>
      </c>
      <c r="B8885" s="63" t="s">
        <v>9543</v>
      </c>
    </row>
    <row r="8886" spans="1:2" x14ac:dyDescent="0.25">
      <c r="A8886" s="62">
        <v>42182807</v>
      </c>
      <c r="B8886" s="63" t="s">
        <v>9544</v>
      </c>
    </row>
    <row r="8887" spans="1:2" x14ac:dyDescent="0.25">
      <c r="A8887" s="62">
        <v>42182808</v>
      </c>
      <c r="B8887" s="63" t="s">
        <v>9545</v>
      </c>
    </row>
    <row r="8888" spans="1:2" x14ac:dyDescent="0.25">
      <c r="A8888" s="62">
        <v>42182901</v>
      </c>
      <c r="B8888" s="63" t="s">
        <v>9546</v>
      </c>
    </row>
    <row r="8889" spans="1:2" x14ac:dyDescent="0.25">
      <c r="A8889" s="62">
        <v>42182902</v>
      </c>
      <c r="B8889" s="63" t="s">
        <v>9547</v>
      </c>
    </row>
    <row r="8890" spans="1:2" x14ac:dyDescent="0.25">
      <c r="A8890" s="62">
        <v>42182903</v>
      </c>
      <c r="B8890" s="63" t="s">
        <v>9548</v>
      </c>
    </row>
    <row r="8891" spans="1:2" x14ac:dyDescent="0.25">
      <c r="A8891" s="62">
        <v>42182904</v>
      </c>
      <c r="B8891" s="63" t="s">
        <v>9549</v>
      </c>
    </row>
    <row r="8892" spans="1:2" x14ac:dyDescent="0.25">
      <c r="A8892" s="62">
        <v>42183001</v>
      </c>
      <c r="B8892" s="63" t="s">
        <v>9550</v>
      </c>
    </row>
    <row r="8893" spans="1:2" x14ac:dyDescent="0.25">
      <c r="A8893" s="62">
        <v>42183002</v>
      </c>
      <c r="B8893" s="63" t="s">
        <v>9551</v>
      </c>
    </row>
    <row r="8894" spans="1:2" x14ac:dyDescent="0.25">
      <c r="A8894" s="62">
        <v>42183003</v>
      </c>
      <c r="B8894" s="63" t="s">
        <v>9552</v>
      </c>
    </row>
    <row r="8895" spans="1:2" x14ac:dyDescent="0.25">
      <c r="A8895" s="62">
        <v>42183004</v>
      </c>
      <c r="B8895" s="63" t="s">
        <v>9553</v>
      </c>
    </row>
    <row r="8896" spans="1:2" x14ac:dyDescent="0.25">
      <c r="A8896" s="62">
        <v>42183005</v>
      </c>
      <c r="B8896" s="63" t="s">
        <v>9554</v>
      </c>
    </row>
    <row r="8897" spans="1:2" x14ac:dyDescent="0.25">
      <c r="A8897" s="62">
        <v>42183006</v>
      </c>
      <c r="B8897" s="63" t="s">
        <v>9555</v>
      </c>
    </row>
    <row r="8898" spans="1:2" x14ac:dyDescent="0.25">
      <c r="A8898" s="62">
        <v>42183007</v>
      </c>
      <c r="B8898" s="63" t="s">
        <v>9556</v>
      </c>
    </row>
    <row r="8899" spans="1:2" x14ac:dyDescent="0.25">
      <c r="A8899" s="62">
        <v>42183008</v>
      </c>
      <c r="B8899" s="63" t="s">
        <v>9557</v>
      </c>
    </row>
    <row r="8900" spans="1:2" x14ac:dyDescent="0.25">
      <c r="A8900" s="62">
        <v>42183009</v>
      </c>
      <c r="B8900" s="63" t="s">
        <v>9558</v>
      </c>
    </row>
    <row r="8901" spans="1:2" x14ac:dyDescent="0.25">
      <c r="A8901" s="62">
        <v>42183010</v>
      </c>
      <c r="B8901" s="63" t="s">
        <v>9559</v>
      </c>
    </row>
    <row r="8902" spans="1:2" x14ac:dyDescent="0.25">
      <c r="A8902" s="62">
        <v>42183011</v>
      </c>
      <c r="B8902" s="63" t="s">
        <v>9560</v>
      </c>
    </row>
    <row r="8903" spans="1:2" x14ac:dyDescent="0.25">
      <c r="A8903" s="62">
        <v>42183012</v>
      </c>
      <c r="B8903" s="63" t="s">
        <v>9561</v>
      </c>
    </row>
    <row r="8904" spans="1:2" x14ac:dyDescent="0.25">
      <c r="A8904" s="62">
        <v>42183013</v>
      </c>
      <c r="B8904" s="63" t="s">
        <v>9562</v>
      </c>
    </row>
    <row r="8905" spans="1:2" x14ac:dyDescent="0.25">
      <c r="A8905" s="62">
        <v>42183014</v>
      </c>
      <c r="B8905" s="63" t="s">
        <v>9563</v>
      </c>
    </row>
    <row r="8906" spans="1:2" x14ac:dyDescent="0.25">
      <c r="A8906" s="62">
        <v>42183015</v>
      </c>
      <c r="B8906" s="63" t="s">
        <v>9564</v>
      </c>
    </row>
    <row r="8907" spans="1:2" x14ac:dyDescent="0.25">
      <c r="A8907" s="62">
        <v>42183016</v>
      </c>
      <c r="B8907" s="63" t="s">
        <v>9565</v>
      </c>
    </row>
    <row r="8908" spans="1:2" x14ac:dyDescent="0.25">
      <c r="A8908" s="62">
        <v>42183017</v>
      </c>
      <c r="B8908" s="63" t="s">
        <v>9566</v>
      </c>
    </row>
    <row r="8909" spans="1:2" x14ac:dyDescent="0.25">
      <c r="A8909" s="62">
        <v>42183018</v>
      </c>
      <c r="B8909" s="63" t="s">
        <v>9567</v>
      </c>
    </row>
    <row r="8910" spans="1:2" x14ac:dyDescent="0.25">
      <c r="A8910" s="62">
        <v>42183019</v>
      </c>
      <c r="B8910" s="63" t="s">
        <v>9568</v>
      </c>
    </row>
    <row r="8911" spans="1:2" x14ac:dyDescent="0.25">
      <c r="A8911" s="62">
        <v>42183020</v>
      </c>
      <c r="B8911" s="63" t="s">
        <v>9569</v>
      </c>
    </row>
    <row r="8912" spans="1:2" x14ac:dyDescent="0.25">
      <c r="A8912" s="62">
        <v>42183021</v>
      </c>
      <c r="B8912" s="63" t="s">
        <v>9570</v>
      </c>
    </row>
    <row r="8913" spans="1:2" x14ac:dyDescent="0.25">
      <c r="A8913" s="62">
        <v>42183022</v>
      </c>
      <c r="B8913" s="63" t="s">
        <v>9571</v>
      </c>
    </row>
    <row r="8914" spans="1:2" x14ac:dyDescent="0.25">
      <c r="A8914" s="62">
        <v>42183023</v>
      </c>
      <c r="B8914" s="63" t="s">
        <v>9572</v>
      </c>
    </row>
    <row r="8915" spans="1:2" x14ac:dyDescent="0.25">
      <c r="A8915" s="62">
        <v>42183024</v>
      </c>
      <c r="B8915" s="63" t="s">
        <v>9573</v>
      </c>
    </row>
    <row r="8916" spans="1:2" x14ac:dyDescent="0.25">
      <c r="A8916" s="62">
        <v>42183025</v>
      </c>
      <c r="B8916" s="63" t="s">
        <v>9574</v>
      </c>
    </row>
    <row r="8917" spans="1:2" x14ac:dyDescent="0.25">
      <c r="A8917" s="62">
        <v>42183026</v>
      </c>
      <c r="B8917" s="63" t="s">
        <v>9575</v>
      </c>
    </row>
    <row r="8918" spans="1:2" x14ac:dyDescent="0.25">
      <c r="A8918" s="62">
        <v>42183027</v>
      </c>
      <c r="B8918" s="63" t="s">
        <v>9576</v>
      </c>
    </row>
    <row r="8919" spans="1:2" x14ac:dyDescent="0.25">
      <c r="A8919" s="62">
        <v>42183028</v>
      </c>
      <c r="B8919" s="63" t="s">
        <v>9577</v>
      </c>
    </row>
    <row r="8920" spans="1:2" x14ac:dyDescent="0.25">
      <c r="A8920" s="62">
        <v>42183029</v>
      </c>
      <c r="B8920" s="63" t="s">
        <v>9578</v>
      </c>
    </row>
    <row r="8921" spans="1:2" x14ac:dyDescent="0.25">
      <c r="A8921" s="62">
        <v>42183030</v>
      </c>
      <c r="B8921" s="63" t="s">
        <v>9579</v>
      </c>
    </row>
    <row r="8922" spans="1:2" x14ac:dyDescent="0.25">
      <c r="A8922" s="62">
        <v>42183031</v>
      </c>
      <c r="B8922" s="63" t="s">
        <v>9580</v>
      </c>
    </row>
    <row r="8923" spans="1:2" x14ac:dyDescent="0.25">
      <c r="A8923" s="62">
        <v>42183032</v>
      </c>
      <c r="B8923" s="63" t="s">
        <v>9581</v>
      </c>
    </row>
    <row r="8924" spans="1:2" x14ac:dyDescent="0.25">
      <c r="A8924" s="62">
        <v>42183033</v>
      </c>
      <c r="B8924" s="63" t="s">
        <v>9582</v>
      </c>
    </row>
    <row r="8925" spans="1:2" x14ac:dyDescent="0.25">
      <c r="A8925" s="62">
        <v>42183034</v>
      </c>
      <c r="B8925" s="63" t="s">
        <v>9583</v>
      </c>
    </row>
    <row r="8926" spans="1:2" x14ac:dyDescent="0.25">
      <c r="A8926" s="62">
        <v>42183035</v>
      </c>
      <c r="B8926" s="63" t="s">
        <v>9584</v>
      </c>
    </row>
    <row r="8927" spans="1:2" x14ac:dyDescent="0.25">
      <c r="A8927" s="62">
        <v>42183036</v>
      </c>
      <c r="B8927" s="63" t="s">
        <v>9585</v>
      </c>
    </row>
    <row r="8928" spans="1:2" x14ac:dyDescent="0.25">
      <c r="A8928" s="62">
        <v>42183037</v>
      </c>
      <c r="B8928" s="63" t="s">
        <v>9586</v>
      </c>
    </row>
    <row r="8929" spans="1:2" x14ac:dyDescent="0.25">
      <c r="A8929" s="62">
        <v>42183038</v>
      </c>
      <c r="B8929" s="63" t="s">
        <v>9587</v>
      </c>
    </row>
    <row r="8930" spans="1:2" x14ac:dyDescent="0.25">
      <c r="A8930" s="62">
        <v>42183039</v>
      </c>
      <c r="B8930" s="63" t="s">
        <v>9588</v>
      </c>
    </row>
    <row r="8931" spans="1:2" x14ac:dyDescent="0.25">
      <c r="A8931" s="62">
        <v>42183040</v>
      </c>
      <c r="B8931" s="63" t="s">
        <v>9589</v>
      </c>
    </row>
    <row r="8932" spans="1:2" x14ac:dyDescent="0.25">
      <c r="A8932" s="62">
        <v>42183041</v>
      </c>
      <c r="B8932" s="63" t="s">
        <v>9590</v>
      </c>
    </row>
    <row r="8933" spans="1:2" x14ac:dyDescent="0.25">
      <c r="A8933" s="62">
        <v>42183042</v>
      </c>
      <c r="B8933" s="63" t="s">
        <v>9591</v>
      </c>
    </row>
    <row r="8934" spans="1:2" x14ac:dyDescent="0.25">
      <c r="A8934" s="62">
        <v>42183043</v>
      </c>
      <c r="B8934" s="63" t="s">
        <v>9592</v>
      </c>
    </row>
    <row r="8935" spans="1:2" x14ac:dyDescent="0.25">
      <c r="A8935" s="62">
        <v>42183044</v>
      </c>
      <c r="B8935" s="63" t="s">
        <v>9593</v>
      </c>
    </row>
    <row r="8936" spans="1:2" x14ac:dyDescent="0.25">
      <c r="A8936" s="62">
        <v>42183045</v>
      </c>
      <c r="B8936" s="63" t="s">
        <v>9594</v>
      </c>
    </row>
    <row r="8937" spans="1:2" x14ac:dyDescent="0.25">
      <c r="A8937" s="62">
        <v>42183046</v>
      </c>
      <c r="B8937" s="63" t="s">
        <v>9595</v>
      </c>
    </row>
    <row r="8938" spans="1:2" x14ac:dyDescent="0.25">
      <c r="A8938" s="62">
        <v>42183047</v>
      </c>
      <c r="B8938" s="63" t="s">
        <v>9596</v>
      </c>
    </row>
    <row r="8939" spans="1:2" x14ac:dyDescent="0.25">
      <c r="A8939" s="62">
        <v>42183048</v>
      </c>
      <c r="B8939" s="63" t="s">
        <v>9597</v>
      </c>
    </row>
    <row r="8940" spans="1:2" x14ac:dyDescent="0.25">
      <c r="A8940" s="62">
        <v>42183101</v>
      </c>
      <c r="B8940" s="63" t="s">
        <v>9598</v>
      </c>
    </row>
    <row r="8941" spans="1:2" x14ac:dyDescent="0.25">
      <c r="A8941" s="62">
        <v>42183201</v>
      </c>
      <c r="B8941" s="63" t="s">
        <v>9599</v>
      </c>
    </row>
    <row r="8942" spans="1:2" x14ac:dyDescent="0.25">
      <c r="A8942" s="62">
        <v>42183301</v>
      </c>
      <c r="B8942" s="63" t="s">
        <v>9600</v>
      </c>
    </row>
    <row r="8943" spans="1:2" x14ac:dyDescent="0.25">
      <c r="A8943" s="62">
        <v>42191501</v>
      </c>
      <c r="B8943" s="63" t="s">
        <v>9601</v>
      </c>
    </row>
    <row r="8944" spans="1:2" x14ac:dyDescent="0.25">
      <c r="A8944" s="62">
        <v>42191502</v>
      </c>
      <c r="B8944" s="63" t="s">
        <v>9602</v>
      </c>
    </row>
    <row r="8945" spans="1:2" x14ac:dyDescent="0.25">
      <c r="A8945" s="62">
        <v>42191601</v>
      </c>
      <c r="B8945" s="63" t="s">
        <v>9603</v>
      </c>
    </row>
    <row r="8946" spans="1:2" x14ac:dyDescent="0.25">
      <c r="A8946" s="62">
        <v>42191602</v>
      </c>
      <c r="B8946" s="63" t="s">
        <v>9604</v>
      </c>
    </row>
    <row r="8947" spans="1:2" x14ac:dyDescent="0.25">
      <c r="A8947" s="62">
        <v>42191603</v>
      </c>
      <c r="B8947" s="63" t="s">
        <v>9605</v>
      </c>
    </row>
    <row r="8948" spans="1:2" x14ac:dyDescent="0.25">
      <c r="A8948" s="62">
        <v>42191604</v>
      </c>
      <c r="B8948" s="63" t="s">
        <v>9606</v>
      </c>
    </row>
    <row r="8949" spans="1:2" x14ac:dyDescent="0.25">
      <c r="A8949" s="62">
        <v>42191605</v>
      </c>
      <c r="B8949" s="63" t="s">
        <v>9607</v>
      </c>
    </row>
    <row r="8950" spans="1:2" x14ac:dyDescent="0.25">
      <c r="A8950" s="62">
        <v>42191606</v>
      </c>
      <c r="B8950" s="63" t="s">
        <v>9608</v>
      </c>
    </row>
    <row r="8951" spans="1:2" x14ac:dyDescent="0.25">
      <c r="A8951" s="62">
        <v>42191607</v>
      </c>
      <c r="B8951" s="63" t="s">
        <v>9609</v>
      </c>
    </row>
    <row r="8952" spans="1:2" x14ac:dyDescent="0.25">
      <c r="A8952" s="62">
        <v>42191608</v>
      </c>
      <c r="B8952" s="63" t="s">
        <v>9610</v>
      </c>
    </row>
    <row r="8953" spans="1:2" x14ac:dyDescent="0.25">
      <c r="A8953" s="62">
        <v>42191609</v>
      </c>
      <c r="B8953" s="63" t="s">
        <v>9611</v>
      </c>
    </row>
    <row r="8954" spans="1:2" x14ac:dyDescent="0.25">
      <c r="A8954" s="62">
        <v>42191610</v>
      </c>
      <c r="B8954" s="63" t="s">
        <v>9612</v>
      </c>
    </row>
    <row r="8955" spans="1:2" x14ac:dyDescent="0.25">
      <c r="A8955" s="62">
        <v>42191611</v>
      </c>
      <c r="B8955" s="63" t="s">
        <v>9613</v>
      </c>
    </row>
    <row r="8956" spans="1:2" x14ac:dyDescent="0.25">
      <c r="A8956" s="62">
        <v>42191612</v>
      </c>
      <c r="B8956" s="63" t="s">
        <v>9614</v>
      </c>
    </row>
    <row r="8957" spans="1:2" x14ac:dyDescent="0.25">
      <c r="A8957" s="62">
        <v>42191701</v>
      </c>
      <c r="B8957" s="63" t="s">
        <v>9615</v>
      </c>
    </row>
    <row r="8958" spans="1:2" x14ac:dyDescent="0.25">
      <c r="A8958" s="62">
        <v>42191702</v>
      </c>
      <c r="B8958" s="63" t="s">
        <v>9616</v>
      </c>
    </row>
    <row r="8959" spans="1:2" x14ac:dyDescent="0.25">
      <c r="A8959" s="62">
        <v>42191703</v>
      </c>
      <c r="B8959" s="63" t="s">
        <v>9617</v>
      </c>
    </row>
    <row r="8960" spans="1:2" x14ac:dyDescent="0.25">
      <c r="A8960" s="62">
        <v>42191704</v>
      </c>
      <c r="B8960" s="63" t="s">
        <v>9618</v>
      </c>
    </row>
    <row r="8961" spans="1:2" x14ac:dyDescent="0.25">
      <c r="A8961" s="62">
        <v>42191705</v>
      </c>
      <c r="B8961" s="63" t="s">
        <v>9619</v>
      </c>
    </row>
    <row r="8962" spans="1:2" x14ac:dyDescent="0.25">
      <c r="A8962" s="62">
        <v>42191706</v>
      </c>
      <c r="B8962" s="63" t="s">
        <v>9620</v>
      </c>
    </row>
    <row r="8963" spans="1:2" x14ac:dyDescent="0.25">
      <c r="A8963" s="62">
        <v>42191707</v>
      </c>
      <c r="B8963" s="63" t="s">
        <v>9621</v>
      </c>
    </row>
    <row r="8964" spans="1:2" x14ac:dyDescent="0.25">
      <c r="A8964" s="62">
        <v>42191708</v>
      </c>
      <c r="B8964" s="63" t="s">
        <v>9622</v>
      </c>
    </row>
    <row r="8965" spans="1:2" x14ac:dyDescent="0.25">
      <c r="A8965" s="62">
        <v>42191709</v>
      </c>
      <c r="B8965" s="63" t="s">
        <v>9623</v>
      </c>
    </row>
    <row r="8966" spans="1:2" x14ac:dyDescent="0.25">
      <c r="A8966" s="62">
        <v>42191710</v>
      </c>
      <c r="B8966" s="63" t="s">
        <v>9624</v>
      </c>
    </row>
    <row r="8967" spans="1:2" x14ac:dyDescent="0.25">
      <c r="A8967" s="62">
        <v>42191711</v>
      </c>
      <c r="B8967" s="63" t="s">
        <v>9625</v>
      </c>
    </row>
    <row r="8968" spans="1:2" x14ac:dyDescent="0.25">
      <c r="A8968" s="62">
        <v>42191801</v>
      </c>
      <c r="B8968" s="63" t="s">
        <v>9626</v>
      </c>
    </row>
    <row r="8969" spans="1:2" x14ac:dyDescent="0.25">
      <c r="A8969" s="62">
        <v>42191802</v>
      </c>
      <c r="B8969" s="63" t="s">
        <v>9627</v>
      </c>
    </row>
    <row r="8970" spans="1:2" x14ac:dyDescent="0.25">
      <c r="A8970" s="62">
        <v>42191803</v>
      </c>
      <c r="B8970" s="63" t="s">
        <v>9628</v>
      </c>
    </row>
    <row r="8971" spans="1:2" x14ac:dyDescent="0.25">
      <c r="A8971" s="62">
        <v>42191804</v>
      </c>
      <c r="B8971" s="63" t="s">
        <v>9629</v>
      </c>
    </row>
    <row r="8972" spans="1:2" x14ac:dyDescent="0.25">
      <c r="A8972" s="62">
        <v>42191805</v>
      </c>
      <c r="B8972" s="63" t="s">
        <v>9630</v>
      </c>
    </row>
    <row r="8973" spans="1:2" x14ac:dyDescent="0.25">
      <c r="A8973" s="62">
        <v>42191806</v>
      </c>
      <c r="B8973" s="63" t="s">
        <v>9631</v>
      </c>
    </row>
    <row r="8974" spans="1:2" x14ac:dyDescent="0.25">
      <c r="A8974" s="62">
        <v>42191807</v>
      </c>
      <c r="B8974" s="63" t="s">
        <v>9632</v>
      </c>
    </row>
    <row r="8975" spans="1:2" x14ac:dyDescent="0.25">
      <c r="A8975" s="62">
        <v>42191808</v>
      </c>
      <c r="B8975" s="63" t="s">
        <v>9633</v>
      </c>
    </row>
    <row r="8976" spans="1:2" x14ac:dyDescent="0.25">
      <c r="A8976" s="62">
        <v>42191809</v>
      </c>
      <c r="B8976" s="63" t="s">
        <v>9634</v>
      </c>
    </row>
    <row r="8977" spans="1:2" x14ac:dyDescent="0.25">
      <c r="A8977" s="62">
        <v>42191810</v>
      </c>
      <c r="B8977" s="63" t="s">
        <v>9635</v>
      </c>
    </row>
    <row r="8978" spans="1:2" x14ac:dyDescent="0.25">
      <c r="A8978" s="62">
        <v>42191811</v>
      </c>
      <c r="B8978" s="63" t="s">
        <v>9636</v>
      </c>
    </row>
    <row r="8979" spans="1:2" x14ac:dyDescent="0.25">
      <c r="A8979" s="62">
        <v>42191812</v>
      </c>
      <c r="B8979" s="63" t="s">
        <v>9637</v>
      </c>
    </row>
    <row r="8980" spans="1:2" x14ac:dyDescent="0.25">
      <c r="A8980" s="62">
        <v>42191813</v>
      </c>
      <c r="B8980" s="63" t="s">
        <v>9638</v>
      </c>
    </row>
    <row r="8981" spans="1:2" x14ac:dyDescent="0.25">
      <c r="A8981" s="62">
        <v>42191814</v>
      </c>
      <c r="B8981" s="63" t="s">
        <v>9639</v>
      </c>
    </row>
    <row r="8982" spans="1:2" x14ac:dyDescent="0.25">
      <c r="A8982" s="62">
        <v>42191901</v>
      </c>
      <c r="B8982" s="63" t="s">
        <v>9640</v>
      </c>
    </row>
    <row r="8983" spans="1:2" x14ac:dyDescent="0.25">
      <c r="A8983" s="62">
        <v>42191902</v>
      </c>
      <c r="B8983" s="63" t="s">
        <v>9641</v>
      </c>
    </row>
    <row r="8984" spans="1:2" x14ac:dyDescent="0.25">
      <c r="A8984" s="62">
        <v>42191903</v>
      </c>
      <c r="B8984" s="63" t="s">
        <v>9642</v>
      </c>
    </row>
    <row r="8985" spans="1:2" x14ac:dyDescent="0.25">
      <c r="A8985" s="62">
        <v>42191904</v>
      </c>
      <c r="B8985" s="63" t="s">
        <v>9643</v>
      </c>
    </row>
    <row r="8986" spans="1:2" x14ac:dyDescent="0.25">
      <c r="A8986" s="62">
        <v>42191905</v>
      </c>
      <c r="B8986" s="63" t="s">
        <v>9644</v>
      </c>
    </row>
    <row r="8987" spans="1:2" x14ac:dyDescent="0.25">
      <c r="A8987" s="62">
        <v>42191906</v>
      </c>
      <c r="B8987" s="63" t="s">
        <v>9645</v>
      </c>
    </row>
    <row r="8988" spans="1:2" x14ac:dyDescent="0.25">
      <c r="A8988" s="62">
        <v>42191907</v>
      </c>
      <c r="B8988" s="63" t="s">
        <v>9646</v>
      </c>
    </row>
    <row r="8989" spans="1:2" x14ac:dyDescent="0.25">
      <c r="A8989" s="62">
        <v>42192001</v>
      </c>
      <c r="B8989" s="63" t="s">
        <v>9647</v>
      </c>
    </row>
    <row r="8990" spans="1:2" x14ac:dyDescent="0.25">
      <c r="A8990" s="62">
        <v>42192002</v>
      </c>
      <c r="B8990" s="63" t="s">
        <v>9648</v>
      </c>
    </row>
    <row r="8991" spans="1:2" x14ac:dyDescent="0.25">
      <c r="A8991" s="62">
        <v>42192101</v>
      </c>
      <c r="B8991" s="63" t="s">
        <v>9649</v>
      </c>
    </row>
    <row r="8992" spans="1:2" x14ac:dyDescent="0.25">
      <c r="A8992" s="62">
        <v>42192102</v>
      </c>
      <c r="B8992" s="63" t="s">
        <v>9650</v>
      </c>
    </row>
    <row r="8993" spans="1:2" x14ac:dyDescent="0.25">
      <c r="A8993" s="62">
        <v>42192103</v>
      </c>
      <c r="B8993" s="63" t="s">
        <v>9651</v>
      </c>
    </row>
    <row r="8994" spans="1:2" x14ac:dyDescent="0.25">
      <c r="A8994" s="62">
        <v>42192104</v>
      </c>
      <c r="B8994" s="63" t="s">
        <v>9652</v>
      </c>
    </row>
    <row r="8995" spans="1:2" x14ac:dyDescent="0.25">
      <c r="A8995" s="62">
        <v>42192106</v>
      </c>
      <c r="B8995" s="63" t="s">
        <v>9653</v>
      </c>
    </row>
    <row r="8996" spans="1:2" x14ac:dyDescent="0.25">
      <c r="A8996" s="62">
        <v>42192107</v>
      </c>
      <c r="B8996" s="63" t="s">
        <v>9654</v>
      </c>
    </row>
    <row r="8997" spans="1:2" x14ac:dyDescent="0.25">
      <c r="A8997" s="62">
        <v>42192201</v>
      </c>
      <c r="B8997" s="63" t="s">
        <v>9655</v>
      </c>
    </row>
    <row r="8998" spans="1:2" x14ac:dyDescent="0.25">
      <c r="A8998" s="62">
        <v>42192202</v>
      </c>
      <c r="B8998" s="63" t="s">
        <v>9656</v>
      </c>
    </row>
    <row r="8999" spans="1:2" x14ac:dyDescent="0.25">
      <c r="A8999" s="62">
        <v>42192203</v>
      </c>
      <c r="B8999" s="63" t="s">
        <v>9657</v>
      </c>
    </row>
    <row r="9000" spans="1:2" x14ac:dyDescent="0.25">
      <c r="A9000" s="62">
        <v>42192204</v>
      </c>
      <c r="B9000" s="63" t="s">
        <v>9658</v>
      </c>
    </row>
    <row r="9001" spans="1:2" x14ac:dyDescent="0.25">
      <c r="A9001" s="62">
        <v>42192205</v>
      </c>
      <c r="B9001" s="63" t="s">
        <v>9659</v>
      </c>
    </row>
    <row r="9002" spans="1:2" x14ac:dyDescent="0.25">
      <c r="A9002" s="62">
        <v>42192206</v>
      </c>
      <c r="B9002" s="63" t="s">
        <v>9660</v>
      </c>
    </row>
    <row r="9003" spans="1:2" x14ac:dyDescent="0.25">
      <c r="A9003" s="62">
        <v>42192207</v>
      </c>
      <c r="B9003" s="63" t="s">
        <v>9661</v>
      </c>
    </row>
    <row r="9004" spans="1:2" x14ac:dyDescent="0.25">
      <c r="A9004" s="62">
        <v>42192208</v>
      </c>
      <c r="B9004" s="63" t="s">
        <v>9662</v>
      </c>
    </row>
    <row r="9005" spans="1:2" x14ac:dyDescent="0.25">
      <c r="A9005" s="62">
        <v>42192209</v>
      </c>
      <c r="B9005" s="63" t="s">
        <v>9663</v>
      </c>
    </row>
    <row r="9006" spans="1:2" x14ac:dyDescent="0.25">
      <c r="A9006" s="62">
        <v>42192210</v>
      </c>
      <c r="B9006" s="63" t="s">
        <v>9664</v>
      </c>
    </row>
    <row r="9007" spans="1:2" x14ac:dyDescent="0.25">
      <c r="A9007" s="62">
        <v>42192211</v>
      </c>
      <c r="B9007" s="63" t="s">
        <v>9665</v>
      </c>
    </row>
    <row r="9008" spans="1:2" x14ac:dyDescent="0.25">
      <c r="A9008" s="62">
        <v>42192212</v>
      </c>
      <c r="B9008" s="63" t="s">
        <v>9666</v>
      </c>
    </row>
    <row r="9009" spans="1:2" x14ac:dyDescent="0.25">
      <c r="A9009" s="62">
        <v>42192213</v>
      </c>
      <c r="B9009" s="63" t="s">
        <v>9667</v>
      </c>
    </row>
    <row r="9010" spans="1:2" x14ac:dyDescent="0.25">
      <c r="A9010" s="62">
        <v>42192301</v>
      </c>
      <c r="B9010" s="63" t="s">
        <v>9668</v>
      </c>
    </row>
    <row r="9011" spans="1:2" x14ac:dyDescent="0.25">
      <c r="A9011" s="62">
        <v>42192302</v>
      </c>
      <c r="B9011" s="63" t="s">
        <v>9669</v>
      </c>
    </row>
    <row r="9012" spans="1:2" x14ac:dyDescent="0.25">
      <c r="A9012" s="62">
        <v>42192303</v>
      </c>
      <c r="B9012" s="63" t="s">
        <v>9670</v>
      </c>
    </row>
    <row r="9013" spans="1:2" x14ac:dyDescent="0.25">
      <c r="A9013" s="62">
        <v>42192304</v>
      </c>
      <c r="B9013" s="63" t="s">
        <v>9671</v>
      </c>
    </row>
    <row r="9014" spans="1:2" x14ac:dyDescent="0.25">
      <c r="A9014" s="62">
        <v>42192305</v>
      </c>
      <c r="B9014" s="63" t="s">
        <v>9672</v>
      </c>
    </row>
    <row r="9015" spans="1:2" x14ac:dyDescent="0.25">
      <c r="A9015" s="62">
        <v>42192401</v>
      </c>
      <c r="B9015" s="63" t="s">
        <v>9673</v>
      </c>
    </row>
    <row r="9016" spans="1:2" x14ac:dyDescent="0.25">
      <c r="A9016" s="62">
        <v>42192402</v>
      </c>
      <c r="B9016" s="63" t="s">
        <v>9674</v>
      </c>
    </row>
    <row r="9017" spans="1:2" x14ac:dyDescent="0.25">
      <c r="A9017" s="62">
        <v>42192403</v>
      </c>
      <c r="B9017" s="63" t="s">
        <v>9675</v>
      </c>
    </row>
    <row r="9018" spans="1:2" x14ac:dyDescent="0.25">
      <c r="A9018" s="62">
        <v>42192404</v>
      </c>
      <c r="B9018" s="63" t="s">
        <v>9676</v>
      </c>
    </row>
    <row r="9019" spans="1:2" x14ac:dyDescent="0.25">
      <c r="A9019" s="62">
        <v>42192405</v>
      </c>
      <c r="B9019" s="63" t="s">
        <v>9677</v>
      </c>
    </row>
    <row r="9020" spans="1:2" x14ac:dyDescent="0.25">
      <c r="A9020" s="62">
        <v>42192406</v>
      </c>
      <c r="B9020" s="63" t="s">
        <v>9678</v>
      </c>
    </row>
    <row r="9021" spans="1:2" x14ac:dyDescent="0.25">
      <c r="A9021" s="62">
        <v>42192501</v>
      </c>
      <c r="B9021" s="63" t="s">
        <v>9679</v>
      </c>
    </row>
    <row r="9022" spans="1:2" x14ac:dyDescent="0.25">
      <c r="A9022" s="62">
        <v>42192502</v>
      </c>
      <c r="B9022" s="63" t="s">
        <v>9680</v>
      </c>
    </row>
    <row r="9023" spans="1:2" x14ac:dyDescent="0.25">
      <c r="A9023" s="62">
        <v>42192601</v>
      </c>
      <c r="B9023" s="63" t="s">
        <v>9681</v>
      </c>
    </row>
    <row r="9024" spans="1:2" x14ac:dyDescent="0.25">
      <c r="A9024" s="62">
        <v>42192602</v>
      </c>
      <c r="B9024" s="63" t="s">
        <v>9682</v>
      </c>
    </row>
    <row r="9025" spans="1:2" x14ac:dyDescent="0.25">
      <c r="A9025" s="62">
        <v>42192603</v>
      </c>
      <c r="B9025" s="63" t="s">
        <v>9683</v>
      </c>
    </row>
    <row r="9026" spans="1:2" x14ac:dyDescent="0.25">
      <c r="A9026" s="62">
        <v>42192604</v>
      </c>
      <c r="B9026" s="63" t="s">
        <v>9684</v>
      </c>
    </row>
    <row r="9027" spans="1:2" x14ac:dyDescent="0.25">
      <c r="A9027" s="62">
        <v>42192605</v>
      </c>
      <c r="B9027" s="63" t="s">
        <v>9685</v>
      </c>
    </row>
    <row r="9028" spans="1:2" x14ac:dyDescent="0.25">
      <c r="A9028" s="62">
        <v>42201501</v>
      </c>
      <c r="B9028" s="63" t="s">
        <v>9686</v>
      </c>
    </row>
    <row r="9029" spans="1:2" x14ac:dyDescent="0.25">
      <c r="A9029" s="62">
        <v>42201502</v>
      </c>
      <c r="B9029" s="63" t="s">
        <v>9687</v>
      </c>
    </row>
    <row r="9030" spans="1:2" x14ac:dyDescent="0.25">
      <c r="A9030" s="62">
        <v>42201503</v>
      </c>
      <c r="B9030" s="63" t="s">
        <v>9688</v>
      </c>
    </row>
    <row r="9031" spans="1:2" x14ac:dyDescent="0.25">
      <c r="A9031" s="62">
        <v>42201504</v>
      </c>
      <c r="B9031" s="63" t="s">
        <v>9689</v>
      </c>
    </row>
    <row r="9032" spans="1:2" x14ac:dyDescent="0.25">
      <c r="A9032" s="62">
        <v>42201505</v>
      </c>
      <c r="B9032" s="63" t="s">
        <v>9690</v>
      </c>
    </row>
    <row r="9033" spans="1:2" x14ac:dyDescent="0.25">
      <c r="A9033" s="62">
        <v>42201506</v>
      </c>
      <c r="B9033" s="63" t="s">
        <v>9691</v>
      </c>
    </row>
    <row r="9034" spans="1:2" x14ac:dyDescent="0.25">
      <c r="A9034" s="62">
        <v>42201507</v>
      </c>
      <c r="B9034" s="63" t="s">
        <v>9692</v>
      </c>
    </row>
    <row r="9035" spans="1:2" x14ac:dyDescent="0.25">
      <c r="A9035" s="62">
        <v>42201508</v>
      </c>
      <c r="B9035" s="63" t="s">
        <v>9693</v>
      </c>
    </row>
    <row r="9036" spans="1:2" x14ac:dyDescent="0.25">
      <c r="A9036" s="62">
        <v>42201509</v>
      </c>
      <c r="B9036" s="63" t="s">
        <v>9694</v>
      </c>
    </row>
    <row r="9037" spans="1:2" x14ac:dyDescent="0.25">
      <c r="A9037" s="62">
        <v>42201510</v>
      </c>
      <c r="B9037" s="63" t="s">
        <v>9695</v>
      </c>
    </row>
    <row r="9038" spans="1:2" x14ac:dyDescent="0.25">
      <c r="A9038" s="62">
        <v>42201511</v>
      </c>
      <c r="B9038" s="63" t="s">
        <v>9696</v>
      </c>
    </row>
    <row r="9039" spans="1:2" x14ac:dyDescent="0.25">
      <c r="A9039" s="62">
        <v>42201512</v>
      </c>
      <c r="B9039" s="63" t="s">
        <v>9697</v>
      </c>
    </row>
    <row r="9040" spans="1:2" x14ac:dyDescent="0.25">
      <c r="A9040" s="62">
        <v>42201513</v>
      </c>
      <c r="B9040" s="63" t="s">
        <v>9698</v>
      </c>
    </row>
    <row r="9041" spans="1:2" x14ac:dyDescent="0.25">
      <c r="A9041" s="62">
        <v>42201601</v>
      </c>
      <c r="B9041" s="63" t="s">
        <v>9699</v>
      </c>
    </row>
    <row r="9042" spans="1:2" x14ac:dyDescent="0.25">
      <c r="A9042" s="62">
        <v>42201602</v>
      </c>
      <c r="B9042" s="63" t="s">
        <v>9700</v>
      </c>
    </row>
    <row r="9043" spans="1:2" x14ac:dyDescent="0.25">
      <c r="A9043" s="62">
        <v>42201603</v>
      </c>
      <c r="B9043" s="63" t="s">
        <v>9701</v>
      </c>
    </row>
    <row r="9044" spans="1:2" x14ac:dyDescent="0.25">
      <c r="A9044" s="62">
        <v>42201604</v>
      </c>
      <c r="B9044" s="63" t="s">
        <v>9702</v>
      </c>
    </row>
    <row r="9045" spans="1:2" x14ac:dyDescent="0.25">
      <c r="A9045" s="62">
        <v>42201605</v>
      </c>
      <c r="B9045" s="63" t="s">
        <v>9703</v>
      </c>
    </row>
    <row r="9046" spans="1:2" x14ac:dyDescent="0.25">
      <c r="A9046" s="62">
        <v>42201606</v>
      </c>
      <c r="B9046" s="63" t="s">
        <v>9704</v>
      </c>
    </row>
    <row r="9047" spans="1:2" x14ac:dyDescent="0.25">
      <c r="A9047" s="62">
        <v>42201607</v>
      </c>
      <c r="B9047" s="63" t="s">
        <v>9705</v>
      </c>
    </row>
    <row r="9048" spans="1:2" x14ac:dyDescent="0.25">
      <c r="A9048" s="62">
        <v>42201608</v>
      </c>
      <c r="B9048" s="63" t="s">
        <v>9706</v>
      </c>
    </row>
    <row r="9049" spans="1:2" x14ac:dyDescent="0.25">
      <c r="A9049" s="62">
        <v>42201609</v>
      </c>
      <c r="B9049" s="63" t="s">
        <v>9707</v>
      </c>
    </row>
    <row r="9050" spans="1:2" x14ac:dyDescent="0.25">
      <c r="A9050" s="62">
        <v>42201610</v>
      </c>
      <c r="B9050" s="63" t="s">
        <v>9708</v>
      </c>
    </row>
    <row r="9051" spans="1:2" x14ac:dyDescent="0.25">
      <c r="A9051" s="62">
        <v>42201611</v>
      </c>
      <c r="B9051" s="63" t="s">
        <v>9709</v>
      </c>
    </row>
    <row r="9052" spans="1:2" x14ac:dyDescent="0.25">
      <c r="A9052" s="62">
        <v>42201701</v>
      </c>
      <c r="B9052" s="63" t="s">
        <v>9710</v>
      </c>
    </row>
    <row r="9053" spans="1:2" x14ac:dyDescent="0.25">
      <c r="A9053" s="62">
        <v>42201702</v>
      </c>
      <c r="B9053" s="63" t="s">
        <v>9711</v>
      </c>
    </row>
    <row r="9054" spans="1:2" x14ac:dyDescent="0.25">
      <c r="A9054" s="62">
        <v>42201703</v>
      </c>
      <c r="B9054" s="63" t="s">
        <v>9712</v>
      </c>
    </row>
    <row r="9055" spans="1:2" x14ac:dyDescent="0.25">
      <c r="A9055" s="62">
        <v>42201704</v>
      </c>
      <c r="B9055" s="63" t="s">
        <v>9713</v>
      </c>
    </row>
    <row r="9056" spans="1:2" x14ac:dyDescent="0.25">
      <c r="A9056" s="62">
        <v>42201705</v>
      </c>
      <c r="B9056" s="63" t="s">
        <v>9714</v>
      </c>
    </row>
    <row r="9057" spans="1:2" x14ac:dyDescent="0.25">
      <c r="A9057" s="62">
        <v>42201706</v>
      </c>
      <c r="B9057" s="63" t="s">
        <v>9715</v>
      </c>
    </row>
    <row r="9058" spans="1:2" x14ac:dyDescent="0.25">
      <c r="A9058" s="62">
        <v>42201707</v>
      </c>
      <c r="B9058" s="63" t="s">
        <v>9716</v>
      </c>
    </row>
    <row r="9059" spans="1:2" x14ac:dyDescent="0.25">
      <c r="A9059" s="62">
        <v>42201708</v>
      </c>
      <c r="B9059" s="63" t="s">
        <v>9717</v>
      </c>
    </row>
    <row r="9060" spans="1:2" x14ac:dyDescent="0.25">
      <c r="A9060" s="62">
        <v>42201709</v>
      </c>
      <c r="B9060" s="63" t="s">
        <v>9718</v>
      </c>
    </row>
    <row r="9061" spans="1:2" x14ac:dyDescent="0.25">
      <c r="A9061" s="62">
        <v>42201710</v>
      </c>
      <c r="B9061" s="63" t="s">
        <v>9719</v>
      </c>
    </row>
    <row r="9062" spans="1:2" x14ac:dyDescent="0.25">
      <c r="A9062" s="62">
        <v>42201711</v>
      </c>
      <c r="B9062" s="63" t="s">
        <v>9720</v>
      </c>
    </row>
    <row r="9063" spans="1:2" x14ac:dyDescent="0.25">
      <c r="A9063" s="62">
        <v>42201712</v>
      </c>
      <c r="B9063" s="63" t="s">
        <v>9721</v>
      </c>
    </row>
    <row r="9064" spans="1:2" x14ac:dyDescent="0.25">
      <c r="A9064" s="62">
        <v>42201713</v>
      </c>
      <c r="B9064" s="63" t="s">
        <v>9722</v>
      </c>
    </row>
    <row r="9065" spans="1:2" x14ac:dyDescent="0.25">
      <c r="A9065" s="62">
        <v>42201714</v>
      </c>
      <c r="B9065" s="63" t="s">
        <v>8402</v>
      </c>
    </row>
    <row r="9066" spans="1:2" x14ac:dyDescent="0.25">
      <c r="A9066" s="62">
        <v>42201715</v>
      </c>
      <c r="B9066" s="63" t="s">
        <v>9723</v>
      </c>
    </row>
    <row r="9067" spans="1:2" x14ac:dyDescent="0.25">
      <c r="A9067" s="62">
        <v>42201716</v>
      </c>
      <c r="B9067" s="63" t="s">
        <v>9724</v>
      </c>
    </row>
    <row r="9068" spans="1:2" x14ac:dyDescent="0.25">
      <c r="A9068" s="62">
        <v>42201717</v>
      </c>
      <c r="B9068" s="63" t="s">
        <v>9725</v>
      </c>
    </row>
    <row r="9069" spans="1:2" x14ac:dyDescent="0.25">
      <c r="A9069" s="62">
        <v>42201718</v>
      </c>
      <c r="B9069" s="63" t="s">
        <v>9726</v>
      </c>
    </row>
    <row r="9070" spans="1:2" x14ac:dyDescent="0.25">
      <c r="A9070" s="62">
        <v>42201719</v>
      </c>
      <c r="B9070" s="63" t="s">
        <v>9727</v>
      </c>
    </row>
    <row r="9071" spans="1:2" x14ac:dyDescent="0.25">
      <c r="A9071" s="62">
        <v>42201801</v>
      </c>
      <c r="B9071" s="63" t="s">
        <v>9728</v>
      </c>
    </row>
    <row r="9072" spans="1:2" x14ac:dyDescent="0.25">
      <c r="A9072" s="62">
        <v>42201802</v>
      </c>
      <c r="B9072" s="63" t="s">
        <v>9729</v>
      </c>
    </row>
    <row r="9073" spans="1:2" x14ac:dyDescent="0.25">
      <c r="A9073" s="62">
        <v>42201803</v>
      </c>
      <c r="B9073" s="63" t="s">
        <v>9730</v>
      </c>
    </row>
    <row r="9074" spans="1:2" x14ac:dyDescent="0.25">
      <c r="A9074" s="62">
        <v>42201804</v>
      </c>
      <c r="B9074" s="63" t="s">
        <v>9731</v>
      </c>
    </row>
    <row r="9075" spans="1:2" x14ac:dyDescent="0.25">
      <c r="A9075" s="62">
        <v>42201805</v>
      </c>
      <c r="B9075" s="63" t="s">
        <v>9732</v>
      </c>
    </row>
    <row r="9076" spans="1:2" x14ac:dyDescent="0.25">
      <c r="A9076" s="62">
        <v>42201806</v>
      </c>
      <c r="B9076" s="63" t="s">
        <v>9733</v>
      </c>
    </row>
    <row r="9077" spans="1:2" x14ac:dyDescent="0.25">
      <c r="A9077" s="62">
        <v>42201807</v>
      </c>
      <c r="B9077" s="63" t="s">
        <v>9734</v>
      </c>
    </row>
    <row r="9078" spans="1:2" x14ac:dyDescent="0.25">
      <c r="A9078" s="62">
        <v>42201808</v>
      </c>
      <c r="B9078" s="63" t="s">
        <v>9735</v>
      </c>
    </row>
    <row r="9079" spans="1:2" x14ac:dyDescent="0.25">
      <c r="A9079" s="62">
        <v>42201809</v>
      </c>
      <c r="B9079" s="63" t="s">
        <v>9736</v>
      </c>
    </row>
    <row r="9080" spans="1:2" x14ac:dyDescent="0.25">
      <c r="A9080" s="62">
        <v>42201810</v>
      </c>
      <c r="B9080" s="63" t="s">
        <v>9737</v>
      </c>
    </row>
    <row r="9081" spans="1:2" x14ac:dyDescent="0.25">
      <c r="A9081" s="62">
        <v>42201811</v>
      </c>
      <c r="B9081" s="63" t="s">
        <v>9738</v>
      </c>
    </row>
    <row r="9082" spans="1:2" x14ac:dyDescent="0.25">
      <c r="A9082" s="62">
        <v>42201812</v>
      </c>
      <c r="B9082" s="63" t="s">
        <v>9739</v>
      </c>
    </row>
    <row r="9083" spans="1:2" x14ac:dyDescent="0.25">
      <c r="A9083" s="62">
        <v>42201813</v>
      </c>
      <c r="B9083" s="63" t="s">
        <v>9740</v>
      </c>
    </row>
    <row r="9084" spans="1:2" x14ac:dyDescent="0.25">
      <c r="A9084" s="62">
        <v>42201814</v>
      </c>
      <c r="B9084" s="63" t="s">
        <v>9741</v>
      </c>
    </row>
    <row r="9085" spans="1:2" x14ac:dyDescent="0.25">
      <c r="A9085" s="62">
        <v>42201815</v>
      </c>
      <c r="B9085" s="63" t="s">
        <v>9742</v>
      </c>
    </row>
    <row r="9086" spans="1:2" x14ac:dyDescent="0.25">
      <c r="A9086" s="62">
        <v>42201816</v>
      </c>
      <c r="B9086" s="63" t="s">
        <v>9743</v>
      </c>
    </row>
    <row r="9087" spans="1:2" x14ac:dyDescent="0.25">
      <c r="A9087" s="62">
        <v>42201817</v>
      </c>
      <c r="B9087" s="63" t="s">
        <v>9744</v>
      </c>
    </row>
    <row r="9088" spans="1:2" x14ac:dyDescent="0.25">
      <c r="A9088" s="62">
        <v>42201818</v>
      </c>
      <c r="B9088" s="63" t="s">
        <v>9745</v>
      </c>
    </row>
    <row r="9089" spans="1:2" x14ac:dyDescent="0.25">
      <c r="A9089" s="62">
        <v>42201819</v>
      </c>
      <c r="B9089" s="63" t="s">
        <v>9746</v>
      </c>
    </row>
    <row r="9090" spans="1:2" x14ac:dyDescent="0.25">
      <c r="A9090" s="62">
        <v>42201820</v>
      </c>
      <c r="B9090" s="63" t="s">
        <v>9747</v>
      </c>
    </row>
    <row r="9091" spans="1:2" x14ac:dyDescent="0.25">
      <c r="A9091" s="62">
        <v>42201821</v>
      </c>
      <c r="B9091" s="63" t="s">
        <v>9748</v>
      </c>
    </row>
    <row r="9092" spans="1:2" x14ac:dyDescent="0.25">
      <c r="A9092" s="62">
        <v>42201822</v>
      </c>
      <c r="B9092" s="63" t="s">
        <v>9749</v>
      </c>
    </row>
    <row r="9093" spans="1:2" x14ac:dyDescent="0.25">
      <c r="A9093" s="62">
        <v>42201823</v>
      </c>
      <c r="B9093" s="63" t="s">
        <v>9750</v>
      </c>
    </row>
    <row r="9094" spans="1:2" x14ac:dyDescent="0.25">
      <c r="A9094" s="62">
        <v>42201824</v>
      </c>
      <c r="B9094" s="63" t="s">
        <v>9751</v>
      </c>
    </row>
    <row r="9095" spans="1:2" x14ac:dyDescent="0.25">
      <c r="A9095" s="62">
        <v>42201825</v>
      </c>
      <c r="B9095" s="63" t="s">
        <v>9752</v>
      </c>
    </row>
    <row r="9096" spans="1:2" x14ac:dyDescent="0.25">
      <c r="A9096" s="62">
        <v>42201826</v>
      </c>
      <c r="B9096" s="63" t="s">
        <v>9753</v>
      </c>
    </row>
    <row r="9097" spans="1:2" x14ac:dyDescent="0.25">
      <c r="A9097" s="62">
        <v>42201827</v>
      </c>
      <c r="B9097" s="63" t="s">
        <v>9754</v>
      </c>
    </row>
    <row r="9098" spans="1:2" x14ac:dyDescent="0.25">
      <c r="A9098" s="62">
        <v>42201828</v>
      </c>
      <c r="B9098" s="63" t="s">
        <v>9755</v>
      </c>
    </row>
    <row r="9099" spans="1:2" x14ac:dyDescent="0.25">
      <c r="A9099" s="62">
        <v>42201829</v>
      </c>
      <c r="B9099" s="63" t="s">
        <v>9756</v>
      </c>
    </row>
    <row r="9100" spans="1:2" x14ac:dyDescent="0.25">
      <c r="A9100" s="62">
        <v>42201830</v>
      </c>
      <c r="B9100" s="63" t="s">
        <v>9757</v>
      </c>
    </row>
    <row r="9101" spans="1:2" x14ac:dyDescent="0.25">
      <c r="A9101" s="62">
        <v>42201831</v>
      </c>
      <c r="B9101" s="63" t="s">
        <v>9758</v>
      </c>
    </row>
    <row r="9102" spans="1:2" x14ac:dyDescent="0.25">
      <c r="A9102" s="62">
        <v>42201832</v>
      </c>
      <c r="B9102" s="63" t="s">
        <v>9759</v>
      </c>
    </row>
    <row r="9103" spans="1:2" x14ac:dyDescent="0.25">
      <c r="A9103" s="62">
        <v>42201833</v>
      </c>
      <c r="B9103" s="63" t="s">
        <v>9760</v>
      </c>
    </row>
    <row r="9104" spans="1:2" x14ac:dyDescent="0.25">
      <c r="A9104" s="62">
        <v>42201834</v>
      </c>
      <c r="B9104" s="63" t="s">
        <v>9761</v>
      </c>
    </row>
    <row r="9105" spans="1:2" x14ac:dyDescent="0.25">
      <c r="A9105" s="62">
        <v>42201835</v>
      </c>
      <c r="B9105" s="63" t="s">
        <v>9762</v>
      </c>
    </row>
    <row r="9106" spans="1:2" x14ac:dyDescent="0.25">
      <c r="A9106" s="62">
        <v>42201836</v>
      </c>
      <c r="B9106" s="63" t="s">
        <v>9763</v>
      </c>
    </row>
    <row r="9107" spans="1:2" x14ac:dyDescent="0.25">
      <c r="A9107" s="62">
        <v>42201837</v>
      </c>
      <c r="B9107" s="63" t="s">
        <v>9764</v>
      </c>
    </row>
    <row r="9108" spans="1:2" x14ac:dyDescent="0.25">
      <c r="A9108" s="62">
        <v>42201838</v>
      </c>
      <c r="B9108" s="63" t="s">
        <v>9765</v>
      </c>
    </row>
    <row r="9109" spans="1:2" x14ac:dyDescent="0.25">
      <c r="A9109" s="62">
        <v>42201839</v>
      </c>
      <c r="B9109" s="63" t="s">
        <v>9766</v>
      </c>
    </row>
    <row r="9110" spans="1:2" x14ac:dyDescent="0.25">
      <c r="A9110" s="62">
        <v>42201840</v>
      </c>
      <c r="B9110" s="63" t="s">
        <v>9767</v>
      </c>
    </row>
    <row r="9111" spans="1:2" x14ac:dyDescent="0.25">
      <c r="A9111" s="62">
        <v>42201841</v>
      </c>
      <c r="B9111" s="63" t="s">
        <v>9768</v>
      </c>
    </row>
    <row r="9112" spans="1:2" x14ac:dyDescent="0.25">
      <c r="A9112" s="62">
        <v>42201901</v>
      </c>
      <c r="B9112" s="63" t="s">
        <v>9769</v>
      </c>
    </row>
    <row r="9113" spans="1:2" x14ac:dyDescent="0.25">
      <c r="A9113" s="62">
        <v>42201902</v>
      </c>
      <c r="B9113" s="63" t="s">
        <v>9770</v>
      </c>
    </row>
    <row r="9114" spans="1:2" x14ac:dyDescent="0.25">
      <c r="A9114" s="62">
        <v>42201903</v>
      </c>
      <c r="B9114" s="63" t="s">
        <v>9771</v>
      </c>
    </row>
    <row r="9115" spans="1:2" x14ac:dyDescent="0.25">
      <c r="A9115" s="62">
        <v>42201904</v>
      </c>
      <c r="B9115" s="63" t="s">
        <v>9772</v>
      </c>
    </row>
    <row r="9116" spans="1:2" x14ac:dyDescent="0.25">
      <c r="A9116" s="62">
        <v>42201905</v>
      </c>
      <c r="B9116" s="63" t="s">
        <v>9773</v>
      </c>
    </row>
    <row r="9117" spans="1:2" x14ac:dyDescent="0.25">
      <c r="A9117" s="62">
        <v>42201906</v>
      </c>
      <c r="B9117" s="63" t="s">
        <v>9774</v>
      </c>
    </row>
    <row r="9118" spans="1:2" x14ac:dyDescent="0.25">
      <c r="A9118" s="62">
        <v>42201907</v>
      </c>
      <c r="B9118" s="63" t="s">
        <v>9775</v>
      </c>
    </row>
    <row r="9119" spans="1:2" x14ac:dyDescent="0.25">
      <c r="A9119" s="62">
        <v>42201908</v>
      </c>
      <c r="B9119" s="63" t="s">
        <v>9776</v>
      </c>
    </row>
    <row r="9120" spans="1:2" x14ac:dyDescent="0.25">
      <c r="A9120" s="62">
        <v>42202001</v>
      </c>
      <c r="B9120" s="63" t="s">
        <v>9777</v>
      </c>
    </row>
    <row r="9121" spans="1:2" x14ac:dyDescent="0.25">
      <c r="A9121" s="62">
        <v>42202002</v>
      </c>
      <c r="B9121" s="63" t="s">
        <v>9778</v>
      </c>
    </row>
    <row r="9122" spans="1:2" x14ac:dyDescent="0.25">
      <c r="A9122" s="62">
        <v>42202003</v>
      </c>
      <c r="B9122" s="63" t="s">
        <v>9779</v>
      </c>
    </row>
    <row r="9123" spans="1:2" x14ac:dyDescent="0.25">
      <c r="A9123" s="62">
        <v>42202004</v>
      </c>
      <c r="B9123" s="63" t="s">
        <v>9780</v>
      </c>
    </row>
    <row r="9124" spans="1:2" x14ac:dyDescent="0.25">
      <c r="A9124" s="62">
        <v>42202005</v>
      </c>
      <c r="B9124" s="63" t="s">
        <v>9781</v>
      </c>
    </row>
    <row r="9125" spans="1:2" x14ac:dyDescent="0.25">
      <c r="A9125" s="62">
        <v>42202101</v>
      </c>
      <c r="B9125" s="63" t="s">
        <v>9782</v>
      </c>
    </row>
    <row r="9126" spans="1:2" x14ac:dyDescent="0.25">
      <c r="A9126" s="62">
        <v>42202102</v>
      </c>
      <c r="B9126" s="63" t="s">
        <v>9783</v>
      </c>
    </row>
    <row r="9127" spans="1:2" x14ac:dyDescent="0.25">
      <c r="A9127" s="62">
        <v>42202103</v>
      </c>
      <c r="B9127" s="63" t="s">
        <v>9784</v>
      </c>
    </row>
    <row r="9128" spans="1:2" x14ac:dyDescent="0.25">
      <c r="A9128" s="62">
        <v>42202104</v>
      </c>
      <c r="B9128" s="63" t="s">
        <v>9785</v>
      </c>
    </row>
    <row r="9129" spans="1:2" x14ac:dyDescent="0.25">
      <c r="A9129" s="62">
        <v>42202105</v>
      </c>
      <c r="B9129" s="63" t="s">
        <v>9786</v>
      </c>
    </row>
    <row r="9130" spans="1:2" x14ac:dyDescent="0.25">
      <c r="A9130" s="62">
        <v>42202201</v>
      </c>
      <c r="B9130" s="63" t="s">
        <v>9787</v>
      </c>
    </row>
    <row r="9131" spans="1:2" x14ac:dyDescent="0.25">
      <c r="A9131" s="62">
        <v>42202202</v>
      </c>
      <c r="B9131" s="63" t="s">
        <v>9788</v>
      </c>
    </row>
    <row r="9132" spans="1:2" x14ac:dyDescent="0.25">
      <c r="A9132" s="62">
        <v>42202203</v>
      </c>
      <c r="B9132" s="63" t="s">
        <v>9789</v>
      </c>
    </row>
    <row r="9133" spans="1:2" x14ac:dyDescent="0.25">
      <c r="A9133" s="62">
        <v>42202301</v>
      </c>
      <c r="B9133" s="63" t="s">
        <v>9790</v>
      </c>
    </row>
    <row r="9134" spans="1:2" x14ac:dyDescent="0.25">
      <c r="A9134" s="62">
        <v>42202302</v>
      </c>
      <c r="B9134" s="63" t="s">
        <v>9791</v>
      </c>
    </row>
    <row r="9135" spans="1:2" x14ac:dyDescent="0.25">
      <c r="A9135" s="62">
        <v>42202303</v>
      </c>
      <c r="B9135" s="63" t="s">
        <v>9792</v>
      </c>
    </row>
    <row r="9136" spans="1:2" x14ac:dyDescent="0.25">
      <c r="A9136" s="62">
        <v>42202401</v>
      </c>
      <c r="B9136" s="63" t="s">
        <v>9793</v>
      </c>
    </row>
    <row r="9137" spans="1:2" x14ac:dyDescent="0.25">
      <c r="A9137" s="62">
        <v>42202501</v>
      </c>
      <c r="B9137" s="63" t="s">
        <v>9794</v>
      </c>
    </row>
    <row r="9138" spans="1:2" x14ac:dyDescent="0.25">
      <c r="A9138" s="62">
        <v>42202601</v>
      </c>
      <c r="B9138" s="63" t="s">
        <v>9795</v>
      </c>
    </row>
    <row r="9139" spans="1:2" x14ac:dyDescent="0.25">
      <c r="A9139" s="62">
        <v>42202602</v>
      </c>
      <c r="B9139" s="63" t="s">
        <v>9796</v>
      </c>
    </row>
    <row r="9140" spans="1:2" x14ac:dyDescent="0.25">
      <c r="A9140" s="62">
        <v>42202701</v>
      </c>
      <c r="B9140" s="63" t="s">
        <v>9797</v>
      </c>
    </row>
    <row r="9141" spans="1:2" x14ac:dyDescent="0.25">
      <c r="A9141" s="62">
        <v>42202702</v>
      </c>
      <c r="B9141" s="63" t="s">
        <v>9798</v>
      </c>
    </row>
    <row r="9142" spans="1:2" x14ac:dyDescent="0.25">
      <c r="A9142" s="62">
        <v>42202703</v>
      </c>
      <c r="B9142" s="63" t="s">
        <v>9799</v>
      </c>
    </row>
    <row r="9143" spans="1:2" x14ac:dyDescent="0.25">
      <c r="A9143" s="62">
        <v>42202704</v>
      </c>
      <c r="B9143" s="63" t="s">
        <v>9800</v>
      </c>
    </row>
    <row r="9144" spans="1:2" x14ac:dyDescent="0.25">
      <c r="A9144" s="62">
        <v>42202801</v>
      </c>
      <c r="B9144" s="63" t="s">
        <v>9801</v>
      </c>
    </row>
    <row r="9145" spans="1:2" x14ac:dyDescent="0.25">
      <c r="A9145" s="62">
        <v>42202802</v>
      </c>
      <c r="B9145" s="63" t="s">
        <v>9802</v>
      </c>
    </row>
    <row r="9146" spans="1:2" x14ac:dyDescent="0.25">
      <c r="A9146" s="62">
        <v>42202901</v>
      </c>
      <c r="B9146" s="63" t="s">
        <v>9803</v>
      </c>
    </row>
    <row r="9147" spans="1:2" x14ac:dyDescent="0.25">
      <c r="A9147" s="62">
        <v>42203001</v>
      </c>
      <c r="B9147" s="63" t="s">
        <v>9804</v>
      </c>
    </row>
    <row r="9148" spans="1:2" x14ac:dyDescent="0.25">
      <c r="A9148" s="62">
        <v>42203101</v>
      </c>
      <c r="B9148" s="63" t="s">
        <v>9805</v>
      </c>
    </row>
    <row r="9149" spans="1:2" x14ac:dyDescent="0.25">
      <c r="A9149" s="62">
        <v>42203201</v>
      </c>
      <c r="B9149" s="63" t="s">
        <v>9806</v>
      </c>
    </row>
    <row r="9150" spans="1:2" x14ac:dyDescent="0.25">
      <c r="A9150" s="62">
        <v>42203202</v>
      </c>
      <c r="B9150" s="63" t="s">
        <v>9807</v>
      </c>
    </row>
    <row r="9151" spans="1:2" x14ac:dyDescent="0.25">
      <c r="A9151" s="62">
        <v>42203301</v>
      </c>
      <c r="B9151" s="63" t="s">
        <v>9808</v>
      </c>
    </row>
    <row r="9152" spans="1:2" x14ac:dyDescent="0.25">
      <c r="A9152" s="62">
        <v>42203302</v>
      </c>
      <c r="B9152" s="63" t="s">
        <v>9809</v>
      </c>
    </row>
    <row r="9153" spans="1:2" x14ac:dyDescent="0.25">
      <c r="A9153" s="62">
        <v>42203303</v>
      </c>
      <c r="B9153" s="63" t="s">
        <v>9810</v>
      </c>
    </row>
    <row r="9154" spans="1:2" x14ac:dyDescent="0.25">
      <c r="A9154" s="62">
        <v>42203401</v>
      </c>
      <c r="B9154" s="63" t="s">
        <v>9811</v>
      </c>
    </row>
    <row r="9155" spans="1:2" x14ac:dyDescent="0.25">
      <c r="A9155" s="62">
        <v>42203402</v>
      </c>
      <c r="B9155" s="63" t="s">
        <v>9812</v>
      </c>
    </row>
    <row r="9156" spans="1:2" x14ac:dyDescent="0.25">
      <c r="A9156" s="62">
        <v>42203403</v>
      </c>
      <c r="B9156" s="63" t="s">
        <v>9813</v>
      </c>
    </row>
    <row r="9157" spans="1:2" x14ac:dyDescent="0.25">
      <c r="A9157" s="62">
        <v>42203404</v>
      </c>
      <c r="B9157" s="63" t="s">
        <v>9814</v>
      </c>
    </row>
    <row r="9158" spans="1:2" x14ac:dyDescent="0.25">
      <c r="A9158" s="62">
        <v>42203405</v>
      </c>
      <c r="B9158" s="63" t="s">
        <v>9815</v>
      </c>
    </row>
    <row r="9159" spans="1:2" x14ac:dyDescent="0.25">
      <c r="A9159" s="62">
        <v>42203406</v>
      </c>
      <c r="B9159" s="63" t="s">
        <v>9816</v>
      </c>
    </row>
    <row r="9160" spans="1:2" x14ac:dyDescent="0.25">
      <c r="A9160" s="62">
        <v>42203407</v>
      </c>
      <c r="B9160" s="63" t="s">
        <v>9817</v>
      </c>
    </row>
    <row r="9161" spans="1:2" x14ac:dyDescent="0.25">
      <c r="A9161" s="62">
        <v>42203408</v>
      </c>
      <c r="B9161" s="63" t="s">
        <v>9818</v>
      </c>
    </row>
    <row r="9162" spans="1:2" x14ac:dyDescent="0.25">
      <c r="A9162" s="62">
        <v>42203409</v>
      </c>
      <c r="B9162" s="63" t="s">
        <v>9819</v>
      </c>
    </row>
    <row r="9163" spans="1:2" x14ac:dyDescent="0.25">
      <c r="A9163" s="62">
        <v>42203410</v>
      </c>
      <c r="B9163" s="63" t="s">
        <v>9820</v>
      </c>
    </row>
    <row r="9164" spans="1:2" x14ac:dyDescent="0.25">
      <c r="A9164" s="62">
        <v>42203411</v>
      </c>
      <c r="B9164" s="63" t="s">
        <v>9821</v>
      </c>
    </row>
    <row r="9165" spans="1:2" x14ac:dyDescent="0.25">
      <c r="A9165" s="62">
        <v>42203412</v>
      </c>
      <c r="B9165" s="63" t="s">
        <v>9822</v>
      </c>
    </row>
    <row r="9166" spans="1:2" x14ac:dyDescent="0.25">
      <c r="A9166" s="62">
        <v>42203501</v>
      </c>
      <c r="B9166" s="63" t="s">
        <v>9823</v>
      </c>
    </row>
    <row r="9167" spans="1:2" x14ac:dyDescent="0.25">
      <c r="A9167" s="62">
        <v>42203502</v>
      </c>
      <c r="B9167" s="63" t="s">
        <v>9824</v>
      </c>
    </row>
    <row r="9168" spans="1:2" x14ac:dyDescent="0.25">
      <c r="A9168" s="62">
        <v>42203503</v>
      </c>
      <c r="B9168" s="63" t="s">
        <v>9825</v>
      </c>
    </row>
    <row r="9169" spans="1:2" x14ac:dyDescent="0.25">
      <c r="A9169" s="62">
        <v>42203504</v>
      </c>
      <c r="B9169" s="63" t="s">
        <v>9826</v>
      </c>
    </row>
    <row r="9170" spans="1:2" x14ac:dyDescent="0.25">
      <c r="A9170" s="62">
        <v>42203601</v>
      </c>
      <c r="B9170" s="63" t="s">
        <v>9827</v>
      </c>
    </row>
    <row r="9171" spans="1:2" x14ac:dyDescent="0.25">
      <c r="A9171" s="62">
        <v>42203602</v>
      </c>
      <c r="B9171" s="63" t="s">
        <v>9828</v>
      </c>
    </row>
    <row r="9172" spans="1:2" x14ac:dyDescent="0.25">
      <c r="A9172" s="62">
        <v>42203603</v>
      </c>
      <c r="B9172" s="63" t="s">
        <v>9829</v>
      </c>
    </row>
    <row r="9173" spans="1:2" x14ac:dyDescent="0.25">
      <c r="A9173" s="62">
        <v>42203604</v>
      </c>
      <c r="B9173" s="63" t="s">
        <v>9830</v>
      </c>
    </row>
    <row r="9174" spans="1:2" x14ac:dyDescent="0.25">
      <c r="A9174" s="62">
        <v>42203605</v>
      </c>
      <c r="B9174" s="63" t="s">
        <v>9831</v>
      </c>
    </row>
    <row r="9175" spans="1:2" x14ac:dyDescent="0.25">
      <c r="A9175" s="62">
        <v>42203701</v>
      </c>
      <c r="B9175" s="63" t="s">
        <v>9832</v>
      </c>
    </row>
    <row r="9176" spans="1:2" x14ac:dyDescent="0.25">
      <c r="A9176" s="62">
        <v>42203702</v>
      </c>
      <c r="B9176" s="63" t="s">
        <v>9833</v>
      </c>
    </row>
    <row r="9177" spans="1:2" x14ac:dyDescent="0.25">
      <c r="A9177" s="62">
        <v>42203703</v>
      </c>
      <c r="B9177" s="63" t="s">
        <v>9834</v>
      </c>
    </row>
    <row r="9178" spans="1:2" x14ac:dyDescent="0.25">
      <c r="A9178" s="62">
        <v>42203704</v>
      </c>
      <c r="B9178" s="63" t="s">
        <v>9835</v>
      </c>
    </row>
    <row r="9179" spans="1:2" x14ac:dyDescent="0.25">
      <c r="A9179" s="62">
        <v>42203705</v>
      </c>
      <c r="B9179" s="63" t="s">
        <v>9836</v>
      </c>
    </row>
    <row r="9180" spans="1:2" x14ac:dyDescent="0.25">
      <c r="A9180" s="62">
        <v>42203706</v>
      </c>
      <c r="B9180" s="63" t="s">
        <v>9837</v>
      </c>
    </row>
    <row r="9181" spans="1:2" x14ac:dyDescent="0.25">
      <c r="A9181" s="62">
        <v>42203707</v>
      </c>
      <c r="B9181" s="63" t="s">
        <v>9838</v>
      </c>
    </row>
    <row r="9182" spans="1:2" x14ac:dyDescent="0.25">
      <c r="A9182" s="62">
        <v>42203708</v>
      </c>
      <c r="B9182" s="63" t="s">
        <v>9839</v>
      </c>
    </row>
    <row r="9183" spans="1:2" x14ac:dyDescent="0.25">
      <c r="A9183" s="62">
        <v>42203709</v>
      </c>
      <c r="B9183" s="63" t="s">
        <v>9840</v>
      </c>
    </row>
    <row r="9184" spans="1:2" x14ac:dyDescent="0.25">
      <c r="A9184" s="62">
        <v>42203710</v>
      </c>
      <c r="B9184" s="63" t="s">
        <v>9841</v>
      </c>
    </row>
    <row r="9185" spans="1:2" x14ac:dyDescent="0.25">
      <c r="A9185" s="62">
        <v>42203801</v>
      </c>
      <c r="B9185" s="63" t="s">
        <v>9842</v>
      </c>
    </row>
    <row r="9186" spans="1:2" x14ac:dyDescent="0.25">
      <c r="A9186" s="62">
        <v>42203802</v>
      </c>
      <c r="B9186" s="63" t="s">
        <v>9843</v>
      </c>
    </row>
    <row r="9187" spans="1:2" x14ac:dyDescent="0.25">
      <c r="A9187" s="62">
        <v>42203803</v>
      </c>
      <c r="B9187" s="63" t="s">
        <v>9844</v>
      </c>
    </row>
    <row r="9188" spans="1:2" x14ac:dyDescent="0.25">
      <c r="A9188" s="62">
        <v>42203901</v>
      </c>
      <c r="B9188" s="63" t="s">
        <v>9845</v>
      </c>
    </row>
    <row r="9189" spans="1:2" x14ac:dyDescent="0.25">
      <c r="A9189" s="62">
        <v>42203902</v>
      </c>
      <c r="B9189" s="63" t="s">
        <v>9846</v>
      </c>
    </row>
    <row r="9190" spans="1:2" x14ac:dyDescent="0.25">
      <c r="A9190" s="62">
        <v>42204001</v>
      </c>
      <c r="B9190" s="63" t="s">
        <v>9847</v>
      </c>
    </row>
    <row r="9191" spans="1:2" x14ac:dyDescent="0.25">
      <c r="A9191" s="62">
        <v>42204002</v>
      </c>
      <c r="B9191" s="63" t="s">
        <v>9848</v>
      </c>
    </row>
    <row r="9192" spans="1:2" x14ac:dyDescent="0.25">
      <c r="A9192" s="62">
        <v>42204003</v>
      </c>
      <c r="B9192" s="63" t="s">
        <v>9849</v>
      </c>
    </row>
    <row r="9193" spans="1:2" x14ac:dyDescent="0.25">
      <c r="A9193" s="62">
        <v>42204004</v>
      </c>
      <c r="B9193" s="63" t="s">
        <v>9850</v>
      </c>
    </row>
    <row r="9194" spans="1:2" x14ac:dyDescent="0.25">
      <c r="A9194" s="62">
        <v>42204005</v>
      </c>
      <c r="B9194" s="63" t="s">
        <v>9851</v>
      </c>
    </row>
    <row r="9195" spans="1:2" x14ac:dyDescent="0.25">
      <c r="A9195" s="62">
        <v>42204006</v>
      </c>
      <c r="B9195" s="63" t="s">
        <v>9852</v>
      </c>
    </row>
    <row r="9196" spans="1:2" x14ac:dyDescent="0.25">
      <c r="A9196" s="62">
        <v>42204007</v>
      </c>
      <c r="B9196" s="63" t="s">
        <v>9853</v>
      </c>
    </row>
    <row r="9197" spans="1:2" x14ac:dyDescent="0.25">
      <c r="A9197" s="62">
        <v>42204008</v>
      </c>
      <c r="B9197" s="63" t="s">
        <v>9854</v>
      </c>
    </row>
    <row r="9198" spans="1:2" x14ac:dyDescent="0.25">
      <c r="A9198" s="62">
        <v>42211501</v>
      </c>
      <c r="B9198" s="63" t="s">
        <v>9855</v>
      </c>
    </row>
    <row r="9199" spans="1:2" x14ac:dyDescent="0.25">
      <c r="A9199" s="62">
        <v>42211502</v>
      </c>
      <c r="B9199" s="63" t="s">
        <v>9856</v>
      </c>
    </row>
    <row r="9200" spans="1:2" x14ac:dyDescent="0.25">
      <c r="A9200" s="62">
        <v>42211503</v>
      </c>
      <c r="B9200" s="63" t="s">
        <v>9857</v>
      </c>
    </row>
    <row r="9201" spans="1:2" x14ac:dyDescent="0.25">
      <c r="A9201" s="62">
        <v>42211504</v>
      </c>
      <c r="B9201" s="63" t="s">
        <v>9858</v>
      </c>
    </row>
    <row r="9202" spans="1:2" x14ac:dyDescent="0.25">
      <c r="A9202" s="62">
        <v>42211505</v>
      </c>
      <c r="B9202" s="63" t="s">
        <v>9859</v>
      </c>
    </row>
    <row r="9203" spans="1:2" x14ac:dyDescent="0.25">
      <c r="A9203" s="62">
        <v>42211506</v>
      </c>
      <c r="B9203" s="63" t="s">
        <v>9860</v>
      </c>
    </row>
    <row r="9204" spans="1:2" x14ac:dyDescent="0.25">
      <c r="A9204" s="62">
        <v>42211507</v>
      </c>
      <c r="B9204" s="63" t="s">
        <v>9861</v>
      </c>
    </row>
    <row r="9205" spans="1:2" x14ac:dyDescent="0.25">
      <c r="A9205" s="62">
        <v>42211508</v>
      </c>
      <c r="B9205" s="63" t="s">
        <v>9862</v>
      </c>
    </row>
    <row r="9206" spans="1:2" x14ac:dyDescent="0.25">
      <c r="A9206" s="62">
        <v>42211509</v>
      </c>
      <c r="B9206" s="63" t="s">
        <v>9863</v>
      </c>
    </row>
    <row r="9207" spans="1:2" x14ac:dyDescent="0.25">
      <c r="A9207" s="62">
        <v>42211601</v>
      </c>
      <c r="B9207" s="63" t="s">
        <v>9864</v>
      </c>
    </row>
    <row r="9208" spans="1:2" x14ac:dyDescent="0.25">
      <c r="A9208" s="62">
        <v>42211602</v>
      </c>
      <c r="B9208" s="63" t="s">
        <v>9865</v>
      </c>
    </row>
    <row r="9209" spans="1:2" x14ac:dyDescent="0.25">
      <c r="A9209" s="62">
        <v>42211603</v>
      </c>
      <c r="B9209" s="63" t="s">
        <v>9866</v>
      </c>
    </row>
    <row r="9210" spans="1:2" x14ac:dyDescent="0.25">
      <c r="A9210" s="62">
        <v>42211604</v>
      </c>
      <c r="B9210" s="63" t="s">
        <v>9867</v>
      </c>
    </row>
    <row r="9211" spans="1:2" x14ac:dyDescent="0.25">
      <c r="A9211" s="62">
        <v>42211605</v>
      </c>
      <c r="B9211" s="63" t="s">
        <v>9868</v>
      </c>
    </row>
    <row r="9212" spans="1:2" x14ac:dyDescent="0.25">
      <c r="A9212" s="62">
        <v>42211606</v>
      </c>
      <c r="B9212" s="63" t="s">
        <v>9869</v>
      </c>
    </row>
    <row r="9213" spans="1:2" x14ac:dyDescent="0.25">
      <c r="A9213" s="62">
        <v>42211607</v>
      </c>
      <c r="B9213" s="63" t="s">
        <v>9870</v>
      </c>
    </row>
    <row r="9214" spans="1:2" x14ac:dyDescent="0.25">
      <c r="A9214" s="62">
        <v>42211608</v>
      </c>
      <c r="B9214" s="63" t="s">
        <v>9871</v>
      </c>
    </row>
    <row r="9215" spans="1:2" x14ac:dyDescent="0.25">
      <c r="A9215" s="62">
        <v>42211609</v>
      </c>
      <c r="B9215" s="63" t="s">
        <v>9872</v>
      </c>
    </row>
    <row r="9216" spans="1:2" x14ac:dyDescent="0.25">
      <c r="A9216" s="62">
        <v>42211610</v>
      </c>
      <c r="B9216" s="63" t="s">
        <v>9873</v>
      </c>
    </row>
    <row r="9217" spans="1:2" x14ac:dyDescent="0.25">
      <c r="A9217" s="62">
        <v>42211611</v>
      </c>
      <c r="B9217" s="63" t="s">
        <v>9874</v>
      </c>
    </row>
    <row r="9218" spans="1:2" x14ac:dyDescent="0.25">
      <c r="A9218" s="62">
        <v>42211612</v>
      </c>
      <c r="B9218" s="63" t="s">
        <v>9875</v>
      </c>
    </row>
    <row r="9219" spans="1:2" x14ac:dyDescent="0.25">
      <c r="A9219" s="62">
        <v>42211613</v>
      </c>
      <c r="B9219" s="63" t="s">
        <v>9876</v>
      </c>
    </row>
    <row r="9220" spans="1:2" x14ac:dyDescent="0.25">
      <c r="A9220" s="62">
        <v>42211614</v>
      </c>
      <c r="B9220" s="63" t="s">
        <v>9877</v>
      </c>
    </row>
    <row r="9221" spans="1:2" x14ac:dyDescent="0.25">
      <c r="A9221" s="62">
        <v>42211615</v>
      </c>
      <c r="B9221" s="63" t="s">
        <v>9878</v>
      </c>
    </row>
    <row r="9222" spans="1:2" x14ac:dyDescent="0.25">
      <c r="A9222" s="62">
        <v>42211616</v>
      </c>
      <c r="B9222" s="63" t="s">
        <v>9879</v>
      </c>
    </row>
    <row r="9223" spans="1:2" x14ac:dyDescent="0.25">
      <c r="A9223" s="62">
        <v>42211617</v>
      </c>
      <c r="B9223" s="63" t="s">
        <v>9880</v>
      </c>
    </row>
    <row r="9224" spans="1:2" x14ac:dyDescent="0.25">
      <c r="A9224" s="62">
        <v>42211618</v>
      </c>
      <c r="B9224" s="63" t="s">
        <v>9881</v>
      </c>
    </row>
    <row r="9225" spans="1:2" x14ac:dyDescent="0.25">
      <c r="A9225" s="62">
        <v>42211701</v>
      </c>
      <c r="B9225" s="63" t="s">
        <v>9882</v>
      </c>
    </row>
    <row r="9226" spans="1:2" x14ac:dyDescent="0.25">
      <c r="A9226" s="62">
        <v>42211702</v>
      </c>
      <c r="B9226" s="63" t="s">
        <v>9883</v>
      </c>
    </row>
    <row r="9227" spans="1:2" x14ac:dyDescent="0.25">
      <c r="A9227" s="62">
        <v>42211703</v>
      </c>
      <c r="B9227" s="63" t="s">
        <v>9884</v>
      </c>
    </row>
    <row r="9228" spans="1:2" x14ac:dyDescent="0.25">
      <c r="A9228" s="62">
        <v>42211704</v>
      </c>
      <c r="B9228" s="63" t="s">
        <v>9885</v>
      </c>
    </row>
    <row r="9229" spans="1:2" x14ac:dyDescent="0.25">
      <c r="A9229" s="62">
        <v>42211705</v>
      </c>
      <c r="B9229" s="63" t="s">
        <v>9886</v>
      </c>
    </row>
    <row r="9230" spans="1:2" x14ac:dyDescent="0.25">
      <c r="A9230" s="62">
        <v>42211706</v>
      </c>
      <c r="B9230" s="63" t="s">
        <v>9887</v>
      </c>
    </row>
    <row r="9231" spans="1:2" x14ac:dyDescent="0.25">
      <c r="A9231" s="62">
        <v>42211707</v>
      </c>
      <c r="B9231" s="63" t="s">
        <v>9888</v>
      </c>
    </row>
    <row r="9232" spans="1:2" x14ac:dyDescent="0.25">
      <c r="A9232" s="62">
        <v>42211708</v>
      </c>
      <c r="B9232" s="63" t="s">
        <v>9889</v>
      </c>
    </row>
    <row r="9233" spans="1:2" x14ac:dyDescent="0.25">
      <c r="A9233" s="62">
        <v>42211709</v>
      </c>
      <c r="B9233" s="63" t="s">
        <v>9890</v>
      </c>
    </row>
    <row r="9234" spans="1:2" x14ac:dyDescent="0.25">
      <c r="A9234" s="62">
        <v>42211710</v>
      </c>
      <c r="B9234" s="63" t="s">
        <v>9891</v>
      </c>
    </row>
    <row r="9235" spans="1:2" x14ac:dyDescent="0.25">
      <c r="A9235" s="62">
        <v>42211711</v>
      </c>
      <c r="B9235" s="63" t="s">
        <v>9892</v>
      </c>
    </row>
    <row r="9236" spans="1:2" x14ac:dyDescent="0.25">
      <c r="A9236" s="62">
        <v>42211712</v>
      </c>
      <c r="B9236" s="63" t="s">
        <v>9893</v>
      </c>
    </row>
    <row r="9237" spans="1:2" x14ac:dyDescent="0.25">
      <c r="A9237" s="62">
        <v>42211801</v>
      </c>
      <c r="B9237" s="63" t="s">
        <v>9894</v>
      </c>
    </row>
    <row r="9238" spans="1:2" x14ac:dyDescent="0.25">
      <c r="A9238" s="62">
        <v>42211802</v>
      </c>
      <c r="B9238" s="63" t="s">
        <v>9895</v>
      </c>
    </row>
    <row r="9239" spans="1:2" x14ac:dyDescent="0.25">
      <c r="A9239" s="62">
        <v>42211803</v>
      </c>
      <c r="B9239" s="63" t="s">
        <v>9896</v>
      </c>
    </row>
    <row r="9240" spans="1:2" x14ac:dyDescent="0.25">
      <c r="A9240" s="62">
        <v>42211804</v>
      </c>
      <c r="B9240" s="63" t="s">
        <v>9897</v>
      </c>
    </row>
    <row r="9241" spans="1:2" x14ac:dyDescent="0.25">
      <c r="A9241" s="62">
        <v>42211805</v>
      </c>
      <c r="B9241" s="63" t="s">
        <v>9898</v>
      </c>
    </row>
    <row r="9242" spans="1:2" x14ac:dyDescent="0.25">
      <c r="A9242" s="62">
        <v>42211806</v>
      </c>
      <c r="B9242" s="63" t="s">
        <v>9899</v>
      </c>
    </row>
    <row r="9243" spans="1:2" x14ac:dyDescent="0.25">
      <c r="A9243" s="62">
        <v>42211807</v>
      </c>
      <c r="B9243" s="63" t="s">
        <v>9900</v>
      </c>
    </row>
    <row r="9244" spans="1:2" x14ac:dyDescent="0.25">
      <c r="A9244" s="62">
        <v>42211808</v>
      </c>
      <c r="B9244" s="63" t="s">
        <v>9901</v>
      </c>
    </row>
    <row r="9245" spans="1:2" x14ac:dyDescent="0.25">
      <c r="A9245" s="62">
        <v>42211809</v>
      </c>
      <c r="B9245" s="63" t="s">
        <v>9902</v>
      </c>
    </row>
    <row r="9246" spans="1:2" x14ac:dyDescent="0.25">
      <c r="A9246" s="62">
        <v>42211810</v>
      </c>
      <c r="B9246" s="63" t="s">
        <v>9903</v>
      </c>
    </row>
    <row r="9247" spans="1:2" x14ac:dyDescent="0.25">
      <c r="A9247" s="62">
        <v>42211811</v>
      </c>
      <c r="B9247" s="63" t="s">
        <v>9904</v>
      </c>
    </row>
    <row r="9248" spans="1:2" x14ac:dyDescent="0.25">
      <c r="A9248" s="62">
        <v>42211812</v>
      </c>
      <c r="B9248" s="63" t="s">
        <v>9905</v>
      </c>
    </row>
    <row r="9249" spans="1:2" x14ac:dyDescent="0.25">
      <c r="A9249" s="62">
        <v>42211813</v>
      </c>
      <c r="B9249" s="63" t="s">
        <v>9906</v>
      </c>
    </row>
    <row r="9250" spans="1:2" x14ac:dyDescent="0.25">
      <c r="A9250" s="62">
        <v>42211901</v>
      </c>
      <c r="B9250" s="63" t="s">
        <v>9907</v>
      </c>
    </row>
    <row r="9251" spans="1:2" x14ac:dyDescent="0.25">
      <c r="A9251" s="62">
        <v>42211902</v>
      </c>
      <c r="B9251" s="63" t="s">
        <v>9908</v>
      </c>
    </row>
    <row r="9252" spans="1:2" x14ac:dyDescent="0.25">
      <c r="A9252" s="62">
        <v>42211903</v>
      </c>
      <c r="B9252" s="63" t="s">
        <v>9909</v>
      </c>
    </row>
    <row r="9253" spans="1:2" x14ac:dyDescent="0.25">
      <c r="A9253" s="62">
        <v>42211904</v>
      </c>
      <c r="B9253" s="63" t="s">
        <v>9910</v>
      </c>
    </row>
    <row r="9254" spans="1:2" x14ac:dyDescent="0.25">
      <c r="A9254" s="62">
        <v>42211905</v>
      </c>
      <c r="B9254" s="63" t="s">
        <v>9911</v>
      </c>
    </row>
    <row r="9255" spans="1:2" x14ac:dyDescent="0.25">
      <c r="A9255" s="62">
        <v>42211906</v>
      </c>
      <c r="B9255" s="63" t="s">
        <v>9912</v>
      </c>
    </row>
    <row r="9256" spans="1:2" x14ac:dyDescent="0.25">
      <c r="A9256" s="62">
        <v>42211907</v>
      </c>
      <c r="B9256" s="63" t="s">
        <v>9913</v>
      </c>
    </row>
    <row r="9257" spans="1:2" x14ac:dyDescent="0.25">
      <c r="A9257" s="62">
        <v>42211908</v>
      </c>
      <c r="B9257" s="63" t="s">
        <v>9914</v>
      </c>
    </row>
    <row r="9258" spans="1:2" x14ac:dyDescent="0.25">
      <c r="A9258" s="62">
        <v>42211909</v>
      </c>
      <c r="B9258" s="63" t="s">
        <v>9915</v>
      </c>
    </row>
    <row r="9259" spans="1:2" x14ac:dyDescent="0.25">
      <c r="A9259" s="62">
        <v>42211910</v>
      </c>
      <c r="B9259" s="63" t="s">
        <v>9916</v>
      </c>
    </row>
    <row r="9260" spans="1:2" x14ac:dyDescent="0.25">
      <c r="A9260" s="62">
        <v>42211911</v>
      </c>
      <c r="B9260" s="63" t="s">
        <v>9917</v>
      </c>
    </row>
    <row r="9261" spans="1:2" x14ac:dyDescent="0.25">
      <c r="A9261" s="62">
        <v>42211912</v>
      </c>
      <c r="B9261" s="63" t="s">
        <v>9918</v>
      </c>
    </row>
    <row r="9262" spans="1:2" x14ac:dyDescent="0.25">
      <c r="A9262" s="62">
        <v>42211913</v>
      </c>
      <c r="B9262" s="63" t="s">
        <v>9919</v>
      </c>
    </row>
    <row r="9263" spans="1:2" x14ac:dyDescent="0.25">
      <c r="A9263" s="62">
        <v>42211914</v>
      </c>
      <c r="B9263" s="63" t="s">
        <v>9920</v>
      </c>
    </row>
    <row r="9264" spans="1:2" x14ac:dyDescent="0.25">
      <c r="A9264" s="62">
        <v>42211915</v>
      </c>
      <c r="B9264" s="63" t="s">
        <v>9921</v>
      </c>
    </row>
    <row r="9265" spans="1:2" x14ac:dyDescent="0.25">
      <c r="A9265" s="62">
        <v>42211916</v>
      </c>
      <c r="B9265" s="63" t="s">
        <v>9922</v>
      </c>
    </row>
    <row r="9266" spans="1:2" x14ac:dyDescent="0.25">
      <c r="A9266" s="62">
        <v>42211917</v>
      </c>
      <c r="B9266" s="63" t="s">
        <v>9923</v>
      </c>
    </row>
    <row r="9267" spans="1:2" x14ac:dyDescent="0.25">
      <c r="A9267" s="62">
        <v>42211918</v>
      </c>
      <c r="B9267" s="63" t="s">
        <v>9924</v>
      </c>
    </row>
    <row r="9268" spans="1:2" x14ac:dyDescent="0.25">
      <c r="A9268" s="62">
        <v>42212001</v>
      </c>
      <c r="B9268" s="63" t="s">
        <v>9925</v>
      </c>
    </row>
    <row r="9269" spans="1:2" x14ac:dyDescent="0.25">
      <c r="A9269" s="62">
        <v>42212002</v>
      </c>
      <c r="B9269" s="63" t="s">
        <v>9926</v>
      </c>
    </row>
    <row r="9270" spans="1:2" x14ac:dyDescent="0.25">
      <c r="A9270" s="62">
        <v>42212003</v>
      </c>
      <c r="B9270" s="63" t="s">
        <v>9927</v>
      </c>
    </row>
    <row r="9271" spans="1:2" x14ac:dyDescent="0.25">
      <c r="A9271" s="62">
        <v>42212004</v>
      </c>
      <c r="B9271" s="63" t="s">
        <v>9928</v>
      </c>
    </row>
    <row r="9272" spans="1:2" x14ac:dyDescent="0.25">
      <c r="A9272" s="62">
        <v>42212005</v>
      </c>
      <c r="B9272" s="63" t="s">
        <v>9929</v>
      </c>
    </row>
    <row r="9273" spans="1:2" x14ac:dyDescent="0.25">
      <c r="A9273" s="62">
        <v>42212006</v>
      </c>
      <c r="B9273" s="63" t="s">
        <v>9930</v>
      </c>
    </row>
    <row r="9274" spans="1:2" x14ac:dyDescent="0.25">
      <c r="A9274" s="62">
        <v>42212007</v>
      </c>
      <c r="B9274" s="63" t="s">
        <v>9931</v>
      </c>
    </row>
    <row r="9275" spans="1:2" x14ac:dyDescent="0.25">
      <c r="A9275" s="62">
        <v>42212101</v>
      </c>
      <c r="B9275" s="63" t="s">
        <v>9932</v>
      </c>
    </row>
    <row r="9276" spans="1:2" x14ac:dyDescent="0.25">
      <c r="A9276" s="62">
        <v>42212102</v>
      </c>
      <c r="B9276" s="63" t="s">
        <v>9933</v>
      </c>
    </row>
    <row r="9277" spans="1:2" x14ac:dyDescent="0.25">
      <c r="A9277" s="62">
        <v>42212103</v>
      </c>
      <c r="B9277" s="63" t="s">
        <v>9934</v>
      </c>
    </row>
    <row r="9278" spans="1:2" x14ac:dyDescent="0.25">
      <c r="A9278" s="62">
        <v>42212104</v>
      </c>
      <c r="B9278" s="63" t="s">
        <v>9935</v>
      </c>
    </row>
    <row r="9279" spans="1:2" x14ac:dyDescent="0.25">
      <c r="A9279" s="62">
        <v>42212105</v>
      </c>
      <c r="B9279" s="63" t="s">
        <v>9936</v>
      </c>
    </row>
    <row r="9280" spans="1:2" x14ac:dyDescent="0.25">
      <c r="A9280" s="62">
        <v>42212106</v>
      </c>
      <c r="B9280" s="63" t="s">
        <v>9937</v>
      </c>
    </row>
    <row r="9281" spans="1:2" x14ac:dyDescent="0.25">
      <c r="A9281" s="62">
        <v>42212107</v>
      </c>
      <c r="B9281" s="63" t="s">
        <v>9938</v>
      </c>
    </row>
    <row r="9282" spans="1:2" x14ac:dyDescent="0.25">
      <c r="A9282" s="62">
        <v>42212108</v>
      </c>
      <c r="B9282" s="63" t="s">
        <v>9939</v>
      </c>
    </row>
    <row r="9283" spans="1:2" x14ac:dyDescent="0.25">
      <c r="A9283" s="62">
        <v>42212109</v>
      </c>
      <c r="B9283" s="63" t="s">
        <v>9940</v>
      </c>
    </row>
    <row r="9284" spans="1:2" x14ac:dyDescent="0.25">
      <c r="A9284" s="62">
        <v>42212110</v>
      </c>
      <c r="B9284" s="63" t="s">
        <v>9941</v>
      </c>
    </row>
    <row r="9285" spans="1:2" x14ac:dyDescent="0.25">
      <c r="A9285" s="62">
        <v>42212111</v>
      </c>
      <c r="B9285" s="63" t="s">
        <v>9942</v>
      </c>
    </row>
    <row r="9286" spans="1:2" x14ac:dyDescent="0.25">
      <c r="A9286" s="62">
        <v>42212112</v>
      </c>
      <c r="B9286" s="63" t="s">
        <v>9943</v>
      </c>
    </row>
    <row r="9287" spans="1:2" x14ac:dyDescent="0.25">
      <c r="A9287" s="62">
        <v>42212113</v>
      </c>
      <c r="B9287" s="63" t="s">
        <v>9944</v>
      </c>
    </row>
    <row r="9288" spans="1:2" x14ac:dyDescent="0.25">
      <c r="A9288" s="62">
        <v>42212201</v>
      </c>
      <c r="B9288" s="63" t="s">
        <v>9945</v>
      </c>
    </row>
    <row r="9289" spans="1:2" x14ac:dyDescent="0.25">
      <c r="A9289" s="62">
        <v>42212202</v>
      </c>
      <c r="B9289" s="63" t="s">
        <v>9946</v>
      </c>
    </row>
    <row r="9290" spans="1:2" x14ac:dyDescent="0.25">
      <c r="A9290" s="62">
        <v>42212203</v>
      </c>
      <c r="B9290" s="63" t="s">
        <v>9947</v>
      </c>
    </row>
    <row r="9291" spans="1:2" x14ac:dyDescent="0.25">
      <c r="A9291" s="62">
        <v>42212204</v>
      </c>
      <c r="B9291" s="63" t="s">
        <v>9948</v>
      </c>
    </row>
    <row r="9292" spans="1:2" x14ac:dyDescent="0.25">
      <c r="A9292" s="62">
        <v>42212301</v>
      </c>
      <c r="B9292" s="63" t="s">
        <v>9949</v>
      </c>
    </row>
    <row r="9293" spans="1:2" x14ac:dyDescent="0.25">
      <c r="A9293" s="62">
        <v>42212302</v>
      </c>
      <c r="B9293" s="63" t="s">
        <v>9950</v>
      </c>
    </row>
    <row r="9294" spans="1:2" x14ac:dyDescent="0.25">
      <c r="A9294" s="62">
        <v>42212303</v>
      </c>
      <c r="B9294" s="63" t="s">
        <v>9951</v>
      </c>
    </row>
    <row r="9295" spans="1:2" x14ac:dyDescent="0.25">
      <c r="A9295" s="62">
        <v>42212304</v>
      </c>
      <c r="B9295" s="63" t="s">
        <v>9952</v>
      </c>
    </row>
    <row r="9296" spans="1:2" x14ac:dyDescent="0.25">
      <c r="A9296" s="62">
        <v>42221501</v>
      </c>
      <c r="B9296" s="63" t="s">
        <v>9953</v>
      </c>
    </row>
    <row r="9297" spans="1:2" x14ac:dyDescent="0.25">
      <c r="A9297" s="62">
        <v>42221502</v>
      </c>
      <c r="B9297" s="63" t="s">
        <v>9954</v>
      </c>
    </row>
    <row r="9298" spans="1:2" x14ac:dyDescent="0.25">
      <c r="A9298" s="62">
        <v>42221503</v>
      </c>
      <c r="B9298" s="63" t="s">
        <v>9955</v>
      </c>
    </row>
    <row r="9299" spans="1:2" x14ac:dyDescent="0.25">
      <c r="A9299" s="62">
        <v>42221504</v>
      </c>
      <c r="B9299" s="63" t="s">
        <v>9956</v>
      </c>
    </row>
    <row r="9300" spans="1:2" x14ac:dyDescent="0.25">
      <c r="A9300" s="62">
        <v>42221505</v>
      </c>
      <c r="B9300" s="63" t="s">
        <v>9957</v>
      </c>
    </row>
    <row r="9301" spans="1:2" x14ac:dyDescent="0.25">
      <c r="A9301" s="62">
        <v>42221506</v>
      </c>
      <c r="B9301" s="63" t="s">
        <v>9958</v>
      </c>
    </row>
    <row r="9302" spans="1:2" x14ac:dyDescent="0.25">
      <c r="A9302" s="62">
        <v>42221507</v>
      </c>
      <c r="B9302" s="63" t="s">
        <v>9959</v>
      </c>
    </row>
    <row r="9303" spans="1:2" x14ac:dyDescent="0.25">
      <c r="A9303" s="62">
        <v>42221508</v>
      </c>
      <c r="B9303" s="63" t="s">
        <v>9960</v>
      </c>
    </row>
    <row r="9304" spans="1:2" x14ac:dyDescent="0.25">
      <c r="A9304" s="62">
        <v>42221509</v>
      </c>
      <c r="B9304" s="63" t="s">
        <v>9961</v>
      </c>
    </row>
    <row r="9305" spans="1:2" x14ac:dyDescent="0.25">
      <c r="A9305" s="62">
        <v>42221512</v>
      </c>
      <c r="B9305" s="63" t="s">
        <v>9962</v>
      </c>
    </row>
    <row r="9306" spans="1:2" x14ac:dyDescent="0.25">
      <c r="A9306" s="62">
        <v>42221513</v>
      </c>
      <c r="B9306" s="63" t="s">
        <v>9963</v>
      </c>
    </row>
    <row r="9307" spans="1:2" x14ac:dyDescent="0.25">
      <c r="A9307" s="62">
        <v>42221601</v>
      </c>
      <c r="B9307" s="63" t="s">
        <v>9964</v>
      </c>
    </row>
    <row r="9308" spans="1:2" x14ac:dyDescent="0.25">
      <c r="A9308" s="62">
        <v>42221602</v>
      </c>
      <c r="B9308" s="63" t="s">
        <v>9965</v>
      </c>
    </row>
    <row r="9309" spans="1:2" x14ac:dyDescent="0.25">
      <c r="A9309" s="62">
        <v>42221603</v>
      </c>
      <c r="B9309" s="63" t="s">
        <v>9966</v>
      </c>
    </row>
    <row r="9310" spans="1:2" x14ac:dyDescent="0.25">
      <c r="A9310" s="62">
        <v>42221604</v>
      </c>
      <c r="B9310" s="63" t="s">
        <v>9967</v>
      </c>
    </row>
    <row r="9311" spans="1:2" x14ac:dyDescent="0.25">
      <c r="A9311" s="62">
        <v>42221605</v>
      </c>
      <c r="B9311" s="63" t="s">
        <v>9968</v>
      </c>
    </row>
    <row r="9312" spans="1:2" x14ac:dyDescent="0.25">
      <c r="A9312" s="62">
        <v>42221606</v>
      </c>
      <c r="B9312" s="63" t="s">
        <v>9969</v>
      </c>
    </row>
    <row r="9313" spans="1:2" x14ac:dyDescent="0.25">
      <c r="A9313" s="62">
        <v>42221607</v>
      </c>
      <c r="B9313" s="63" t="s">
        <v>9970</v>
      </c>
    </row>
    <row r="9314" spans="1:2" x14ac:dyDescent="0.25">
      <c r="A9314" s="62">
        <v>42221608</v>
      </c>
      <c r="B9314" s="63" t="s">
        <v>9971</v>
      </c>
    </row>
    <row r="9315" spans="1:2" x14ac:dyDescent="0.25">
      <c r="A9315" s="62">
        <v>42221609</v>
      </c>
      <c r="B9315" s="63" t="s">
        <v>9972</v>
      </c>
    </row>
    <row r="9316" spans="1:2" x14ac:dyDescent="0.25">
      <c r="A9316" s="62">
        <v>42221610</v>
      </c>
      <c r="B9316" s="63" t="s">
        <v>9973</v>
      </c>
    </row>
    <row r="9317" spans="1:2" x14ac:dyDescent="0.25">
      <c r="A9317" s="62">
        <v>42221611</v>
      </c>
      <c r="B9317" s="63" t="s">
        <v>9974</v>
      </c>
    </row>
    <row r="9318" spans="1:2" x14ac:dyDescent="0.25">
      <c r="A9318" s="62">
        <v>42221612</v>
      </c>
      <c r="B9318" s="63" t="s">
        <v>9975</v>
      </c>
    </row>
    <row r="9319" spans="1:2" x14ac:dyDescent="0.25">
      <c r="A9319" s="62">
        <v>42221613</v>
      </c>
      <c r="B9319" s="63" t="s">
        <v>9976</v>
      </c>
    </row>
    <row r="9320" spans="1:2" x14ac:dyDescent="0.25">
      <c r="A9320" s="62">
        <v>42221614</v>
      </c>
      <c r="B9320" s="63" t="s">
        <v>9977</v>
      </c>
    </row>
    <row r="9321" spans="1:2" x14ac:dyDescent="0.25">
      <c r="A9321" s="62">
        <v>42221615</v>
      </c>
      <c r="B9321" s="63" t="s">
        <v>9978</v>
      </c>
    </row>
    <row r="9322" spans="1:2" x14ac:dyDescent="0.25">
      <c r="A9322" s="62">
        <v>42221616</v>
      </c>
      <c r="B9322" s="63" t="s">
        <v>9979</v>
      </c>
    </row>
    <row r="9323" spans="1:2" x14ac:dyDescent="0.25">
      <c r="A9323" s="62">
        <v>42221617</v>
      </c>
      <c r="B9323" s="63" t="s">
        <v>9980</v>
      </c>
    </row>
    <row r="9324" spans="1:2" x14ac:dyDescent="0.25">
      <c r="A9324" s="62">
        <v>42221618</v>
      </c>
      <c r="B9324" s="63" t="s">
        <v>9981</v>
      </c>
    </row>
    <row r="9325" spans="1:2" x14ac:dyDescent="0.25">
      <c r="A9325" s="62">
        <v>42221701</v>
      </c>
      <c r="B9325" s="63" t="s">
        <v>9982</v>
      </c>
    </row>
    <row r="9326" spans="1:2" x14ac:dyDescent="0.25">
      <c r="A9326" s="62">
        <v>42221702</v>
      </c>
      <c r="B9326" s="63" t="s">
        <v>9983</v>
      </c>
    </row>
    <row r="9327" spans="1:2" x14ac:dyDescent="0.25">
      <c r="A9327" s="62">
        <v>42221703</v>
      </c>
      <c r="B9327" s="63" t="s">
        <v>9984</v>
      </c>
    </row>
    <row r="9328" spans="1:2" x14ac:dyDescent="0.25">
      <c r="A9328" s="62">
        <v>42221704</v>
      </c>
      <c r="B9328" s="63" t="s">
        <v>9985</v>
      </c>
    </row>
    <row r="9329" spans="1:2" x14ac:dyDescent="0.25">
      <c r="A9329" s="62">
        <v>42221705</v>
      </c>
      <c r="B9329" s="63" t="s">
        <v>9986</v>
      </c>
    </row>
    <row r="9330" spans="1:2" x14ac:dyDescent="0.25">
      <c r="A9330" s="62">
        <v>42221706</v>
      </c>
      <c r="B9330" s="63" t="s">
        <v>9987</v>
      </c>
    </row>
    <row r="9331" spans="1:2" x14ac:dyDescent="0.25">
      <c r="A9331" s="62">
        <v>42221707</v>
      </c>
      <c r="B9331" s="63" t="s">
        <v>9988</v>
      </c>
    </row>
    <row r="9332" spans="1:2" x14ac:dyDescent="0.25">
      <c r="A9332" s="62">
        <v>42221801</v>
      </c>
      <c r="B9332" s="63" t="s">
        <v>9989</v>
      </c>
    </row>
    <row r="9333" spans="1:2" x14ac:dyDescent="0.25">
      <c r="A9333" s="62">
        <v>42221802</v>
      </c>
      <c r="B9333" s="63" t="s">
        <v>9990</v>
      </c>
    </row>
    <row r="9334" spans="1:2" x14ac:dyDescent="0.25">
      <c r="A9334" s="62">
        <v>42221803</v>
      </c>
      <c r="B9334" s="63" t="s">
        <v>9991</v>
      </c>
    </row>
    <row r="9335" spans="1:2" x14ac:dyDescent="0.25">
      <c r="A9335" s="62">
        <v>42221901</v>
      </c>
      <c r="B9335" s="63" t="s">
        <v>9992</v>
      </c>
    </row>
    <row r="9336" spans="1:2" x14ac:dyDescent="0.25">
      <c r="A9336" s="62">
        <v>42221902</v>
      </c>
      <c r="B9336" s="63" t="s">
        <v>9993</v>
      </c>
    </row>
    <row r="9337" spans="1:2" x14ac:dyDescent="0.25">
      <c r="A9337" s="62">
        <v>42221903</v>
      </c>
      <c r="B9337" s="63" t="s">
        <v>9994</v>
      </c>
    </row>
    <row r="9338" spans="1:2" x14ac:dyDescent="0.25">
      <c r="A9338" s="62">
        <v>42222001</v>
      </c>
      <c r="B9338" s="63" t="s">
        <v>9995</v>
      </c>
    </row>
    <row r="9339" spans="1:2" x14ac:dyDescent="0.25">
      <c r="A9339" s="62">
        <v>42222002</v>
      </c>
      <c r="B9339" s="63" t="s">
        <v>9996</v>
      </c>
    </row>
    <row r="9340" spans="1:2" x14ac:dyDescent="0.25">
      <c r="A9340" s="62">
        <v>42222003</v>
      </c>
      <c r="B9340" s="63" t="s">
        <v>9997</v>
      </c>
    </row>
    <row r="9341" spans="1:2" x14ac:dyDescent="0.25">
      <c r="A9341" s="62">
        <v>42222004</v>
      </c>
      <c r="B9341" s="63" t="s">
        <v>9998</v>
      </c>
    </row>
    <row r="9342" spans="1:2" x14ac:dyDescent="0.25">
      <c r="A9342" s="62">
        <v>42222005</v>
      </c>
      <c r="B9342" s="63" t="s">
        <v>9999</v>
      </c>
    </row>
    <row r="9343" spans="1:2" x14ac:dyDescent="0.25">
      <c r="A9343" s="62">
        <v>42222006</v>
      </c>
      <c r="B9343" s="63" t="s">
        <v>10000</v>
      </c>
    </row>
    <row r="9344" spans="1:2" x14ac:dyDescent="0.25">
      <c r="A9344" s="62">
        <v>42222007</v>
      </c>
      <c r="B9344" s="63" t="s">
        <v>10001</v>
      </c>
    </row>
    <row r="9345" spans="1:2" x14ac:dyDescent="0.25">
      <c r="A9345" s="62">
        <v>42222008</v>
      </c>
      <c r="B9345" s="63" t="s">
        <v>10002</v>
      </c>
    </row>
    <row r="9346" spans="1:2" x14ac:dyDescent="0.25">
      <c r="A9346" s="62">
        <v>42222101</v>
      </c>
      <c r="B9346" s="63" t="s">
        <v>10003</v>
      </c>
    </row>
    <row r="9347" spans="1:2" x14ac:dyDescent="0.25">
      <c r="A9347" s="62">
        <v>42222102</v>
      </c>
      <c r="B9347" s="63" t="s">
        <v>10004</v>
      </c>
    </row>
    <row r="9348" spans="1:2" x14ac:dyDescent="0.25">
      <c r="A9348" s="62">
        <v>42222103</v>
      </c>
      <c r="B9348" s="63" t="s">
        <v>10005</v>
      </c>
    </row>
    <row r="9349" spans="1:2" x14ac:dyDescent="0.25">
      <c r="A9349" s="62">
        <v>42222104</v>
      </c>
      <c r="B9349" s="63" t="s">
        <v>10006</v>
      </c>
    </row>
    <row r="9350" spans="1:2" x14ac:dyDescent="0.25">
      <c r="A9350" s="62">
        <v>42222201</v>
      </c>
      <c r="B9350" s="63" t="s">
        <v>10007</v>
      </c>
    </row>
    <row r="9351" spans="1:2" x14ac:dyDescent="0.25">
      <c r="A9351" s="62">
        <v>42222202</v>
      </c>
      <c r="B9351" s="63" t="s">
        <v>10008</v>
      </c>
    </row>
    <row r="9352" spans="1:2" x14ac:dyDescent="0.25">
      <c r="A9352" s="62">
        <v>42222301</v>
      </c>
      <c r="B9352" s="63" t="s">
        <v>10009</v>
      </c>
    </row>
    <row r="9353" spans="1:2" x14ac:dyDescent="0.25">
      <c r="A9353" s="62">
        <v>42222302</v>
      </c>
      <c r="B9353" s="63" t="s">
        <v>10010</v>
      </c>
    </row>
    <row r="9354" spans="1:2" x14ac:dyDescent="0.25">
      <c r="A9354" s="62">
        <v>42222303</v>
      </c>
      <c r="B9354" s="63" t="s">
        <v>10011</v>
      </c>
    </row>
    <row r="9355" spans="1:2" x14ac:dyDescent="0.25">
      <c r="A9355" s="62">
        <v>42222304</v>
      </c>
      <c r="B9355" s="63" t="s">
        <v>10012</v>
      </c>
    </row>
    <row r="9356" spans="1:2" x14ac:dyDescent="0.25">
      <c r="A9356" s="62">
        <v>42222305</v>
      </c>
      <c r="B9356" s="63" t="s">
        <v>10013</v>
      </c>
    </row>
    <row r="9357" spans="1:2" x14ac:dyDescent="0.25">
      <c r="A9357" s="62">
        <v>42222306</v>
      </c>
      <c r="B9357" s="63" t="s">
        <v>10014</v>
      </c>
    </row>
    <row r="9358" spans="1:2" x14ac:dyDescent="0.25">
      <c r="A9358" s="62">
        <v>42222307</v>
      </c>
      <c r="B9358" s="63" t="s">
        <v>10015</v>
      </c>
    </row>
    <row r="9359" spans="1:2" x14ac:dyDescent="0.25">
      <c r="A9359" s="62">
        <v>42222308</v>
      </c>
      <c r="B9359" s="63" t="s">
        <v>10016</v>
      </c>
    </row>
    <row r="9360" spans="1:2" x14ac:dyDescent="0.25">
      <c r="A9360" s="62">
        <v>42222309</v>
      </c>
      <c r="B9360" s="63" t="s">
        <v>10017</v>
      </c>
    </row>
    <row r="9361" spans="1:2" x14ac:dyDescent="0.25">
      <c r="A9361" s="62">
        <v>42231501</v>
      </c>
      <c r="B9361" s="63" t="s">
        <v>10018</v>
      </c>
    </row>
    <row r="9362" spans="1:2" x14ac:dyDescent="0.25">
      <c r="A9362" s="62">
        <v>42231502</v>
      </c>
      <c r="B9362" s="63" t="s">
        <v>10019</v>
      </c>
    </row>
    <row r="9363" spans="1:2" x14ac:dyDescent="0.25">
      <c r="A9363" s="62">
        <v>42231503</v>
      </c>
      <c r="B9363" s="63" t="s">
        <v>10020</v>
      </c>
    </row>
    <row r="9364" spans="1:2" x14ac:dyDescent="0.25">
      <c r="A9364" s="62">
        <v>42231504</v>
      </c>
      <c r="B9364" s="63" t="s">
        <v>10021</v>
      </c>
    </row>
    <row r="9365" spans="1:2" x14ac:dyDescent="0.25">
      <c r="A9365" s="62">
        <v>42231505</v>
      </c>
      <c r="B9365" s="63" t="s">
        <v>10022</v>
      </c>
    </row>
    <row r="9366" spans="1:2" x14ac:dyDescent="0.25">
      <c r="A9366" s="62">
        <v>42231506</v>
      </c>
      <c r="B9366" s="63" t="s">
        <v>10023</v>
      </c>
    </row>
    <row r="9367" spans="1:2" x14ac:dyDescent="0.25">
      <c r="A9367" s="62">
        <v>42231507</v>
      </c>
      <c r="B9367" s="63" t="s">
        <v>10024</v>
      </c>
    </row>
    <row r="9368" spans="1:2" x14ac:dyDescent="0.25">
      <c r="A9368" s="62">
        <v>42231508</v>
      </c>
      <c r="B9368" s="63" t="s">
        <v>10025</v>
      </c>
    </row>
    <row r="9369" spans="1:2" x14ac:dyDescent="0.25">
      <c r="A9369" s="62">
        <v>42231509</v>
      </c>
      <c r="B9369" s="63" t="s">
        <v>10026</v>
      </c>
    </row>
    <row r="9370" spans="1:2" x14ac:dyDescent="0.25">
      <c r="A9370" s="62">
        <v>42231510</v>
      </c>
      <c r="B9370" s="63" t="s">
        <v>10027</v>
      </c>
    </row>
    <row r="9371" spans="1:2" x14ac:dyDescent="0.25">
      <c r="A9371" s="62">
        <v>42231601</v>
      </c>
      <c r="B9371" s="63" t="s">
        <v>10028</v>
      </c>
    </row>
    <row r="9372" spans="1:2" x14ac:dyDescent="0.25">
      <c r="A9372" s="62">
        <v>42231602</v>
      </c>
      <c r="B9372" s="63" t="s">
        <v>10029</v>
      </c>
    </row>
    <row r="9373" spans="1:2" x14ac:dyDescent="0.25">
      <c r="A9373" s="62">
        <v>42231603</v>
      </c>
      <c r="B9373" s="63" t="s">
        <v>10030</v>
      </c>
    </row>
    <row r="9374" spans="1:2" x14ac:dyDescent="0.25">
      <c r="A9374" s="62">
        <v>42231604</v>
      </c>
      <c r="B9374" s="63" t="s">
        <v>10031</v>
      </c>
    </row>
    <row r="9375" spans="1:2" x14ac:dyDescent="0.25">
      <c r="A9375" s="62">
        <v>42231605</v>
      </c>
      <c r="B9375" s="63" t="s">
        <v>10032</v>
      </c>
    </row>
    <row r="9376" spans="1:2" x14ac:dyDescent="0.25">
      <c r="A9376" s="62">
        <v>42231606</v>
      </c>
      <c r="B9376" s="63" t="s">
        <v>10033</v>
      </c>
    </row>
    <row r="9377" spans="1:2" x14ac:dyDescent="0.25">
      <c r="A9377" s="62">
        <v>42231608</v>
      </c>
      <c r="B9377" s="63" t="s">
        <v>10034</v>
      </c>
    </row>
    <row r="9378" spans="1:2" x14ac:dyDescent="0.25">
      <c r="A9378" s="62">
        <v>42231609</v>
      </c>
      <c r="B9378" s="63" t="s">
        <v>10035</v>
      </c>
    </row>
    <row r="9379" spans="1:2" x14ac:dyDescent="0.25">
      <c r="A9379" s="62">
        <v>42231701</v>
      </c>
      <c r="B9379" s="63" t="s">
        <v>10036</v>
      </c>
    </row>
    <row r="9380" spans="1:2" x14ac:dyDescent="0.25">
      <c r="A9380" s="62">
        <v>42231702</v>
      </c>
      <c r="B9380" s="63" t="s">
        <v>10037</v>
      </c>
    </row>
    <row r="9381" spans="1:2" x14ac:dyDescent="0.25">
      <c r="A9381" s="62">
        <v>42231703</v>
      </c>
      <c r="B9381" s="63" t="s">
        <v>10038</v>
      </c>
    </row>
    <row r="9382" spans="1:2" x14ac:dyDescent="0.25">
      <c r="A9382" s="62">
        <v>42231704</v>
      </c>
      <c r="B9382" s="63" t="s">
        <v>10039</v>
      </c>
    </row>
    <row r="9383" spans="1:2" x14ac:dyDescent="0.25">
      <c r="A9383" s="62">
        <v>42231705</v>
      </c>
      <c r="B9383" s="63" t="s">
        <v>10040</v>
      </c>
    </row>
    <row r="9384" spans="1:2" x14ac:dyDescent="0.25">
      <c r="A9384" s="62">
        <v>42231801</v>
      </c>
      <c r="B9384" s="63" t="s">
        <v>10041</v>
      </c>
    </row>
    <row r="9385" spans="1:2" x14ac:dyDescent="0.25">
      <c r="A9385" s="62">
        <v>42231802</v>
      </c>
      <c r="B9385" s="63" t="s">
        <v>10042</v>
      </c>
    </row>
    <row r="9386" spans="1:2" x14ac:dyDescent="0.25">
      <c r="A9386" s="62">
        <v>42231803</v>
      </c>
      <c r="B9386" s="63" t="s">
        <v>10043</v>
      </c>
    </row>
    <row r="9387" spans="1:2" x14ac:dyDescent="0.25">
      <c r="A9387" s="62">
        <v>42231804</v>
      </c>
      <c r="B9387" s="63" t="s">
        <v>10044</v>
      </c>
    </row>
    <row r="9388" spans="1:2" x14ac:dyDescent="0.25">
      <c r="A9388" s="62">
        <v>42231805</v>
      </c>
      <c r="B9388" s="63" t="s">
        <v>10045</v>
      </c>
    </row>
    <row r="9389" spans="1:2" x14ac:dyDescent="0.25">
      <c r="A9389" s="62">
        <v>42231806</v>
      </c>
      <c r="B9389" s="63" t="s">
        <v>10046</v>
      </c>
    </row>
    <row r="9390" spans="1:2" x14ac:dyDescent="0.25">
      <c r="A9390" s="62">
        <v>42231807</v>
      </c>
      <c r="B9390" s="63" t="s">
        <v>10047</v>
      </c>
    </row>
    <row r="9391" spans="1:2" x14ac:dyDescent="0.25">
      <c r="A9391" s="62">
        <v>42231901</v>
      </c>
      <c r="B9391" s="63" t="s">
        <v>10048</v>
      </c>
    </row>
    <row r="9392" spans="1:2" x14ac:dyDescent="0.25">
      <c r="A9392" s="62">
        <v>42231902</v>
      </c>
      <c r="B9392" s="63" t="s">
        <v>10049</v>
      </c>
    </row>
    <row r="9393" spans="1:2" x14ac:dyDescent="0.25">
      <c r="A9393" s="62">
        <v>42231903</v>
      </c>
      <c r="B9393" s="63" t="s">
        <v>10050</v>
      </c>
    </row>
    <row r="9394" spans="1:2" x14ac:dyDescent="0.25">
      <c r="A9394" s="62">
        <v>42232001</v>
      </c>
      <c r="B9394" s="63" t="s">
        <v>10051</v>
      </c>
    </row>
    <row r="9395" spans="1:2" x14ac:dyDescent="0.25">
      <c r="A9395" s="62">
        <v>42232002</v>
      </c>
      <c r="B9395" s="63" t="s">
        <v>10052</v>
      </c>
    </row>
    <row r="9396" spans="1:2" x14ac:dyDescent="0.25">
      <c r="A9396" s="62">
        <v>42232003</v>
      </c>
      <c r="B9396" s="63" t="s">
        <v>10053</v>
      </c>
    </row>
    <row r="9397" spans="1:2" x14ac:dyDescent="0.25">
      <c r="A9397" s="62">
        <v>42241501</v>
      </c>
      <c r="B9397" s="63" t="s">
        <v>10054</v>
      </c>
    </row>
    <row r="9398" spans="1:2" x14ac:dyDescent="0.25">
      <c r="A9398" s="62">
        <v>42241502</v>
      </c>
      <c r="B9398" s="63" t="s">
        <v>10055</v>
      </c>
    </row>
    <row r="9399" spans="1:2" x14ac:dyDescent="0.25">
      <c r="A9399" s="62">
        <v>42241503</v>
      </c>
      <c r="B9399" s="63" t="s">
        <v>10056</v>
      </c>
    </row>
    <row r="9400" spans="1:2" x14ac:dyDescent="0.25">
      <c r="A9400" s="62">
        <v>42241504</v>
      </c>
      <c r="B9400" s="63" t="s">
        <v>10057</v>
      </c>
    </row>
    <row r="9401" spans="1:2" x14ac:dyDescent="0.25">
      <c r="A9401" s="62">
        <v>42241505</v>
      </c>
      <c r="B9401" s="63" t="s">
        <v>10058</v>
      </c>
    </row>
    <row r="9402" spans="1:2" x14ac:dyDescent="0.25">
      <c r="A9402" s="62">
        <v>42241506</v>
      </c>
      <c r="B9402" s="63" t="s">
        <v>10059</v>
      </c>
    </row>
    <row r="9403" spans="1:2" x14ac:dyDescent="0.25">
      <c r="A9403" s="62">
        <v>42241507</v>
      </c>
      <c r="B9403" s="63" t="s">
        <v>10060</v>
      </c>
    </row>
    <row r="9404" spans="1:2" x14ac:dyDescent="0.25">
      <c r="A9404" s="62">
        <v>42241509</v>
      </c>
      <c r="B9404" s="63" t="s">
        <v>10061</v>
      </c>
    </row>
    <row r="9405" spans="1:2" x14ac:dyDescent="0.25">
      <c r="A9405" s="62">
        <v>42241510</v>
      </c>
      <c r="B9405" s="63" t="s">
        <v>10062</v>
      </c>
    </row>
    <row r="9406" spans="1:2" x14ac:dyDescent="0.25">
      <c r="A9406" s="62">
        <v>42241511</v>
      </c>
      <c r="B9406" s="63" t="s">
        <v>10063</v>
      </c>
    </row>
    <row r="9407" spans="1:2" x14ac:dyDescent="0.25">
      <c r="A9407" s="62">
        <v>42241512</v>
      </c>
      <c r="B9407" s="63" t="s">
        <v>10064</v>
      </c>
    </row>
    <row r="9408" spans="1:2" x14ac:dyDescent="0.25">
      <c r="A9408" s="62">
        <v>42241513</v>
      </c>
      <c r="B9408" s="63" t="s">
        <v>10065</v>
      </c>
    </row>
    <row r="9409" spans="1:2" x14ac:dyDescent="0.25">
      <c r="A9409" s="62">
        <v>42241514</v>
      </c>
      <c r="B9409" s="63" t="s">
        <v>10066</v>
      </c>
    </row>
    <row r="9410" spans="1:2" x14ac:dyDescent="0.25">
      <c r="A9410" s="62">
        <v>42241515</v>
      </c>
      <c r="B9410" s="63" t="s">
        <v>10067</v>
      </c>
    </row>
    <row r="9411" spans="1:2" x14ac:dyDescent="0.25">
      <c r="A9411" s="62">
        <v>42241601</v>
      </c>
      <c r="B9411" s="63" t="s">
        <v>10068</v>
      </c>
    </row>
    <row r="9412" spans="1:2" x14ac:dyDescent="0.25">
      <c r="A9412" s="62">
        <v>42241602</v>
      </c>
      <c r="B9412" s="63" t="s">
        <v>10069</v>
      </c>
    </row>
    <row r="9413" spans="1:2" x14ac:dyDescent="0.25">
      <c r="A9413" s="62">
        <v>42241603</v>
      </c>
      <c r="B9413" s="63" t="s">
        <v>10070</v>
      </c>
    </row>
    <row r="9414" spans="1:2" x14ac:dyDescent="0.25">
      <c r="A9414" s="62">
        <v>42241604</v>
      </c>
      <c r="B9414" s="63" t="s">
        <v>10071</v>
      </c>
    </row>
    <row r="9415" spans="1:2" x14ac:dyDescent="0.25">
      <c r="A9415" s="62">
        <v>42241606</v>
      </c>
      <c r="B9415" s="63" t="s">
        <v>10072</v>
      </c>
    </row>
    <row r="9416" spans="1:2" x14ac:dyDescent="0.25">
      <c r="A9416" s="62">
        <v>42241607</v>
      </c>
      <c r="B9416" s="63" t="s">
        <v>10073</v>
      </c>
    </row>
    <row r="9417" spans="1:2" x14ac:dyDescent="0.25">
      <c r="A9417" s="62">
        <v>42241701</v>
      </c>
      <c r="B9417" s="63" t="s">
        <v>10074</v>
      </c>
    </row>
    <row r="9418" spans="1:2" x14ac:dyDescent="0.25">
      <c r="A9418" s="62">
        <v>42241702</v>
      </c>
      <c r="B9418" s="63" t="s">
        <v>10075</v>
      </c>
    </row>
    <row r="9419" spans="1:2" x14ac:dyDescent="0.25">
      <c r="A9419" s="62">
        <v>42241703</v>
      </c>
      <c r="B9419" s="63" t="s">
        <v>10076</v>
      </c>
    </row>
    <row r="9420" spans="1:2" x14ac:dyDescent="0.25">
      <c r="A9420" s="62">
        <v>42241704</v>
      </c>
      <c r="B9420" s="63" t="s">
        <v>10077</v>
      </c>
    </row>
    <row r="9421" spans="1:2" x14ac:dyDescent="0.25">
      <c r="A9421" s="62">
        <v>42241705</v>
      </c>
      <c r="B9421" s="63" t="s">
        <v>10078</v>
      </c>
    </row>
    <row r="9422" spans="1:2" x14ac:dyDescent="0.25">
      <c r="A9422" s="62">
        <v>42241706</v>
      </c>
      <c r="B9422" s="63" t="s">
        <v>10079</v>
      </c>
    </row>
    <row r="9423" spans="1:2" x14ac:dyDescent="0.25">
      <c r="A9423" s="62">
        <v>42241707</v>
      </c>
      <c r="B9423" s="63" t="s">
        <v>10080</v>
      </c>
    </row>
    <row r="9424" spans="1:2" x14ac:dyDescent="0.25">
      <c r="A9424" s="62">
        <v>42241708</v>
      </c>
      <c r="B9424" s="63" t="s">
        <v>10081</v>
      </c>
    </row>
    <row r="9425" spans="1:2" x14ac:dyDescent="0.25">
      <c r="A9425" s="62">
        <v>42241801</v>
      </c>
      <c r="B9425" s="63" t="s">
        <v>10082</v>
      </c>
    </row>
    <row r="9426" spans="1:2" x14ac:dyDescent="0.25">
      <c r="A9426" s="62">
        <v>42241802</v>
      </c>
      <c r="B9426" s="63" t="s">
        <v>10083</v>
      </c>
    </row>
    <row r="9427" spans="1:2" x14ac:dyDescent="0.25">
      <c r="A9427" s="62">
        <v>42241803</v>
      </c>
      <c r="B9427" s="63" t="s">
        <v>10084</v>
      </c>
    </row>
    <row r="9428" spans="1:2" x14ac:dyDescent="0.25">
      <c r="A9428" s="62">
        <v>42241804</v>
      </c>
      <c r="B9428" s="63" t="s">
        <v>10085</v>
      </c>
    </row>
    <row r="9429" spans="1:2" x14ac:dyDescent="0.25">
      <c r="A9429" s="62">
        <v>42241805</v>
      </c>
      <c r="B9429" s="63" t="s">
        <v>10086</v>
      </c>
    </row>
    <row r="9430" spans="1:2" x14ac:dyDescent="0.25">
      <c r="A9430" s="62">
        <v>42241806</v>
      </c>
      <c r="B9430" s="63" t="s">
        <v>10087</v>
      </c>
    </row>
    <row r="9431" spans="1:2" x14ac:dyDescent="0.25">
      <c r="A9431" s="62">
        <v>42241807</v>
      </c>
      <c r="B9431" s="63" t="s">
        <v>10088</v>
      </c>
    </row>
    <row r="9432" spans="1:2" x14ac:dyDescent="0.25">
      <c r="A9432" s="62">
        <v>42241808</v>
      </c>
      <c r="B9432" s="63" t="s">
        <v>10089</v>
      </c>
    </row>
    <row r="9433" spans="1:2" x14ac:dyDescent="0.25">
      <c r="A9433" s="62">
        <v>42241809</v>
      </c>
      <c r="B9433" s="63" t="s">
        <v>10090</v>
      </c>
    </row>
    <row r="9434" spans="1:2" x14ac:dyDescent="0.25">
      <c r="A9434" s="62">
        <v>42241810</v>
      </c>
      <c r="B9434" s="63" t="s">
        <v>10091</v>
      </c>
    </row>
    <row r="9435" spans="1:2" x14ac:dyDescent="0.25">
      <c r="A9435" s="62">
        <v>42241811</v>
      </c>
      <c r="B9435" s="63" t="s">
        <v>10092</v>
      </c>
    </row>
    <row r="9436" spans="1:2" x14ac:dyDescent="0.25">
      <c r="A9436" s="62">
        <v>42241901</v>
      </c>
      <c r="B9436" s="63" t="s">
        <v>10093</v>
      </c>
    </row>
    <row r="9437" spans="1:2" x14ac:dyDescent="0.25">
      <c r="A9437" s="62">
        <v>42241902</v>
      </c>
      <c r="B9437" s="63" t="s">
        <v>10094</v>
      </c>
    </row>
    <row r="9438" spans="1:2" x14ac:dyDescent="0.25">
      <c r="A9438" s="62">
        <v>42242001</v>
      </c>
      <c r="B9438" s="63" t="s">
        <v>10095</v>
      </c>
    </row>
    <row r="9439" spans="1:2" x14ac:dyDescent="0.25">
      <c r="A9439" s="62">
        <v>42242002</v>
      </c>
      <c r="B9439" s="63" t="s">
        <v>10096</v>
      </c>
    </row>
    <row r="9440" spans="1:2" x14ac:dyDescent="0.25">
      <c r="A9440" s="62">
        <v>42242003</v>
      </c>
      <c r="B9440" s="63" t="s">
        <v>10097</v>
      </c>
    </row>
    <row r="9441" spans="1:2" x14ac:dyDescent="0.25">
      <c r="A9441" s="62">
        <v>42242004</v>
      </c>
      <c r="B9441" s="63" t="s">
        <v>10098</v>
      </c>
    </row>
    <row r="9442" spans="1:2" x14ac:dyDescent="0.25">
      <c r="A9442" s="62">
        <v>42242101</v>
      </c>
      <c r="B9442" s="63" t="s">
        <v>10099</v>
      </c>
    </row>
    <row r="9443" spans="1:2" x14ac:dyDescent="0.25">
      <c r="A9443" s="62">
        <v>42242102</v>
      </c>
      <c r="B9443" s="63" t="s">
        <v>10100</v>
      </c>
    </row>
    <row r="9444" spans="1:2" x14ac:dyDescent="0.25">
      <c r="A9444" s="62">
        <v>42242103</v>
      </c>
      <c r="B9444" s="63" t="s">
        <v>10101</v>
      </c>
    </row>
    <row r="9445" spans="1:2" x14ac:dyDescent="0.25">
      <c r="A9445" s="62">
        <v>42242104</v>
      </c>
      <c r="B9445" s="63" t="s">
        <v>10102</v>
      </c>
    </row>
    <row r="9446" spans="1:2" x14ac:dyDescent="0.25">
      <c r="A9446" s="62">
        <v>42242105</v>
      </c>
      <c r="B9446" s="63" t="s">
        <v>10103</v>
      </c>
    </row>
    <row r="9447" spans="1:2" x14ac:dyDescent="0.25">
      <c r="A9447" s="62">
        <v>42242106</v>
      </c>
      <c r="B9447" s="63" t="s">
        <v>10104</v>
      </c>
    </row>
    <row r="9448" spans="1:2" x14ac:dyDescent="0.25">
      <c r="A9448" s="62">
        <v>42242107</v>
      </c>
      <c r="B9448" s="63" t="s">
        <v>10105</v>
      </c>
    </row>
    <row r="9449" spans="1:2" x14ac:dyDescent="0.25">
      <c r="A9449" s="62">
        <v>42242108</v>
      </c>
      <c r="B9449" s="63" t="s">
        <v>10106</v>
      </c>
    </row>
    <row r="9450" spans="1:2" x14ac:dyDescent="0.25">
      <c r="A9450" s="62">
        <v>42242109</v>
      </c>
      <c r="B9450" s="63" t="s">
        <v>10107</v>
      </c>
    </row>
    <row r="9451" spans="1:2" x14ac:dyDescent="0.25">
      <c r="A9451" s="62">
        <v>42242301</v>
      </c>
      <c r="B9451" s="63" t="s">
        <v>10108</v>
      </c>
    </row>
    <row r="9452" spans="1:2" x14ac:dyDescent="0.25">
      <c r="A9452" s="62">
        <v>42242302</v>
      </c>
      <c r="B9452" s="63" t="s">
        <v>10109</v>
      </c>
    </row>
    <row r="9453" spans="1:2" x14ac:dyDescent="0.25">
      <c r="A9453" s="62">
        <v>42251501</v>
      </c>
      <c r="B9453" s="63" t="s">
        <v>10110</v>
      </c>
    </row>
    <row r="9454" spans="1:2" x14ac:dyDescent="0.25">
      <c r="A9454" s="62">
        <v>42251502</v>
      </c>
      <c r="B9454" s="63" t="s">
        <v>10111</v>
      </c>
    </row>
    <row r="9455" spans="1:2" x14ac:dyDescent="0.25">
      <c r="A9455" s="62">
        <v>42251503</v>
      </c>
      <c r="B9455" s="63" t="s">
        <v>10112</v>
      </c>
    </row>
    <row r="9456" spans="1:2" x14ac:dyDescent="0.25">
      <c r="A9456" s="62">
        <v>42251504</v>
      </c>
      <c r="B9456" s="63" t="s">
        <v>10113</v>
      </c>
    </row>
    <row r="9457" spans="1:2" x14ac:dyDescent="0.25">
      <c r="A9457" s="62">
        <v>42251505</v>
      </c>
      <c r="B9457" s="63" t="s">
        <v>10114</v>
      </c>
    </row>
    <row r="9458" spans="1:2" x14ac:dyDescent="0.25">
      <c r="A9458" s="62">
        <v>42251506</v>
      </c>
      <c r="B9458" s="63" t="s">
        <v>10115</v>
      </c>
    </row>
    <row r="9459" spans="1:2" x14ac:dyDescent="0.25">
      <c r="A9459" s="62">
        <v>42251601</v>
      </c>
      <c r="B9459" s="63" t="s">
        <v>10116</v>
      </c>
    </row>
    <row r="9460" spans="1:2" x14ac:dyDescent="0.25">
      <c r="A9460" s="62">
        <v>42251602</v>
      </c>
      <c r="B9460" s="63" t="s">
        <v>10117</v>
      </c>
    </row>
    <row r="9461" spans="1:2" x14ac:dyDescent="0.25">
      <c r="A9461" s="62">
        <v>42251603</v>
      </c>
      <c r="B9461" s="63" t="s">
        <v>10118</v>
      </c>
    </row>
    <row r="9462" spans="1:2" x14ac:dyDescent="0.25">
      <c r="A9462" s="62">
        <v>42251604</v>
      </c>
      <c r="B9462" s="63" t="s">
        <v>10119</v>
      </c>
    </row>
    <row r="9463" spans="1:2" x14ac:dyDescent="0.25">
      <c r="A9463" s="62">
        <v>42251605</v>
      </c>
      <c r="B9463" s="63" t="s">
        <v>10120</v>
      </c>
    </row>
    <row r="9464" spans="1:2" x14ac:dyDescent="0.25">
      <c r="A9464" s="62">
        <v>42251606</v>
      </c>
      <c r="B9464" s="63" t="s">
        <v>10121</v>
      </c>
    </row>
    <row r="9465" spans="1:2" x14ac:dyDescent="0.25">
      <c r="A9465" s="62">
        <v>42251607</v>
      </c>
      <c r="B9465" s="63" t="s">
        <v>10122</v>
      </c>
    </row>
    <row r="9466" spans="1:2" x14ac:dyDescent="0.25">
      <c r="A9466" s="62">
        <v>42251608</v>
      </c>
      <c r="B9466" s="63" t="s">
        <v>10123</v>
      </c>
    </row>
    <row r="9467" spans="1:2" x14ac:dyDescent="0.25">
      <c r="A9467" s="62">
        <v>42251609</v>
      </c>
      <c r="B9467" s="63" t="s">
        <v>10124</v>
      </c>
    </row>
    <row r="9468" spans="1:2" x14ac:dyDescent="0.25">
      <c r="A9468" s="62">
        <v>42251610</v>
      </c>
      <c r="B9468" s="63" t="s">
        <v>10125</v>
      </c>
    </row>
    <row r="9469" spans="1:2" x14ac:dyDescent="0.25">
      <c r="A9469" s="62">
        <v>42251611</v>
      </c>
      <c r="B9469" s="63" t="s">
        <v>10126</v>
      </c>
    </row>
    <row r="9470" spans="1:2" x14ac:dyDescent="0.25">
      <c r="A9470" s="62">
        <v>42251612</v>
      </c>
      <c r="B9470" s="63" t="s">
        <v>10127</v>
      </c>
    </row>
    <row r="9471" spans="1:2" x14ac:dyDescent="0.25">
      <c r="A9471" s="62">
        <v>42251613</v>
      </c>
      <c r="B9471" s="63" t="s">
        <v>10128</v>
      </c>
    </row>
    <row r="9472" spans="1:2" x14ac:dyDescent="0.25">
      <c r="A9472" s="62">
        <v>42251614</v>
      </c>
      <c r="B9472" s="63" t="s">
        <v>10129</v>
      </c>
    </row>
    <row r="9473" spans="1:2" x14ac:dyDescent="0.25">
      <c r="A9473" s="62">
        <v>42251615</v>
      </c>
      <c r="B9473" s="63" t="s">
        <v>10130</v>
      </c>
    </row>
    <row r="9474" spans="1:2" x14ac:dyDescent="0.25">
      <c r="A9474" s="62">
        <v>42251616</v>
      </c>
      <c r="B9474" s="63" t="s">
        <v>10131</v>
      </c>
    </row>
    <row r="9475" spans="1:2" x14ac:dyDescent="0.25">
      <c r="A9475" s="62">
        <v>42251617</v>
      </c>
      <c r="B9475" s="63" t="s">
        <v>10132</v>
      </c>
    </row>
    <row r="9476" spans="1:2" x14ac:dyDescent="0.25">
      <c r="A9476" s="62">
        <v>42251618</v>
      </c>
      <c r="B9476" s="63" t="s">
        <v>10133</v>
      </c>
    </row>
    <row r="9477" spans="1:2" x14ac:dyDescent="0.25">
      <c r="A9477" s="62">
        <v>42251619</v>
      </c>
      <c r="B9477" s="63" t="s">
        <v>10134</v>
      </c>
    </row>
    <row r="9478" spans="1:2" x14ac:dyDescent="0.25">
      <c r="A9478" s="62">
        <v>42251620</v>
      </c>
      <c r="B9478" s="63" t="s">
        <v>10135</v>
      </c>
    </row>
    <row r="9479" spans="1:2" x14ac:dyDescent="0.25">
      <c r="A9479" s="62">
        <v>42251621</v>
      </c>
      <c r="B9479" s="63" t="s">
        <v>10136</v>
      </c>
    </row>
    <row r="9480" spans="1:2" x14ac:dyDescent="0.25">
      <c r="A9480" s="62">
        <v>42251622</v>
      </c>
      <c r="B9480" s="63" t="s">
        <v>10137</v>
      </c>
    </row>
    <row r="9481" spans="1:2" x14ac:dyDescent="0.25">
      <c r="A9481" s="62">
        <v>42251623</v>
      </c>
      <c r="B9481" s="63" t="s">
        <v>10138</v>
      </c>
    </row>
    <row r="9482" spans="1:2" x14ac:dyDescent="0.25">
      <c r="A9482" s="62">
        <v>42251624</v>
      </c>
      <c r="B9482" s="63" t="s">
        <v>10139</v>
      </c>
    </row>
    <row r="9483" spans="1:2" x14ac:dyDescent="0.25">
      <c r="A9483" s="62">
        <v>42251701</v>
      </c>
      <c r="B9483" s="63" t="s">
        <v>10140</v>
      </c>
    </row>
    <row r="9484" spans="1:2" x14ac:dyDescent="0.25">
      <c r="A9484" s="62">
        <v>42251702</v>
      </c>
      <c r="B9484" s="63" t="s">
        <v>10141</v>
      </c>
    </row>
    <row r="9485" spans="1:2" x14ac:dyDescent="0.25">
      <c r="A9485" s="62">
        <v>42251703</v>
      </c>
      <c r="B9485" s="63" t="s">
        <v>10142</v>
      </c>
    </row>
    <row r="9486" spans="1:2" x14ac:dyDescent="0.25">
      <c r="A9486" s="62">
        <v>42251704</v>
      </c>
      <c r="B9486" s="63" t="s">
        <v>10143</v>
      </c>
    </row>
    <row r="9487" spans="1:2" x14ac:dyDescent="0.25">
      <c r="A9487" s="62">
        <v>42251705</v>
      </c>
      <c r="B9487" s="63" t="s">
        <v>10144</v>
      </c>
    </row>
    <row r="9488" spans="1:2" x14ac:dyDescent="0.25">
      <c r="A9488" s="62">
        <v>42251706</v>
      </c>
      <c r="B9488" s="63" t="s">
        <v>10145</v>
      </c>
    </row>
    <row r="9489" spans="1:2" x14ac:dyDescent="0.25">
      <c r="A9489" s="62">
        <v>42251801</v>
      </c>
      <c r="B9489" s="63" t="s">
        <v>10146</v>
      </c>
    </row>
    <row r="9490" spans="1:2" x14ac:dyDescent="0.25">
      <c r="A9490" s="62">
        <v>42251802</v>
      </c>
      <c r="B9490" s="63" t="s">
        <v>10147</v>
      </c>
    </row>
    <row r="9491" spans="1:2" x14ac:dyDescent="0.25">
      <c r="A9491" s="62">
        <v>42251803</v>
      </c>
      <c r="B9491" s="63" t="s">
        <v>10148</v>
      </c>
    </row>
    <row r="9492" spans="1:2" x14ac:dyDescent="0.25">
      <c r="A9492" s="62">
        <v>42251804</v>
      </c>
      <c r="B9492" s="63" t="s">
        <v>10149</v>
      </c>
    </row>
    <row r="9493" spans="1:2" x14ac:dyDescent="0.25">
      <c r="A9493" s="62">
        <v>42251805</v>
      </c>
      <c r="B9493" s="63" t="s">
        <v>10150</v>
      </c>
    </row>
    <row r="9494" spans="1:2" x14ac:dyDescent="0.25">
      <c r="A9494" s="62">
        <v>42261501</v>
      </c>
      <c r="B9494" s="63" t="s">
        <v>10151</v>
      </c>
    </row>
    <row r="9495" spans="1:2" x14ac:dyDescent="0.25">
      <c r="A9495" s="62">
        <v>42261502</v>
      </c>
      <c r="B9495" s="63" t="s">
        <v>10152</v>
      </c>
    </row>
    <row r="9496" spans="1:2" x14ac:dyDescent="0.25">
      <c r="A9496" s="62">
        <v>42261503</v>
      </c>
      <c r="B9496" s="63" t="s">
        <v>10153</v>
      </c>
    </row>
    <row r="9497" spans="1:2" x14ac:dyDescent="0.25">
      <c r="A9497" s="62">
        <v>42261504</v>
      </c>
      <c r="B9497" s="63" t="s">
        <v>10154</v>
      </c>
    </row>
    <row r="9498" spans="1:2" x14ac:dyDescent="0.25">
      <c r="A9498" s="62">
        <v>42261505</v>
      </c>
      <c r="B9498" s="63" t="s">
        <v>10155</v>
      </c>
    </row>
    <row r="9499" spans="1:2" x14ac:dyDescent="0.25">
      <c r="A9499" s="62">
        <v>42261506</v>
      </c>
      <c r="B9499" s="63" t="s">
        <v>10156</v>
      </c>
    </row>
    <row r="9500" spans="1:2" x14ac:dyDescent="0.25">
      <c r="A9500" s="62">
        <v>42261507</v>
      </c>
      <c r="B9500" s="63" t="s">
        <v>10157</v>
      </c>
    </row>
    <row r="9501" spans="1:2" x14ac:dyDescent="0.25">
      <c r="A9501" s="62">
        <v>42261508</v>
      </c>
      <c r="B9501" s="63" t="s">
        <v>10158</v>
      </c>
    </row>
    <row r="9502" spans="1:2" x14ac:dyDescent="0.25">
      <c r="A9502" s="62">
        <v>42261509</v>
      </c>
      <c r="B9502" s="63" t="s">
        <v>10159</v>
      </c>
    </row>
    <row r="9503" spans="1:2" x14ac:dyDescent="0.25">
      <c r="A9503" s="62">
        <v>42261510</v>
      </c>
      <c r="B9503" s="63" t="s">
        <v>10160</v>
      </c>
    </row>
    <row r="9504" spans="1:2" x14ac:dyDescent="0.25">
      <c r="A9504" s="62">
        <v>42261511</v>
      </c>
      <c r="B9504" s="63" t="s">
        <v>10161</v>
      </c>
    </row>
    <row r="9505" spans="1:2" x14ac:dyDescent="0.25">
      <c r="A9505" s="62">
        <v>42261512</v>
      </c>
      <c r="B9505" s="63" t="s">
        <v>10162</v>
      </c>
    </row>
    <row r="9506" spans="1:2" x14ac:dyDescent="0.25">
      <c r="A9506" s="62">
        <v>42261513</v>
      </c>
      <c r="B9506" s="63" t="s">
        <v>10163</v>
      </c>
    </row>
    <row r="9507" spans="1:2" x14ac:dyDescent="0.25">
      <c r="A9507" s="62">
        <v>42261514</v>
      </c>
      <c r="B9507" s="63" t="s">
        <v>10164</v>
      </c>
    </row>
    <row r="9508" spans="1:2" x14ac:dyDescent="0.25">
      <c r="A9508" s="62">
        <v>42261515</v>
      </c>
      <c r="B9508" s="63" t="s">
        <v>10165</v>
      </c>
    </row>
    <row r="9509" spans="1:2" x14ac:dyDescent="0.25">
      <c r="A9509" s="62">
        <v>42261516</v>
      </c>
      <c r="B9509" s="63" t="s">
        <v>10166</v>
      </c>
    </row>
    <row r="9510" spans="1:2" x14ac:dyDescent="0.25">
      <c r="A9510" s="62">
        <v>42261601</v>
      </c>
      <c r="B9510" s="63" t="s">
        <v>10167</v>
      </c>
    </row>
    <row r="9511" spans="1:2" x14ac:dyDescent="0.25">
      <c r="A9511" s="62">
        <v>42261602</v>
      </c>
      <c r="B9511" s="63" t="s">
        <v>10168</v>
      </c>
    </row>
    <row r="9512" spans="1:2" x14ac:dyDescent="0.25">
      <c r="A9512" s="62">
        <v>42261603</v>
      </c>
      <c r="B9512" s="63" t="s">
        <v>10169</v>
      </c>
    </row>
    <row r="9513" spans="1:2" x14ac:dyDescent="0.25">
      <c r="A9513" s="62">
        <v>42261604</v>
      </c>
      <c r="B9513" s="63" t="s">
        <v>10170</v>
      </c>
    </row>
    <row r="9514" spans="1:2" x14ac:dyDescent="0.25">
      <c r="A9514" s="62">
        <v>42261605</v>
      </c>
      <c r="B9514" s="63" t="s">
        <v>10171</v>
      </c>
    </row>
    <row r="9515" spans="1:2" x14ac:dyDescent="0.25">
      <c r="A9515" s="62">
        <v>42261606</v>
      </c>
      <c r="B9515" s="63" t="s">
        <v>10172</v>
      </c>
    </row>
    <row r="9516" spans="1:2" x14ac:dyDescent="0.25">
      <c r="A9516" s="62">
        <v>42261607</v>
      </c>
      <c r="B9516" s="63" t="s">
        <v>10173</v>
      </c>
    </row>
    <row r="9517" spans="1:2" x14ac:dyDescent="0.25">
      <c r="A9517" s="62">
        <v>42261608</v>
      </c>
      <c r="B9517" s="63" t="s">
        <v>10174</v>
      </c>
    </row>
    <row r="9518" spans="1:2" x14ac:dyDescent="0.25">
      <c r="A9518" s="62">
        <v>42261609</v>
      </c>
      <c r="B9518" s="63" t="s">
        <v>10175</v>
      </c>
    </row>
    <row r="9519" spans="1:2" x14ac:dyDescent="0.25">
      <c r="A9519" s="62">
        <v>42261610</v>
      </c>
      <c r="B9519" s="63" t="s">
        <v>10176</v>
      </c>
    </row>
    <row r="9520" spans="1:2" x14ac:dyDescent="0.25">
      <c r="A9520" s="62">
        <v>42261611</v>
      </c>
      <c r="B9520" s="63" t="s">
        <v>10177</v>
      </c>
    </row>
    <row r="9521" spans="1:2" x14ac:dyDescent="0.25">
      <c r="A9521" s="62">
        <v>42261612</v>
      </c>
      <c r="B9521" s="63" t="s">
        <v>10178</v>
      </c>
    </row>
    <row r="9522" spans="1:2" x14ac:dyDescent="0.25">
      <c r="A9522" s="62">
        <v>42261613</v>
      </c>
      <c r="B9522" s="63" t="s">
        <v>10179</v>
      </c>
    </row>
    <row r="9523" spans="1:2" x14ac:dyDescent="0.25">
      <c r="A9523" s="62">
        <v>42261701</v>
      </c>
      <c r="B9523" s="63" t="s">
        <v>10180</v>
      </c>
    </row>
    <row r="9524" spans="1:2" x14ac:dyDescent="0.25">
      <c r="A9524" s="62">
        <v>42261702</v>
      </c>
      <c r="B9524" s="63" t="s">
        <v>10181</v>
      </c>
    </row>
    <row r="9525" spans="1:2" x14ac:dyDescent="0.25">
      <c r="A9525" s="62">
        <v>42261703</v>
      </c>
      <c r="B9525" s="63" t="s">
        <v>10182</v>
      </c>
    </row>
    <row r="9526" spans="1:2" x14ac:dyDescent="0.25">
      <c r="A9526" s="62">
        <v>42261704</v>
      </c>
      <c r="B9526" s="63" t="s">
        <v>10183</v>
      </c>
    </row>
    <row r="9527" spans="1:2" x14ac:dyDescent="0.25">
      <c r="A9527" s="62">
        <v>42261705</v>
      </c>
      <c r="B9527" s="63" t="s">
        <v>10184</v>
      </c>
    </row>
    <row r="9528" spans="1:2" x14ac:dyDescent="0.25">
      <c r="A9528" s="62">
        <v>42261706</v>
      </c>
      <c r="B9528" s="63" t="s">
        <v>10185</v>
      </c>
    </row>
    <row r="9529" spans="1:2" x14ac:dyDescent="0.25">
      <c r="A9529" s="62">
        <v>42261707</v>
      </c>
      <c r="B9529" s="63" t="s">
        <v>10186</v>
      </c>
    </row>
    <row r="9530" spans="1:2" x14ac:dyDescent="0.25">
      <c r="A9530" s="62">
        <v>42261801</v>
      </c>
      <c r="B9530" s="63" t="s">
        <v>10187</v>
      </c>
    </row>
    <row r="9531" spans="1:2" x14ac:dyDescent="0.25">
      <c r="A9531" s="62">
        <v>42261802</v>
      </c>
      <c r="B9531" s="63" t="s">
        <v>10188</v>
      </c>
    </row>
    <row r="9532" spans="1:2" x14ac:dyDescent="0.25">
      <c r="A9532" s="62">
        <v>42261803</v>
      </c>
      <c r="B9532" s="63" t="s">
        <v>10189</v>
      </c>
    </row>
    <row r="9533" spans="1:2" x14ac:dyDescent="0.25">
      <c r="A9533" s="62">
        <v>42261804</v>
      </c>
      <c r="B9533" s="63" t="s">
        <v>10190</v>
      </c>
    </row>
    <row r="9534" spans="1:2" x14ac:dyDescent="0.25">
      <c r="A9534" s="62">
        <v>42261805</v>
      </c>
      <c r="B9534" s="63" t="s">
        <v>10191</v>
      </c>
    </row>
    <row r="9535" spans="1:2" x14ac:dyDescent="0.25">
      <c r="A9535" s="62">
        <v>42261806</v>
      </c>
      <c r="B9535" s="63" t="s">
        <v>10192</v>
      </c>
    </row>
    <row r="9536" spans="1:2" x14ac:dyDescent="0.25">
      <c r="A9536" s="62">
        <v>42261807</v>
      </c>
      <c r="B9536" s="63" t="s">
        <v>10193</v>
      </c>
    </row>
    <row r="9537" spans="1:2" x14ac:dyDescent="0.25">
      <c r="A9537" s="62">
        <v>42261808</v>
      </c>
      <c r="B9537" s="63" t="s">
        <v>10194</v>
      </c>
    </row>
    <row r="9538" spans="1:2" x14ac:dyDescent="0.25">
      <c r="A9538" s="62">
        <v>42261809</v>
      </c>
      <c r="B9538" s="63" t="s">
        <v>10195</v>
      </c>
    </row>
    <row r="9539" spans="1:2" x14ac:dyDescent="0.25">
      <c r="A9539" s="62">
        <v>42261810</v>
      </c>
      <c r="B9539" s="63" t="s">
        <v>10196</v>
      </c>
    </row>
    <row r="9540" spans="1:2" x14ac:dyDescent="0.25">
      <c r="A9540" s="62">
        <v>42261901</v>
      </c>
      <c r="B9540" s="63" t="s">
        <v>10197</v>
      </c>
    </row>
    <row r="9541" spans="1:2" x14ac:dyDescent="0.25">
      <c r="A9541" s="62">
        <v>42261902</v>
      </c>
      <c r="B9541" s="63" t="s">
        <v>10198</v>
      </c>
    </row>
    <row r="9542" spans="1:2" x14ac:dyDescent="0.25">
      <c r="A9542" s="62">
        <v>42261903</v>
      </c>
      <c r="B9542" s="63" t="s">
        <v>10199</v>
      </c>
    </row>
    <row r="9543" spans="1:2" x14ac:dyDescent="0.25">
      <c r="A9543" s="62">
        <v>42261904</v>
      </c>
      <c r="B9543" s="63" t="s">
        <v>10200</v>
      </c>
    </row>
    <row r="9544" spans="1:2" x14ac:dyDescent="0.25">
      <c r="A9544" s="62">
        <v>42262001</v>
      </c>
      <c r="B9544" s="63" t="s">
        <v>10201</v>
      </c>
    </row>
    <row r="9545" spans="1:2" x14ac:dyDescent="0.25">
      <c r="A9545" s="62">
        <v>42262002</v>
      </c>
      <c r="B9545" s="63" t="s">
        <v>10202</v>
      </c>
    </row>
    <row r="9546" spans="1:2" x14ac:dyDescent="0.25">
      <c r="A9546" s="62">
        <v>42262003</v>
      </c>
      <c r="B9546" s="63" t="s">
        <v>10203</v>
      </c>
    </row>
    <row r="9547" spans="1:2" x14ac:dyDescent="0.25">
      <c r="A9547" s="62">
        <v>42262004</v>
      </c>
      <c r="B9547" s="63" t="s">
        <v>10204</v>
      </c>
    </row>
    <row r="9548" spans="1:2" x14ac:dyDescent="0.25">
      <c r="A9548" s="62">
        <v>42262005</v>
      </c>
      <c r="B9548" s="63" t="s">
        <v>10205</v>
      </c>
    </row>
    <row r="9549" spans="1:2" x14ac:dyDescent="0.25">
      <c r="A9549" s="62">
        <v>42262006</v>
      </c>
      <c r="B9549" s="63" t="s">
        <v>10206</v>
      </c>
    </row>
    <row r="9550" spans="1:2" x14ac:dyDescent="0.25">
      <c r="A9550" s="62">
        <v>42262007</v>
      </c>
      <c r="B9550" s="63" t="s">
        <v>10207</v>
      </c>
    </row>
    <row r="9551" spans="1:2" x14ac:dyDescent="0.25">
      <c r="A9551" s="62">
        <v>42262008</v>
      </c>
      <c r="B9551" s="63" t="s">
        <v>10208</v>
      </c>
    </row>
    <row r="9552" spans="1:2" x14ac:dyDescent="0.25">
      <c r="A9552" s="62">
        <v>42262101</v>
      </c>
      <c r="B9552" s="63" t="s">
        <v>10209</v>
      </c>
    </row>
    <row r="9553" spans="1:2" x14ac:dyDescent="0.25">
      <c r="A9553" s="62">
        <v>42262102</v>
      </c>
      <c r="B9553" s="63" t="s">
        <v>10210</v>
      </c>
    </row>
    <row r="9554" spans="1:2" x14ac:dyDescent="0.25">
      <c r="A9554" s="62">
        <v>42262103</v>
      </c>
      <c r="B9554" s="63" t="s">
        <v>10211</v>
      </c>
    </row>
    <row r="9555" spans="1:2" x14ac:dyDescent="0.25">
      <c r="A9555" s="62">
        <v>42262104</v>
      </c>
      <c r="B9555" s="63" t="s">
        <v>10212</v>
      </c>
    </row>
    <row r="9556" spans="1:2" x14ac:dyDescent="0.25">
      <c r="A9556" s="62">
        <v>42262105</v>
      </c>
      <c r="B9556" s="63" t="s">
        <v>10213</v>
      </c>
    </row>
    <row r="9557" spans="1:2" x14ac:dyDescent="0.25">
      <c r="A9557" s="62">
        <v>42271501</v>
      </c>
      <c r="B9557" s="63" t="s">
        <v>10214</v>
      </c>
    </row>
    <row r="9558" spans="1:2" x14ac:dyDescent="0.25">
      <c r="A9558" s="62">
        <v>42271502</v>
      </c>
      <c r="B9558" s="63" t="s">
        <v>10215</v>
      </c>
    </row>
    <row r="9559" spans="1:2" x14ac:dyDescent="0.25">
      <c r="A9559" s="62">
        <v>42271503</v>
      </c>
      <c r="B9559" s="63" t="s">
        <v>10216</v>
      </c>
    </row>
    <row r="9560" spans="1:2" x14ac:dyDescent="0.25">
      <c r="A9560" s="62">
        <v>42271504</v>
      </c>
      <c r="B9560" s="63" t="s">
        <v>10217</v>
      </c>
    </row>
    <row r="9561" spans="1:2" x14ac:dyDescent="0.25">
      <c r="A9561" s="62">
        <v>42271505</v>
      </c>
      <c r="B9561" s="63" t="s">
        <v>10218</v>
      </c>
    </row>
    <row r="9562" spans="1:2" x14ac:dyDescent="0.25">
      <c r="A9562" s="62">
        <v>42271506</v>
      </c>
      <c r="B9562" s="63" t="s">
        <v>10219</v>
      </c>
    </row>
    <row r="9563" spans="1:2" x14ac:dyDescent="0.25">
      <c r="A9563" s="62">
        <v>42271601</v>
      </c>
      <c r="B9563" s="63" t="s">
        <v>10220</v>
      </c>
    </row>
    <row r="9564" spans="1:2" x14ac:dyDescent="0.25">
      <c r="A9564" s="62">
        <v>42271602</v>
      </c>
      <c r="B9564" s="63" t="s">
        <v>10221</v>
      </c>
    </row>
    <row r="9565" spans="1:2" x14ac:dyDescent="0.25">
      <c r="A9565" s="62">
        <v>42271603</v>
      </c>
      <c r="B9565" s="63" t="s">
        <v>10222</v>
      </c>
    </row>
    <row r="9566" spans="1:2" x14ac:dyDescent="0.25">
      <c r="A9566" s="62">
        <v>42271604</v>
      </c>
      <c r="B9566" s="63" t="s">
        <v>10223</v>
      </c>
    </row>
    <row r="9567" spans="1:2" x14ac:dyDescent="0.25">
      <c r="A9567" s="62">
        <v>42271605</v>
      </c>
      <c r="B9567" s="63" t="s">
        <v>10224</v>
      </c>
    </row>
    <row r="9568" spans="1:2" x14ac:dyDescent="0.25">
      <c r="A9568" s="62">
        <v>42271606</v>
      </c>
      <c r="B9568" s="63" t="s">
        <v>10225</v>
      </c>
    </row>
    <row r="9569" spans="1:2" x14ac:dyDescent="0.25">
      <c r="A9569" s="62">
        <v>42271607</v>
      </c>
      <c r="B9569" s="63" t="s">
        <v>10226</v>
      </c>
    </row>
    <row r="9570" spans="1:2" x14ac:dyDescent="0.25">
      <c r="A9570" s="62">
        <v>42271608</v>
      </c>
      <c r="B9570" s="63" t="s">
        <v>10227</v>
      </c>
    </row>
    <row r="9571" spans="1:2" x14ac:dyDescent="0.25">
      <c r="A9571" s="62">
        <v>42271609</v>
      </c>
      <c r="B9571" s="63" t="s">
        <v>10228</v>
      </c>
    </row>
    <row r="9572" spans="1:2" x14ac:dyDescent="0.25">
      <c r="A9572" s="62">
        <v>42271610</v>
      </c>
      <c r="B9572" s="63" t="s">
        <v>10229</v>
      </c>
    </row>
    <row r="9573" spans="1:2" x14ac:dyDescent="0.25">
      <c r="A9573" s="62">
        <v>42271611</v>
      </c>
      <c r="B9573" s="63" t="s">
        <v>10230</v>
      </c>
    </row>
    <row r="9574" spans="1:2" x14ac:dyDescent="0.25">
      <c r="A9574" s="62">
        <v>42271612</v>
      </c>
      <c r="B9574" s="63" t="s">
        <v>10231</v>
      </c>
    </row>
    <row r="9575" spans="1:2" x14ac:dyDescent="0.25">
      <c r="A9575" s="62">
        <v>42271613</v>
      </c>
      <c r="B9575" s="63" t="s">
        <v>10232</v>
      </c>
    </row>
    <row r="9576" spans="1:2" x14ac:dyDescent="0.25">
      <c r="A9576" s="62">
        <v>42271614</v>
      </c>
      <c r="B9576" s="63" t="s">
        <v>10233</v>
      </c>
    </row>
    <row r="9577" spans="1:2" x14ac:dyDescent="0.25">
      <c r="A9577" s="62">
        <v>42271615</v>
      </c>
      <c r="B9577" s="63" t="s">
        <v>10234</v>
      </c>
    </row>
    <row r="9578" spans="1:2" x14ac:dyDescent="0.25">
      <c r="A9578" s="62">
        <v>42271616</v>
      </c>
      <c r="B9578" s="63" t="s">
        <v>10235</v>
      </c>
    </row>
    <row r="9579" spans="1:2" x14ac:dyDescent="0.25">
      <c r="A9579" s="62">
        <v>42271617</v>
      </c>
      <c r="B9579" s="63" t="s">
        <v>10236</v>
      </c>
    </row>
    <row r="9580" spans="1:2" x14ac:dyDescent="0.25">
      <c r="A9580" s="62">
        <v>42271618</v>
      </c>
      <c r="B9580" s="63" t="s">
        <v>10237</v>
      </c>
    </row>
    <row r="9581" spans="1:2" x14ac:dyDescent="0.25">
      <c r="A9581" s="62">
        <v>42271701</v>
      </c>
      <c r="B9581" s="63" t="s">
        <v>10238</v>
      </c>
    </row>
    <row r="9582" spans="1:2" x14ac:dyDescent="0.25">
      <c r="A9582" s="62">
        <v>42271702</v>
      </c>
      <c r="B9582" s="63" t="s">
        <v>10239</v>
      </c>
    </row>
    <row r="9583" spans="1:2" x14ac:dyDescent="0.25">
      <c r="A9583" s="62">
        <v>42271703</v>
      </c>
      <c r="B9583" s="63" t="s">
        <v>10240</v>
      </c>
    </row>
    <row r="9584" spans="1:2" x14ac:dyDescent="0.25">
      <c r="A9584" s="62">
        <v>42271704</v>
      </c>
      <c r="B9584" s="63" t="s">
        <v>10241</v>
      </c>
    </row>
    <row r="9585" spans="1:2" x14ac:dyDescent="0.25">
      <c r="A9585" s="62">
        <v>42271705</v>
      </c>
      <c r="B9585" s="63" t="s">
        <v>10242</v>
      </c>
    </row>
    <row r="9586" spans="1:2" x14ac:dyDescent="0.25">
      <c r="A9586" s="62">
        <v>42271706</v>
      </c>
      <c r="B9586" s="63" t="s">
        <v>10243</v>
      </c>
    </row>
    <row r="9587" spans="1:2" x14ac:dyDescent="0.25">
      <c r="A9587" s="62">
        <v>42271707</v>
      </c>
      <c r="B9587" s="63" t="s">
        <v>10244</v>
      </c>
    </row>
    <row r="9588" spans="1:2" x14ac:dyDescent="0.25">
      <c r="A9588" s="62">
        <v>42271708</v>
      </c>
      <c r="B9588" s="63" t="s">
        <v>10245</v>
      </c>
    </row>
    <row r="9589" spans="1:2" x14ac:dyDescent="0.25">
      <c r="A9589" s="62">
        <v>42271709</v>
      </c>
      <c r="B9589" s="63" t="s">
        <v>10246</v>
      </c>
    </row>
    <row r="9590" spans="1:2" x14ac:dyDescent="0.25">
      <c r="A9590" s="62">
        <v>42271710</v>
      </c>
      <c r="B9590" s="63" t="s">
        <v>10247</v>
      </c>
    </row>
    <row r="9591" spans="1:2" x14ac:dyDescent="0.25">
      <c r="A9591" s="62">
        <v>42271711</v>
      </c>
      <c r="B9591" s="63" t="s">
        <v>10248</v>
      </c>
    </row>
    <row r="9592" spans="1:2" x14ac:dyDescent="0.25">
      <c r="A9592" s="62">
        <v>42271712</v>
      </c>
      <c r="B9592" s="63" t="s">
        <v>10249</v>
      </c>
    </row>
    <row r="9593" spans="1:2" x14ac:dyDescent="0.25">
      <c r="A9593" s="62">
        <v>42271713</v>
      </c>
      <c r="B9593" s="63" t="s">
        <v>10250</v>
      </c>
    </row>
    <row r="9594" spans="1:2" x14ac:dyDescent="0.25">
      <c r="A9594" s="62">
        <v>42271714</v>
      </c>
      <c r="B9594" s="63" t="s">
        <v>10251</v>
      </c>
    </row>
    <row r="9595" spans="1:2" x14ac:dyDescent="0.25">
      <c r="A9595" s="62">
        <v>42271715</v>
      </c>
      <c r="B9595" s="63" t="s">
        <v>10252</v>
      </c>
    </row>
    <row r="9596" spans="1:2" x14ac:dyDescent="0.25">
      <c r="A9596" s="62">
        <v>42271716</v>
      </c>
      <c r="B9596" s="63" t="s">
        <v>10253</v>
      </c>
    </row>
    <row r="9597" spans="1:2" x14ac:dyDescent="0.25">
      <c r="A9597" s="62">
        <v>42271717</v>
      </c>
      <c r="B9597" s="63" t="s">
        <v>10254</v>
      </c>
    </row>
    <row r="9598" spans="1:2" x14ac:dyDescent="0.25">
      <c r="A9598" s="62">
        <v>42271718</v>
      </c>
      <c r="B9598" s="63" t="s">
        <v>10255</v>
      </c>
    </row>
    <row r="9599" spans="1:2" x14ac:dyDescent="0.25">
      <c r="A9599" s="62">
        <v>42271719</v>
      </c>
      <c r="B9599" s="63" t="s">
        <v>10256</v>
      </c>
    </row>
    <row r="9600" spans="1:2" x14ac:dyDescent="0.25">
      <c r="A9600" s="62">
        <v>42271720</v>
      </c>
      <c r="B9600" s="63" t="s">
        <v>10257</v>
      </c>
    </row>
    <row r="9601" spans="1:2" x14ac:dyDescent="0.25">
      <c r="A9601" s="62">
        <v>42271721</v>
      </c>
      <c r="B9601" s="63" t="s">
        <v>10258</v>
      </c>
    </row>
    <row r="9602" spans="1:2" x14ac:dyDescent="0.25">
      <c r="A9602" s="62">
        <v>42271801</v>
      </c>
      <c r="B9602" s="63" t="s">
        <v>10259</v>
      </c>
    </row>
    <row r="9603" spans="1:2" x14ac:dyDescent="0.25">
      <c r="A9603" s="62">
        <v>42271802</v>
      </c>
      <c r="B9603" s="63" t="s">
        <v>10260</v>
      </c>
    </row>
    <row r="9604" spans="1:2" x14ac:dyDescent="0.25">
      <c r="A9604" s="62">
        <v>42271803</v>
      </c>
      <c r="B9604" s="63" t="s">
        <v>10261</v>
      </c>
    </row>
    <row r="9605" spans="1:2" x14ac:dyDescent="0.25">
      <c r="A9605" s="62">
        <v>42271901</v>
      </c>
      <c r="B9605" s="63" t="s">
        <v>10262</v>
      </c>
    </row>
    <row r="9606" spans="1:2" x14ac:dyDescent="0.25">
      <c r="A9606" s="62">
        <v>42271902</v>
      </c>
      <c r="B9606" s="63" t="s">
        <v>10263</v>
      </c>
    </row>
    <row r="9607" spans="1:2" x14ac:dyDescent="0.25">
      <c r="A9607" s="62">
        <v>42271903</v>
      </c>
      <c r="B9607" s="63" t="s">
        <v>10264</v>
      </c>
    </row>
    <row r="9608" spans="1:2" x14ac:dyDescent="0.25">
      <c r="A9608" s="62">
        <v>42271904</v>
      </c>
      <c r="B9608" s="63" t="s">
        <v>10265</v>
      </c>
    </row>
    <row r="9609" spans="1:2" x14ac:dyDescent="0.25">
      <c r="A9609" s="62">
        <v>42271905</v>
      </c>
      <c r="B9609" s="63" t="s">
        <v>10266</v>
      </c>
    </row>
    <row r="9610" spans="1:2" x14ac:dyDescent="0.25">
      <c r="A9610" s="62">
        <v>42271906</v>
      </c>
      <c r="B9610" s="63" t="s">
        <v>10267</v>
      </c>
    </row>
    <row r="9611" spans="1:2" x14ac:dyDescent="0.25">
      <c r="A9611" s="62">
        <v>42271907</v>
      </c>
      <c r="B9611" s="63" t="s">
        <v>10268</v>
      </c>
    </row>
    <row r="9612" spans="1:2" x14ac:dyDescent="0.25">
      <c r="A9612" s="62">
        <v>42271908</v>
      </c>
      <c r="B9612" s="63" t="s">
        <v>10269</v>
      </c>
    </row>
    <row r="9613" spans="1:2" x14ac:dyDescent="0.25">
      <c r="A9613" s="62">
        <v>42271909</v>
      </c>
      <c r="B9613" s="63" t="s">
        <v>10270</v>
      </c>
    </row>
    <row r="9614" spans="1:2" x14ac:dyDescent="0.25">
      <c r="A9614" s="62">
        <v>42271910</v>
      </c>
      <c r="B9614" s="63" t="s">
        <v>10271</v>
      </c>
    </row>
    <row r="9615" spans="1:2" x14ac:dyDescent="0.25">
      <c r="A9615" s="62">
        <v>42271911</v>
      </c>
      <c r="B9615" s="63" t="s">
        <v>10272</v>
      </c>
    </row>
    <row r="9616" spans="1:2" x14ac:dyDescent="0.25">
      <c r="A9616" s="62">
        <v>42271912</v>
      </c>
      <c r="B9616" s="63" t="s">
        <v>10273</v>
      </c>
    </row>
    <row r="9617" spans="1:2" x14ac:dyDescent="0.25">
      <c r="A9617" s="62">
        <v>42271913</v>
      </c>
      <c r="B9617" s="63" t="s">
        <v>10274</v>
      </c>
    </row>
    <row r="9618" spans="1:2" x14ac:dyDescent="0.25">
      <c r="A9618" s="62">
        <v>42271914</v>
      </c>
      <c r="B9618" s="63" t="s">
        <v>10275</v>
      </c>
    </row>
    <row r="9619" spans="1:2" x14ac:dyDescent="0.25">
      <c r="A9619" s="62">
        <v>42271915</v>
      </c>
      <c r="B9619" s="63" t="s">
        <v>10276</v>
      </c>
    </row>
    <row r="9620" spans="1:2" x14ac:dyDescent="0.25">
      <c r="A9620" s="62">
        <v>42272001</v>
      </c>
      <c r="B9620" s="63" t="s">
        <v>10277</v>
      </c>
    </row>
    <row r="9621" spans="1:2" x14ac:dyDescent="0.25">
      <c r="A9621" s="62">
        <v>42272002</v>
      </c>
      <c r="B9621" s="63" t="s">
        <v>10278</v>
      </c>
    </row>
    <row r="9622" spans="1:2" x14ac:dyDescent="0.25">
      <c r="A9622" s="62">
        <v>42272003</v>
      </c>
      <c r="B9622" s="63" t="s">
        <v>10279</v>
      </c>
    </row>
    <row r="9623" spans="1:2" x14ac:dyDescent="0.25">
      <c r="A9623" s="62">
        <v>42272004</v>
      </c>
      <c r="B9623" s="63" t="s">
        <v>10280</v>
      </c>
    </row>
    <row r="9624" spans="1:2" x14ac:dyDescent="0.25">
      <c r="A9624" s="62">
        <v>42272005</v>
      </c>
      <c r="B9624" s="63" t="s">
        <v>10281</v>
      </c>
    </row>
    <row r="9625" spans="1:2" x14ac:dyDescent="0.25">
      <c r="A9625" s="62">
        <v>42272006</v>
      </c>
      <c r="B9625" s="63" t="s">
        <v>10282</v>
      </c>
    </row>
    <row r="9626" spans="1:2" x14ac:dyDescent="0.25">
      <c r="A9626" s="62">
        <v>42272007</v>
      </c>
      <c r="B9626" s="63" t="s">
        <v>10283</v>
      </c>
    </row>
    <row r="9627" spans="1:2" x14ac:dyDescent="0.25">
      <c r="A9627" s="62">
        <v>42272008</v>
      </c>
      <c r="B9627" s="63" t="s">
        <v>10284</v>
      </c>
    </row>
    <row r="9628" spans="1:2" x14ac:dyDescent="0.25">
      <c r="A9628" s="62">
        <v>42272009</v>
      </c>
      <c r="B9628" s="63" t="s">
        <v>10285</v>
      </c>
    </row>
    <row r="9629" spans="1:2" x14ac:dyDescent="0.25">
      <c r="A9629" s="62">
        <v>42272010</v>
      </c>
      <c r="B9629" s="63" t="s">
        <v>10286</v>
      </c>
    </row>
    <row r="9630" spans="1:2" x14ac:dyDescent="0.25">
      <c r="A9630" s="62">
        <v>42272011</v>
      </c>
      <c r="B9630" s="63" t="s">
        <v>10287</v>
      </c>
    </row>
    <row r="9631" spans="1:2" x14ac:dyDescent="0.25">
      <c r="A9631" s="62">
        <v>42272012</v>
      </c>
      <c r="B9631" s="63" t="s">
        <v>10288</v>
      </c>
    </row>
    <row r="9632" spans="1:2" x14ac:dyDescent="0.25">
      <c r="A9632" s="62">
        <v>42272013</v>
      </c>
      <c r="B9632" s="63" t="s">
        <v>10289</v>
      </c>
    </row>
    <row r="9633" spans="1:2" x14ac:dyDescent="0.25">
      <c r="A9633" s="62">
        <v>42272014</v>
      </c>
      <c r="B9633" s="63" t="s">
        <v>10290</v>
      </c>
    </row>
    <row r="9634" spans="1:2" x14ac:dyDescent="0.25">
      <c r="A9634" s="62">
        <v>42272015</v>
      </c>
      <c r="B9634" s="63" t="s">
        <v>10291</v>
      </c>
    </row>
    <row r="9635" spans="1:2" x14ac:dyDescent="0.25">
      <c r="A9635" s="62">
        <v>42272016</v>
      </c>
      <c r="B9635" s="63" t="s">
        <v>10292</v>
      </c>
    </row>
    <row r="9636" spans="1:2" x14ac:dyDescent="0.25">
      <c r="A9636" s="62">
        <v>42272017</v>
      </c>
      <c r="B9636" s="63" t="s">
        <v>10293</v>
      </c>
    </row>
    <row r="9637" spans="1:2" x14ac:dyDescent="0.25">
      <c r="A9637" s="62">
        <v>42272101</v>
      </c>
      <c r="B9637" s="63" t="s">
        <v>10294</v>
      </c>
    </row>
    <row r="9638" spans="1:2" x14ac:dyDescent="0.25">
      <c r="A9638" s="62">
        <v>42272102</v>
      </c>
      <c r="B9638" s="63" t="s">
        <v>10295</v>
      </c>
    </row>
    <row r="9639" spans="1:2" x14ac:dyDescent="0.25">
      <c r="A9639" s="62">
        <v>42272201</v>
      </c>
      <c r="B9639" s="63" t="s">
        <v>10296</v>
      </c>
    </row>
    <row r="9640" spans="1:2" x14ac:dyDescent="0.25">
      <c r="A9640" s="62">
        <v>42272202</v>
      </c>
      <c r="B9640" s="63" t="s">
        <v>10297</v>
      </c>
    </row>
    <row r="9641" spans="1:2" x14ac:dyDescent="0.25">
      <c r="A9641" s="62">
        <v>42272203</v>
      </c>
      <c r="B9641" s="63" t="s">
        <v>10298</v>
      </c>
    </row>
    <row r="9642" spans="1:2" x14ac:dyDescent="0.25">
      <c r="A9642" s="62">
        <v>42272204</v>
      </c>
      <c r="B9642" s="63" t="s">
        <v>10299</v>
      </c>
    </row>
    <row r="9643" spans="1:2" x14ac:dyDescent="0.25">
      <c r="A9643" s="62">
        <v>42272205</v>
      </c>
      <c r="B9643" s="63" t="s">
        <v>10300</v>
      </c>
    </row>
    <row r="9644" spans="1:2" x14ac:dyDescent="0.25">
      <c r="A9644" s="62">
        <v>42272206</v>
      </c>
      <c r="B9644" s="63" t="s">
        <v>10301</v>
      </c>
    </row>
    <row r="9645" spans="1:2" x14ac:dyDescent="0.25">
      <c r="A9645" s="62">
        <v>42272207</v>
      </c>
      <c r="B9645" s="63" t="s">
        <v>10302</v>
      </c>
    </row>
    <row r="9646" spans="1:2" x14ac:dyDescent="0.25">
      <c r="A9646" s="62">
        <v>42272208</v>
      </c>
      <c r="B9646" s="63" t="s">
        <v>10303</v>
      </c>
    </row>
    <row r="9647" spans="1:2" x14ac:dyDescent="0.25">
      <c r="A9647" s="62">
        <v>42272209</v>
      </c>
      <c r="B9647" s="63" t="s">
        <v>10304</v>
      </c>
    </row>
    <row r="9648" spans="1:2" x14ac:dyDescent="0.25">
      <c r="A9648" s="62">
        <v>42272210</v>
      </c>
      <c r="B9648" s="63" t="s">
        <v>10305</v>
      </c>
    </row>
    <row r="9649" spans="1:2" x14ac:dyDescent="0.25">
      <c r="A9649" s="62">
        <v>42272211</v>
      </c>
      <c r="B9649" s="63" t="s">
        <v>10306</v>
      </c>
    </row>
    <row r="9650" spans="1:2" x14ac:dyDescent="0.25">
      <c r="A9650" s="62">
        <v>42272212</v>
      </c>
      <c r="B9650" s="63" t="s">
        <v>10307</v>
      </c>
    </row>
    <row r="9651" spans="1:2" x14ac:dyDescent="0.25">
      <c r="A9651" s="62">
        <v>42272213</v>
      </c>
      <c r="B9651" s="63" t="s">
        <v>10308</v>
      </c>
    </row>
    <row r="9652" spans="1:2" x14ac:dyDescent="0.25">
      <c r="A9652" s="62">
        <v>42272214</v>
      </c>
      <c r="B9652" s="63" t="s">
        <v>10309</v>
      </c>
    </row>
    <row r="9653" spans="1:2" x14ac:dyDescent="0.25">
      <c r="A9653" s="62">
        <v>42272215</v>
      </c>
      <c r="B9653" s="63" t="s">
        <v>10310</v>
      </c>
    </row>
    <row r="9654" spans="1:2" x14ac:dyDescent="0.25">
      <c r="A9654" s="62">
        <v>42272216</v>
      </c>
      <c r="B9654" s="63" t="s">
        <v>10311</v>
      </c>
    </row>
    <row r="9655" spans="1:2" x14ac:dyDescent="0.25">
      <c r="A9655" s="62">
        <v>42272217</v>
      </c>
      <c r="B9655" s="63" t="s">
        <v>10312</v>
      </c>
    </row>
    <row r="9656" spans="1:2" x14ac:dyDescent="0.25">
      <c r="A9656" s="62">
        <v>42272218</v>
      </c>
      <c r="B9656" s="63" t="s">
        <v>10313</v>
      </c>
    </row>
    <row r="9657" spans="1:2" x14ac:dyDescent="0.25">
      <c r="A9657" s="62">
        <v>42272219</v>
      </c>
      <c r="B9657" s="63" t="s">
        <v>10314</v>
      </c>
    </row>
    <row r="9658" spans="1:2" x14ac:dyDescent="0.25">
      <c r="A9658" s="62">
        <v>42272220</v>
      </c>
      <c r="B9658" s="63" t="s">
        <v>10315</v>
      </c>
    </row>
    <row r="9659" spans="1:2" x14ac:dyDescent="0.25">
      <c r="A9659" s="62">
        <v>42272221</v>
      </c>
      <c r="B9659" s="63" t="s">
        <v>10316</v>
      </c>
    </row>
    <row r="9660" spans="1:2" x14ac:dyDescent="0.25">
      <c r="A9660" s="62">
        <v>42272222</v>
      </c>
      <c r="B9660" s="63" t="s">
        <v>10317</v>
      </c>
    </row>
    <row r="9661" spans="1:2" x14ac:dyDescent="0.25">
      <c r="A9661" s="62">
        <v>42272223</v>
      </c>
      <c r="B9661" s="63" t="s">
        <v>10318</v>
      </c>
    </row>
    <row r="9662" spans="1:2" x14ac:dyDescent="0.25">
      <c r="A9662" s="62">
        <v>42272224</v>
      </c>
      <c r="B9662" s="63" t="s">
        <v>10319</v>
      </c>
    </row>
    <row r="9663" spans="1:2" x14ac:dyDescent="0.25">
      <c r="A9663" s="62">
        <v>42272225</v>
      </c>
      <c r="B9663" s="63" t="s">
        <v>10320</v>
      </c>
    </row>
    <row r="9664" spans="1:2" x14ac:dyDescent="0.25">
      <c r="A9664" s="62">
        <v>42272301</v>
      </c>
      <c r="B9664" s="63" t="s">
        <v>10321</v>
      </c>
    </row>
    <row r="9665" spans="1:2" x14ac:dyDescent="0.25">
      <c r="A9665" s="62">
        <v>42272302</v>
      </c>
      <c r="B9665" s="63" t="s">
        <v>10322</v>
      </c>
    </row>
    <row r="9666" spans="1:2" x14ac:dyDescent="0.25">
      <c r="A9666" s="62">
        <v>42272303</v>
      </c>
      <c r="B9666" s="63" t="s">
        <v>10323</v>
      </c>
    </row>
    <row r="9667" spans="1:2" x14ac:dyDescent="0.25">
      <c r="A9667" s="62">
        <v>42272304</v>
      </c>
      <c r="B9667" s="63" t="s">
        <v>10324</v>
      </c>
    </row>
    <row r="9668" spans="1:2" x14ac:dyDescent="0.25">
      <c r="A9668" s="62">
        <v>42272305</v>
      </c>
      <c r="B9668" s="63" t="s">
        <v>10325</v>
      </c>
    </row>
    <row r="9669" spans="1:2" x14ac:dyDescent="0.25">
      <c r="A9669" s="62">
        <v>42272306</v>
      </c>
      <c r="B9669" s="63" t="s">
        <v>10326</v>
      </c>
    </row>
    <row r="9670" spans="1:2" x14ac:dyDescent="0.25">
      <c r="A9670" s="62">
        <v>42272307</v>
      </c>
      <c r="B9670" s="63" t="s">
        <v>10327</v>
      </c>
    </row>
    <row r="9671" spans="1:2" x14ac:dyDescent="0.25">
      <c r="A9671" s="62">
        <v>42272401</v>
      </c>
      <c r="B9671" s="63" t="s">
        <v>10328</v>
      </c>
    </row>
    <row r="9672" spans="1:2" x14ac:dyDescent="0.25">
      <c r="A9672" s="62">
        <v>42272402</v>
      </c>
      <c r="B9672" s="63" t="s">
        <v>10329</v>
      </c>
    </row>
    <row r="9673" spans="1:2" x14ac:dyDescent="0.25">
      <c r="A9673" s="62">
        <v>42272403</v>
      </c>
      <c r="B9673" s="63" t="s">
        <v>10330</v>
      </c>
    </row>
    <row r="9674" spans="1:2" x14ac:dyDescent="0.25">
      <c r="A9674" s="62">
        <v>42272404</v>
      </c>
      <c r="B9674" s="63" t="s">
        <v>10331</v>
      </c>
    </row>
    <row r="9675" spans="1:2" x14ac:dyDescent="0.25">
      <c r="A9675" s="62">
        <v>42272501</v>
      </c>
      <c r="B9675" s="63" t="s">
        <v>10332</v>
      </c>
    </row>
    <row r="9676" spans="1:2" x14ac:dyDescent="0.25">
      <c r="A9676" s="62">
        <v>42272502</v>
      </c>
      <c r="B9676" s="63" t="s">
        <v>10333</v>
      </c>
    </row>
    <row r="9677" spans="1:2" x14ac:dyDescent="0.25">
      <c r="A9677" s="62">
        <v>42272503</v>
      </c>
      <c r="B9677" s="63" t="s">
        <v>10334</v>
      </c>
    </row>
    <row r="9678" spans="1:2" x14ac:dyDescent="0.25">
      <c r="A9678" s="62">
        <v>42272504</v>
      </c>
      <c r="B9678" s="63" t="s">
        <v>10335</v>
      </c>
    </row>
    <row r="9679" spans="1:2" x14ac:dyDescent="0.25">
      <c r="A9679" s="62">
        <v>42272505</v>
      </c>
      <c r="B9679" s="63" t="s">
        <v>10336</v>
      </c>
    </row>
    <row r="9680" spans="1:2" x14ac:dyDescent="0.25">
      <c r="A9680" s="62">
        <v>42272506</v>
      </c>
      <c r="B9680" s="63" t="s">
        <v>10337</v>
      </c>
    </row>
    <row r="9681" spans="1:2" x14ac:dyDescent="0.25">
      <c r="A9681" s="62">
        <v>42272507</v>
      </c>
      <c r="B9681" s="63" t="s">
        <v>10338</v>
      </c>
    </row>
    <row r="9682" spans="1:2" x14ac:dyDescent="0.25">
      <c r="A9682" s="62">
        <v>42272508</v>
      </c>
      <c r="B9682" s="63" t="s">
        <v>10339</v>
      </c>
    </row>
    <row r="9683" spans="1:2" x14ac:dyDescent="0.25">
      <c r="A9683" s="62">
        <v>42281501</v>
      </c>
      <c r="B9683" s="63" t="s">
        <v>10340</v>
      </c>
    </row>
    <row r="9684" spans="1:2" x14ac:dyDescent="0.25">
      <c r="A9684" s="62">
        <v>42281502</v>
      </c>
      <c r="B9684" s="63" t="s">
        <v>10341</v>
      </c>
    </row>
    <row r="9685" spans="1:2" x14ac:dyDescent="0.25">
      <c r="A9685" s="62">
        <v>42281503</v>
      </c>
      <c r="B9685" s="63" t="s">
        <v>10342</v>
      </c>
    </row>
    <row r="9686" spans="1:2" x14ac:dyDescent="0.25">
      <c r="A9686" s="62">
        <v>42281504</v>
      </c>
      <c r="B9686" s="63" t="s">
        <v>10343</v>
      </c>
    </row>
    <row r="9687" spans="1:2" x14ac:dyDescent="0.25">
      <c r="A9687" s="62">
        <v>42281505</v>
      </c>
      <c r="B9687" s="63" t="s">
        <v>10344</v>
      </c>
    </row>
    <row r="9688" spans="1:2" x14ac:dyDescent="0.25">
      <c r="A9688" s="62">
        <v>42281506</v>
      </c>
      <c r="B9688" s="63" t="s">
        <v>10345</v>
      </c>
    </row>
    <row r="9689" spans="1:2" x14ac:dyDescent="0.25">
      <c r="A9689" s="62">
        <v>42281507</v>
      </c>
      <c r="B9689" s="63" t="s">
        <v>10346</v>
      </c>
    </row>
    <row r="9690" spans="1:2" x14ac:dyDescent="0.25">
      <c r="A9690" s="62">
        <v>42281508</v>
      </c>
      <c r="B9690" s="63" t="s">
        <v>10347</v>
      </c>
    </row>
    <row r="9691" spans="1:2" x14ac:dyDescent="0.25">
      <c r="A9691" s="62">
        <v>42281509</v>
      </c>
      <c r="B9691" s="63" t="s">
        <v>10348</v>
      </c>
    </row>
    <row r="9692" spans="1:2" x14ac:dyDescent="0.25">
      <c r="A9692" s="62">
        <v>42281510</v>
      </c>
      <c r="B9692" s="63" t="s">
        <v>10349</v>
      </c>
    </row>
    <row r="9693" spans="1:2" x14ac:dyDescent="0.25">
      <c r="A9693" s="62">
        <v>42281511</v>
      </c>
      <c r="B9693" s="63" t="s">
        <v>10350</v>
      </c>
    </row>
    <row r="9694" spans="1:2" x14ac:dyDescent="0.25">
      <c r="A9694" s="62">
        <v>42281512</v>
      </c>
      <c r="B9694" s="63" t="s">
        <v>10351</v>
      </c>
    </row>
    <row r="9695" spans="1:2" x14ac:dyDescent="0.25">
      <c r="A9695" s="62">
        <v>42281513</v>
      </c>
      <c r="B9695" s="63" t="s">
        <v>10352</v>
      </c>
    </row>
    <row r="9696" spans="1:2" x14ac:dyDescent="0.25">
      <c r="A9696" s="62">
        <v>42281514</v>
      </c>
      <c r="B9696" s="63" t="s">
        <v>10353</v>
      </c>
    </row>
    <row r="9697" spans="1:2" x14ac:dyDescent="0.25">
      <c r="A9697" s="62">
        <v>42281515</v>
      </c>
      <c r="B9697" s="63" t="s">
        <v>10354</v>
      </c>
    </row>
    <row r="9698" spans="1:2" x14ac:dyDescent="0.25">
      <c r="A9698" s="62">
        <v>42281516</v>
      </c>
      <c r="B9698" s="63" t="s">
        <v>10355</v>
      </c>
    </row>
    <row r="9699" spans="1:2" x14ac:dyDescent="0.25">
      <c r="A9699" s="62">
        <v>42281517</v>
      </c>
      <c r="B9699" s="63" t="s">
        <v>10356</v>
      </c>
    </row>
    <row r="9700" spans="1:2" x14ac:dyDescent="0.25">
      <c r="A9700" s="62">
        <v>42281518</v>
      </c>
      <c r="B9700" s="63" t="s">
        <v>10357</v>
      </c>
    </row>
    <row r="9701" spans="1:2" x14ac:dyDescent="0.25">
      <c r="A9701" s="62">
        <v>42281519</v>
      </c>
      <c r="B9701" s="63" t="s">
        <v>10358</v>
      </c>
    </row>
    <row r="9702" spans="1:2" x14ac:dyDescent="0.25">
      <c r="A9702" s="62">
        <v>42281520</v>
      </c>
      <c r="B9702" s="63" t="s">
        <v>10359</v>
      </c>
    </row>
    <row r="9703" spans="1:2" x14ac:dyDescent="0.25">
      <c r="A9703" s="62">
        <v>42281521</v>
      </c>
      <c r="B9703" s="63" t="s">
        <v>10360</v>
      </c>
    </row>
    <row r="9704" spans="1:2" x14ac:dyDescent="0.25">
      <c r="A9704" s="62">
        <v>42281522</v>
      </c>
      <c r="B9704" s="63" t="s">
        <v>10361</v>
      </c>
    </row>
    <row r="9705" spans="1:2" x14ac:dyDescent="0.25">
      <c r="A9705" s="62">
        <v>42281523</v>
      </c>
      <c r="B9705" s="63" t="s">
        <v>10362</v>
      </c>
    </row>
    <row r="9706" spans="1:2" x14ac:dyDescent="0.25">
      <c r="A9706" s="62">
        <v>42281524</v>
      </c>
      <c r="B9706" s="63" t="s">
        <v>10363</v>
      </c>
    </row>
    <row r="9707" spans="1:2" x14ac:dyDescent="0.25">
      <c r="A9707" s="62">
        <v>42281601</v>
      </c>
      <c r="B9707" s="63" t="s">
        <v>10364</v>
      </c>
    </row>
    <row r="9708" spans="1:2" x14ac:dyDescent="0.25">
      <c r="A9708" s="62">
        <v>42281602</v>
      </c>
      <c r="B9708" s="63" t="s">
        <v>10365</v>
      </c>
    </row>
    <row r="9709" spans="1:2" x14ac:dyDescent="0.25">
      <c r="A9709" s="62">
        <v>42281603</v>
      </c>
      <c r="B9709" s="63" t="s">
        <v>10366</v>
      </c>
    </row>
    <row r="9710" spans="1:2" x14ac:dyDescent="0.25">
      <c r="A9710" s="62">
        <v>42281604</v>
      </c>
      <c r="B9710" s="63" t="s">
        <v>10367</v>
      </c>
    </row>
    <row r="9711" spans="1:2" x14ac:dyDescent="0.25">
      <c r="A9711" s="62">
        <v>42281605</v>
      </c>
      <c r="B9711" s="63" t="s">
        <v>10368</v>
      </c>
    </row>
    <row r="9712" spans="1:2" x14ac:dyDescent="0.25">
      <c r="A9712" s="62">
        <v>42281606</v>
      </c>
      <c r="B9712" s="63" t="s">
        <v>10369</v>
      </c>
    </row>
    <row r="9713" spans="1:2" x14ac:dyDescent="0.25">
      <c r="A9713" s="62">
        <v>42281701</v>
      </c>
      <c r="B9713" s="63" t="s">
        <v>10370</v>
      </c>
    </row>
    <row r="9714" spans="1:2" x14ac:dyDescent="0.25">
      <c r="A9714" s="62">
        <v>42281702</v>
      </c>
      <c r="B9714" s="63" t="s">
        <v>10371</v>
      </c>
    </row>
    <row r="9715" spans="1:2" x14ac:dyDescent="0.25">
      <c r="A9715" s="62">
        <v>42281703</v>
      </c>
      <c r="B9715" s="63" t="s">
        <v>10372</v>
      </c>
    </row>
    <row r="9716" spans="1:2" x14ac:dyDescent="0.25">
      <c r="A9716" s="62">
        <v>42281704</v>
      </c>
      <c r="B9716" s="63" t="s">
        <v>10373</v>
      </c>
    </row>
    <row r="9717" spans="1:2" x14ac:dyDescent="0.25">
      <c r="A9717" s="62">
        <v>42281705</v>
      </c>
      <c r="B9717" s="63" t="s">
        <v>10374</v>
      </c>
    </row>
    <row r="9718" spans="1:2" x14ac:dyDescent="0.25">
      <c r="A9718" s="62">
        <v>42281706</v>
      </c>
      <c r="B9718" s="63" t="s">
        <v>10375</v>
      </c>
    </row>
    <row r="9719" spans="1:2" x14ac:dyDescent="0.25">
      <c r="A9719" s="62">
        <v>42281707</v>
      </c>
      <c r="B9719" s="63" t="s">
        <v>10376</v>
      </c>
    </row>
    <row r="9720" spans="1:2" x14ac:dyDescent="0.25">
      <c r="A9720" s="62">
        <v>42281708</v>
      </c>
      <c r="B9720" s="63" t="s">
        <v>10377</v>
      </c>
    </row>
    <row r="9721" spans="1:2" x14ac:dyDescent="0.25">
      <c r="A9721" s="62">
        <v>42281709</v>
      </c>
      <c r="B9721" s="63" t="s">
        <v>10378</v>
      </c>
    </row>
    <row r="9722" spans="1:2" x14ac:dyDescent="0.25">
      <c r="A9722" s="62">
        <v>42281710</v>
      </c>
      <c r="B9722" s="63" t="s">
        <v>10379</v>
      </c>
    </row>
    <row r="9723" spans="1:2" x14ac:dyDescent="0.25">
      <c r="A9723" s="62">
        <v>42281711</v>
      </c>
      <c r="B9723" s="63" t="s">
        <v>10380</v>
      </c>
    </row>
    <row r="9724" spans="1:2" x14ac:dyDescent="0.25">
      <c r="A9724" s="62">
        <v>42281712</v>
      </c>
      <c r="B9724" s="63" t="s">
        <v>10381</v>
      </c>
    </row>
    <row r="9725" spans="1:2" x14ac:dyDescent="0.25">
      <c r="A9725" s="62">
        <v>42281713</v>
      </c>
      <c r="B9725" s="63" t="s">
        <v>10382</v>
      </c>
    </row>
    <row r="9726" spans="1:2" x14ac:dyDescent="0.25">
      <c r="A9726" s="62">
        <v>42281801</v>
      </c>
      <c r="B9726" s="63" t="s">
        <v>10383</v>
      </c>
    </row>
    <row r="9727" spans="1:2" x14ac:dyDescent="0.25">
      <c r="A9727" s="62">
        <v>42281802</v>
      </c>
      <c r="B9727" s="63" t="s">
        <v>10384</v>
      </c>
    </row>
    <row r="9728" spans="1:2" x14ac:dyDescent="0.25">
      <c r="A9728" s="62">
        <v>42281803</v>
      </c>
      <c r="B9728" s="63" t="s">
        <v>10385</v>
      </c>
    </row>
    <row r="9729" spans="1:2" x14ac:dyDescent="0.25">
      <c r="A9729" s="62">
        <v>42281804</v>
      </c>
      <c r="B9729" s="63" t="s">
        <v>10386</v>
      </c>
    </row>
    <row r="9730" spans="1:2" x14ac:dyDescent="0.25">
      <c r="A9730" s="62">
        <v>42281805</v>
      </c>
      <c r="B9730" s="63" t="s">
        <v>10387</v>
      </c>
    </row>
    <row r="9731" spans="1:2" x14ac:dyDescent="0.25">
      <c r="A9731" s="62">
        <v>42281806</v>
      </c>
      <c r="B9731" s="63" t="s">
        <v>10388</v>
      </c>
    </row>
    <row r="9732" spans="1:2" x14ac:dyDescent="0.25">
      <c r="A9732" s="62">
        <v>42281807</v>
      </c>
      <c r="B9732" s="63" t="s">
        <v>10389</v>
      </c>
    </row>
    <row r="9733" spans="1:2" x14ac:dyDescent="0.25">
      <c r="A9733" s="62">
        <v>42281808</v>
      </c>
      <c r="B9733" s="63" t="s">
        <v>10390</v>
      </c>
    </row>
    <row r="9734" spans="1:2" x14ac:dyDescent="0.25">
      <c r="A9734" s="62">
        <v>42281809</v>
      </c>
      <c r="B9734" s="63" t="s">
        <v>10391</v>
      </c>
    </row>
    <row r="9735" spans="1:2" x14ac:dyDescent="0.25">
      <c r="A9735" s="62">
        <v>42281810</v>
      </c>
      <c r="B9735" s="63" t="s">
        <v>10392</v>
      </c>
    </row>
    <row r="9736" spans="1:2" x14ac:dyDescent="0.25">
      <c r="A9736" s="62">
        <v>42281901</v>
      </c>
      <c r="B9736" s="63" t="s">
        <v>10393</v>
      </c>
    </row>
    <row r="9737" spans="1:2" x14ac:dyDescent="0.25">
      <c r="A9737" s="62">
        <v>42281902</v>
      </c>
      <c r="B9737" s="63" t="s">
        <v>10394</v>
      </c>
    </row>
    <row r="9738" spans="1:2" x14ac:dyDescent="0.25">
      <c r="A9738" s="62">
        <v>42281903</v>
      </c>
      <c r="B9738" s="63" t="s">
        <v>10395</v>
      </c>
    </row>
    <row r="9739" spans="1:2" x14ac:dyDescent="0.25">
      <c r="A9739" s="62">
        <v>42281904</v>
      </c>
      <c r="B9739" s="63" t="s">
        <v>10396</v>
      </c>
    </row>
    <row r="9740" spans="1:2" x14ac:dyDescent="0.25">
      <c r="A9740" s="62">
        <v>42281905</v>
      </c>
      <c r="B9740" s="63" t="s">
        <v>10397</v>
      </c>
    </row>
    <row r="9741" spans="1:2" x14ac:dyDescent="0.25">
      <c r="A9741" s="62">
        <v>42281906</v>
      </c>
      <c r="B9741" s="63" t="s">
        <v>10398</v>
      </c>
    </row>
    <row r="9742" spans="1:2" x14ac:dyDescent="0.25">
      <c r="A9742" s="62">
        <v>42281907</v>
      </c>
      <c r="B9742" s="63" t="s">
        <v>10399</v>
      </c>
    </row>
    <row r="9743" spans="1:2" x14ac:dyDescent="0.25">
      <c r="A9743" s="62">
        <v>42281908</v>
      </c>
      <c r="B9743" s="63" t="s">
        <v>10400</v>
      </c>
    </row>
    <row r="9744" spans="1:2" x14ac:dyDescent="0.25">
      <c r="A9744" s="62">
        <v>42281909</v>
      </c>
      <c r="B9744" s="63" t="s">
        <v>10401</v>
      </c>
    </row>
    <row r="9745" spans="1:2" x14ac:dyDescent="0.25">
      <c r="A9745" s="62">
        <v>42281912</v>
      </c>
      <c r="B9745" s="63" t="s">
        <v>10402</v>
      </c>
    </row>
    <row r="9746" spans="1:2" x14ac:dyDescent="0.25">
      <c r="A9746" s="62">
        <v>42281913</v>
      </c>
      <c r="B9746" s="63" t="s">
        <v>10403</v>
      </c>
    </row>
    <row r="9747" spans="1:2" x14ac:dyDescent="0.25">
      <c r="A9747" s="62">
        <v>42281914</v>
      </c>
      <c r="B9747" s="63" t="s">
        <v>10404</v>
      </c>
    </row>
    <row r="9748" spans="1:2" x14ac:dyDescent="0.25">
      <c r="A9748" s="62">
        <v>42281915</v>
      </c>
      <c r="B9748" s="63" t="s">
        <v>10405</v>
      </c>
    </row>
    <row r="9749" spans="1:2" x14ac:dyDescent="0.25">
      <c r="A9749" s="62">
        <v>42281916</v>
      </c>
      <c r="B9749" s="63" t="s">
        <v>10406</v>
      </c>
    </row>
    <row r="9750" spans="1:2" x14ac:dyDescent="0.25">
      <c r="A9750" s="62">
        <v>42291501</v>
      </c>
      <c r="B9750" s="63" t="s">
        <v>10407</v>
      </c>
    </row>
    <row r="9751" spans="1:2" x14ac:dyDescent="0.25">
      <c r="A9751" s="62">
        <v>42291502</v>
      </c>
      <c r="B9751" s="63" t="s">
        <v>10408</v>
      </c>
    </row>
    <row r="9752" spans="1:2" x14ac:dyDescent="0.25">
      <c r="A9752" s="62">
        <v>42291601</v>
      </c>
      <c r="B9752" s="63" t="s">
        <v>10409</v>
      </c>
    </row>
    <row r="9753" spans="1:2" x14ac:dyDescent="0.25">
      <c r="A9753" s="62">
        <v>42291602</v>
      </c>
      <c r="B9753" s="63" t="s">
        <v>10410</v>
      </c>
    </row>
    <row r="9754" spans="1:2" x14ac:dyDescent="0.25">
      <c r="A9754" s="62">
        <v>42291603</v>
      </c>
      <c r="B9754" s="63" t="s">
        <v>10411</v>
      </c>
    </row>
    <row r="9755" spans="1:2" x14ac:dyDescent="0.25">
      <c r="A9755" s="62">
        <v>42291604</v>
      </c>
      <c r="B9755" s="63" t="s">
        <v>10412</v>
      </c>
    </row>
    <row r="9756" spans="1:2" x14ac:dyDescent="0.25">
      <c r="A9756" s="62">
        <v>42291605</v>
      </c>
      <c r="B9756" s="63" t="s">
        <v>10413</v>
      </c>
    </row>
    <row r="9757" spans="1:2" x14ac:dyDescent="0.25">
      <c r="A9757" s="62">
        <v>42291606</v>
      </c>
      <c r="B9757" s="63" t="s">
        <v>10414</v>
      </c>
    </row>
    <row r="9758" spans="1:2" x14ac:dyDescent="0.25">
      <c r="A9758" s="62">
        <v>42291607</v>
      </c>
      <c r="B9758" s="63" t="s">
        <v>10415</v>
      </c>
    </row>
    <row r="9759" spans="1:2" x14ac:dyDescent="0.25">
      <c r="A9759" s="62">
        <v>42291608</v>
      </c>
      <c r="B9759" s="63" t="s">
        <v>10416</v>
      </c>
    </row>
    <row r="9760" spans="1:2" x14ac:dyDescent="0.25">
      <c r="A9760" s="62">
        <v>42291609</v>
      </c>
      <c r="B9760" s="63" t="s">
        <v>10417</v>
      </c>
    </row>
    <row r="9761" spans="1:2" x14ac:dyDescent="0.25">
      <c r="A9761" s="62">
        <v>42291610</v>
      </c>
      <c r="B9761" s="63" t="s">
        <v>10418</v>
      </c>
    </row>
    <row r="9762" spans="1:2" x14ac:dyDescent="0.25">
      <c r="A9762" s="62">
        <v>42291611</v>
      </c>
      <c r="B9762" s="63" t="s">
        <v>10419</v>
      </c>
    </row>
    <row r="9763" spans="1:2" x14ac:dyDescent="0.25">
      <c r="A9763" s="62">
        <v>42291612</v>
      </c>
      <c r="B9763" s="63" t="s">
        <v>10420</v>
      </c>
    </row>
    <row r="9764" spans="1:2" x14ac:dyDescent="0.25">
      <c r="A9764" s="62">
        <v>42291613</v>
      </c>
      <c r="B9764" s="63" t="s">
        <v>10421</v>
      </c>
    </row>
    <row r="9765" spans="1:2" x14ac:dyDescent="0.25">
      <c r="A9765" s="62">
        <v>42291614</v>
      </c>
      <c r="B9765" s="63" t="s">
        <v>10422</v>
      </c>
    </row>
    <row r="9766" spans="1:2" x14ac:dyDescent="0.25">
      <c r="A9766" s="62">
        <v>42291615</v>
      </c>
      <c r="B9766" s="63" t="s">
        <v>10422</v>
      </c>
    </row>
    <row r="9767" spans="1:2" x14ac:dyDescent="0.25">
      <c r="A9767" s="62">
        <v>42291616</v>
      </c>
      <c r="B9767" s="63" t="s">
        <v>10423</v>
      </c>
    </row>
    <row r="9768" spans="1:2" x14ac:dyDescent="0.25">
      <c r="A9768" s="62">
        <v>42291617</v>
      </c>
      <c r="B9768" s="63" t="s">
        <v>10424</v>
      </c>
    </row>
    <row r="9769" spans="1:2" x14ac:dyDescent="0.25">
      <c r="A9769" s="62">
        <v>42291619</v>
      </c>
      <c r="B9769" s="63" t="s">
        <v>10425</v>
      </c>
    </row>
    <row r="9770" spans="1:2" x14ac:dyDescent="0.25">
      <c r="A9770" s="62">
        <v>42291620</v>
      </c>
      <c r="B9770" s="63" t="s">
        <v>10426</v>
      </c>
    </row>
    <row r="9771" spans="1:2" x14ac:dyDescent="0.25">
      <c r="A9771" s="62">
        <v>42291621</v>
      </c>
      <c r="B9771" s="63" t="s">
        <v>10427</v>
      </c>
    </row>
    <row r="9772" spans="1:2" x14ac:dyDescent="0.25">
      <c r="A9772" s="62">
        <v>42291622</v>
      </c>
      <c r="B9772" s="63" t="s">
        <v>10428</v>
      </c>
    </row>
    <row r="9773" spans="1:2" x14ac:dyDescent="0.25">
      <c r="A9773" s="62">
        <v>42291623</v>
      </c>
      <c r="B9773" s="63" t="s">
        <v>10429</v>
      </c>
    </row>
    <row r="9774" spans="1:2" x14ac:dyDescent="0.25">
      <c r="A9774" s="62">
        <v>42291624</v>
      </c>
      <c r="B9774" s="63" t="s">
        <v>10430</v>
      </c>
    </row>
    <row r="9775" spans="1:2" x14ac:dyDescent="0.25">
      <c r="A9775" s="62">
        <v>42291625</v>
      </c>
      <c r="B9775" s="63" t="s">
        <v>10431</v>
      </c>
    </row>
    <row r="9776" spans="1:2" x14ac:dyDescent="0.25">
      <c r="A9776" s="62">
        <v>42291701</v>
      </c>
      <c r="B9776" s="63" t="s">
        <v>10432</v>
      </c>
    </row>
    <row r="9777" spans="1:2" x14ac:dyDescent="0.25">
      <c r="A9777" s="62">
        <v>42291702</v>
      </c>
      <c r="B9777" s="63" t="s">
        <v>10433</v>
      </c>
    </row>
    <row r="9778" spans="1:2" x14ac:dyDescent="0.25">
      <c r="A9778" s="62">
        <v>42291703</v>
      </c>
      <c r="B9778" s="63" t="s">
        <v>10434</v>
      </c>
    </row>
    <row r="9779" spans="1:2" x14ac:dyDescent="0.25">
      <c r="A9779" s="62">
        <v>42291704</v>
      </c>
      <c r="B9779" s="63" t="s">
        <v>10435</v>
      </c>
    </row>
    <row r="9780" spans="1:2" x14ac:dyDescent="0.25">
      <c r="A9780" s="62">
        <v>42291705</v>
      </c>
      <c r="B9780" s="63" t="s">
        <v>10436</v>
      </c>
    </row>
    <row r="9781" spans="1:2" x14ac:dyDescent="0.25">
      <c r="A9781" s="62">
        <v>42291706</v>
      </c>
      <c r="B9781" s="63" t="s">
        <v>10437</v>
      </c>
    </row>
    <row r="9782" spans="1:2" x14ac:dyDescent="0.25">
      <c r="A9782" s="62">
        <v>42291707</v>
      </c>
      <c r="B9782" s="63" t="s">
        <v>10438</v>
      </c>
    </row>
    <row r="9783" spans="1:2" x14ac:dyDescent="0.25">
      <c r="A9783" s="62">
        <v>42291708</v>
      </c>
      <c r="B9783" s="63" t="s">
        <v>10439</v>
      </c>
    </row>
    <row r="9784" spans="1:2" x14ac:dyDescent="0.25">
      <c r="A9784" s="62">
        <v>42291709</v>
      </c>
      <c r="B9784" s="63" t="s">
        <v>10440</v>
      </c>
    </row>
    <row r="9785" spans="1:2" x14ac:dyDescent="0.25">
      <c r="A9785" s="62">
        <v>42291801</v>
      </c>
      <c r="B9785" s="63" t="s">
        <v>10441</v>
      </c>
    </row>
    <row r="9786" spans="1:2" x14ac:dyDescent="0.25">
      <c r="A9786" s="62">
        <v>42291802</v>
      </c>
      <c r="B9786" s="63" t="s">
        <v>10442</v>
      </c>
    </row>
    <row r="9787" spans="1:2" x14ac:dyDescent="0.25">
      <c r="A9787" s="62">
        <v>42291803</v>
      </c>
      <c r="B9787" s="63" t="s">
        <v>10443</v>
      </c>
    </row>
    <row r="9788" spans="1:2" x14ac:dyDescent="0.25">
      <c r="A9788" s="62">
        <v>42291901</v>
      </c>
      <c r="B9788" s="63" t="s">
        <v>10444</v>
      </c>
    </row>
    <row r="9789" spans="1:2" x14ac:dyDescent="0.25">
      <c r="A9789" s="62">
        <v>42291902</v>
      </c>
      <c r="B9789" s="63" t="s">
        <v>10445</v>
      </c>
    </row>
    <row r="9790" spans="1:2" x14ac:dyDescent="0.25">
      <c r="A9790" s="62">
        <v>42292001</v>
      </c>
      <c r="B9790" s="63" t="s">
        <v>10446</v>
      </c>
    </row>
    <row r="9791" spans="1:2" x14ac:dyDescent="0.25">
      <c r="A9791" s="62">
        <v>42292101</v>
      </c>
      <c r="B9791" s="63" t="s">
        <v>10447</v>
      </c>
    </row>
    <row r="9792" spans="1:2" x14ac:dyDescent="0.25">
      <c r="A9792" s="62">
        <v>42292102</v>
      </c>
      <c r="B9792" s="63" t="s">
        <v>10448</v>
      </c>
    </row>
    <row r="9793" spans="1:2" x14ac:dyDescent="0.25">
      <c r="A9793" s="62">
        <v>42292103</v>
      </c>
      <c r="B9793" s="63" t="s">
        <v>10449</v>
      </c>
    </row>
    <row r="9794" spans="1:2" x14ac:dyDescent="0.25">
      <c r="A9794" s="62">
        <v>42292201</v>
      </c>
      <c r="B9794" s="63" t="s">
        <v>10450</v>
      </c>
    </row>
    <row r="9795" spans="1:2" x14ac:dyDescent="0.25">
      <c r="A9795" s="62">
        <v>42292202</v>
      </c>
      <c r="B9795" s="63" t="s">
        <v>10451</v>
      </c>
    </row>
    <row r="9796" spans="1:2" x14ac:dyDescent="0.25">
      <c r="A9796" s="62">
        <v>42292203</v>
      </c>
      <c r="B9796" s="63" t="s">
        <v>10452</v>
      </c>
    </row>
    <row r="9797" spans="1:2" x14ac:dyDescent="0.25">
      <c r="A9797" s="62">
        <v>42292301</v>
      </c>
      <c r="B9797" s="63" t="s">
        <v>10453</v>
      </c>
    </row>
    <row r="9798" spans="1:2" x14ac:dyDescent="0.25">
      <c r="A9798" s="62">
        <v>42292302</v>
      </c>
      <c r="B9798" s="63" t="s">
        <v>10454</v>
      </c>
    </row>
    <row r="9799" spans="1:2" x14ac:dyDescent="0.25">
      <c r="A9799" s="62">
        <v>42292303</v>
      </c>
      <c r="B9799" s="63" t="s">
        <v>10455</v>
      </c>
    </row>
    <row r="9800" spans="1:2" x14ac:dyDescent="0.25">
      <c r="A9800" s="62">
        <v>42292304</v>
      </c>
      <c r="B9800" s="63" t="s">
        <v>10456</v>
      </c>
    </row>
    <row r="9801" spans="1:2" x14ac:dyDescent="0.25">
      <c r="A9801" s="62">
        <v>42292305</v>
      </c>
      <c r="B9801" s="63" t="s">
        <v>10457</v>
      </c>
    </row>
    <row r="9802" spans="1:2" x14ac:dyDescent="0.25">
      <c r="A9802" s="62">
        <v>42292306</v>
      </c>
      <c r="B9802" s="63" t="s">
        <v>10458</v>
      </c>
    </row>
    <row r="9803" spans="1:2" x14ac:dyDescent="0.25">
      <c r="A9803" s="62">
        <v>42292307</v>
      </c>
      <c r="B9803" s="63" t="s">
        <v>10459</v>
      </c>
    </row>
    <row r="9804" spans="1:2" x14ac:dyDescent="0.25">
      <c r="A9804" s="62">
        <v>42292401</v>
      </c>
      <c r="B9804" s="63" t="s">
        <v>10460</v>
      </c>
    </row>
    <row r="9805" spans="1:2" x14ac:dyDescent="0.25">
      <c r="A9805" s="62">
        <v>42292402</v>
      </c>
      <c r="B9805" s="63" t="s">
        <v>10461</v>
      </c>
    </row>
    <row r="9806" spans="1:2" x14ac:dyDescent="0.25">
      <c r="A9806" s="62">
        <v>42292403</v>
      </c>
      <c r="B9806" s="63" t="s">
        <v>10462</v>
      </c>
    </row>
    <row r="9807" spans="1:2" x14ac:dyDescent="0.25">
      <c r="A9807" s="62">
        <v>42292501</v>
      </c>
      <c r="B9807" s="63" t="s">
        <v>10463</v>
      </c>
    </row>
    <row r="9808" spans="1:2" x14ac:dyDescent="0.25">
      <c r="A9808" s="62">
        <v>42292502</v>
      </c>
      <c r="B9808" s="63" t="s">
        <v>10464</v>
      </c>
    </row>
    <row r="9809" spans="1:2" x14ac:dyDescent="0.25">
      <c r="A9809" s="62">
        <v>42292503</v>
      </c>
      <c r="B9809" s="63" t="s">
        <v>10465</v>
      </c>
    </row>
    <row r="9810" spans="1:2" x14ac:dyDescent="0.25">
      <c r="A9810" s="62">
        <v>42292504</v>
      </c>
      <c r="B9810" s="63" t="s">
        <v>10466</v>
      </c>
    </row>
    <row r="9811" spans="1:2" x14ac:dyDescent="0.25">
      <c r="A9811" s="62">
        <v>42292505</v>
      </c>
      <c r="B9811" s="63" t="s">
        <v>10467</v>
      </c>
    </row>
    <row r="9812" spans="1:2" x14ac:dyDescent="0.25">
      <c r="A9812" s="62">
        <v>42292601</v>
      </c>
      <c r="B9812" s="63" t="s">
        <v>10468</v>
      </c>
    </row>
    <row r="9813" spans="1:2" x14ac:dyDescent="0.25">
      <c r="A9813" s="62">
        <v>42292602</v>
      </c>
      <c r="B9813" s="63" t="s">
        <v>10469</v>
      </c>
    </row>
    <row r="9814" spans="1:2" x14ac:dyDescent="0.25">
      <c r="A9814" s="62">
        <v>42292603</v>
      </c>
      <c r="B9814" s="63" t="s">
        <v>10470</v>
      </c>
    </row>
    <row r="9815" spans="1:2" x14ac:dyDescent="0.25">
      <c r="A9815" s="62">
        <v>42292701</v>
      </c>
      <c r="B9815" s="63" t="s">
        <v>10471</v>
      </c>
    </row>
    <row r="9816" spans="1:2" x14ac:dyDescent="0.25">
      <c r="A9816" s="62">
        <v>42292702</v>
      </c>
      <c r="B9816" s="63" t="s">
        <v>10472</v>
      </c>
    </row>
    <row r="9817" spans="1:2" x14ac:dyDescent="0.25">
      <c r="A9817" s="62">
        <v>42292703</v>
      </c>
      <c r="B9817" s="63" t="s">
        <v>10473</v>
      </c>
    </row>
    <row r="9818" spans="1:2" x14ac:dyDescent="0.25">
      <c r="A9818" s="62">
        <v>42292704</v>
      </c>
      <c r="B9818" s="63" t="s">
        <v>10474</v>
      </c>
    </row>
    <row r="9819" spans="1:2" x14ac:dyDescent="0.25">
      <c r="A9819" s="62">
        <v>42292801</v>
      </c>
      <c r="B9819" s="63" t="s">
        <v>10475</v>
      </c>
    </row>
    <row r="9820" spans="1:2" x14ac:dyDescent="0.25">
      <c r="A9820" s="62">
        <v>42292802</v>
      </c>
      <c r="B9820" s="63" t="s">
        <v>10476</v>
      </c>
    </row>
    <row r="9821" spans="1:2" x14ac:dyDescent="0.25">
      <c r="A9821" s="62">
        <v>42292901</v>
      </c>
      <c r="B9821" s="63" t="s">
        <v>10477</v>
      </c>
    </row>
    <row r="9822" spans="1:2" x14ac:dyDescent="0.25">
      <c r="A9822" s="62">
        <v>42292902</v>
      </c>
      <c r="B9822" s="63" t="s">
        <v>10478</v>
      </c>
    </row>
    <row r="9823" spans="1:2" x14ac:dyDescent="0.25">
      <c r="A9823" s="62">
        <v>42292903</v>
      </c>
      <c r="B9823" s="63" t="s">
        <v>10479</v>
      </c>
    </row>
    <row r="9824" spans="1:2" x14ac:dyDescent="0.25">
      <c r="A9824" s="62">
        <v>42292904</v>
      </c>
      <c r="B9824" s="63" t="s">
        <v>10480</v>
      </c>
    </row>
    <row r="9825" spans="1:2" x14ac:dyDescent="0.25">
      <c r="A9825" s="62">
        <v>42292907</v>
      </c>
      <c r="B9825" s="63" t="s">
        <v>10481</v>
      </c>
    </row>
    <row r="9826" spans="1:2" x14ac:dyDescent="0.25">
      <c r="A9826" s="62">
        <v>42292908</v>
      </c>
      <c r="B9826" s="63" t="s">
        <v>10482</v>
      </c>
    </row>
    <row r="9827" spans="1:2" x14ac:dyDescent="0.25">
      <c r="A9827" s="62">
        <v>42293001</v>
      </c>
      <c r="B9827" s="63" t="s">
        <v>10483</v>
      </c>
    </row>
    <row r="9828" spans="1:2" x14ac:dyDescent="0.25">
      <c r="A9828" s="62">
        <v>42293002</v>
      </c>
      <c r="B9828" s="63" t="s">
        <v>10484</v>
      </c>
    </row>
    <row r="9829" spans="1:2" x14ac:dyDescent="0.25">
      <c r="A9829" s="62">
        <v>42293003</v>
      </c>
      <c r="B9829" s="63" t="s">
        <v>10485</v>
      </c>
    </row>
    <row r="9830" spans="1:2" x14ac:dyDescent="0.25">
      <c r="A9830" s="62">
        <v>42293004</v>
      </c>
      <c r="B9830" s="63" t="s">
        <v>10486</v>
      </c>
    </row>
    <row r="9831" spans="1:2" x14ac:dyDescent="0.25">
      <c r="A9831" s="62">
        <v>42293005</v>
      </c>
      <c r="B9831" s="63" t="s">
        <v>10487</v>
      </c>
    </row>
    <row r="9832" spans="1:2" x14ac:dyDescent="0.25">
      <c r="A9832" s="62">
        <v>42293006</v>
      </c>
      <c r="B9832" s="63" t="s">
        <v>10488</v>
      </c>
    </row>
    <row r="9833" spans="1:2" x14ac:dyDescent="0.25">
      <c r="A9833" s="62">
        <v>42293101</v>
      </c>
      <c r="B9833" s="63" t="s">
        <v>10489</v>
      </c>
    </row>
    <row r="9834" spans="1:2" x14ac:dyDescent="0.25">
      <c r="A9834" s="62">
        <v>42293102</v>
      </c>
      <c r="B9834" s="63" t="s">
        <v>10490</v>
      </c>
    </row>
    <row r="9835" spans="1:2" x14ac:dyDescent="0.25">
      <c r="A9835" s="62">
        <v>42293103</v>
      </c>
      <c r="B9835" s="63" t="s">
        <v>10491</v>
      </c>
    </row>
    <row r="9836" spans="1:2" x14ac:dyDescent="0.25">
      <c r="A9836" s="62">
        <v>42293104</v>
      </c>
      <c r="B9836" s="63" t="s">
        <v>10492</v>
      </c>
    </row>
    <row r="9837" spans="1:2" x14ac:dyDescent="0.25">
      <c r="A9837" s="62">
        <v>42293105</v>
      </c>
      <c r="B9837" s="63" t="s">
        <v>10493</v>
      </c>
    </row>
    <row r="9838" spans="1:2" x14ac:dyDescent="0.25">
      <c r="A9838" s="62">
        <v>42293106</v>
      </c>
      <c r="B9838" s="63" t="s">
        <v>10494</v>
      </c>
    </row>
    <row r="9839" spans="1:2" x14ac:dyDescent="0.25">
      <c r="A9839" s="62">
        <v>42293107</v>
      </c>
      <c r="B9839" s="63" t="s">
        <v>10495</v>
      </c>
    </row>
    <row r="9840" spans="1:2" x14ac:dyDescent="0.25">
      <c r="A9840" s="62">
        <v>42293108</v>
      </c>
      <c r="B9840" s="63" t="s">
        <v>10496</v>
      </c>
    </row>
    <row r="9841" spans="1:2" x14ac:dyDescent="0.25">
      <c r="A9841" s="62">
        <v>42293109</v>
      </c>
      <c r="B9841" s="63" t="s">
        <v>10497</v>
      </c>
    </row>
    <row r="9842" spans="1:2" x14ac:dyDescent="0.25">
      <c r="A9842" s="62">
        <v>42293110</v>
      </c>
      <c r="B9842" s="63" t="s">
        <v>10498</v>
      </c>
    </row>
    <row r="9843" spans="1:2" x14ac:dyDescent="0.25">
      <c r="A9843" s="62">
        <v>42293111</v>
      </c>
      <c r="B9843" s="63" t="s">
        <v>10499</v>
      </c>
    </row>
    <row r="9844" spans="1:2" x14ac:dyDescent="0.25">
      <c r="A9844" s="62">
        <v>42293112</v>
      </c>
      <c r="B9844" s="63" t="s">
        <v>10500</v>
      </c>
    </row>
    <row r="9845" spans="1:2" x14ac:dyDescent="0.25">
      <c r="A9845" s="62">
        <v>42293113</v>
      </c>
      <c r="B9845" s="63" t="s">
        <v>10501</v>
      </c>
    </row>
    <row r="9846" spans="1:2" x14ac:dyDescent="0.25">
      <c r="A9846" s="62">
        <v>42293114</v>
      </c>
      <c r="B9846" s="63" t="s">
        <v>10502</v>
      </c>
    </row>
    <row r="9847" spans="1:2" x14ac:dyDescent="0.25">
      <c r="A9847" s="62">
        <v>42293115</v>
      </c>
      <c r="B9847" s="63" t="s">
        <v>10503</v>
      </c>
    </row>
    <row r="9848" spans="1:2" x14ac:dyDescent="0.25">
      <c r="A9848" s="62">
        <v>42293116</v>
      </c>
      <c r="B9848" s="63" t="s">
        <v>10504</v>
      </c>
    </row>
    <row r="9849" spans="1:2" x14ac:dyDescent="0.25">
      <c r="A9849" s="62">
        <v>42293117</v>
      </c>
      <c r="B9849" s="63" t="s">
        <v>10505</v>
      </c>
    </row>
    <row r="9850" spans="1:2" x14ac:dyDescent="0.25">
      <c r="A9850" s="62">
        <v>42293118</v>
      </c>
      <c r="B9850" s="63" t="s">
        <v>10506</v>
      </c>
    </row>
    <row r="9851" spans="1:2" x14ac:dyDescent="0.25">
      <c r="A9851" s="62">
        <v>42293119</v>
      </c>
      <c r="B9851" s="63" t="s">
        <v>10507</v>
      </c>
    </row>
    <row r="9852" spans="1:2" x14ac:dyDescent="0.25">
      <c r="A9852" s="62">
        <v>42293120</v>
      </c>
      <c r="B9852" s="63" t="s">
        <v>10508</v>
      </c>
    </row>
    <row r="9853" spans="1:2" x14ac:dyDescent="0.25">
      <c r="A9853" s="62">
        <v>42293121</v>
      </c>
      <c r="B9853" s="63" t="s">
        <v>10509</v>
      </c>
    </row>
    <row r="9854" spans="1:2" x14ac:dyDescent="0.25">
      <c r="A9854" s="62">
        <v>42293122</v>
      </c>
      <c r="B9854" s="63" t="s">
        <v>10510</v>
      </c>
    </row>
    <row r="9855" spans="1:2" x14ac:dyDescent="0.25">
      <c r="A9855" s="62">
        <v>42293123</v>
      </c>
      <c r="B9855" s="63" t="s">
        <v>10511</v>
      </c>
    </row>
    <row r="9856" spans="1:2" x14ac:dyDescent="0.25">
      <c r="A9856" s="62">
        <v>42293124</v>
      </c>
      <c r="B9856" s="63" t="s">
        <v>10512</v>
      </c>
    </row>
    <row r="9857" spans="1:2" x14ac:dyDescent="0.25">
      <c r="A9857" s="62">
        <v>42293125</v>
      </c>
      <c r="B9857" s="63" t="s">
        <v>10513</v>
      </c>
    </row>
    <row r="9858" spans="1:2" x14ac:dyDescent="0.25">
      <c r="A9858" s="62">
        <v>42293126</v>
      </c>
      <c r="B9858" s="63" t="s">
        <v>10514</v>
      </c>
    </row>
    <row r="9859" spans="1:2" x14ac:dyDescent="0.25">
      <c r="A9859" s="62">
        <v>42293127</v>
      </c>
      <c r="B9859" s="63" t="s">
        <v>10515</v>
      </c>
    </row>
    <row r="9860" spans="1:2" x14ac:dyDescent="0.25">
      <c r="A9860" s="62">
        <v>42293128</v>
      </c>
      <c r="B9860" s="63" t="s">
        <v>10516</v>
      </c>
    </row>
    <row r="9861" spans="1:2" x14ac:dyDescent="0.25">
      <c r="A9861" s="62">
        <v>42293129</v>
      </c>
      <c r="B9861" s="63" t="s">
        <v>10517</v>
      </c>
    </row>
    <row r="9862" spans="1:2" x14ac:dyDescent="0.25">
      <c r="A9862" s="62">
        <v>42293130</v>
      </c>
      <c r="B9862" s="63" t="s">
        <v>10518</v>
      </c>
    </row>
    <row r="9863" spans="1:2" x14ac:dyDescent="0.25">
      <c r="A9863" s="62">
        <v>42293131</v>
      </c>
      <c r="B9863" s="63" t="s">
        <v>10519</v>
      </c>
    </row>
    <row r="9864" spans="1:2" x14ac:dyDescent="0.25">
      <c r="A9864" s="62">
        <v>42293132</v>
      </c>
      <c r="B9864" s="63" t="s">
        <v>10520</v>
      </c>
    </row>
    <row r="9865" spans="1:2" x14ac:dyDescent="0.25">
      <c r="A9865" s="62">
        <v>42293133</v>
      </c>
      <c r="B9865" s="63" t="s">
        <v>10521</v>
      </c>
    </row>
    <row r="9866" spans="1:2" x14ac:dyDescent="0.25">
      <c r="A9866" s="62">
        <v>42293134</v>
      </c>
      <c r="B9866" s="63" t="s">
        <v>10522</v>
      </c>
    </row>
    <row r="9867" spans="1:2" x14ac:dyDescent="0.25">
      <c r="A9867" s="62">
        <v>42293135</v>
      </c>
      <c r="B9867" s="63" t="s">
        <v>10523</v>
      </c>
    </row>
    <row r="9868" spans="1:2" x14ac:dyDescent="0.25">
      <c r="A9868" s="62">
        <v>42293136</v>
      </c>
      <c r="B9868" s="63" t="s">
        <v>10524</v>
      </c>
    </row>
    <row r="9869" spans="1:2" x14ac:dyDescent="0.25">
      <c r="A9869" s="62">
        <v>42293137</v>
      </c>
      <c r="B9869" s="63" t="s">
        <v>10525</v>
      </c>
    </row>
    <row r="9870" spans="1:2" x14ac:dyDescent="0.25">
      <c r="A9870" s="62">
        <v>42293138</v>
      </c>
      <c r="B9870" s="63" t="s">
        <v>10526</v>
      </c>
    </row>
    <row r="9871" spans="1:2" x14ac:dyDescent="0.25">
      <c r="A9871" s="62">
        <v>42293139</v>
      </c>
      <c r="B9871" s="63" t="s">
        <v>10527</v>
      </c>
    </row>
    <row r="9872" spans="1:2" x14ac:dyDescent="0.25">
      <c r="A9872" s="62">
        <v>42293201</v>
      </c>
      <c r="B9872" s="63" t="s">
        <v>10528</v>
      </c>
    </row>
    <row r="9873" spans="1:2" x14ac:dyDescent="0.25">
      <c r="A9873" s="62">
        <v>42293301</v>
      </c>
      <c r="B9873" s="63" t="s">
        <v>10529</v>
      </c>
    </row>
    <row r="9874" spans="1:2" x14ac:dyDescent="0.25">
      <c r="A9874" s="62">
        <v>42293302</v>
      </c>
      <c r="B9874" s="63" t="s">
        <v>10530</v>
      </c>
    </row>
    <row r="9875" spans="1:2" x14ac:dyDescent="0.25">
      <c r="A9875" s="62">
        <v>42293303</v>
      </c>
      <c r="B9875" s="63" t="s">
        <v>10531</v>
      </c>
    </row>
    <row r="9876" spans="1:2" x14ac:dyDescent="0.25">
      <c r="A9876" s="62">
        <v>42293304</v>
      </c>
      <c r="B9876" s="63" t="s">
        <v>10532</v>
      </c>
    </row>
    <row r="9877" spans="1:2" x14ac:dyDescent="0.25">
      <c r="A9877" s="62">
        <v>42293401</v>
      </c>
      <c r="B9877" s="63" t="s">
        <v>10533</v>
      </c>
    </row>
    <row r="9878" spans="1:2" x14ac:dyDescent="0.25">
      <c r="A9878" s="62">
        <v>42293403</v>
      </c>
      <c r="B9878" s="63" t="s">
        <v>10534</v>
      </c>
    </row>
    <row r="9879" spans="1:2" x14ac:dyDescent="0.25">
      <c r="A9879" s="62">
        <v>42293404</v>
      </c>
      <c r="B9879" s="63" t="s">
        <v>10535</v>
      </c>
    </row>
    <row r="9880" spans="1:2" x14ac:dyDescent="0.25">
      <c r="A9880" s="62">
        <v>42293405</v>
      </c>
      <c r="B9880" s="63" t="s">
        <v>10536</v>
      </c>
    </row>
    <row r="9881" spans="1:2" x14ac:dyDescent="0.25">
      <c r="A9881" s="62">
        <v>42293406</v>
      </c>
      <c r="B9881" s="63" t="s">
        <v>10537</v>
      </c>
    </row>
    <row r="9882" spans="1:2" x14ac:dyDescent="0.25">
      <c r="A9882" s="62">
        <v>42293407</v>
      </c>
      <c r="B9882" s="63" t="s">
        <v>10538</v>
      </c>
    </row>
    <row r="9883" spans="1:2" x14ac:dyDescent="0.25">
      <c r="A9883" s="62">
        <v>42293501</v>
      </c>
      <c r="B9883" s="63" t="s">
        <v>10539</v>
      </c>
    </row>
    <row r="9884" spans="1:2" x14ac:dyDescent="0.25">
      <c r="A9884" s="62">
        <v>42293502</v>
      </c>
      <c r="B9884" s="63" t="s">
        <v>10540</v>
      </c>
    </row>
    <row r="9885" spans="1:2" x14ac:dyDescent="0.25">
      <c r="A9885" s="62">
        <v>42293503</v>
      </c>
      <c r="B9885" s="63" t="s">
        <v>10541</v>
      </c>
    </row>
    <row r="9886" spans="1:2" x14ac:dyDescent="0.25">
      <c r="A9886" s="62">
        <v>42293504</v>
      </c>
      <c r="B9886" s="63" t="s">
        <v>10542</v>
      </c>
    </row>
    <row r="9887" spans="1:2" x14ac:dyDescent="0.25">
      <c r="A9887" s="62">
        <v>42293505</v>
      </c>
      <c r="B9887" s="63" t="s">
        <v>10543</v>
      </c>
    </row>
    <row r="9888" spans="1:2" x14ac:dyDescent="0.25">
      <c r="A9888" s="62">
        <v>42293506</v>
      </c>
      <c r="B9888" s="63" t="s">
        <v>10544</v>
      </c>
    </row>
    <row r="9889" spans="1:2" x14ac:dyDescent="0.25">
      <c r="A9889" s="62">
        <v>42293507</v>
      </c>
      <c r="B9889" s="63" t="s">
        <v>10545</v>
      </c>
    </row>
    <row r="9890" spans="1:2" x14ac:dyDescent="0.25">
      <c r="A9890" s="62">
        <v>42293508</v>
      </c>
      <c r="B9890" s="63" t="s">
        <v>10546</v>
      </c>
    </row>
    <row r="9891" spans="1:2" x14ac:dyDescent="0.25">
      <c r="A9891" s="62">
        <v>42293509</v>
      </c>
      <c r="B9891" s="63" t="s">
        <v>10547</v>
      </c>
    </row>
    <row r="9892" spans="1:2" x14ac:dyDescent="0.25">
      <c r="A9892" s="62">
        <v>42293601</v>
      </c>
      <c r="B9892" s="63" t="s">
        <v>10548</v>
      </c>
    </row>
    <row r="9893" spans="1:2" x14ac:dyDescent="0.25">
      <c r="A9893" s="62">
        <v>42293602</v>
      </c>
      <c r="B9893" s="63" t="s">
        <v>10549</v>
      </c>
    </row>
    <row r="9894" spans="1:2" x14ac:dyDescent="0.25">
      <c r="A9894" s="62">
        <v>42293603</v>
      </c>
      <c r="B9894" s="63" t="s">
        <v>10550</v>
      </c>
    </row>
    <row r="9895" spans="1:2" x14ac:dyDescent="0.25">
      <c r="A9895" s="62">
        <v>42293701</v>
      </c>
      <c r="B9895" s="63" t="s">
        <v>10551</v>
      </c>
    </row>
    <row r="9896" spans="1:2" x14ac:dyDescent="0.25">
      <c r="A9896" s="62">
        <v>42293702</v>
      </c>
      <c r="B9896" s="63" t="s">
        <v>10552</v>
      </c>
    </row>
    <row r="9897" spans="1:2" x14ac:dyDescent="0.25">
      <c r="A9897" s="62">
        <v>42293703</v>
      </c>
      <c r="B9897" s="63" t="s">
        <v>10553</v>
      </c>
    </row>
    <row r="9898" spans="1:2" x14ac:dyDescent="0.25">
      <c r="A9898" s="62">
        <v>42293801</v>
      </c>
      <c r="B9898" s="63" t="s">
        <v>10554</v>
      </c>
    </row>
    <row r="9899" spans="1:2" x14ac:dyDescent="0.25">
      <c r="A9899" s="62">
        <v>42293802</v>
      </c>
      <c r="B9899" s="63" t="s">
        <v>10555</v>
      </c>
    </row>
    <row r="9900" spans="1:2" x14ac:dyDescent="0.25">
      <c r="A9900" s="62">
        <v>42293803</v>
      </c>
      <c r="B9900" s="63" t="s">
        <v>10556</v>
      </c>
    </row>
    <row r="9901" spans="1:2" x14ac:dyDescent="0.25">
      <c r="A9901" s="62">
        <v>42293804</v>
      </c>
      <c r="B9901" s="63" t="s">
        <v>10557</v>
      </c>
    </row>
    <row r="9902" spans="1:2" x14ac:dyDescent="0.25">
      <c r="A9902" s="62">
        <v>42293901</v>
      </c>
      <c r="B9902" s="63" t="s">
        <v>10558</v>
      </c>
    </row>
    <row r="9903" spans="1:2" x14ac:dyDescent="0.25">
      <c r="A9903" s="62">
        <v>42293902</v>
      </c>
      <c r="B9903" s="63" t="s">
        <v>10559</v>
      </c>
    </row>
    <row r="9904" spans="1:2" x14ac:dyDescent="0.25">
      <c r="A9904" s="62">
        <v>42294001</v>
      </c>
      <c r="B9904" s="63" t="s">
        <v>10560</v>
      </c>
    </row>
    <row r="9905" spans="1:2" x14ac:dyDescent="0.25">
      <c r="A9905" s="62">
        <v>42294002</v>
      </c>
      <c r="B9905" s="63" t="s">
        <v>10561</v>
      </c>
    </row>
    <row r="9906" spans="1:2" x14ac:dyDescent="0.25">
      <c r="A9906" s="62">
        <v>42294003</v>
      </c>
      <c r="B9906" s="63" t="s">
        <v>10562</v>
      </c>
    </row>
    <row r="9907" spans="1:2" x14ac:dyDescent="0.25">
      <c r="A9907" s="62">
        <v>42294101</v>
      </c>
      <c r="B9907" s="63" t="s">
        <v>10563</v>
      </c>
    </row>
    <row r="9908" spans="1:2" x14ac:dyDescent="0.25">
      <c r="A9908" s="62">
        <v>42294102</v>
      </c>
      <c r="B9908" s="63" t="s">
        <v>10564</v>
      </c>
    </row>
    <row r="9909" spans="1:2" x14ac:dyDescent="0.25">
      <c r="A9909" s="62">
        <v>42294103</v>
      </c>
      <c r="B9909" s="63" t="s">
        <v>10565</v>
      </c>
    </row>
    <row r="9910" spans="1:2" x14ac:dyDescent="0.25">
      <c r="A9910" s="62">
        <v>42294201</v>
      </c>
      <c r="B9910" s="63" t="s">
        <v>10566</v>
      </c>
    </row>
    <row r="9911" spans="1:2" x14ac:dyDescent="0.25">
      <c r="A9911" s="62">
        <v>42294202</v>
      </c>
      <c r="B9911" s="63" t="s">
        <v>10567</v>
      </c>
    </row>
    <row r="9912" spans="1:2" x14ac:dyDescent="0.25">
      <c r="A9912" s="62">
        <v>42294203</v>
      </c>
      <c r="B9912" s="63" t="s">
        <v>10568</v>
      </c>
    </row>
    <row r="9913" spans="1:2" x14ac:dyDescent="0.25">
      <c r="A9913" s="62">
        <v>42294204</v>
      </c>
      <c r="B9913" s="63" t="s">
        <v>10569</v>
      </c>
    </row>
    <row r="9914" spans="1:2" x14ac:dyDescent="0.25">
      <c r="A9914" s="62">
        <v>42294205</v>
      </c>
      <c r="B9914" s="63" t="s">
        <v>10570</v>
      </c>
    </row>
    <row r="9915" spans="1:2" x14ac:dyDescent="0.25">
      <c r="A9915" s="62">
        <v>42294206</v>
      </c>
      <c r="B9915" s="63" t="s">
        <v>10571</v>
      </c>
    </row>
    <row r="9916" spans="1:2" x14ac:dyDescent="0.25">
      <c r="A9916" s="62">
        <v>42294207</v>
      </c>
      <c r="B9916" s="63" t="s">
        <v>10572</v>
      </c>
    </row>
    <row r="9917" spans="1:2" x14ac:dyDescent="0.25">
      <c r="A9917" s="62">
        <v>42294208</v>
      </c>
      <c r="B9917" s="63" t="s">
        <v>10573</v>
      </c>
    </row>
    <row r="9918" spans="1:2" x14ac:dyDescent="0.25">
      <c r="A9918" s="62">
        <v>42294209</v>
      </c>
      <c r="B9918" s="63" t="s">
        <v>10574</v>
      </c>
    </row>
    <row r="9919" spans="1:2" x14ac:dyDescent="0.25">
      <c r="A9919" s="62">
        <v>42294210</v>
      </c>
      <c r="B9919" s="63" t="s">
        <v>10575</v>
      </c>
    </row>
    <row r="9920" spans="1:2" x14ac:dyDescent="0.25">
      <c r="A9920" s="62">
        <v>42294211</v>
      </c>
      <c r="B9920" s="63" t="s">
        <v>10576</v>
      </c>
    </row>
    <row r="9921" spans="1:2" x14ac:dyDescent="0.25">
      <c r="A9921" s="62">
        <v>42294212</v>
      </c>
      <c r="B9921" s="63" t="s">
        <v>10577</v>
      </c>
    </row>
    <row r="9922" spans="1:2" x14ac:dyDescent="0.25">
      <c r="A9922" s="62">
        <v>42294213</v>
      </c>
      <c r="B9922" s="63" t="s">
        <v>10578</v>
      </c>
    </row>
    <row r="9923" spans="1:2" x14ac:dyDescent="0.25">
      <c r="A9923" s="62">
        <v>42294214</v>
      </c>
      <c r="B9923" s="63" t="s">
        <v>10579</v>
      </c>
    </row>
    <row r="9924" spans="1:2" x14ac:dyDescent="0.25">
      <c r="A9924" s="62">
        <v>42294215</v>
      </c>
      <c r="B9924" s="63" t="s">
        <v>10580</v>
      </c>
    </row>
    <row r="9925" spans="1:2" x14ac:dyDescent="0.25">
      <c r="A9925" s="62">
        <v>42294216</v>
      </c>
      <c r="B9925" s="63" t="s">
        <v>10581</v>
      </c>
    </row>
    <row r="9926" spans="1:2" x14ac:dyDescent="0.25">
      <c r="A9926" s="62">
        <v>42294217</v>
      </c>
      <c r="B9926" s="63" t="s">
        <v>10582</v>
      </c>
    </row>
    <row r="9927" spans="1:2" x14ac:dyDescent="0.25">
      <c r="A9927" s="62">
        <v>42294218</v>
      </c>
      <c r="B9927" s="63" t="s">
        <v>10583</v>
      </c>
    </row>
    <row r="9928" spans="1:2" x14ac:dyDescent="0.25">
      <c r="A9928" s="62">
        <v>42294219</v>
      </c>
      <c r="B9928" s="63" t="s">
        <v>10584</v>
      </c>
    </row>
    <row r="9929" spans="1:2" x14ac:dyDescent="0.25">
      <c r="A9929" s="62">
        <v>42294220</v>
      </c>
      <c r="B9929" s="63" t="s">
        <v>10585</v>
      </c>
    </row>
    <row r="9930" spans="1:2" x14ac:dyDescent="0.25">
      <c r="A9930" s="62">
        <v>42294301</v>
      </c>
      <c r="B9930" s="63" t="s">
        <v>10586</v>
      </c>
    </row>
    <row r="9931" spans="1:2" x14ac:dyDescent="0.25">
      <c r="A9931" s="62">
        <v>42294302</v>
      </c>
      <c r="B9931" s="63" t="s">
        <v>10587</v>
      </c>
    </row>
    <row r="9932" spans="1:2" x14ac:dyDescent="0.25">
      <c r="A9932" s="62">
        <v>42294303</v>
      </c>
      <c r="B9932" s="63" t="s">
        <v>10588</v>
      </c>
    </row>
    <row r="9933" spans="1:2" x14ac:dyDescent="0.25">
      <c r="A9933" s="62">
        <v>42294304</v>
      </c>
      <c r="B9933" s="63" t="s">
        <v>10589</v>
      </c>
    </row>
    <row r="9934" spans="1:2" x14ac:dyDescent="0.25">
      <c r="A9934" s="62">
        <v>42294305</v>
      </c>
      <c r="B9934" s="63" t="s">
        <v>10590</v>
      </c>
    </row>
    <row r="9935" spans="1:2" x14ac:dyDescent="0.25">
      <c r="A9935" s="62">
        <v>42294306</v>
      </c>
      <c r="B9935" s="63" t="s">
        <v>10591</v>
      </c>
    </row>
    <row r="9936" spans="1:2" x14ac:dyDescent="0.25">
      <c r="A9936" s="62">
        <v>42294401</v>
      </c>
      <c r="B9936" s="63" t="s">
        <v>10592</v>
      </c>
    </row>
    <row r="9937" spans="1:2" x14ac:dyDescent="0.25">
      <c r="A9937" s="62">
        <v>42294402</v>
      </c>
      <c r="B9937" s="63" t="s">
        <v>10593</v>
      </c>
    </row>
    <row r="9938" spans="1:2" x14ac:dyDescent="0.25">
      <c r="A9938" s="62">
        <v>42294501</v>
      </c>
      <c r="B9938" s="63" t="s">
        <v>10594</v>
      </c>
    </row>
    <row r="9939" spans="1:2" x14ac:dyDescent="0.25">
      <c r="A9939" s="62">
        <v>42294502</v>
      </c>
      <c r="B9939" s="63" t="s">
        <v>10595</v>
      </c>
    </row>
    <row r="9940" spans="1:2" x14ac:dyDescent="0.25">
      <c r="A9940" s="62">
        <v>42294503</v>
      </c>
      <c r="B9940" s="63" t="s">
        <v>10596</v>
      </c>
    </row>
    <row r="9941" spans="1:2" x14ac:dyDescent="0.25">
      <c r="A9941" s="62">
        <v>42294504</v>
      </c>
      <c r="B9941" s="63" t="s">
        <v>10597</v>
      </c>
    </row>
    <row r="9942" spans="1:2" x14ac:dyDescent="0.25">
      <c r="A9942" s="62">
        <v>42294505</v>
      </c>
      <c r="B9942" s="63" t="s">
        <v>10598</v>
      </c>
    </row>
    <row r="9943" spans="1:2" x14ac:dyDescent="0.25">
      <c r="A9943" s="62">
        <v>42294506</v>
      </c>
      <c r="B9943" s="63" t="s">
        <v>10599</v>
      </c>
    </row>
    <row r="9944" spans="1:2" x14ac:dyDescent="0.25">
      <c r="A9944" s="62">
        <v>42294507</v>
      </c>
      <c r="B9944" s="63" t="s">
        <v>10600</v>
      </c>
    </row>
    <row r="9945" spans="1:2" x14ac:dyDescent="0.25">
      <c r="A9945" s="62">
        <v>42294508</v>
      </c>
      <c r="B9945" s="63" t="s">
        <v>10601</v>
      </c>
    </row>
    <row r="9946" spans="1:2" x14ac:dyDescent="0.25">
      <c r="A9946" s="62">
        <v>42294509</v>
      </c>
      <c r="B9946" s="63" t="s">
        <v>10602</v>
      </c>
    </row>
    <row r="9947" spans="1:2" x14ac:dyDescent="0.25">
      <c r="A9947" s="62">
        <v>42294510</v>
      </c>
      <c r="B9947" s="63" t="s">
        <v>10603</v>
      </c>
    </row>
    <row r="9948" spans="1:2" x14ac:dyDescent="0.25">
      <c r="A9948" s="62">
        <v>42294511</v>
      </c>
      <c r="B9948" s="63" t="s">
        <v>10604</v>
      </c>
    </row>
    <row r="9949" spans="1:2" x14ac:dyDescent="0.25">
      <c r="A9949" s="62">
        <v>42294512</v>
      </c>
      <c r="B9949" s="63" t="s">
        <v>10605</v>
      </c>
    </row>
    <row r="9950" spans="1:2" x14ac:dyDescent="0.25">
      <c r="A9950" s="62">
        <v>42294513</v>
      </c>
      <c r="B9950" s="63" t="s">
        <v>10606</v>
      </c>
    </row>
    <row r="9951" spans="1:2" x14ac:dyDescent="0.25">
      <c r="A9951" s="62">
        <v>42294514</v>
      </c>
      <c r="B9951" s="63" t="s">
        <v>10607</v>
      </c>
    </row>
    <row r="9952" spans="1:2" x14ac:dyDescent="0.25">
      <c r="A9952" s="62">
        <v>42294515</v>
      </c>
      <c r="B9952" s="63" t="s">
        <v>10608</v>
      </c>
    </row>
    <row r="9953" spans="1:2" x14ac:dyDescent="0.25">
      <c r="A9953" s="62">
        <v>42294516</v>
      </c>
      <c r="B9953" s="63" t="s">
        <v>10609</v>
      </c>
    </row>
    <row r="9954" spans="1:2" x14ac:dyDescent="0.25">
      <c r="A9954" s="62">
        <v>42294517</v>
      </c>
      <c r="B9954" s="63" t="s">
        <v>10610</v>
      </c>
    </row>
    <row r="9955" spans="1:2" x14ac:dyDescent="0.25">
      <c r="A9955" s="62">
        <v>42294518</v>
      </c>
      <c r="B9955" s="63" t="s">
        <v>10611</v>
      </c>
    </row>
    <row r="9956" spans="1:2" x14ac:dyDescent="0.25">
      <c r="A9956" s="62">
        <v>42294519</v>
      </c>
      <c r="B9956" s="63" t="s">
        <v>10612</v>
      </c>
    </row>
    <row r="9957" spans="1:2" x14ac:dyDescent="0.25">
      <c r="A9957" s="62">
        <v>42294520</v>
      </c>
      <c r="B9957" s="63" t="s">
        <v>10613</v>
      </c>
    </row>
    <row r="9958" spans="1:2" x14ac:dyDescent="0.25">
      <c r="A9958" s="62">
        <v>42294521</v>
      </c>
      <c r="B9958" s="63" t="s">
        <v>10614</v>
      </c>
    </row>
    <row r="9959" spans="1:2" x14ac:dyDescent="0.25">
      <c r="A9959" s="62">
        <v>42294522</v>
      </c>
      <c r="B9959" s="63" t="s">
        <v>10615</v>
      </c>
    </row>
    <row r="9960" spans="1:2" x14ac:dyDescent="0.25">
      <c r="A9960" s="62">
        <v>42294523</v>
      </c>
      <c r="B9960" s="63" t="s">
        <v>10616</v>
      </c>
    </row>
    <row r="9961" spans="1:2" x14ac:dyDescent="0.25">
      <c r="A9961" s="62">
        <v>42294524</v>
      </c>
      <c r="B9961" s="63" t="s">
        <v>10617</v>
      </c>
    </row>
    <row r="9962" spans="1:2" x14ac:dyDescent="0.25">
      <c r="A9962" s="62">
        <v>42294525</v>
      </c>
      <c r="B9962" s="63" t="s">
        <v>10618</v>
      </c>
    </row>
    <row r="9963" spans="1:2" x14ac:dyDescent="0.25">
      <c r="A9963" s="62">
        <v>42294526</v>
      </c>
      <c r="B9963" s="63" t="s">
        <v>10619</v>
      </c>
    </row>
    <row r="9964" spans="1:2" x14ac:dyDescent="0.25">
      <c r="A9964" s="62">
        <v>42294601</v>
      </c>
      <c r="B9964" s="63" t="s">
        <v>10620</v>
      </c>
    </row>
    <row r="9965" spans="1:2" x14ac:dyDescent="0.25">
      <c r="A9965" s="62">
        <v>42294602</v>
      </c>
      <c r="B9965" s="63" t="s">
        <v>10621</v>
      </c>
    </row>
    <row r="9966" spans="1:2" x14ac:dyDescent="0.25">
      <c r="A9966" s="62">
        <v>42294603</v>
      </c>
      <c r="B9966" s="63" t="s">
        <v>10622</v>
      </c>
    </row>
    <row r="9967" spans="1:2" x14ac:dyDescent="0.25">
      <c r="A9967" s="62">
        <v>42294604</v>
      </c>
      <c r="B9967" s="63" t="s">
        <v>10623</v>
      </c>
    </row>
    <row r="9968" spans="1:2" x14ac:dyDescent="0.25">
      <c r="A9968" s="62">
        <v>42294605</v>
      </c>
      <c r="B9968" s="63" t="s">
        <v>10624</v>
      </c>
    </row>
    <row r="9969" spans="1:2" x14ac:dyDescent="0.25">
      <c r="A9969" s="62">
        <v>42294606</v>
      </c>
      <c r="B9969" s="63" t="s">
        <v>10625</v>
      </c>
    </row>
    <row r="9970" spans="1:2" x14ac:dyDescent="0.25">
      <c r="A9970" s="62">
        <v>42294607</v>
      </c>
      <c r="B9970" s="63" t="s">
        <v>10626</v>
      </c>
    </row>
    <row r="9971" spans="1:2" x14ac:dyDescent="0.25">
      <c r="A9971" s="62">
        <v>42294701</v>
      </c>
      <c r="B9971" s="63" t="s">
        <v>10627</v>
      </c>
    </row>
    <row r="9972" spans="1:2" x14ac:dyDescent="0.25">
      <c r="A9972" s="62">
        <v>42294702</v>
      </c>
      <c r="B9972" s="63" t="s">
        <v>10628</v>
      </c>
    </row>
    <row r="9973" spans="1:2" x14ac:dyDescent="0.25">
      <c r="A9973" s="62">
        <v>42294703</v>
      </c>
      <c r="B9973" s="63" t="s">
        <v>10629</v>
      </c>
    </row>
    <row r="9974" spans="1:2" x14ac:dyDescent="0.25">
      <c r="A9974" s="62">
        <v>42294704</v>
      </c>
      <c r="B9974" s="63" t="s">
        <v>10630</v>
      </c>
    </row>
    <row r="9975" spans="1:2" x14ac:dyDescent="0.25">
      <c r="A9975" s="62">
        <v>42294705</v>
      </c>
      <c r="B9975" s="63" t="s">
        <v>10631</v>
      </c>
    </row>
    <row r="9976" spans="1:2" x14ac:dyDescent="0.25">
      <c r="A9976" s="62">
        <v>42294706</v>
      </c>
      <c r="B9976" s="63" t="s">
        <v>10632</v>
      </c>
    </row>
    <row r="9977" spans="1:2" x14ac:dyDescent="0.25">
      <c r="A9977" s="62">
        <v>42294707</v>
      </c>
      <c r="B9977" s="63" t="s">
        <v>10633</v>
      </c>
    </row>
    <row r="9978" spans="1:2" x14ac:dyDescent="0.25">
      <c r="A9978" s="62">
        <v>42294708</v>
      </c>
      <c r="B9978" s="63" t="s">
        <v>10634</v>
      </c>
    </row>
    <row r="9979" spans="1:2" x14ac:dyDescent="0.25">
      <c r="A9979" s="62">
        <v>42294709</v>
      </c>
      <c r="B9979" s="63" t="s">
        <v>10635</v>
      </c>
    </row>
    <row r="9980" spans="1:2" x14ac:dyDescent="0.25">
      <c r="A9980" s="62">
        <v>42294710</v>
      </c>
      <c r="B9980" s="63" t="s">
        <v>10636</v>
      </c>
    </row>
    <row r="9981" spans="1:2" x14ac:dyDescent="0.25">
      <c r="A9981" s="62">
        <v>42294711</v>
      </c>
      <c r="B9981" s="63" t="s">
        <v>10637</v>
      </c>
    </row>
    <row r="9982" spans="1:2" x14ac:dyDescent="0.25">
      <c r="A9982" s="62">
        <v>42294712</v>
      </c>
      <c r="B9982" s="63" t="s">
        <v>10638</v>
      </c>
    </row>
    <row r="9983" spans="1:2" x14ac:dyDescent="0.25">
      <c r="A9983" s="62">
        <v>42294713</v>
      </c>
      <c r="B9983" s="63" t="s">
        <v>10639</v>
      </c>
    </row>
    <row r="9984" spans="1:2" x14ac:dyDescent="0.25">
      <c r="A9984" s="62">
        <v>42294714</v>
      </c>
      <c r="B9984" s="63" t="s">
        <v>10640</v>
      </c>
    </row>
    <row r="9985" spans="1:2" x14ac:dyDescent="0.25">
      <c r="A9985" s="62">
        <v>42294715</v>
      </c>
      <c r="B9985" s="63" t="s">
        <v>10641</v>
      </c>
    </row>
    <row r="9986" spans="1:2" x14ac:dyDescent="0.25">
      <c r="A9986" s="62">
        <v>42294716</v>
      </c>
      <c r="B9986" s="63" t="s">
        <v>10642</v>
      </c>
    </row>
    <row r="9987" spans="1:2" x14ac:dyDescent="0.25">
      <c r="A9987" s="62">
        <v>42294717</v>
      </c>
      <c r="B9987" s="63" t="s">
        <v>10643</v>
      </c>
    </row>
    <row r="9988" spans="1:2" x14ac:dyDescent="0.25">
      <c r="A9988" s="62">
        <v>42294718</v>
      </c>
      <c r="B9988" s="63" t="s">
        <v>10644</v>
      </c>
    </row>
    <row r="9989" spans="1:2" x14ac:dyDescent="0.25">
      <c r="A9989" s="62">
        <v>42294719</v>
      </c>
      <c r="B9989" s="63" t="s">
        <v>10645</v>
      </c>
    </row>
    <row r="9990" spans="1:2" x14ac:dyDescent="0.25">
      <c r="A9990" s="62">
        <v>42294720</v>
      </c>
      <c r="B9990" s="63" t="s">
        <v>10646</v>
      </c>
    </row>
    <row r="9991" spans="1:2" x14ac:dyDescent="0.25">
      <c r="A9991" s="62">
        <v>42294721</v>
      </c>
      <c r="B9991" s="63" t="s">
        <v>10647</v>
      </c>
    </row>
    <row r="9992" spans="1:2" x14ac:dyDescent="0.25">
      <c r="A9992" s="62">
        <v>42294722</v>
      </c>
      <c r="B9992" s="63" t="s">
        <v>10648</v>
      </c>
    </row>
    <row r="9993" spans="1:2" x14ac:dyDescent="0.25">
      <c r="A9993" s="62">
        <v>42294801</v>
      </c>
      <c r="B9993" s="63" t="s">
        <v>10649</v>
      </c>
    </row>
    <row r="9994" spans="1:2" x14ac:dyDescent="0.25">
      <c r="A9994" s="62">
        <v>42294802</v>
      </c>
      <c r="B9994" s="63" t="s">
        <v>10650</v>
      </c>
    </row>
    <row r="9995" spans="1:2" x14ac:dyDescent="0.25">
      <c r="A9995" s="62">
        <v>42294803</v>
      </c>
      <c r="B9995" s="63" t="s">
        <v>10651</v>
      </c>
    </row>
    <row r="9996" spans="1:2" x14ac:dyDescent="0.25">
      <c r="A9996" s="62">
        <v>42294804</v>
      </c>
      <c r="B9996" s="63" t="s">
        <v>10652</v>
      </c>
    </row>
    <row r="9997" spans="1:2" x14ac:dyDescent="0.25">
      <c r="A9997" s="62">
        <v>42294805</v>
      </c>
      <c r="B9997" s="63" t="s">
        <v>10653</v>
      </c>
    </row>
    <row r="9998" spans="1:2" x14ac:dyDescent="0.25">
      <c r="A9998" s="62">
        <v>42294806</v>
      </c>
      <c r="B9998" s="63" t="s">
        <v>10654</v>
      </c>
    </row>
    <row r="9999" spans="1:2" x14ac:dyDescent="0.25">
      <c r="A9999" s="62">
        <v>42294807</v>
      </c>
      <c r="B9999" s="63" t="s">
        <v>10655</v>
      </c>
    </row>
    <row r="10000" spans="1:2" x14ac:dyDescent="0.25">
      <c r="A10000" s="62">
        <v>42294808</v>
      </c>
      <c r="B10000" s="63" t="s">
        <v>10656</v>
      </c>
    </row>
    <row r="10001" spans="1:2" x14ac:dyDescent="0.25">
      <c r="A10001" s="62">
        <v>42294901</v>
      </c>
      <c r="B10001" s="63" t="s">
        <v>10657</v>
      </c>
    </row>
    <row r="10002" spans="1:2" x14ac:dyDescent="0.25">
      <c r="A10002" s="62">
        <v>42294902</v>
      </c>
      <c r="B10002" s="63" t="s">
        <v>10658</v>
      </c>
    </row>
    <row r="10003" spans="1:2" x14ac:dyDescent="0.25">
      <c r="A10003" s="62">
        <v>42294903</v>
      </c>
      <c r="B10003" s="63" t="s">
        <v>10659</v>
      </c>
    </row>
    <row r="10004" spans="1:2" x14ac:dyDescent="0.25">
      <c r="A10004" s="62">
        <v>42294904</v>
      </c>
      <c r="B10004" s="63" t="s">
        <v>10660</v>
      </c>
    </row>
    <row r="10005" spans="1:2" x14ac:dyDescent="0.25">
      <c r="A10005" s="62">
        <v>42294905</v>
      </c>
      <c r="B10005" s="63" t="s">
        <v>10661</v>
      </c>
    </row>
    <row r="10006" spans="1:2" x14ac:dyDescent="0.25">
      <c r="A10006" s="62">
        <v>42294906</v>
      </c>
      <c r="B10006" s="63" t="s">
        <v>10662</v>
      </c>
    </row>
    <row r="10007" spans="1:2" x14ac:dyDescent="0.25">
      <c r="A10007" s="62">
        <v>42294907</v>
      </c>
      <c r="B10007" s="63" t="s">
        <v>10663</v>
      </c>
    </row>
    <row r="10008" spans="1:2" x14ac:dyDescent="0.25">
      <c r="A10008" s="62">
        <v>42294908</v>
      </c>
      <c r="B10008" s="63" t="s">
        <v>10664</v>
      </c>
    </row>
    <row r="10009" spans="1:2" x14ac:dyDescent="0.25">
      <c r="A10009" s="62">
        <v>42294909</v>
      </c>
      <c r="B10009" s="63" t="s">
        <v>10665</v>
      </c>
    </row>
    <row r="10010" spans="1:2" x14ac:dyDescent="0.25">
      <c r="A10010" s="62">
        <v>42294910</v>
      </c>
      <c r="B10010" s="63" t="s">
        <v>10666</v>
      </c>
    </row>
    <row r="10011" spans="1:2" x14ac:dyDescent="0.25">
      <c r="A10011" s="62">
        <v>42294911</v>
      </c>
      <c r="B10011" s="63" t="s">
        <v>10667</v>
      </c>
    </row>
    <row r="10012" spans="1:2" x14ac:dyDescent="0.25">
      <c r="A10012" s="62">
        <v>42294912</v>
      </c>
      <c r="B10012" s="63" t="s">
        <v>10668</v>
      </c>
    </row>
    <row r="10013" spans="1:2" x14ac:dyDescent="0.25">
      <c r="A10013" s="62">
        <v>42294913</v>
      </c>
      <c r="B10013" s="63" t="s">
        <v>10669</v>
      </c>
    </row>
    <row r="10014" spans="1:2" x14ac:dyDescent="0.25">
      <c r="A10014" s="62">
        <v>42294914</v>
      </c>
      <c r="B10014" s="63" t="s">
        <v>10670</v>
      </c>
    </row>
    <row r="10015" spans="1:2" x14ac:dyDescent="0.25">
      <c r="A10015" s="62">
        <v>42294915</v>
      </c>
      <c r="B10015" s="63" t="s">
        <v>10671</v>
      </c>
    </row>
    <row r="10016" spans="1:2" x14ac:dyDescent="0.25">
      <c r="A10016" s="62">
        <v>42294916</v>
      </c>
      <c r="B10016" s="63" t="s">
        <v>10672</v>
      </c>
    </row>
    <row r="10017" spans="1:2" x14ac:dyDescent="0.25">
      <c r="A10017" s="62">
        <v>42294917</v>
      </c>
      <c r="B10017" s="63" t="s">
        <v>10673</v>
      </c>
    </row>
    <row r="10018" spans="1:2" x14ac:dyDescent="0.25">
      <c r="A10018" s="62">
        <v>42294918</v>
      </c>
      <c r="B10018" s="63" t="s">
        <v>10674</v>
      </c>
    </row>
    <row r="10019" spans="1:2" x14ac:dyDescent="0.25">
      <c r="A10019" s="62">
        <v>42294919</v>
      </c>
      <c r="B10019" s="63" t="s">
        <v>10675</v>
      </c>
    </row>
    <row r="10020" spans="1:2" x14ac:dyDescent="0.25">
      <c r="A10020" s="62">
        <v>42294920</v>
      </c>
      <c r="B10020" s="63" t="s">
        <v>10676</v>
      </c>
    </row>
    <row r="10021" spans="1:2" x14ac:dyDescent="0.25">
      <c r="A10021" s="62">
        <v>42294921</v>
      </c>
      <c r="B10021" s="63" t="s">
        <v>10677</v>
      </c>
    </row>
    <row r="10022" spans="1:2" x14ac:dyDescent="0.25">
      <c r="A10022" s="62">
        <v>42294922</v>
      </c>
      <c r="B10022" s="63" t="s">
        <v>10678</v>
      </c>
    </row>
    <row r="10023" spans="1:2" x14ac:dyDescent="0.25">
      <c r="A10023" s="62">
        <v>42294923</v>
      </c>
      <c r="B10023" s="63" t="s">
        <v>10679</v>
      </c>
    </row>
    <row r="10024" spans="1:2" x14ac:dyDescent="0.25">
      <c r="A10024" s="62">
        <v>42294924</v>
      </c>
      <c r="B10024" s="63" t="s">
        <v>10680</v>
      </c>
    </row>
    <row r="10025" spans="1:2" x14ac:dyDescent="0.25">
      <c r="A10025" s="62">
        <v>42294925</v>
      </c>
      <c r="B10025" s="63" t="s">
        <v>10681</v>
      </c>
    </row>
    <row r="10026" spans="1:2" x14ac:dyDescent="0.25">
      <c r="A10026" s="62">
        <v>42294926</v>
      </c>
      <c r="B10026" s="63" t="s">
        <v>10682</v>
      </c>
    </row>
    <row r="10027" spans="1:2" x14ac:dyDescent="0.25">
      <c r="A10027" s="62">
        <v>42294927</v>
      </c>
      <c r="B10027" s="63" t="s">
        <v>10683</v>
      </c>
    </row>
    <row r="10028" spans="1:2" x14ac:dyDescent="0.25">
      <c r="A10028" s="62">
        <v>42294928</v>
      </c>
      <c r="B10028" s="63" t="s">
        <v>10684</v>
      </c>
    </row>
    <row r="10029" spans="1:2" x14ac:dyDescent="0.25">
      <c r="A10029" s="62">
        <v>42294929</v>
      </c>
      <c r="B10029" s="63" t="s">
        <v>10685</v>
      </c>
    </row>
    <row r="10030" spans="1:2" x14ac:dyDescent="0.25">
      <c r="A10030" s="62">
        <v>42294930</v>
      </c>
      <c r="B10030" s="63" t="s">
        <v>10686</v>
      </c>
    </row>
    <row r="10031" spans="1:2" x14ac:dyDescent="0.25">
      <c r="A10031" s="62">
        <v>42294931</v>
      </c>
      <c r="B10031" s="63" t="s">
        <v>10687</v>
      </c>
    </row>
    <row r="10032" spans="1:2" x14ac:dyDescent="0.25">
      <c r="A10032" s="62">
        <v>42294932</v>
      </c>
      <c r="B10032" s="63" t="s">
        <v>10688</v>
      </c>
    </row>
    <row r="10033" spans="1:2" x14ac:dyDescent="0.25">
      <c r="A10033" s="62">
        <v>42294933</v>
      </c>
      <c r="B10033" s="63" t="s">
        <v>10689</v>
      </c>
    </row>
    <row r="10034" spans="1:2" x14ac:dyDescent="0.25">
      <c r="A10034" s="62">
        <v>42294934</v>
      </c>
      <c r="B10034" s="63" t="s">
        <v>10690</v>
      </c>
    </row>
    <row r="10035" spans="1:2" x14ac:dyDescent="0.25">
      <c r="A10035" s="62">
        <v>42294935</v>
      </c>
      <c r="B10035" s="63" t="s">
        <v>10691</v>
      </c>
    </row>
    <row r="10036" spans="1:2" x14ac:dyDescent="0.25">
      <c r="A10036" s="62">
        <v>42294936</v>
      </c>
      <c r="B10036" s="63" t="s">
        <v>10692</v>
      </c>
    </row>
    <row r="10037" spans="1:2" x14ac:dyDescent="0.25">
      <c r="A10037" s="62">
        <v>42294937</v>
      </c>
      <c r="B10037" s="63" t="s">
        <v>10693</v>
      </c>
    </row>
    <row r="10038" spans="1:2" x14ac:dyDescent="0.25">
      <c r="A10038" s="62">
        <v>42294938</v>
      </c>
      <c r="B10038" s="63" t="s">
        <v>10694</v>
      </c>
    </row>
    <row r="10039" spans="1:2" x14ac:dyDescent="0.25">
      <c r="A10039" s="62">
        <v>42294939</v>
      </c>
      <c r="B10039" s="63" t="s">
        <v>10695</v>
      </c>
    </row>
    <row r="10040" spans="1:2" x14ac:dyDescent="0.25">
      <c r="A10040" s="62">
        <v>42294940</v>
      </c>
      <c r="B10040" s="63" t="s">
        <v>10696</v>
      </c>
    </row>
    <row r="10041" spans="1:2" x14ac:dyDescent="0.25">
      <c r="A10041" s="62">
        <v>42294941</v>
      </c>
      <c r="B10041" s="63" t="s">
        <v>10697</v>
      </c>
    </row>
    <row r="10042" spans="1:2" x14ac:dyDescent="0.25">
      <c r="A10042" s="62">
        <v>42294942</v>
      </c>
      <c r="B10042" s="63" t="s">
        <v>10698</v>
      </c>
    </row>
    <row r="10043" spans="1:2" x14ac:dyDescent="0.25">
      <c r="A10043" s="62">
        <v>42294943</v>
      </c>
      <c r="B10043" s="63" t="s">
        <v>10699</v>
      </c>
    </row>
    <row r="10044" spans="1:2" x14ac:dyDescent="0.25">
      <c r="A10044" s="62">
        <v>42294944</v>
      </c>
      <c r="B10044" s="63" t="s">
        <v>10700</v>
      </c>
    </row>
    <row r="10045" spans="1:2" x14ac:dyDescent="0.25">
      <c r="A10045" s="62">
        <v>42294945</v>
      </c>
      <c r="B10045" s="63" t="s">
        <v>10701</v>
      </c>
    </row>
    <row r="10046" spans="1:2" x14ac:dyDescent="0.25">
      <c r="A10046" s="62">
        <v>42294946</v>
      </c>
      <c r="B10046" s="63" t="s">
        <v>10702</v>
      </c>
    </row>
    <row r="10047" spans="1:2" x14ac:dyDescent="0.25">
      <c r="A10047" s="62">
        <v>42294947</v>
      </c>
      <c r="B10047" s="63" t="s">
        <v>10703</v>
      </c>
    </row>
    <row r="10048" spans="1:2" x14ac:dyDescent="0.25">
      <c r="A10048" s="62">
        <v>42294948</v>
      </c>
      <c r="B10048" s="63" t="s">
        <v>10704</v>
      </c>
    </row>
    <row r="10049" spans="1:2" x14ac:dyDescent="0.25">
      <c r="A10049" s="62">
        <v>42294949</v>
      </c>
      <c r="B10049" s="63" t="s">
        <v>10705</v>
      </c>
    </row>
    <row r="10050" spans="1:2" x14ac:dyDescent="0.25">
      <c r="A10050" s="62">
        <v>42294950</v>
      </c>
      <c r="B10050" s="63" t="s">
        <v>10706</v>
      </c>
    </row>
    <row r="10051" spans="1:2" x14ac:dyDescent="0.25">
      <c r="A10051" s="62">
        <v>42294951</v>
      </c>
      <c r="B10051" s="63" t="s">
        <v>10707</v>
      </c>
    </row>
    <row r="10052" spans="1:2" x14ac:dyDescent="0.25">
      <c r="A10052" s="62">
        <v>42294952</v>
      </c>
      <c r="B10052" s="63" t="s">
        <v>10708</v>
      </c>
    </row>
    <row r="10053" spans="1:2" x14ac:dyDescent="0.25">
      <c r="A10053" s="62">
        <v>42294953</v>
      </c>
      <c r="B10053" s="63" t="s">
        <v>10709</v>
      </c>
    </row>
    <row r="10054" spans="1:2" x14ac:dyDescent="0.25">
      <c r="A10054" s="62">
        <v>42294954</v>
      </c>
      <c r="B10054" s="63" t="s">
        <v>10710</v>
      </c>
    </row>
    <row r="10055" spans="1:2" x14ac:dyDescent="0.25">
      <c r="A10055" s="62">
        <v>42294955</v>
      </c>
      <c r="B10055" s="63" t="s">
        <v>10711</v>
      </c>
    </row>
    <row r="10056" spans="1:2" x14ac:dyDescent="0.25">
      <c r="A10056" s="62">
        <v>42294956</v>
      </c>
      <c r="B10056" s="63" t="s">
        <v>10712</v>
      </c>
    </row>
    <row r="10057" spans="1:2" x14ac:dyDescent="0.25">
      <c r="A10057" s="62">
        <v>42295001</v>
      </c>
      <c r="B10057" s="63" t="s">
        <v>10713</v>
      </c>
    </row>
    <row r="10058" spans="1:2" x14ac:dyDescent="0.25">
      <c r="A10058" s="62">
        <v>42295002</v>
      </c>
      <c r="B10058" s="63" t="s">
        <v>10714</v>
      </c>
    </row>
    <row r="10059" spans="1:2" x14ac:dyDescent="0.25">
      <c r="A10059" s="62">
        <v>42295003</v>
      </c>
      <c r="B10059" s="63" t="s">
        <v>10715</v>
      </c>
    </row>
    <row r="10060" spans="1:2" x14ac:dyDescent="0.25">
      <c r="A10060" s="62">
        <v>42295004</v>
      </c>
      <c r="B10060" s="63" t="s">
        <v>10716</v>
      </c>
    </row>
    <row r="10061" spans="1:2" x14ac:dyDescent="0.25">
      <c r="A10061" s="62">
        <v>42295005</v>
      </c>
      <c r="B10061" s="63" t="s">
        <v>10717</v>
      </c>
    </row>
    <row r="10062" spans="1:2" x14ac:dyDescent="0.25">
      <c r="A10062" s="62">
        <v>42295006</v>
      </c>
      <c r="B10062" s="63" t="s">
        <v>10718</v>
      </c>
    </row>
    <row r="10063" spans="1:2" x14ac:dyDescent="0.25">
      <c r="A10063" s="62">
        <v>42295007</v>
      </c>
      <c r="B10063" s="63" t="s">
        <v>10719</v>
      </c>
    </row>
    <row r="10064" spans="1:2" x14ac:dyDescent="0.25">
      <c r="A10064" s="62">
        <v>42295008</v>
      </c>
      <c r="B10064" s="63" t="s">
        <v>10720</v>
      </c>
    </row>
    <row r="10065" spans="1:2" x14ac:dyDescent="0.25">
      <c r="A10065" s="62">
        <v>42295009</v>
      </c>
      <c r="B10065" s="63" t="s">
        <v>10721</v>
      </c>
    </row>
    <row r="10066" spans="1:2" x14ac:dyDescent="0.25">
      <c r="A10066" s="62">
        <v>42295010</v>
      </c>
      <c r="B10066" s="63" t="s">
        <v>10722</v>
      </c>
    </row>
    <row r="10067" spans="1:2" x14ac:dyDescent="0.25">
      <c r="A10067" s="62">
        <v>42295011</v>
      </c>
      <c r="B10067" s="63" t="s">
        <v>10723</v>
      </c>
    </row>
    <row r="10068" spans="1:2" x14ac:dyDescent="0.25">
      <c r="A10068" s="62">
        <v>42295012</v>
      </c>
      <c r="B10068" s="63" t="s">
        <v>10724</v>
      </c>
    </row>
    <row r="10069" spans="1:2" x14ac:dyDescent="0.25">
      <c r="A10069" s="62">
        <v>42295013</v>
      </c>
      <c r="B10069" s="63" t="s">
        <v>10725</v>
      </c>
    </row>
    <row r="10070" spans="1:2" x14ac:dyDescent="0.25">
      <c r="A10070" s="62">
        <v>42295014</v>
      </c>
      <c r="B10070" s="63" t="s">
        <v>10726</v>
      </c>
    </row>
    <row r="10071" spans="1:2" x14ac:dyDescent="0.25">
      <c r="A10071" s="62">
        <v>42295015</v>
      </c>
      <c r="B10071" s="63" t="s">
        <v>10727</v>
      </c>
    </row>
    <row r="10072" spans="1:2" x14ac:dyDescent="0.25">
      <c r="A10072" s="62">
        <v>42295101</v>
      </c>
      <c r="B10072" s="63" t="s">
        <v>10728</v>
      </c>
    </row>
    <row r="10073" spans="1:2" x14ac:dyDescent="0.25">
      <c r="A10073" s="62">
        <v>42295102</v>
      </c>
      <c r="B10073" s="63" t="s">
        <v>10729</v>
      </c>
    </row>
    <row r="10074" spans="1:2" x14ac:dyDescent="0.25">
      <c r="A10074" s="62">
        <v>42295103</v>
      </c>
      <c r="B10074" s="63" t="s">
        <v>10730</v>
      </c>
    </row>
    <row r="10075" spans="1:2" x14ac:dyDescent="0.25">
      <c r="A10075" s="62">
        <v>42295104</v>
      </c>
      <c r="B10075" s="63" t="s">
        <v>10731</v>
      </c>
    </row>
    <row r="10076" spans="1:2" x14ac:dyDescent="0.25">
      <c r="A10076" s="62">
        <v>42295105</v>
      </c>
      <c r="B10076" s="63" t="s">
        <v>10732</v>
      </c>
    </row>
    <row r="10077" spans="1:2" x14ac:dyDescent="0.25">
      <c r="A10077" s="62">
        <v>42295106</v>
      </c>
      <c r="B10077" s="63" t="s">
        <v>10733</v>
      </c>
    </row>
    <row r="10078" spans="1:2" x14ac:dyDescent="0.25">
      <c r="A10078" s="62">
        <v>42295107</v>
      </c>
      <c r="B10078" s="63" t="s">
        <v>10734</v>
      </c>
    </row>
    <row r="10079" spans="1:2" x14ac:dyDescent="0.25">
      <c r="A10079" s="62">
        <v>42295108</v>
      </c>
      <c r="B10079" s="63" t="s">
        <v>10735</v>
      </c>
    </row>
    <row r="10080" spans="1:2" x14ac:dyDescent="0.25">
      <c r="A10080" s="62">
        <v>42295109</v>
      </c>
      <c r="B10080" s="63" t="s">
        <v>10736</v>
      </c>
    </row>
    <row r="10081" spans="1:2" x14ac:dyDescent="0.25">
      <c r="A10081" s="62">
        <v>42295110</v>
      </c>
      <c r="B10081" s="63" t="s">
        <v>10737</v>
      </c>
    </row>
    <row r="10082" spans="1:2" x14ac:dyDescent="0.25">
      <c r="A10082" s="62">
        <v>42295111</v>
      </c>
      <c r="B10082" s="63" t="s">
        <v>10738</v>
      </c>
    </row>
    <row r="10083" spans="1:2" x14ac:dyDescent="0.25">
      <c r="A10083" s="62">
        <v>42295112</v>
      </c>
      <c r="B10083" s="63" t="s">
        <v>10739</v>
      </c>
    </row>
    <row r="10084" spans="1:2" x14ac:dyDescent="0.25">
      <c r="A10084" s="62">
        <v>42295113</v>
      </c>
      <c r="B10084" s="63" t="s">
        <v>10740</v>
      </c>
    </row>
    <row r="10085" spans="1:2" x14ac:dyDescent="0.25">
      <c r="A10085" s="62">
        <v>42295114</v>
      </c>
      <c r="B10085" s="63" t="s">
        <v>10741</v>
      </c>
    </row>
    <row r="10086" spans="1:2" x14ac:dyDescent="0.25">
      <c r="A10086" s="62">
        <v>42295115</v>
      </c>
      <c r="B10086" s="63" t="s">
        <v>10742</v>
      </c>
    </row>
    <row r="10087" spans="1:2" x14ac:dyDescent="0.25">
      <c r="A10087" s="62">
        <v>42295116</v>
      </c>
      <c r="B10087" s="63" t="s">
        <v>10743</v>
      </c>
    </row>
    <row r="10088" spans="1:2" x14ac:dyDescent="0.25">
      <c r="A10088" s="62">
        <v>42295117</v>
      </c>
      <c r="B10088" s="63" t="s">
        <v>10744</v>
      </c>
    </row>
    <row r="10089" spans="1:2" x14ac:dyDescent="0.25">
      <c r="A10089" s="62">
        <v>42295118</v>
      </c>
      <c r="B10089" s="63" t="s">
        <v>10745</v>
      </c>
    </row>
    <row r="10090" spans="1:2" x14ac:dyDescent="0.25">
      <c r="A10090" s="62">
        <v>42295119</v>
      </c>
      <c r="B10090" s="63" t="s">
        <v>10746</v>
      </c>
    </row>
    <row r="10091" spans="1:2" x14ac:dyDescent="0.25">
      <c r="A10091" s="62">
        <v>42295120</v>
      </c>
      <c r="B10091" s="63" t="s">
        <v>10747</v>
      </c>
    </row>
    <row r="10092" spans="1:2" x14ac:dyDescent="0.25">
      <c r="A10092" s="62">
        <v>42295121</v>
      </c>
      <c r="B10092" s="63" t="s">
        <v>10748</v>
      </c>
    </row>
    <row r="10093" spans="1:2" x14ac:dyDescent="0.25">
      <c r="A10093" s="62">
        <v>42295122</v>
      </c>
      <c r="B10093" s="63" t="s">
        <v>10749</v>
      </c>
    </row>
    <row r="10094" spans="1:2" x14ac:dyDescent="0.25">
      <c r="A10094" s="62">
        <v>42295123</v>
      </c>
      <c r="B10094" s="63" t="s">
        <v>10750</v>
      </c>
    </row>
    <row r="10095" spans="1:2" x14ac:dyDescent="0.25">
      <c r="A10095" s="62">
        <v>42295124</v>
      </c>
      <c r="B10095" s="63" t="s">
        <v>10751</v>
      </c>
    </row>
    <row r="10096" spans="1:2" x14ac:dyDescent="0.25">
      <c r="A10096" s="62">
        <v>42295125</v>
      </c>
      <c r="B10096" s="63" t="s">
        <v>10752</v>
      </c>
    </row>
    <row r="10097" spans="1:2" x14ac:dyDescent="0.25">
      <c r="A10097" s="62">
        <v>42295126</v>
      </c>
      <c r="B10097" s="63" t="s">
        <v>10753</v>
      </c>
    </row>
    <row r="10098" spans="1:2" x14ac:dyDescent="0.25">
      <c r="A10098" s="62">
        <v>42295127</v>
      </c>
      <c r="B10098" s="63" t="s">
        <v>10754</v>
      </c>
    </row>
    <row r="10099" spans="1:2" x14ac:dyDescent="0.25">
      <c r="A10099" s="62">
        <v>42295128</v>
      </c>
      <c r="B10099" s="63" t="s">
        <v>10755</v>
      </c>
    </row>
    <row r="10100" spans="1:2" x14ac:dyDescent="0.25">
      <c r="A10100" s="62">
        <v>42295129</v>
      </c>
      <c r="B10100" s="63" t="s">
        <v>10756</v>
      </c>
    </row>
    <row r="10101" spans="1:2" x14ac:dyDescent="0.25">
      <c r="A10101" s="62">
        <v>42295130</v>
      </c>
      <c r="B10101" s="63" t="s">
        <v>10757</v>
      </c>
    </row>
    <row r="10102" spans="1:2" x14ac:dyDescent="0.25">
      <c r="A10102" s="62">
        <v>42295131</v>
      </c>
      <c r="B10102" s="63" t="s">
        <v>10758</v>
      </c>
    </row>
    <row r="10103" spans="1:2" x14ac:dyDescent="0.25">
      <c r="A10103" s="62">
        <v>42295132</v>
      </c>
      <c r="B10103" s="63" t="s">
        <v>10759</v>
      </c>
    </row>
    <row r="10104" spans="1:2" x14ac:dyDescent="0.25">
      <c r="A10104" s="62">
        <v>42295133</v>
      </c>
      <c r="B10104" s="63" t="s">
        <v>10760</v>
      </c>
    </row>
    <row r="10105" spans="1:2" x14ac:dyDescent="0.25">
      <c r="A10105" s="62">
        <v>42295134</v>
      </c>
      <c r="B10105" s="63" t="s">
        <v>10761</v>
      </c>
    </row>
    <row r="10106" spans="1:2" x14ac:dyDescent="0.25">
      <c r="A10106" s="62">
        <v>42295135</v>
      </c>
      <c r="B10106" s="63" t="s">
        <v>10762</v>
      </c>
    </row>
    <row r="10107" spans="1:2" x14ac:dyDescent="0.25">
      <c r="A10107" s="62">
        <v>42295136</v>
      </c>
      <c r="B10107" s="63" t="s">
        <v>10763</v>
      </c>
    </row>
    <row r="10108" spans="1:2" x14ac:dyDescent="0.25">
      <c r="A10108" s="62">
        <v>42295137</v>
      </c>
      <c r="B10108" s="63" t="s">
        <v>10764</v>
      </c>
    </row>
    <row r="10109" spans="1:2" x14ac:dyDescent="0.25">
      <c r="A10109" s="62">
        <v>42295138</v>
      </c>
      <c r="B10109" s="63" t="s">
        <v>10765</v>
      </c>
    </row>
    <row r="10110" spans="1:2" x14ac:dyDescent="0.25">
      <c r="A10110" s="62">
        <v>42295139</v>
      </c>
      <c r="B10110" s="63" t="s">
        <v>10766</v>
      </c>
    </row>
    <row r="10111" spans="1:2" x14ac:dyDescent="0.25">
      <c r="A10111" s="62">
        <v>42295140</v>
      </c>
      <c r="B10111" s="63" t="s">
        <v>10767</v>
      </c>
    </row>
    <row r="10112" spans="1:2" x14ac:dyDescent="0.25">
      <c r="A10112" s="62">
        <v>42295201</v>
      </c>
      <c r="B10112" s="63" t="s">
        <v>10768</v>
      </c>
    </row>
    <row r="10113" spans="1:2" x14ac:dyDescent="0.25">
      <c r="A10113" s="62">
        <v>42295202</v>
      </c>
      <c r="B10113" s="63" t="s">
        <v>10769</v>
      </c>
    </row>
    <row r="10114" spans="1:2" x14ac:dyDescent="0.25">
      <c r="A10114" s="62">
        <v>42295203</v>
      </c>
      <c r="B10114" s="63" t="s">
        <v>10770</v>
      </c>
    </row>
    <row r="10115" spans="1:2" x14ac:dyDescent="0.25">
      <c r="A10115" s="62">
        <v>42295204</v>
      </c>
      <c r="B10115" s="63" t="s">
        <v>10771</v>
      </c>
    </row>
    <row r="10116" spans="1:2" x14ac:dyDescent="0.25">
      <c r="A10116" s="62">
        <v>42295205</v>
      </c>
      <c r="B10116" s="63" t="s">
        <v>10772</v>
      </c>
    </row>
    <row r="10117" spans="1:2" x14ac:dyDescent="0.25">
      <c r="A10117" s="62">
        <v>42295206</v>
      </c>
      <c r="B10117" s="63" t="s">
        <v>10773</v>
      </c>
    </row>
    <row r="10118" spans="1:2" x14ac:dyDescent="0.25">
      <c r="A10118" s="62">
        <v>42295301</v>
      </c>
      <c r="B10118" s="63" t="s">
        <v>10774</v>
      </c>
    </row>
    <row r="10119" spans="1:2" x14ac:dyDescent="0.25">
      <c r="A10119" s="62">
        <v>42295302</v>
      </c>
      <c r="B10119" s="63" t="s">
        <v>10775</v>
      </c>
    </row>
    <row r="10120" spans="1:2" x14ac:dyDescent="0.25">
      <c r="A10120" s="62">
        <v>42295303</v>
      </c>
      <c r="B10120" s="63" t="s">
        <v>10776</v>
      </c>
    </row>
    <row r="10121" spans="1:2" x14ac:dyDescent="0.25">
      <c r="A10121" s="62">
        <v>42295304</v>
      </c>
      <c r="B10121" s="63" t="s">
        <v>10777</v>
      </c>
    </row>
    <row r="10122" spans="1:2" x14ac:dyDescent="0.25">
      <c r="A10122" s="62">
        <v>42295305</v>
      </c>
      <c r="B10122" s="63" t="s">
        <v>10778</v>
      </c>
    </row>
    <row r="10123" spans="1:2" x14ac:dyDescent="0.25">
      <c r="A10123" s="62">
        <v>42295306</v>
      </c>
      <c r="B10123" s="63" t="s">
        <v>10779</v>
      </c>
    </row>
    <row r="10124" spans="1:2" x14ac:dyDescent="0.25">
      <c r="A10124" s="62">
        <v>42295307</v>
      </c>
      <c r="B10124" s="63" t="s">
        <v>10780</v>
      </c>
    </row>
    <row r="10125" spans="1:2" x14ac:dyDescent="0.25">
      <c r="A10125" s="62">
        <v>42295308</v>
      </c>
      <c r="B10125" s="63" t="s">
        <v>10781</v>
      </c>
    </row>
    <row r="10126" spans="1:2" x14ac:dyDescent="0.25">
      <c r="A10126" s="62">
        <v>42295401</v>
      </c>
      <c r="B10126" s="63" t="s">
        <v>10782</v>
      </c>
    </row>
    <row r="10127" spans="1:2" x14ac:dyDescent="0.25">
      <c r="A10127" s="62">
        <v>42295402</v>
      </c>
      <c r="B10127" s="63" t="s">
        <v>10783</v>
      </c>
    </row>
    <row r="10128" spans="1:2" x14ac:dyDescent="0.25">
      <c r="A10128" s="62">
        <v>42295403</v>
      </c>
      <c r="B10128" s="63" t="s">
        <v>10784</v>
      </c>
    </row>
    <row r="10129" spans="1:2" x14ac:dyDescent="0.25">
      <c r="A10129" s="62">
        <v>42295404</v>
      </c>
      <c r="B10129" s="63" t="s">
        <v>10785</v>
      </c>
    </row>
    <row r="10130" spans="1:2" x14ac:dyDescent="0.25">
      <c r="A10130" s="62">
        <v>42295405</v>
      </c>
      <c r="B10130" s="63" t="s">
        <v>10786</v>
      </c>
    </row>
    <row r="10131" spans="1:2" x14ac:dyDescent="0.25">
      <c r="A10131" s="62">
        <v>42295406</v>
      </c>
      <c r="B10131" s="63" t="s">
        <v>10787</v>
      </c>
    </row>
    <row r="10132" spans="1:2" x14ac:dyDescent="0.25">
      <c r="A10132" s="62">
        <v>42295407</v>
      </c>
      <c r="B10132" s="63" t="s">
        <v>10788</v>
      </c>
    </row>
    <row r="10133" spans="1:2" x14ac:dyDescent="0.25">
      <c r="A10133" s="62">
        <v>42295408</v>
      </c>
      <c r="B10133" s="63" t="s">
        <v>10789</v>
      </c>
    </row>
    <row r="10134" spans="1:2" x14ac:dyDescent="0.25">
      <c r="A10134" s="62">
        <v>42295409</v>
      </c>
      <c r="B10134" s="63" t="s">
        <v>10790</v>
      </c>
    </row>
    <row r="10135" spans="1:2" x14ac:dyDescent="0.25">
      <c r="A10135" s="62">
        <v>42295410</v>
      </c>
      <c r="B10135" s="63" t="s">
        <v>10791</v>
      </c>
    </row>
    <row r="10136" spans="1:2" x14ac:dyDescent="0.25">
      <c r="A10136" s="62">
        <v>42295411</v>
      </c>
      <c r="B10136" s="63" t="s">
        <v>10792</v>
      </c>
    </row>
    <row r="10137" spans="1:2" x14ac:dyDescent="0.25">
      <c r="A10137" s="62">
        <v>42295412</v>
      </c>
      <c r="B10137" s="63" t="s">
        <v>10793</v>
      </c>
    </row>
    <row r="10138" spans="1:2" x14ac:dyDescent="0.25">
      <c r="A10138" s="62">
        <v>42295413</v>
      </c>
      <c r="B10138" s="63" t="s">
        <v>10794</v>
      </c>
    </row>
    <row r="10139" spans="1:2" x14ac:dyDescent="0.25">
      <c r="A10139" s="62">
        <v>42295414</v>
      </c>
      <c r="B10139" s="63" t="s">
        <v>10795</v>
      </c>
    </row>
    <row r="10140" spans="1:2" x14ac:dyDescent="0.25">
      <c r="A10140" s="62">
        <v>42295415</v>
      </c>
      <c r="B10140" s="63" t="s">
        <v>10796</v>
      </c>
    </row>
    <row r="10141" spans="1:2" x14ac:dyDescent="0.25">
      <c r="A10141" s="62">
        <v>42295416</v>
      </c>
      <c r="B10141" s="63" t="s">
        <v>10797</v>
      </c>
    </row>
    <row r="10142" spans="1:2" x14ac:dyDescent="0.25">
      <c r="A10142" s="62">
        <v>42295417</v>
      </c>
      <c r="B10142" s="63" t="s">
        <v>10798</v>
      </c>
    </row>
    <row r="10143" spans="1:2" x14ac:dyDescent="0.25">
      <c r="A10143" s="62">
        <v>42295418</v>
      </c>
      <c r="B10143" s="63" t="s">
        <v>10799</v>
      </c>
    </row>
    <row r="10144" spans="1:2" x14ac:dyDescent="0.25">
      <c r="A10144" s="62">
        <v>42295419</v>
      </c>
      <c r="B10144" s="63" t="s">
        <v>10800</v>
      </c>
    </row>
    <row r="10145" spans="1:2" x14ac:dyDescent="0.25">
      <c r="A10145" s="62">
        <v>42295420</v>
      </c>
      <c r="B10145" s="63" t="s">
        <v>10801</v>
      </c>
    </row>
    <row r="10146" spans="1:2" x14ac:dyDescent="0.25">
      <c r="A10146" s="62">
        <v>42295421</v>
      </c>
      <c r="B10146" s="63" t="s">
        <v>10802</v>
      </c>
    </row>
    <row r="10147" spans="1:2" x14ac:dyDescent="0.25">
      <c r="A10147" s="62">
        <v>42295422</v>
      </c>
      <c r="B10147" s="63" t="s">
        <v>10803</v>
      </c>
    </row>
    <row r="10148" spans="1:2" x14ac:dyDescent="0.25">
      <c r="A10148" s="62">
        <v>42295423</v>
      </c>
      <c r="B10148" s="63" t="s">
        <v>10804</v>
      </c>
    </row>
    <row r="10149" spans="1:2" x14ac:dyDescent="0.25">
      <c r="A10149" s="62">
        <v>42295424</v>
      </c>
      <c r="B10149" s="63" t="s">
        <v>10805</v>
      </c>
    </row>
    <row r="10150" spans="1:2" x14ac:dyDescent="0.25">
      <c r="A10150" s="62">
        <v>42295425</v>
      </c>
      <c r="B10150" s="63" t="s">
        <v>10806</v>
      </c>
    </row>
    <row r="10151" spans="1:2" x14ac:dyDescent="0.25">
      <c r="A10151" s="62">
        <v>42295426</v>
      </c>
      <c r="B10151" s="63" t="s">
        <v>10807</v>
      </c>
    </row>
    <row r="10152" spans="1:2" x14ac:dyDescent="0.25">
      <c r="A10152" s="62">
        <v>42295427</v>
      </c>
      <c r="B10152" s="63" t="s">
        <v>10808</v>
      </c>
    </row>
    <row r="10153" spans="1:2" x14ac:dyDescent="0.25">
      <c r="A10153" s="62">
        <v>42295428</v>
      </c>
      <c r="B10153" s="63" t="s">
        <v>10809</v>
      </c>
    </row>
    <row r="10154" spans="1:2" x14ac:dyDescent="0.25">
      <c r="A10154" s="62">
        <v>42295429</v>
      </c>
      <c r="B10154" s="63" t="s">
        <v>10810</v>
      </c>
    </row>
    <row r="10155" spans="1:2" x14ac:dyDescent="0.25">
      <c r="A10155" s="62">
        <v>42295430</v>
      </c>
      <c r="B10155" s="63" t="s">
        <v>10811</v>
      </c>
    </row>
    <row r="10156" spans="1:2" x14ac:dyDescent="0.25">
      <c r="A10156" s="62">
        <v>42295431</v>
      </c>
      <c r="B10156" s="63" t="s">
        <v>10812</v>
      </c>
    </row>
    <row r="10157" spans="1:2" x14ac:dyDescent="0.25">
      <c r="A10157" s="62">
        <v>42295432</v>
      </c>
      <c r="B10157" s="63" t="s">
        <v>10813</v>
      </c>
    </row>
    <row r="10158" spans="1:2" x14ac:dyDescent="0.25">
      <c r="A10158" s="62">
        <v>42295433</v>
      </c>
      <c r="B10158" s="63" t="s">
        <v>10814</v>
      </c>
    </row>
    <row r="10159" spans="1:2" x14ac:dyDescent="0.25">
      <c r="A10159" s="62">
        <v>42295434</v>
      </c>
      <c r="B10159" s="63" t="s">
        <v>10815</v>
      </c>
    </row>
    <row r="10160" spans="1:2" x14ac:dyDescent="0.25">
      <c r="A10160" s="62">
        <v>42295435</v>
      </c>
      <c r="B10160" s="63" t="s">
        <v>10816</v>
      </c>
    </row>
    <row r="10161" spans="1:2" x14ac:dyDescent="0.25">
      <c r="A10161" s="62">
        <v>42295436</v>
      </c>
      <c r="B10161" s="63" t="s">
        <v>10817</v>
      </c>
    </row>
    <row r="10162" spans="1:2" x14ac:dyDescent="0.25">
      <c r="A10162" s="62">
        <v>42295437</v>
      </c>
      <c r="B10162" s="63" t="s">
        <v>10818</v>
      </c>
    </row>
    <row r="10163" spans="1:2" x14ac:dyDescent="0.25">
      <c r="A10163" s="62">
        <v>42295439</v>
      </c>
      <c r="B10163" s="63" t="s">
        <v>10819</v>
      </c>
    </row>
    <row r="10164" spans="1:2" x14ac:dyDescent="0.25">
      <c r="A10164" s="62">
        <v>42295440</v>
      </c>
      <c r="B10164" s="63" t="s">
        <v>10820</v>
      </c>
    </row>
    <row r="10165" spans="1:2" x14ac:dyDescent="0.25">
      <c r="A10165" s="62">
        <v>42295441</v>
      </c>
      <c r="B10165" s="63" t="s">
        <v>10821</v>
      </c>
    </row>
    <row r="10166" spans="1:2" x14ac:dyDescent="0.25">
      <c r="A10166" s="62">
        <v>42295445</v>
      </c>
      <c r="B10166" s="63" t="s">
        <v>10822</v>
      </c>
    </row>
    <row r="10167" spans="1:2" x14ac:dyDescent="0.25">
      <c r="A10167" s="62">
        <v>42295446</v>
      </c>
      <c r="B10167" s="63" t="s">
        <v>10823</v>
      </c>
    </row>
    <row r="10168" spans="1:2" x14ac:dyDescent="0.25">
      <c r="A10168" s="62">
        <v>42295448</v>
      </c>
      <c r="B10168" s="63" t="s">
        <v>10824</v>
      </c>
    </row>
    <row r="10169" spans="1:2" x14ac:dyDescent="0.25">
      <c r="A10169" s="62">
        <v>42295450</v>
      </c>
      <c r="B10169" s="63" t="s">
        <v>10825</v>
      </c>
    </row>
    <row r="10170" spans="1:2" x14ac:dyDescent="0.25">
      <c r="A10170" s="62">
        <v>42295451</v>
      </c>
      <c r="B10170" s="63" t="s">
        <v>10826</v>
      </c>
    </row>
    <row r="10171" spans="1:2" x14ac:dyDescent="0.25">
      <c r="A10171" s="62">
        <v>42295452</v>
      </c>
      <c r="B10171" s="63" t="s">
        <v>10827</v>
      </c>
    </row>
    <row r="10172" spans="1:2" x14ac:dyDescent="0.25">
      <c r="A10172" s="62">
        <v>42295453</v>
      </c>
      <c r="B10172" s="63" t="s">
        <v>10828</v>
      </c>
    </row>
    <row r="10173" spans="1:2" x14ac:dyDescent="0.25">
      <c r="A10173" s="62">
        <v>42295454</v>
      </c>
      <c r="B10173" s="63" t="s">
        <v>10829</v>
      </c>
    </row>
    <row r="10174" spans="1:2" x14ac:dyDescent="0.25">
      <c r="A10174" s="62">
        <v>42295455</v>
      </c>
      <c r="B10174" s="63" t="s">
        <v>10830</v>
      </c>
    </row>
    <row r="10175" spans="1:2" x14ac:dyDescent="0.25">
      <c r="A10175" s="62">
        <v>42295456</v>
      </c>
      <c r="B10175" s="63" t="s">
        <v>10831</v>
      </c>
    </row>
    <row r="10176" spans="1:2" x14ac:dyDescent="0.25">
      <c r="A10176" s="62">
        <v>42295457</v>
      </c>
      <c r="B10176" s="63" t="s">
        <v>10832</v>
      </c>
    </row>
    <row r="10177" spans="1:2" x14ac:dyDescent="0.25">
      <c r="A10177" s="62">
        <v>42295458</v>
      </c>
      <c r="B10177" s="63" t="s">
        <v>10833</v>
      </c>
    </row>
    <row r="10178" spans="1:2" x14ac:dyDescent="0.25">
      <c r="A10178" s="62">
        <v>42295459</v>
      </c>
      <c r="B10178" s="63" t="s">
        <v>10834</v>
      </c>
    </row>
    <row r="10179" spans="1:2" x14ac:dyDescent="0.25">
      <c r="A10179" s="62">
        <v>42295460</v>
      </c>
      <c r="B10179" s="63" t="s">
        <v>10835</v>
      </c>
    </row>
    <row r="10180" spans="1:2" x14ac:dyDescent="0.25">
      <c r="A10180" s="62">
        <v>42295461</v>
      </c>
      <c r="B10180" s="63" t="s">
        <v>10836</v>
      </c>
    </row>
    <row r="10181" spans="1:2" x14ac:dyDescent="0.25">
      <c r="A10181" s="62">
        <v>42295462</v>
      </c>
      <c r="B10181" s="63" t="s">
        <v>10837</v>
      </c>
    </row>
    <row r="10182" spans="1:2" x14ac:dyDescent="0.25">
      <c r="A10182" s="62">
        <v>42295463</v>
      </c>
      <c r="B10182" s="63" t="s">
        <v>10838</v>
      </c>
    </row>
    <row r="10183" spans="1:2" x14ac:dyDescent="0.25">
      <c r="A10183" s="62">
        <v>42295501</v>
      </c>
      <c r="B10183" s="63" t="s">
        <v>10839</v>
      </c>
    </row>
    <row r="10184" spans="1:2" x14ac:dyDescent="0.25">
      <c r="A10184" s="62">
        <v>42295502</v>
      </c>
      <c r="B10184" s="63" t="s">
        <v>10840</v>
      </c>
    </row>
    <row r="10185" spans="1:2" x14ac:dyDescent="0.25">
      <c r="A10185" s="62">
        <v>42295503</v>
      </c>
      <c r="B10185" s="63" t="s">
        <v>10841</v>
      </c>
    </row>
    <row r="10186" spans="1:2" x14ac:dyDescent="0.25">
      <c r="A10186" s="62">
        <v>42295504</v>
      </c>
      <c r="B10186" s="63" t="s">
        <v>10842</v>
      </c>
    </row>
    <row r="10187" spans="1:2" x14ac:dyDescent="0.25">
      <c r="A10187" s="62">
        <v>42295505</v>
      </c>
      <c r="B10187" s="63" t="s">
        <v>10843</v>
      </c>
    </row>
    <row r="10188" spans="1:2" x14ac:dyDescent="0.25">
      <c r="A10188" s="62">
        <v>42295506</v>
      </c>
      <c r="B10188" s="63" t="s">
        <v>10844</v>
      </c>
    </row>
    <row r="10189" spans="1:2" x14ac:dyDescent="0.25">
      <c r="A10189" s="62">
        <v>42295507</v>
      </c>
      <c r="B10189" s="63" t="s">
        <v>10845</v>
      </c>
    </row>
    <row r="10190" spans="1:2" x14ac:dyDescent="0.25">
      <c r="A10190" s="62">
        <v>42295508</v>
      </c>
      <c r="B10190" s="63" t="s">
        <v>10846</v>
      </c>
    </row>
    <row r="10191" spans="1:2" x14ac:dyDescent="0.25">
      <c r="A10191" s="62">
        <v>42295509</v>
      </c>
      <c r="B10191" s="63" t="s">
        <v>10847</v>
      </c>
    </row>
    <row r="10192" spans="1:2" x14ac:dyDescent="0.25">
      <c r="A10192" s="62">
        <v>42295510</v>
      </c>
      <c r="B10192" s="63" t="s">
        <v>10848</v>
      </c>
    </row>
    <row r="10193" spans="1:2" x14ac:dyDescent="0.25">
      <c r="A10193" s="62">
        <v>42295511</v>
      </c>
      <c r="B10193" s="63" t="s">
        <v>10849</v>
      </c>
    </row>
    <row r="10194" spans="1:2" x14ac:dyDescent="0.25">
      <c r="A10194" s="62">
        <v>42295512</v>
      </c>
      <c r="B10194" s="63" t="s">
        <v>10850</v>
      </c>
    </row>
    <row r="10195" spans="1:2" x14ac:dyDescent="0.25">
      <c r="A10195" s="62">
        <v>42295513</v>
      </c>
      <c r="B10195" s="63" t="s">
        <v>10851</v>
      </c>
    </row>
    <row r="10196" spans="1:2" x14ac:dyDescent="0.25">
      <c r="A10196" s="62">
        <v>42295514</v>
      </c>
      <c r="B10196" s="63" t="s">
        <v>10852</v>
      </c>
    </row>
    <row r="10197" spans="1:2" x14ac:dyDescent="0.25">
      <c r="A10197" s="62">
        <v>42295515</v>
      </c>
      <c r="B10197" s="63" t="s">
        <v>10853</v>
      </c>
    </row>
    <row r="10198" spans="1:2" x14ac:dyDescent="0.25">
      <c r="A10198" s="62">
        <v>42295516</v>
      </c>
      <c r="B10198" s="63" t="s">
        <v>10854</v>
      </c>
    </row>
    <row r="10199" spans="1:2" x14ac:dyDescent="0.25">
      <c r="A10199" s="62">
        <v>42295517</v>
      </c>
      <c r="B10199" s="63" t="s">
        <v>10855</v>
      </c>
    </row>
    <row r="10200" spans="1:2" x14ac:dyDescent="0.25">
      <c r="A10200" s="62">
        <v>42295518</v>
      </c>
      <c r="B10200" s="63" t="s">
        <v>10856</v>
      </c>
    </row>
    <row r="10201" spans="1:2" x14ac:dyDescent="0.25">
      <c r="A10201" s="62">
        <v>42301501</v>
      </c>
      <c r="B10201" s="63" t="s">
        <v>10857</v>
      </c>
    </row>
    <row r="10202" spans="1:2" x14ac:dyDescent="0.25">
      <c r="A10202" s="62">
        <v>42301502</v>
      </c>
      <c r="B10202" s="63" t="s">
        <v>10858</v>
      </c>
    </row>
    <row r="10203" spans="1:2" x14ac:dyDescent="0.25">
      <c r="A10203" s="62">
        <v>42301503</v>
      </c>
      <c r="B10203" s="63" t="s">
        <v>10859</v>
      </c>
    </row>
    <row r="10204" spans="1:2" x14ac:dyDescent="0.25">
      <c r="A10204" s="62">
        <v>42301504</v>
      </c>
      <c r="B10204" s="63" t="s">
        <v>10860</v>
      </c>
    </row>
    <row r="10205" spans="1:2" x14ac:dyDescent="0.25">
      <c r="A10205" s="62">
        <v>42301505</v>
      </c>
      <c r="B10205" s="63" t="s">
        <v>10861</v>
      </c>
    </row>
    <row r="10206" spans="1:2" x14ac:dyDescent="0.25">
      <c r="A10206" s="62">
        <v>42301506</v>
      </c>
      <c r="B10206" s="63" t="s">
        <v>10862</v>
      </c>
    </row>
    <row r="10207" spans="1:2" x14ac:dyDescent="0.25">
      <c r="A10207" s="62">
        <v>42301507</v>
      </c>
      <c r="B10207" s="63" t="s">
        <v>10863</v>
      </c>
    </row>
    <row r="10208" spans="1:2" x14ac:dyDescent="0.25">
      <c r="A10208" s="62">
        <v>42301508</v>
      </c>
      <c r="B10208" s="63" t="s">
        <v>10864</v>
      </c>
    </row>
    <row r="10209" spans="1:2" x14ac:dyDescent="0.25">
      <c r="A10209" s="62">
        <v>42311501</v>
      </c>
      <c r="B10209" s="63" t="s">
        <v>10865</v>
      </c>
    </row>
    <row r="10210" spans="1:2" x14ac:dyDescent="0.25">
      <c r="A10210" s="62">
        <v>42311502</v>
      </c>
      <c r="B10210" s="63" t="s">
        <v>10866</v>
      </c>
    </row>
    <row r="10211" spans="1:2" x14ac:dyDescent="0.25">
      <c r="A10211" s="62">
        <v>42311503</v>
      </c>
      <c r="B10211" s="63" t="s">
        <v>10867</v>
      </c>
    </row>
    <row r="10212" spans="1:2" x14ac:dyDescent="0.25">
      <c r="A10212" s="62">
        <v>42311504</v>
      </c>
      <c r="B10212" s="63" t="s">
        <v>10868</v>
      </c>
    </row>
    <row r="10213" spans="1:2" x14ac:dyDescent="0.25">
      <c r="A10213" s="62">
        <v>42311505</v>
      </c>
      <c r="B10213" s="63" t="s">
        <v>10869</v>
      </c>
    </row>
    <row r="10214" spans="1:2" x14ac:dyDescent="0.25">
      <c r="A10214" s="62">
        <v>42311506</v>
      </c>
      <c r="B10214" s="63" t="s">
        <v>10870</v>
      </c>
    </row>
    <row r="10215" spans="1:2" x14ac:dyDescent="0.25">
      <c r="A10215" s="62">
        <v>42311507</v>
      </c>
      <c r="B10215" s="63" t="s">
        <v>10871</v>
      </c>
    </row>
    <row r="10216" spans="1:2" x14ac:dyDescent="0.25">
      <c r="A10216" s="62">
        <v>42311508</v>
      </c>
      <c r="B10216" s="63" t="s">
        <v>10872</v>
      </c>
    </row>
    <row r="10217" spans="1:2" x14ac:dyDescent="0.25">
      <c r="A10217" s="62">
        <v>42311509</v>
      </c>
      <c r="B10217" s="63" t="s">
        <v>10873</v>
      </c>
    </row>
    <row r="10218" spans="1:2" x14ac:dyDescent="0.25">
      <c r="A10218" s="62">
        <v>42311510</v>
      </c>
      <c r="B10218" s="63" t="s">
        <v>10874</v>
      </c>
    </row>
    <row r="10219" spans="1:2" x14ac:dyDescent="0.25">
      <c r="A10219" s="62">
        <v>42311511</v>
      </c>
      <c r="B10219" s="63" t="s">
        <v>10875</v>
      </c>
    </row>
    <row r="10220" spans="1:2" x14ac:dyDescent="0.25">
      <c r="A10220" s="62">
        <v>42311512</v>
      </c>
      <c r="B10220" s="63" t="s">
        <v>10876</v>
      </c>
    </row>
    <row r="10221" spans="1:2" x14ac:dyDescent="0.25">
      <c r="A10221" s="62">
        <v>42311513</v>
      </c>
      <c r="B10221" s="63" t="s">
        <v>10877</v>
      </c>
    </row>
    <row r="10222" spans="1:2" x14ac:dyDescent="0.25">
      <c r="A10222" s="62">
        <v>42311514</v>
      </c>
      <c r="B10222" s="63" t="s">
        <v>10878</v>
      </c>
    </row>
    <row r="10223" spans="1:2" x14ac:dyDescent="0.25">
      <c r="A10223" s="62">
        <v>42311515</v>
      </c>
      <c r="B10223" s="63" t="s">
        <v>10879</v>
      </c>
    </row>
    <row r="10224" spans="1:2" x14ac:dyDescent="0.25">
      <c r="A10224" s="62">
        <v>42311516</v>
      </c>
      <c r="B10224" s="63" t="s">
        <v>10880</v>
      </c>
    </row>
    <row r="10225" spans="1:2" x14ac:dyDescent="0.25">
      <c r="A10225" s="62">
        <v>42311517</v>
      </c>
      <c r="B10225" s="63" t="s">
        <v>10881</v>
      </c>
    </row>
    <row r="10226" spans="1:2" x14ac:dyDescent="0.25">
      <c r="A10226" s="62">
        <v>42311518</v>
      </c>
      <c r="B10226" s="63" t="s">
        <v>10882</v>
      </c>
    </row>
    <row r="10227" spans="1:2" x14ac:dyDescent="0.25">
      <c r="A10227" s="62">
        <v>42311519</v>
      </c>
      <c r="B10227" s="63" t="s">
        <v>10883</v>
      </c>
    </row>
    <row r="10228" spans="1:2" x14ac:dyDescent="0.25">
      <c r="A10228" s="62">
        <v>42311520</v>
      </c>
      <c r="B10228" s="63" t="s">
        <v>10884</v>
      </c>
    </row>
    <row r="10229" spans="1:2" x14ac:dyDescent="0.25">
      <c r="A10229" s="62">
        <v>42311521</v>
      </c>
      <c r="B10229" s="63" t="s">
        <v>10885</v>
      </c>
    </row>
    <row r="10230" spans="1:2" x14ac:dyDescent="0.25">
      <c r="A10230" s="62">
        <v>42311522</v>
      </c>
      <c r="B10230" s="63" t="s">
        <v>10886</v>
      </c>
    </row>
    <row r="10231" spans="1:2" x14ac:dyDescent="0.25">
      <c r="A10231" s="62">
        <v>42311523</v>
      </c>
      <c r="B10231" s="63" t="s">
        <v>10887</v>
      </c>
    </row>
    <row r="10232" spans="1:2" x14ac:dyDescent="0.25">
      <c r="A10232" s="62">
        <v>42311524</v>
      </c>
      <c r="B10232" s="63" t="s">
        <v>10888</v>
      </c>
    </row>
    <row r="10233" spans="1:2" x14ac:dyDescent="0.25">
      <c r="A10233" s="62">
        <v>42311525</v>
      </c>
      <c r="B10233" s="63" t="s">
        <v>10889</v>
      </c>
    </row>
    <row r="10234" spans="1:2" x14ac:dyDescent="0.25">
      <c r="A10234" s="62">
        <v>42311526</v>
      </c>
      <c r="B10234" s="63" t="s">
        <v>10890</v>
      </c>
    </row>
    <row r="10235" spans="1:2" x14ac:dyDescent="0.25">
      <c r="A10235" s="62">
        <v>42311527</v>
      </c>
      <c r="B10235" s="63" t="s">
        <v>10891</v>
      </c>
    </row>
    <row r="10236" spans="1:2" x14ac:dyDescent="0.25">
      <c r="A10236" s="62">
        <v>42311528</v>
      </c>
      <c r="B10236" s="63" t="s">
        <v>10892</v>
      </c>
    </row>
    <row r="10237" spans="1:2" x14ac:dyDescent="0.25">
      <c r="A10237" s="62">
        <v>42311531</v>
      </c>
      <c r="B10237" s="63" t="s">
        <v>10893</v>
      </c>
    </row>
    <row r="10238" spans="1:2" x14ac:dyDescent="0.25">
      <c r="A10238" s="62">
        <v>42311532</v>
      </c>
      <c r="B10238" s="63" t="s">
        <v>10894</v>
      </c>
    </row>
    <row r="10239" spans="1:2" x14ac:dyDescent="0.25">
      <c r="A10239" s="62">
        <v>42311537</v>
      </c>
      <c r="B10239" s="63" t="s">
        <v>10895</v>
      </c>
    </row>
    <row r="10240" spans="1:2" x14ac:dyDescent="0.25">
      <c r="A10240" s="62">
        <v>42311538</v>
      </c>
      <c r="B10240" s="63" t="s">
        <v>10896</v>
      </c>
    </row>
    <row r="10241" spans="1:2" x14ac:dyDescent="0.25">
      <c r="A10241" s="62">
        <v>42311539</v>
      </c>
      <c r="B10241" s="63" t="s">
        <v>10897</v>
      </c>
    </row>
    <row r="10242" spans="1:2" x14ac:dyDescent="0.25">
      <c r="A10242" s="62">
        <v>42311601</v>
      </c>
      <c r="B10242" s="63" t="s">
        <v>10898</v>
      </c>
    </row>
    <row r="10243" spans="1:2" x14ac:dyDescent="0.25">
      <c r="A10243" s="62">
        <v>42311602</v>
      </c>
      <c r="B10243" s="63" t="s">
        <v>10899</v>
      </c>
    </row>
    <row r="10244" spans="1:2" x14ac:dyDescent="0.25">
      <c r="A10244" s="62">
        <v>42311603</v>
      </c>
      <c r="B10244" s="63" t="s">
        <v>10900</v>
      </c>
    </row>
    <row r="10245" spans="1:2" x14ac:dyDescent="0.25">
      <c r="A10245" s="62">
        <v>42311604</v>
      </c>
      <c r="B10245" s="63" t="s">
        <v>10901</v>
      </c>
    </row>
    <row r="10246" spans="1:2" x14ac:dyDescent="0.25">
      <c r="A10246" s="62">
        <v>42311702</v>
      </c>
      <c r="B10246" s="63" t="s">
        <v>10902</v>
      </c>
    </row>
    <row r="10247" spans="1:2" x14ac:dyDescent="0.25">
      <c r="A10247" s="62">
        <v>42311703</v>
      </c>
      <c r="B10247" s="63" t="s">
        <v>10903</v>
      </c>
    </row>
    <row r="10248" spans="1:2" x14ac:dyDescent="0.25">
      <c r="A10248" s="62">
        <v>42311704</v>
      </c>
      <c r="B10248" s="63" t="s">
        <v>10904</v>
      </c>
    </row>
    <row r="10249" spans="1:2" x14ac:dyDescent="0.25">
      <c r="A10249" s="62">
        <v>42311705</v>
      </c>
      <c r="B10249" s="63" t="s">
        <v>10905</v>
      </c>
    </row>
    <row r="10250" spans="1:2" x14ac:dyDescent="0.25">
      <c r="A10250" s="62">
        <v>42311707</v>
      </c>
      <c r="B10250" s="63" t="s">
        <v>10906</v>
      </c>
    </row>
    <row r="10251" spans="1:2" x14ac:dyDescent="0.25">
      <c r="A10251" s="62">
        <v>42311708</v>
      </c>
      <c r="B10251" s="63" t="s">
        <v>10907</v>
      </c>
    </row>
    <row r="10252" spans="1:2" x14ac:dyDescent="0.25">
      <c r="A10252" s="62">
        <v>42311901</v>
      </c>
      <c r="B10252" s="63" t="s">
        <v>10908</v>
      </c>
    </row>
    <row r="10253" spans="1:2" x14ac:dyDescent="0.25">
      <c r="A10253" s="62">
        <v>42311902</v>
      </c>
      <c r="B10253" s="63" t="s">
        <v>10909</v>
      </c>
    </row>
    <row r="10254" spans="1:2" x14ac:dyDescent="0.25">
      <c r="A10254" s="62">
        <v>42311903</v>
      </c>
      <c r="B10254" s="63" t="s">
        <v>10910</v>
      </c>
    </row>
    <row r="10255" spans="1:2" x14ac:dyDescent="0.25">
      <c r="A10255" s="62">
        <v>42312001</v>
      </c>
      <c r="B10255" s="63" t="s">
        <v>10911</v>
      </c>
    </row>
    <row r="10256" spans="1:2" x14ac:dyDescent="0.25">
      <c r="A10256" s="62">
        <v>42312002</v>
      </c>
      <c r="B10256" s="63" t="s">
        <v>10912</v>
      </c>
    </row>
    <row r="10257" spans="1:2" x14ac:dyDescent="0.25">
      <c r="A10257" s="62">
        <v>42312003</v>
      </c>
      <c r="B10257" s="63" t="s">
        <v>10913</v>
      </c>
    </row>
    <row r="10258" spans="1:2" x14ac:dyDescent="0.25">
      <c r="A10258" s="62">
        <v>42312004</v>
      </c>
      <c r="B10258" s="63" t="s">
        <v>10914</v>
      </c>
    </row>
    <row r="10259" spans="1:2" x14ac:dyDescent="0.25">
      <c r="A10259" s="62">
        <v>42312005</v>
      </c>
      <c r="B10259" s="63" t="s">
        <v>10915</v>
      </c>
    </row>
    <row r="10260" spans="1:2" x14ac:dyDescent="0.25">
      <c r="A10260" s="62">
        <v>42312006</v>
      </c>
      <c r="B10260" s="63" t="s">
        <v>10916</v>
      </c>
    </row>
    <row r="10261" spans="1:2" x14ac:dyDescent="0.25">
      <c r="A10261" s="62">
        <v>42312007</v>
      </c>
      <c r="B10261" s="63" t="s">
        <v>10917</v>
      </c>
    </row>
    <row r="10262" spans="1:2" x14ac:dyDescent="0.25">
      <c r="A10262" s="62">
        <v>42312008</v>
      </c>
      <c r="B10262" s="63" t="s">
        <v>10918</v>
      </c>
    </row>
    <row r="10263" spans="1:2" x14ac:dyDescent="0.25">
      <c r="A10263" s="62">
        <v>42312009</v>
      </c>
      <c r="B10263" s="63" t="s">
        <v>10919</v>
      </c>
    </row>
    <row r="10264" spans="1:2" x14ac:dyDescent="0.25">
      <c r="A10264" s="62">
        <v>42312010</v>
      </c>
      <c r="B10264" s="63" t="s">
        <v>10920</v>
      </c>
    </row>
    <row r="10265" spans="1:2" x14ac:dyDescent="0.25">
      <c r="A10265" s="62">
        <v>42312011</v>
      </c>
      <c r="B10265" s="63" t="s">
        <v>10921</v>
      </c>
    </row>
    <row r="10266" spans="1:2" x14ac:dyDescent="0.25">
      <c r="A10266" s="62">
        <v>42312012</v>
      </c>
      <c r="B10266" s="63" t="s">
        <v>10922</v>
      </c>
    </row>
    <row r="10267" spans="1:2" x14ac:dyDescent="0.25">
      <c r="A10267" s="62">
        <v>42312014</v>
      </c>
      <c r="B10267" s="63" t="s">
        <v>10923</v>
      </c>
    </row>
    <row r="10268" spans="1:2" x14ac:dyDescent="0.25">
      <c r="A10268" s="62">
        <v>42312101</v>
      </c>
      <c r="B10268" s="63" t="s">
        <v>10924</v>
      </c>
    </row>
    <row r="10269" spans="1:2" x14ac:dyDescent="0.25">
      <c r="A10269" s="62">
        <v>42312102</v>
      </c>
      <c r="B10269" s="63" t="s">
        <v>10925</v>
      </c>
    </row>
    <row r="10270" spans="1:2" x14ac:dyDescent="0.25">
      <c r="A10270" s="62">
        <v>42312103</v>
      </c>
      <c r="B10270" s="63" t="s">
        <v>10926</v>
      </c>
    </row>
    <row r="10271" spans="1:2" x14ac:dyDescent="0.25">
      <c r="A10271" s="62">
        <v>42312104</v>
      </c>
      <c r="B10271" s="63" t="s">
        <v>10927</v>
      </c>
    </row>
    <row r="10272" spans="1:2" x14ac:dyDescent="0.25">
      <c r="A10272" s="62">
        <v>42312105</v>
      </c>
      <c r="B10272" s="63" t="s">
        <v>10928</v>
      </c>
    </row>
    <row r="10273" spans="1:2" x14ac:dyDescent="0.25">
      <c r="A10273" s="62">
        <v>42312106</v>
      </c>
      <c r="B10273" s="63" t="s">
        <v>10929</v>
      </c>
    </row>
    <row r="10274" spans="1:2" x14ac:dyDescent="0.25">
      <c r="A10274" s="62">
        <v>42312107</v>
      </c>
      <c r="B10274" s="63" t="s">
        <v>10930</v>
      </c>
    </row>
    <row r="10275" spans="1:2" x14ac:dyDescent="0.25">
      <c r="A10275" s="62">
        <v>42312108</v>
      </c>
      <c r="B10275" s="63" t="s">
        <v>10931</v>
      </c>
    </row>
    <row r="10276" spans="1:2" x14ac:dyDescent="0.25">
      <c r="A10276" s="62">
        <v>42312109</v>
      </c>
      <c r="B10276" s="63" t="s">
        <v>10932</v>
      </c>
    </row>
    <row r="10277" spans="1:2" x14ac:dyDescent="0.25">
      <c r="A10277" s="62">
        <v>42312110</v>
      </c>
      <c r="B10277" s="63" t="s">
        <v>10933</v>
      </c>
    </row>
    <row r="10278" spans="1:2" x14ac:dyDescent="0.25">
      <c r="A10278" s="62">
        <v>42312111</v>
      </c>
      <c r="B10278" s="63" t="s">
        <v>10934</v>
      </c>
    </row>
    <row r="10279" spans="1:2" x14ac:dyDescent="0.25">
      <c r="A10279" s="62">
        <v>42312112</v>
      </c>
      <c r="B10279" s="63" t="s">
        <v>10935</v>
      </c>
    </row>
    <row r="10280" spans="1:2" x14ac:dyDescent="0.25">
      <c r="A10280" s="62">
        <v>42312113</v>
      </c>
      <c r="B10280" s="63" t="s">
        <v>10936</v>
      </c>
    </row>
    <row r="10281" spans="1:2" x14ac:dyDescent="0.25">
      <c r="A10281" s="62">
        <v>42312114</v>
      </c>
      <c r="B10281" s="63" t="s">
        <v>10937</v>
      </c>
    </row>
    <row r="10282" spans="1:2" x14ac:dyDescent="0.25">
      <c r="A10282" s="62">
        <v>42312115</v>
      </c>
      <c r="B10282" s="63" t="s">
        <v>10938</v>
      </c>
    </row>
    <row r="10283" spans="1:2" x14ac:dyDescent="0.25">
      <c r="A10283" s="62">
        <v>42312201</v>
      </c>
      <c r="B10283" s="63" t="s">
        <v>10939</v>
      </c>
    </row>
    <row r="10284" spans="1:2" x14ac:dyDescent="0.25">
      <c r="A10284" s="62">
        <v>42312202</v>
      </c>
      <c r="B10284" s="63" t="s">
        <v>10940</v>
      </c>
    </row>
    <row r="10285" spans="1:2" x14ac:dyDescent="0.25">
      <c r="A10285" s="62">
        <v>42312203</v>
      </c>
      <c r="B10285" s="63" t="s">
        <v>10941</v>
      </c>
    </row>
    <row r="10286" spans="1:2" x14ac:dyDescent="0.25">
      <c r="A10286" s="62">
        <v>42312204</v>
      </c>
      <c r="B10286" s="63" t="s">
        <v>10942</v>
      </c>
    </row>
    <row r="10287" spans="1:2" x14ac:dyDescent="0.25">
      <c r="A10287" s="62">
        <v>42312205</v>
      </c>
      <c r="B10287" s="63" t="s">
        <v>10943</v>
      </c>
    </row>
    <row r="10288" spans="1:2" x14ac:dyDescent="0.25">
      <c r="A10288" s="62">
        <v>42312206</v>
      </c>
      <c r="B10288" s="63" t="s">
        <v>10944</v>
      </c>
    </row>
    <row r="10289" spans="1:2" x14ac:dyDescent="0.25">
      <c r="A10289" s="62">
        <v>42312207</v>
      </c>
      <c r="B10289" s="63" t="s">
        <v>10945</v>
      </c>
    </row>
    <row r="10290" spans="1:2" x14ac:dyDescent="0.25">
      <c r="A10290" s="62">
        <v>42312208</v>
      </c>
      <c r="B10290" s="63" t="s">
        <v>10946</v>
      </c>
    </row>
    <row r="10291" spans="1:2" x14ac:dyDescent="0.25">
      <c r="A10291" s="62">
        <v>42312301</v>
      </c>
      <c r="B10291" s="63" t="s">
        <v>10947</v>
      </c>
    </row>
    <row r="10292" spans="1:2" x14ac:dyDescent="0.25">
      <c r="A10292" s="62">
        <v>42312302</v>
      </c>
      <c r="B10292" s="63" t="s">
        <v>10948</v>
      </c>
    </row>
    <row r="10293" spans="1:2" x14ac:dyDescent="0.25">
      <c r="A10293" s="62">
        <v>42312303</v>
      </c>
      <c r="B10293" s="63" t="s">
        <v>10949</v>
      </c>
    </row>
    <row r="10294" spans="1:2" x14ac:dyDescent="0.25">
      <c r="A10294" s="62">
        <v>42312304</v>
      </c>
      <c r="B10294" s="63" t="s">
        <v>10950</v>
      </c>
    </row>
    <row r="10295" spans="1:2" x14ac:dyDescent="0.25">
      <c r="A10295" s="62">
        <v>42312305</v>
      </c>
      <c r="B10295" s="63" t="s">
        <v>10951</v>
      </c>
    </row>
    <row r="10296" spans="1:2" x14ac:dyDescent="0.25">
      <c r="A10296" s="62">
        <v>42312306</v>
      </c>
      <c r="B10296" s="63" t="s">
        <v>10952</v>
      </c>
    </row>
    <row r="10297" spans="1:2" x14ac:dyDescent="0.25">
      <c r="A10297" s="62">
        <v>42312307</v>
      </c>
      <c r="B10297" s="63" t="s">
        <v>10953</v>
      </c>
    </row>
    <row r="10298" spans="1:2" x14ac:dyDescent="0.25">
      <c r="A10298" s="62">
        <v>42312309</v>
      </c>
      <c r="B10298" s="63" t="s">
        <v>10954</v>
      </c>
    </row>
    <row r="10299" spans="1:2" x14ac:dyDescent="0.25">
      <c r="A10299" s="62">
        <v>42312310</v>
      </c>
      <c r="B10299" s="63" t="s">
        <v>10955</v>
      </c>
    </row>
    <row r="10300" spans="1:2" x14ac:dyDescent="0.25">
      <c r="A10300" s="62">
        <v>42312311</v>
      </c>
      <c r="B10300" s="63" t="s">
        <v>10956</v>
      </c>
    </row>
    <row r="10301" spans="1:2" x14ac:dyDescent="0.25">
      <c r="A10301" s="62">
        <v>42312312</v>
      </c>
      <c r="B10301" s="63" t="s">
        <v>10957</v>
      </c>
    </row>
    <row r="10302" spans="1:2" x14ac:dyDescent="0.25">
      <c r="A10302" s="62">
        <v>42312313</v>
      </c>
      <c r="B10302" s="63" t="s">
        <v>10958</v>
      </c>
    </row>
    <row r="10303" spans="1:2" x14ac:dyDescent="0.25">
      <c r="A10303" s="62">
        <v>42312401</v>
      </c>
      <c r="B10303" s="63" t="s">
        <v>10959</v>
      </c>
    </row>
    <row r="10304" spans="1:2" x14ac:dyDescent="0.25">
      <c r="A10304" s="62">
        <v>42312402</v>
      </c>
      <c r="B10304" s="63" t="s">
        <v>10960</v>
      </c>
    </row>
    <row r="10305" spans="1:2" x14ac:dyDescent="0.25">
      <c r="A10305" s="62">
        <v>42312403</v>
      </c>
      <c r="B10305" s="63" t="s">
        <v>10961</v>
      </c>
    </row>
    <row r="10306" spans="1:2" x14ac:dyDescent="0.25">
      <c r="A10306" s="62">
        <v>42312501</v>
      </c>
      <c r="B10306" s="63" t="s">
        <v>10962</v>
      </c>
    </row>
    <row r="10307" spans="1:2" x14ac:dyDescent="0.25">
      <c r="A10307" s="62">
        <v>42312502</v>
      </c>
      <c r="B10307" s="63" t="s">
        <v>10963</v>
      </c>
    </row>
    <row r="10308" spans="1:2" x14ac:dyDescent="0.25">
      <c r="A10308" s="62">
        <v>42312503</v>
      </c>
      <c r="B10308" s="63" t="s">
        <v>10964</v>
      </c>
    </row>
    <row r="10309" spans="1:2" x14ac:dyDescent="0.25">
      <c r="A10309" s="62">
        <v>43191501</v>
      </c>
      <c r="B10309" s="63" t="s">
        <v>10965</v>
      </c>
    </row>
    <row r="10310" spans="1:2" x14ac:dyDescent="0.25">
      <c r="A10310" s="62">
        <v>43191502</v>
      </c>
      <c r="B10310" s="63" t="s">
        <v>10966</v>
      </c>
    </row>
    <row r="10311" spans="1:2" x14ac:dyDescent="0.25">
      <c r="A10311" s="62">
        <v>43191503</v>
      </c>
      <c r="B10311" s="63" t="s">
        <v>10967</v>
      </c>
    </row>
    <row r="10312" spans="1:2" x14ac:dyDescent="0.25">
      <c r="A10312" s="62">
        <v>43191504</v>
      </c>
      <c r="B10312" s="63" t="s">
        <v>10968</v>
      </c>
    </row>
    <row r="10313" spans="1:2" x14ac:dyDescent="0.25">
      <c r="A10313" s="62">
        <v>43191505</v>
      </c>
      <c r="B10313" s="63" t="s">
        <v>10969</v>
      </c>
    </row>
    <row r="10314" spans="1:2" x14ac:dyDescent="0.25">
      <c r="A10314" s="62">
        <v>43191507</v>
      </c>
      <c r="B10314" s="63" t="s">
        <v>10970</v>
      </c>
    </row>
    <row r="10315" spans="1:2" x14ac:dyDescent="0.25">
      <c r="A10315" s="62">
        <v>43191508</v>
      </c>
      <c r="B10315" s="63" t="s">
        <v>10971</v>
      </c>
    </row>
    <row r="10316" spans="1:2" x14ac:dyDescent="0.25">
      <c r="A10316" s="62">
        <v>43191509</v>
      </c>
      <c r="B10316" s="63" t="s">
        <v>10972</v>
      </c>
    </row>
    <row r="10317" spans="1:2" x14ac:dyDescent="0.25">
      <c r="A10317" s="62">
        <v>43191510</v>
      </c>
      <c r="B10317" s="63" t="s">
        <v>10973</v>
      </c>
    </row>
    <row r="10318" spans="1:2" x14ac:dyDescent="0.25">
      <c r="A10318" s="62">
        <v>43191601</v>
      </c>
      <c r="B10318" s="63" t="s">
        <v>10974</v>
      </c>
    </row>
    <row r="10319" spans="1:2" x14ac:dyDescent="0.25">
      <c r="A10319" s="62">
        <v>43191602</v>
      </c>
      <c r="B10319" s="63" t="s">
        <v>10975</v>
      </c>
    </row>
    <row r="10320" spans="1:2" x14ac:dyDescent="0.25">
      <c r="A10320" s="62">
        <v>43191603</v>
      </c>
      <c r="B10320" s="63" t="s">
        <v>10976</v>
      </c>
    </row>
    <row r="10321" spans="1:2" x14ac:dyDescent="0.25">
      <c r="A10321" s="62">
        <v>43191604</v>
      </c>
      <c r="B10321" s="63" t="s">
        <v>10977</v>
      </c>
    </row>
    <row r="10322" spans="1:2" x14ac:dyDescent="0.25">
      <c r="A10322" s="62">
        <v>43191605</v>
      </c>
      <c r="B10322" s="63" t="s">
        <v>10978</v>
      </c>
    </row>
    <row r="10323" spans="1:2" x14ac:dyDescent="0.25">
      <c r="A10323" s="62">
        <v>43191606</v>
      </c>
      <c r="B10323" s="63" t="s">
        <v>10979</v>
      </c>
    </row>
    <row r="10324" spans="1:2" x14ac:dyDescent="0.25">
      <c r="A10324" s="62">
        <v>43191607</v>
      </c>
      <c r="B10324" s="63" t="s">
        <v>10980</v>
      </c>
    </row>
    <row r="10325" spans="1:2" x14ac:dyDescent="0.25">
      <c r="A10325" s="62">
        <v>43191608</v>
      </c>
      <c r="B10325" s="63" t="s">
        <v>10981</v>
      </c>
    </row>
    <row r="10326" spans="1:2" x14ac:dyDescent="0.25">
      <c r="A10326" s="62">
        <v>43191609</v>
      </c>
      <c r="B10326" s="63" t="s">
        <v>10982</v>
      </c>
    </row>
    <row r="10327" spans="1:2" x14ac:dyDescent="0.25">
      <c r="A10327" s="62">
        <v>43191610</v>
      </c>
      <c r="B10327" s="63" t="s">
        <v>10983</v>
      </c>
    </row>
    <row r="10328" spans="1:2" x14ac:dyDescent="0.25">
      <c r="A10328" s="62">
        <v>43191611</v>
      </c>
      <c r="B10328" s="63" t="s">
        <v>10984</v>
      </c>
    </row>
    <row r="10329" spans="1:2" x14ac:dyDescent="0.25">
      <c r="A10329" s="62">
        <v>43191612</v>
      </c>
      <c r="B10329" s="63" t="s">
        <v>10985</v>
      </c>
    </row>
    <row r="10330" spans="1:2" x14ac:dyDescent="0.25">
      <c r="A10330" s="62">
        <v>43191614</v>
      </c>
      <c r="B10330" s="63" t="s">
        <v>10986</v>
      </c>
    </row>
    <row r="10331" spans="1:2" x14ac:dyDescent="0.25">
      <c r="A10331" s="62">
        <v>43191615</v>
      </c>
      <c r="B10331" s="63" t="s">
        <v>10987</v>
      </c>
    </row>
    <row r="10332" spans="1:2" x14ac:dyDescent="0.25">
      <c r="A10332" s="62">
        <v>43191616</v>
      </c>
      <c r="B10332" s="63" t="s">
        <v>10988</v>
      </c>
    </row>
    <row r="10333" spans="1:2" x14ac:dyDescent="0.25">
      <c r="A10333" s="62">
        <v>43191618</v>
      </c>
      <c r="B10333" s="63" t="s">
        <v>10989</v>
      </c>
    </row>
    <row r="10334" spans="1:2" x14ac:dyDescent="0.25">
      <c r="A10334" s="62">
        <v>43191619</v>
      </c>
      <c r="B10334" s="63" t="s">
        <v>10990</v>
      </c>
    </row>
    <row r="10335" spans="1:2" x14ac:dyDescent="0.25">
      <c r="A10335" s="62">
        <v>43191621</v>
      </c>
      <c r="B10335" s="63" t="s">
        <v>10991</v>
      </c>
    </row>
    <row r="10336" spans="1:2" x14ac:dyDescent="0.25">
      <c r="A10336" s="62">
        <v>43191622</v>
      </c>
      <c r="B10336" s="63" t="s">
        <v>10992</v>
      </c>
    </row>
    <row r="10337" spans="1:2" x14ac:dyDescent="0.25">
      <c r="A10337" s="62">
        <v>43191623</v>
      </c>
      <c r="B10337" s="63" t="s">
        <v>10993</v>
      </c>
    </row>
    <row r="10338" spans="1:2" x14ac:dyDescent="0.25">
      <c r="A10338" s="62">
        <v>43191624</v>
      </c>
      <c r="B10338" s="63" t="s">
        <v>10994</v>
      </c>
    </row>
    <row r="10339" spans="1:2" x14ac:dyDescent="0.25">
      <c r="A10339" s="62">
        <v>43191625</v>
      </c>
      <c r="B10339" s="63" t="s">
        <v>10995</v>
      </c>
    </row>
    <row r="10340" spans="1:2" x14ac:dyDescent="0.25">
      <c r="A10340" s="62">
        <v>43191626</v>
      </c>
      <c r="B10340" s="63" t="s">
        <v>10996</v>
      </c>
    </row>
    <row r="10341" spans="1:2" x14ac:dyDescent="0.25">
      <c r="A10341" s="62">
        <v>43191627</v>
      </c>
      <c r="B10341" s="63" t="s">
        <v>10997</v>
      </c>
    </row>
    <row r="10342" spans="1:2" x14ac:dyDescent="0.25">
      <c r="A10342" s="62">
        <v>43191628</v>
      </c>
      <c r="B10342" s="63" t="s">
        <v>10998</v>
      </c>
    </row>
    <row r="10343" spans="1:2" x14ac:dyDescent="0.25">
      <c r="A10343" s="62">
        <v>43191629</v>
      </c>
      <c r="B10343" s="63" t="s">
        <v>10999</v>
      </c>
    </row>
    <row r="10344" spans="1:2" x14ac:dyDescent="0.25">
      <c r="A10344" s="62">
        <v>43191630</v>
      </c>
      <c r="B10344" s="63" t="s">
        <v>11000</v>
      </c>
    </row>
    <row r="10345" spans="1:2" x14ac:dyDescent="0.25">
      <c r="A10345" s="62">
        <v>43201401</v>
      </c>
      <c r="B10345" s="63" t="s">
        <v>11001</v>
      </c>
    </row>
    <row r="10346" spans="1:2" x14ac:dyDescent="0.25">
      <c r="A10346" s="62">
        <v>43201402</v>
      </c>
      <c r="B10346" s="63" t="s">
        <v>11002</v>
      </c>
    </row>
    <row r="10347" spans="1:2" x14ac:dyDescent="0.25">
      <c r="A10347" s="62">
        <v>43201403</v>
      </c>
      <c r="B10347" s="63" t="s">
        <v>11003</v>
      </c>
    </row>
    <row r="10348" spans="1:2" x14ac:dyDescent="0.25">
      <c r="A10348" s="62">
        <v>43201404</v>
      </c>
      <c r="B10348" s="63" t="s">
        <v>11004</v>
      </c>
    </row>
    <row r="10349" spans="1:2" x14ac:dyDescent="0.25">
      <c r="A10349" s="62">
        <v>43201405</v>
      </c>
      <c r="B10349" s="63" t="s">
        <v>11005</v>
      </c>
    </row>
    <row r="10350" spans="1:2" x14ac:dyDescent="0.25">
      <c r="A10350" s="62">
        <v>43201406</v>
      </c>
      <c r="B10350" s="63" t="s">
        <v>11006</v>
      </c>
    </row>
    <row r="10351" spans="1:2" x14ac:dyDescent="0.25">
      <c r="A10351" s="62">
        <v>43201407</v>
      </c>
      <c r="B10351" s="63" t="s">
        <v>11007</v>
      </c>
    </row>
    <row r="10352" spans="1:2" x14ac:dyDescent="0.25">
      <c r="A10352" s="62">
        <v>43201408</v>
      </c>
      <c r="B10352" s="63" t="s">
        <v>11008</v>
      </c>
    </row>
    <row r="10353" spans="1:2" x14ac:dyDescent="0.25">
      <c r="A10353" s="62">
        <v>43201409</v>
      </c>
      <c r="B10353" s="63" t="s">
        <v>11009</v>
      </c>
    </row>
    <row r="10354" spans="1:2" x14ac:dyDescent="0.25">
      <c r="A10354" s="62">
        <v>43201410</v>
      </c>
      <c r="B10354" s="63" t="s">
        <v>11010</v>
      </c>
    </row>
    <row r="10355" spans="1:2" x14ac:dyDescent="0.25">
      <c r="A10355" s="62">
        <v>43201501</v>
      </c>
      <c r="B10355" s="63" t="s">
        <v>11011</v>
      </c>
    </row>
    <row r="10356" spans="1:2" x14ac:dyDescent="0.25">
      <c r="A10356" s="62">
        <v>43201502</v>
      </c>
      <c r="B10356" s="63" t="s">
        <v>11012</v>
      </c>
    </row>
    <row r="10357" spans="1:2" x14ac:dyDescent="0.25">
      <c r="A10357" s="62">
        <v>43201503</v>
      </c>
      <c r="B10357" s="63" t="s">
        <v>11013</v>
      </c>
    </row>
    <row r="10358" spans="1:2" x14ac:dyDescent="0.25">
      <c r="A10358" s="62">
        <v>43201507</v>
      </c>
      <c r="B10358" s="63" t="s">
        <v>11014</v>
      </c>
    </row>
    <row r="10359" spans="1:2" x14ac:dyDescent="0.25">
      <c r="A10359" s="62">
        <v>43201508</v>
      </c>
      <c r="B10359" s="63" t="s">
        <v>11015</v>
      </c>
    </row>
    <row r="10360" spans="1:2" x14ac:dyDescent="0.25">
      <c r="A10360" s="62">
        <v>43201509</v>
      </c>
      <c r="B10360" s="63" t="s">
        <v>11016</v>
      </c>
    </row>
    <row r="10361" spans="1:2" x14ac:dyDescent="0.25">
      <c r="A10361" s="62">
        <v>43201513</v>
      </c>
      <c r="B10361" s="63" t="s">
        <v>11017</v>
      </c>
    </row>
    <row r="10362" spans="1:2" x14ac:dyDescent="0.25">
      <c r="A10362" s="62">
        <v>43201522</v>
      </c>
      <c r="B10362" s="63" t="s">
        <v>11018</v>
      </c>
    </row>
    <row r="10363" spans="1:2" x14ac:dyDescent="0.25">
      <c r="A10363" s="62">
        <v>43201531</v>
      </c>
      <c r="B10363" s="63" t="s">
        <v>11019</v>
      </c>
    </row>
    <row r="10364" spans="1:2" x14ac:dyDescent="0.25">
      <c r="A10364" s="62">
        <v>43201533</v>
      </c>
      <c r="B10364" s="63" t="s">
        <v>11020</v>
      </c>
    </row>
    <row r="10365" spans="1:2" x14ac:dyDescent="0.25">
      <c r="A10365" s="62">
        <v>43201534</v>
      </c>
      <c r="B10365" s="63" t="s">
        <v>11021</v>
      </c>
    </row>
    <row r="10366" spans="1:2" x14ac:dyDescent="0.25">
      <c r="A10366" s="62">
        <v>43201535</v>
      </c>
      <c r="B10366" s="63" t="s">
        <v>11022</v>
      </c>
    </row>
    <row r="10367" spans="1:2" x14ac:dyDescent="0.25">
      <c r="A10367" s="62">
        <v>43201537</v>
      </c>
      <c r="B10367" s="63" t="s">
        <v>11023</v>
      </c>
    </row>
    <row r="10368" spans="1:2" x14ac:dyDescent="0.25">
      <c r="A10368" s="62">
        <v>43201538</v>
      </c>
      <c r="B10368" s="63" t="s">
        <v>11024</v>
      </c>
    </row>
    <row r="10369" spans="1:2" x14ac:dyDescent="0.25">
      <c r="A10369" s="62">
        <v>43201539</v>
      </c>
      <c r="B10369" s="63" t="s">
        <v>11025</v>
      </c>
    </row>
    <row r="10370" spans="1:2" x14ac:dyDescent="0.25">
      <c r="A10370" s="62">
        <v>43201540</v>
      </c>
      <c r="B10370" s="63" t="s">
        <v>11026</v>
      </c>
    </row>
    <row r="10371" spans="1:2" x14ac:dyDescent="0.25">
      <c r="A10371" s="62">
        <v>43201541</v>
      </c>
      <c r="B10371" s="63" t="s">
        <v>11027</v>
      </c>
    </row>
    <row r="10372" spans="1:2" x14ac:dyDescent="0.25">
      <c r="A10372" s="62">
        <v>43201542</v>
      </c>
      <c r="B10372" s="63" t="s">
        <v>11028</v>
      </c>
    </row>
    <row r="10373" spans="1:2" x14ac:dyDescent="0.25">
      <c r="A10373" s="62">
        <v>43201543</v>
      </c>
      <c r="B10373" s="63" t="s">
        <v>11029</v>
      </c>
    </row>
    <row r="10374" spans="1:2" x14ac:dyDescent="0.25">
      <c r="A10374" s="62">
        <v>43201544</v>
      </c>
      <c r="B10374" s="63" t="s">
        <v>11030</v>
      </c>
    </row>
    <row r="10375" spans="1:2" x14ac:dyDescent="0.25">
      <c r="A10375" s="62">
        <v>43201545</v>
      </c>
      <c r="B10375" s="63" t="s">
        <v>11031</v>
      </c>
    </row>
    <row r="10376" spans="1:2" x14ac:dyDescent="0.25">
      <c r="A10376" s="62">
        <v>43201546</v>
      </c>
      <c r="B10376" s="63" t="s">
        <v>11032</v>
      </c>
    </row>
    <row r="10377" spans="1:2" x14ac:dyDescent="0.25">
      <c r="A10377" s="62">
        <v>43201547</v>
      </c>
      <c r="B10377" s="63" t="s">
        <v>11033</v>
      </c>
    </row>
    <row r="10378" spans="1:2" x14ac:dyDescent="0.25">
      <c r="A10378" s="62">
        <v>43201549</v>
      </c>
      <c r="B10378" s="63" t="s">
        <v>11034</v>
      </c>
    </row>
    <row r="10379" spans="1:2" x14ac:dyDescent="0.25">
      <c r="A10379" s="62">
        <v>43201550</v>
      </c>
      <c r="B10379" s="63" t="s">
        <v>11035</v>
      </c>
    </row>
    <row r="10380" spans="1:2" x14ac:dyDescent="0.25">
      <c r="A10380" s="62">
        <v>43201552</v>
      </c>
      <c r="B10380" s="63" t="s">
        <v>11036</v>
      </c>
    </row>
    <row r="10381" spans="1:2" x14ac:dyDescent="0.25">
      <c r="A10381" s="62">
        <v>43201553</v>
      </c>
      <c r="B10381" s="63" t="s">
        <v>11037</v>
      </c>
    </row>
    <row r="10382" spans="1:2" x14ac:dyDescent="0.25">
      <c r="A10382" s="62">
        <v>43201601</v>
      </c>
      <c r="B10382" s="63" t="s">
        <v>11038</v>
      </c>
    </row>
    <row r="10383" spans="1:2" x14ac:dyDescent="0.25">
      <c r="A10383" s="62">
        <v>43201602</v>
      </c>
      <c r="B10383" s="63" t="s">
        <v>11039</v>
      </c>
    </row>
    <row r="10384" spans="1:2" x14ac:dyDescent="0.25">
      <c r="A10384" s="62">
        <v>43201603</v>
      </c>
      <c r="B10384" s="63" t="s">
        <v>11040</v>
      </c>
    </row>
    <row r="10385" spans="1:2" x14ac:dyDescent="0.25">
      <c r="A10385" s="62">
        <v>43201604</v>
      </c>
      <c r="B10385" s="63" t="s">
        <v>11041</v>
      </c>
    </row>
    <row r="10386" spans="1:2" x14ac:dyDescent="0.25">
      <c r="A10386" s="62">
        <v>43201605</v>
      </c>
      <c r="B10386" s="63" t="s">
        <v>11042</v>
      </c>
    </row>
    <row r="10387" spans="1:2" x14ac:dyDescent="0.25">
      <c r="A10387" s="62">
        <v>43201608</v>
      </c>
      <c r="B10387" s="63" t="s">
        <v>11043</v>
      </c>
    </row>
    <row r="10388" spans="1:2" x14ac:dyDescent="0.25">
      <c r="A10388" s="62">
        <v>43201609</v>
      </c>
      <c r="B10388" s="63" t="s">
        <v>11044</v>
      </c>
    </row>
    <row r="10389" spans="1:2" x14ac:dyDescent="0.25">
      <c r="A10389" s="62">
        <v>43201610</v>
      </c>
      <c r="B10389" s="63" t="s">
        <v>11045</v>
      </c>
    </row>
    <row r="10390" spans="1:2" x14ac:dyDescent="0.25">
      <c r="A10390" s="62">
        <v>43201611</v>
      </c>
      <c r="B10390" s="63" t="s">
        <v>11046</v>
      </c>
    </row>
    <row r="10391" spans="1:2" x14ac:dyDescent="0.25">
      <c r="A10391" s="62">
        <v>43201612</v>
      </c>
      <c r="B10391" s="63" t="s">
        <v>11047</v>
      </c>
    </row>
    <row r="10392" spans="1:2" x14ac:dyDescent="0.25">
      <c r="A10392" s="62">
        <v>43201614</v>
      </c>
      <c r="B10392" s="63" t="s">
        <v>11048</v>
      </c>
    </row>
    <row r="10393" spans="1:2" x14ac:dyDescent="0.25">
      <c r="A10393" s="62">
        <v>43201615</v>
      </c>
      <c r="B10393" s="63" t="s">
        <v>11049</v>
      </c>
    </row>
    <row r="10394" spans="1:2" x14ac:dyDescent="0.25">
      <c r="A10394" s="62">
        <v>43201616</v>
      </c>
      <c r="B10394" s="63" t="s">
        <v>11050</v>
      </c>
    </row>
    <row r="10395" spans="1:2" x14ac:dyDescent="0.25">
      <c r="A10395" s="62">
        <v>43201801</v>
      </c>
      <c r="B10395" s="63" t="s">
        <v>11051</v>
      </c>
    </row>
    <row r="10396" spans="1:2" x14ac:dyDescent="0.25">
      <c r="A10396" s="62">
        <v>43201802</v>
      </c>
      <c r="B10396" s="63" t="s">
        <v>11052</v>
      </c>
    </row>
    <row r="10397" spans="1:2" x14ac:dyDescent="0.25">
      <c r="A10397" s="62">
        <v>43201803</v>
      </c>
      <c r="B10397" s="63" t="s">
        <v>11053</v>
      </c>
    </row>
    <row r="10398" spans="1:2" x14ac:dyDescent="0.25">
      <c r="A10398" s="62">
        <v>43201806</v>
      </c>
      <c r="B10398" s="63" t="s">
        <v>11054</v>
      </c>
    </row>
    <row r="10399" spans="1:2" x14ac:dyDescent="0.25">
      <c r="A10399" s="62">
        <v>43201807</v>
      </c>
      <c r="B10399" s="63" t="s">
        <v>11055</v>
      </c>
    </row>
    <row r="10400" spans="1:2" x14ac:dyDescent="0.25">
      <c r="A10400" s="62">
        <v>43201808</v>
      </c>
      <c r="B10400" s="63" t="s">
        <v>11056</v>
      </c>
    </row>
    <row r="10401" spans="1:2" x14ac:dyDescent="0.25">
      <c r="A10401" s="62">
        <v>43201809</v>
      </c>
      <c r="B10401" s="63" t="s">
        <v>11057</v>
      </c>
    </row>
    <row r="10402" spans="1:2" x14ac:dyDescent="0.25">
      <c r="A10402" s="62">
        <v>43201810</v>
      </c>
      <c r="B10402" s="63" t="s">
        <v>11058</v>
      </c>
    </row>
    <row r="10403" spans="1:2" x14ac:dyDescent="0.25">
      <c r="A10403" s="62">
        <v>43201811</v>
      </c>
      <c r="B10403" s="63" t="s">
        <v>11059</v>
      </c>
    </row>
    <row r="10404" spans="1:2" x14ac:dyDescent="0.25">
      <c r="A10404" s="62">
        <v>43201812</v>
      </c>
      <c r="B10404" s="63" t="s">
        <v>11060</v>
      </c>
    </row>
    <row r="10405" spans="1:2" x14ac:dyDescent="0.25">
      <c r="A10405" s="62">
        <v>43201813</v>
      </c>
      <c r="B10405" s="63" t="s">
        <v>11061</v>
      </c>
    </row>
    <row r="10406" spans="1:2" x14ac:dyDescent="0.25">
      <c r="A10406" s="62">
        <v>43201814</v>
      </c>
      <c r="B10406" s="63" t="s">
        <v>11062</v>
      </c>
    </row>
    <row r="10407" spans="1:2" x14ac:dyDescent="0.25">
      <c r="A10407" s="62">
        <v>43201815</v>
      </c>
      <c r="B10407" s="63" t="s">
        <v>11063</v>
      </c>
    </row>
    <row r="10408" spans="1:2" x14ac:dyDescent="0.25">
      <c r="A10408" s="62">
        <v>43201902</v>
      </c>
      <c r="B10408" s="63" t="s">
        <v>11064</v>
      </c>
    </row>
    <row r="10409" spans="1:2" x14ac:dyDescent="0.25">
      <c r="A10409" s="62">
        <v>43201903</v>
      </c>
      <c r="B10409" s="63" t="s">
        <v>11065</v>
      </c>
    </row>
    <row r="10410" spans="1:2" x14ac:dyDescent="0.25">
      <c r="A10410" s="62">
        <v>43202001</v>
      </c>
      <c r="B10410" s="63" t="s">
        <v>11066</v>
      </c>
    </row>
    <row r="10411" spans="1:2" x14ac:dyDescent="0.25">
      <c r="A10411" s="62">
        <v>43202002</v>
      </c>
      <c r="B10411" s="63" t="s">
        <v>11067</v>
      </c>
    </row>
    <row r="10412" spans="1:2" x14ac:dyDescent="0.25">
      <c r="A10412" s="62">
        <v>43202003</v>
      </c>
      <c r="B10412" s="63" t="s">
        <v>11068</v>
      </c>
    </row>
    <row r="10413" spans="1:2" x14ac:dyDescent="0.25">
      <c r="A10413" s="62">
        <v>43202004</v>
      </c>
      <c r="B10413" s="63" t="s">
        <v>11069</v>
      </c>
    </row>
    <row r="10414" spans="1:2" x14ac:dyDescent="0.25">
      <c r="A10414" s="62">
        <v>43202005</v>
      </c>
      <c r="B10414" s="63" t="s">
        <v>11070</v>
      </c>
    </row>
    <row r="10415" spans="1:2" x14ac:dyDescent="0.25">
      <c r="A10415" s="62">
        <v>43202101</v>
      </c>
      <c r="B10415" s="63" t="s">
        <v>11071</v>
      </c>
    </row>
    <row r="10416" spans="1:2" x14ac:dyDescent="0.25">
      <c r="A10416" s="62">
        <v>43202102</v>
      </c>
      <c r="B10416" s="63" t="s">
        <v>11072</v>
      </c>
    </row>
    <row r="10417" spans="1:2" x14ac:dyDescent="0.25">
      <c r="A10417" s="62">
        <v>43202103</v>
      </c>
      <c r="B10417" s="63" t="s">
        <v>11073</v>
      </c>
    </row>
    <row r="10418" spans="1:2" x14ac:dyDescent="0.25">
      <c r="A10418" s="62">
        <v>43202104</v>
      </c>
      <c r="B10418" s="63" t="s">
        <v>11074</v>
      </c>
    </row>
    <row r="10419" spans="1:2" x14ac:dyDescent="0.25">
      <c r="A10419" s="62">
        <v>43202105</v>
      </c>
      <c r="B10419" s="63" t="s">
        <v>11075</v>
      </c>
    </row>
    <row r="10420" spans="1:2" x14ac:dyDescent="0.25">
      <c r="A10420" s="62">
        <v>43202201</v>
      </c>
      <c r="B10420" s="63" t="s">
        <v>11076</v>
      </c>
    </row>
    <row r="10421" spans="1:2" x14ac:dyDescent="0.25">
      <c r="A10421" s="62">
        <v>43202202</v>
      </c>
      <c r="B10421" s="63" t="s">
        <v>11077</v>
      </c>
    </row>
    <row r="10422" spans="1:2" x14ac:dyDescent="0.25">
      <c r="A10422" s="62">
        <v>43202204</v>
      </c>
      <c r="B10422" s="63" t="s">
        <v>11078</v>
      </c>
    </row>
    <row r="10423" spans="1:2" x14ac:dyDescent="0.25">
      <c r="A10423" s="62">
        <v>43202205</v>
      </c>
      <c r="B10423" s="63" t="s">
        <v>11079</v>
      </c>
    </row>
    <row r="10424" spans="1:2" x14ac:dyDescent="0.25">
      <c r="A10424" s="62">
        <v>43202206</v>
      </c>
      <c r="B10424" s="63" t="s">
        <v>11080</v>
      </c>
    </row>
    <row r="10425" spans="1:2" x14ac:dyDescent="0.25">
      <c r="A10425" s="62">
        <v>43202207</v>
      </c>
      <c r="B10425" s="63" t="s">
        <v>11081</v>
      </c>
    </row>
    <row r="10426" spans="1:2" x14ac:dyDescent="0.25">
      <c r="A10426" s="62">
        <v>43202208</v>
      </c>
      <c r="B10426" s="63" t="s">
        <v>11082</v>
      </c>
    </row>
    <row r="10427" spans="1:2" x14ac:dyDescent="0.25">
      <c r="A10427" s="62">
        <v>43202209</v>
      </c>
      <c r="B10427" s="63" t="s">
        <v>11083</v>
      </c>
    </row>
    <row r="10428" spans="1:2" x14ac:dyDescent="0.25">
      <c r="A10428" s="62">
        <v>43202210</v>
      </c>
      <c r="B10428" s="63" t="s">
        <v>11084</v>
      </c>
    </row>
    <row r="10429" spans="1:2" x14ac:dyDescent="0.25">
      <c r="A10429" s="62">
        <v>43202211</v>
      </c>
      <c r="B10429" s="63" t="s">
        <v>11085</v>
      </c>
    </row>
    <row r="10430" spans="1:2" x14ac:dyDescent="0.25">
      <c r="A10430" s="62">
        <v>43202212</v>
      </c>
      <c r="B10430" s="63" t="s">
        <v>11086</v>
      </c>
    </row>
    <row r="10431" spans="1:2" x14ac:dyDescent="0.25">
      <c r="A10431" s="62">
        <v>43202213</v>
      </c>
      <c r="B10431" s="63" t="s">
        <v>11087</v>
      </c>
    </row>
    <row r="10432" spans="1:2" x14ac:dyDescent="0.25">
      <c r="A10432" s="62">
        <v>43202214</v>
      </c>
      <c r="B10432" s="63" t="s">
        <v>11088</v>
      </c>
    </row>
    <row r="10433" spans="1:2" x14ac:dyDescent="0.25">
      <c r="A10433" s="62">
        <v>43211501</v>
      </c>
      <c r="B10433" s="63" t="s">
        <v>11089</v>
      </c>
    </row>
    <row r="10434" spans="1:2" x14ac:dyDescent="0.25">
      <c r="A10434" s="62">
        <v>43211502</v>
      </c>
      <c r="B10434" s="63" t="s">
        <v>11090</v>
      </c>
    </row>
    <row r="10435" spans="1:2" x14ac:dyDescent="0.25">
      <c r="A10435" s="62">
        <v>43211503</v>
      </c>
      <c r="B10435" s="63" t="s">
        <v>11091</v>
      </c>
    </row>
    <row r="10436" spans="1:2" x14ac:dyDescent="0.25">
      <c r="A10436" s="62">
        <v>43211504</v>
      </c>
      <c r="B10436" s="63" t="s">
        <v>11092</v>
      </c>
    </row>
    <row r="10437" spans="1:2" x14ac:dyDescent="0.25">
      <c r="A10437" s="62">
        <v>43211505</v>
      </c>
      <c r="B10437" s="63" t="s">
        <v>11093</v>
      </c>
    </row>
    <row r="10438" spans="1:2" x14ac:dyDescent="0.25">
      <c r="A10438" s="62">
        <v>43211506</v>
      </c>
      <c r="B10438" s="63" t="s">
        <v>11094</v>
      </c>
    </row>
    <row r="10439" spans="1:2" x14ac:dyDescent="0.25">
      <c r="A10439" s="62">
        <v>43211507</v>
      </c>
      <c r="B10439" s="63" t="s">
        <v>11095</v>
      </c>
    </row>
    <row r="10440" spans="1:2" x14ac:dyDescent="0.25">
      <c r="A10440" s="62">
        <v>43211508</v>
      </c>
      <c r="B10440" s="63" t="s">
        <v>11096</v>
      </c>
    </row>
    <row r="10441" spans="1:2" x14ac:dyDescent="0.25">
      <c r="A10441" s="62">
        <v>43211509</v>
      </c>
      <c r="B10441" s="63" t="s">
        <v>11097</v>
      </c>
    </row>
    <row r="10442" spans="1:2" x14ac:dyDescent="0.25">
      <c r="A10442" s="62">
        <v>43211510</v>
      </c>
      <c r="B10442" s="63" t="s">
        <v>11098</v>
      </c>
    </row>
    <row r="10443" spans="1:2" x14ac:dyDescent="0.25">
      <c r="A10443" s="62">
        <v>43211511</v>
      </c>
      <c r="B10443" s="63" t="s">
        <v>11099</v>
      </c>
    </row>
    <row r="10444" spans="1:2" x14ac:dyDescent="0.25">
      <c r="A10444" s="62">
        <v>43211512</v>
      </c>
      <c r="B10444" s="63" t="s">
        <v>11100</v>
      </c>
    </row>
    <row r="10445" spans="1:2" x14ac:dyDescent="0.25">
      <c r="A10445" s="62">
        <v>43211601</v>
      </c>
      <c r="B10445" s="63" t="s">
        <v>11101</v>
      </c>
    </row>
    <row r="10446" spans="1:2" x14ac:dyDescent="0.25">
      <c r="A10446" s="62">
        <v>43211602</v>
      </c>
      <c r="B10446" s="63" t="s">
        <v>11102</v>
      </c>
    </row>
    <row r="10447" spans="1:2" x14ac:dyDescent="0.25">
      <c r="A10447" s="62">
        <v>43211603</v>
      </c>
      <c r="B10447" s="63" t="s">
        <v>11103</v>
      </c>
    </row>
    <row r="10448" spans="1:2" x14ac:dyDescent="0.25">
      <c r="A10448" s="62">
        <v>43211604</v>
      </c>
      <c r="B10448" s="63" t="s">
        <v>11104</v>
      </c>
    </row>
    <row r="10449" spans="1:2" x14ac:dyDescent="0.25">
      <c r="A10449" s="62">
        <v>43211605</v>
      </c>
      <c r="B10449" s="63" t="s">
        <v>11105</v>
      </c>
    </row>
    <row r="10450" spans="1:2" x14ac:dyDescent="0.25">
      <c r="A10450" s="62">
        <v>43211606</v>
      </c>
      <c r="B10450" s="63" t="s">
        <v>11106</v>
      </c>
    </row>
    <row r="10451" spans="1:2" x14ac:dyDescent="0.25">
      <c r="A10451" s="62">
        <v>43211607</v>
      </c>
      <c r="B10451" s="63" t="s">
        <v>11107</v>
      </c>
    </row>
    <row r="10452" spans="1:2" x14ac:dyDescent="0.25">
      <c r="A10452" s="62">
        <v>43211608</v>
      </c>
      <c r="B10452" s="63" t="s">
        <v>11108</v>
      </c>
    </row>
    <row r="10453" spans="1:2" x14ac:dyDescent="0.25">
      <c r="A10453" s="62">
        <v>43211609</v>
      </c>
      <c r="B10453" s="63" t="s">
        <v>11109</v>
      </c>
    </row>
    <row r="10454" spans="1:2" x14ac:dyDescent="0.25">
      <c r="A10454" s="62">
        <v>43211701</v>
      </c>
      <c r="B10454" s="63" t="s">
        <v>11110</v>
      </c>
    </row>
    <row r="10455" spans="1:2" x14ac:dyDescent="0.25">
      <c r="A10455" s="62">
        <v>43211702</v>
      </c>
      <c r="B10455" s="63" t="s">
        <v>11111</v>
      </c>
    </row>
    <row r="10456" spans="1:2" x14ac:dyDescent="0.25">
      <c r="A10456" s="62">
        <v>43211704</v>
      </c>
      <c r="B10456" s="63" t="s">
        <v>11112</v>
      </c>
    </row>
    <row r="10457" spans="1:2" x14ac:dyDescent="0.25">
      <c r="A10457" s="62">
        <v>43211705</v>
      </c>
      <c r="B10457" s="63" t="s">
        <v>11113</v>
      </c>
    </row>
    <row r="10458" spans="1:2" x14ac:dyDescent="0.25">
      <c r="A10458" s="62">
        <v>43211706</v>
      </c>
      <c r="B10458" s="63" t="s">
        <v>11114</v>
      </c>
    </row>
    <row r="10459" spans="1:2" x14ac:dyDescent="0.25">
      <c r="A10459" s="62">
        <v>43211707</v>
      </c>
      <c r="B10459" s="63" t="s">
        <v>11115</v>
      </c>
    </row>
    <row r="10460" spans="1:2" x14ac:dyDescent="0.25">
      <c r="A10460" s="62">
        <v>43211708</v>
      </c>
      <c r="B10460" s="63" t="s">
        <v>11116</v>
      </c>
    </row>
    <row r="10461" spans="1:2" x14ac:dyDescent="0.25">
      <c r="A10461" s="62">
        <v>43211709</v>
      </c>
      <c r="B10461" s="63" t="s">
        <v>11117</v>
      </c>
    </row>
    <row r="10462" spans="1:2" x14ac:dyDescent="0.25">
      <c r="A10462" s="62">
        <v>43211710</v>
      </c>
      <c r="B10462" s="63" t="s">
        <v>11118</v>
      </c>
    </row>
    <row r="10463" spans="1:2" x14ac:dyDescent="0.25">
      <c r="A10463" s="62">
        <v>43211711</v>
      </c>
      <c r="B10463" s="63" t="s">
        <v>11119</v>
      </c>
    </row>
    <row r="10464" spans="1:2" x14ac:dyDescent="0.25">
      <c r="A10464" s="62">
        <v>43211712</v>
      </c>
      <c r="B10464" s="63" t="s">
        <v>11120</v>
      </c>
    </row>
    <row r="10465" spans="1:2" x14ac:dyDescent="0.25">
      <c r="A10465" s="62">
        <v>43211713</v>
      </c>
      <c r="B10465" s="63" t="s">
        <v>11121</v>
      </c>
    </row>
    <row r="10466" spans="1:2" x14ac:dyDescent="0.25">
      <c r="A10466" s="62">
        <v>43211714</v>
      </c>
      <c r="B10466" s="63" t="s">
        <v>11122</v>
      </c>
    </row>
    <row r="10467" spans="1:2" x14ac:dyDescent="0.25">
      <c r="A10467" s="62">
        <v>43211715</v>
      </c>
      <c r="B10467" s="63" t="s">
        <v>11123</v>
      </c>
    </row>
    <row r="10468" spans="1:2" x14ac:dyDescent="0.25">
      <c r="A10468" s="62">
        <v>43211717</v>
      </c>
      <c r="B10468" s="63" t="s">
        <v>11124</v>
      </c>
    </row>
    <row r="10469" spans="1:2" x14ac:dyDescent="0.25">
      <c r="A10469" s="62">
        <v>43211718</v>
      </c>
      <c r="B10469" s="63" t="s">
        <v>11125</v>
      </c>
    </row>
    <row r="10470" spans="1:2" x14ac:dyDescent="0.25">
      <c r="A10470" s="62">
        <v>43211719</v>
      </c>
      <c r="B10470" s="63" t="s">
        <v>11126</v>
      </c>
    </row>
    <row r="10471" spans="1:2" x14ac:dyDescent="0.25">
      <c r="A10471" s="62">
        <v>43211720</v>
      </c>
      <c r="B10471" s="63" t="s">
        <v>11127</v>
      </c>
    </row>
    <row r="10472" spans="1:2" x14ac:dyDescent="0.25">
      <c r="A10472" s="62">
        <v>43211721</v>
      </c>
      <c r="B10472" s="63" t="s">
        <v>11128</v>
      </c>
    </row>
    <row r="10473" spans="1:2" x14ac:dyDescent="0.25">
      <c r="A10473" s="62">
        <v>43211801</v>
      </c>
      <c r="B10473" s="63" t="s">
        <v>11129</v>
      </c>
    </row>
    <row r="10474" spans="1:2" x14ac:dyDescent="0.25">
      <c r="A10474" s="62">
        <v>43211802</v>
      </c>
      <c r="B10474" s="63" t="s">
        <v>11130</v>
      </c>
    </row>
    <row r="10475" spans="1:2" x14ac:dyDescent="0.25">
      <c r="A10475" s="62">
        <v>43211803</v>
      </c>
      <c r="B10475" s="63" t="s">
        <v>11131</v>
      </c>
    </row>
    <row r="10476" spans="1:2" x14ac:dyDescent="0.25">
      <c r="A10476" s="62">
        <v>43211804</v>
      </c>
      <c r="B10476" s="63" t="s">
        <v>11132</v>
      </c>
    </row>
    <row r="10477" spans="1:2" x14ac:dyDescent="0.25">
      <c r="A10477" s="62">
        <v>43211805</v>
      </c>
      <c r="B10477" s="63" t="s">
        <v>11133</v>
      </c>
    </row>
    <row r="10478" spans="1:2" x14ac:dyDescent="0.25">
      <c r="A10478" s="62">
        <v>43211901</v>
      </c>
      <c r="B10478" s="63" t="s">
        <v>11134</v>
      </c>
    </row>
    <row r="10479" spans="1:2" x14ac:dyDescent="0.25">
      <c r="A10479" s="62">
        <v>43211902</v>
      </c>
      <c r="B10479" s="63" t="s">
        <v>11135</v>
      </c>
    </row>
    <row r="10480" spans="1:2" x14ac:dyDescent="0.25">
      <c r="A10480" s="62">
        <v>43211903</v>
      </c>
      <c r="B10480" s="63" t="s">
        <v>11136</v>
      </c>
    </row>
    <row r="10481" spans="1:2" x14ac:dyDescent="0.25">
      <c r="A10481" s="62">
        <v>43211904</v>
      </c>
      <c r="B10481" s="63" t="s">
        <v>11137</v>
      </c>
    </row>
    <row r="10482" spans="1:2" x14ac:dyDescent="0.25">
      <c r="A10482" s="62">
        <v>43211905</v>
      </c>
      <c r="B10482" s="63" t="s">
        <v>11138</v>
      </c>
    </row>
    <row r="10483" spans="1:2" x14ac:dyDescent="0.25">
      <c r="A10483" s="62">
        <v>43212001</v>
      </c>
      <c r="B10483" s="63" t="s">
        <v>11139</v>
      </c>
    </row>
    <row r="10484" spans="1:2" x14ac:dyDescent="0.25">
      <c r="A10484" s="62">
        <v>43212002</v>
      </c>
      <c r="B10484" s="63" t="s">
        <v>11140</v>
      </c>
    </row>
    <row r="10485" spans="1:2" x14ac:dyDescent="0.25">
      <c r="A10485" s="62">
        <v>43212101</v>
      </c>
      <c r="B10485" s="63" t="s">
        <v>11141</v>
      </c>
    </row>
    <row r="10486" spans="1:2" x14ac:dyDescent="0.25">
      <c r="A10486" s="62">
        <v>43212102</v>
      </c>
      <c r="B10486" s="63" t="s">
        <v>11142</v>
      </c>
    </row>
    <row r="10487" spans="1:2" x14ac:dyDescent="0.25">
      <c r="A10487" s="62">
        <v>43212103</v>
      </c>
      <c r="B10487" s="63" t="s">
        <v>11143</v>
      </c>
    </row>
    <row r="10488" spans="1:2" x14ac:dyDescent="0.25">
      <c r="A10488" s="62">
        <v>43212104</v>
      </c>
      <c r="B10488" s="63" t="s">
        <v>11144</v>
      </c>
    </row>
    <row r="10489" spans="1:2" x14ac:dyDescent="0.25">
      <c r="A10489" s="62">
        <v>43212105</v>
      </c>
      <c r="B10489" s="63" t="s">
        <v>11145</v>
      </c>
    </row>
    <row r="10490" spans="1:2" x14ac:dyDescent="0.25">
      <c r="A10490" s="62">
        <v>43212106</v>
      </c>
      <c r="B10490" s="63" t="s">
        <v>11146</v>
      </c>
    </row>
    <row r="10491" spans="1:2" x14ac:dyDescent="0.25">
      <c r="A10491" s="62">
        <v>43212107</v>
      </c>
      <c r="B10491" s="63" t="s">
        <v>11147</v>
      </c>
    </row>
    <row r="10492" spans="1:2" x14ac:dyDescent="0.25">
      <c r="A10492" s="62">
        <v>43212108</v>
      </c>
      <c r="B10492" s="63" t="s">
        <v>11148</v>
      </c>
    </row>
    <row r="10493" spans="1:2" x14ac:dyDescent="0.25">
      <c r="A10493" s="62">
        <v>43212109</v>
      </c>
      <c r="B10493" s="63" t="s">
        <v>11149</v>
      </c>
    </row>
    <row r="10494" spans="1:2" x14ac:dyDescent="0.25">
      <c r="A10494" s="62">
        <v>43212110</v>
      </c>
      <c r="B10494" s="63" t="s">
        <v>11150</v>
      </c>
    </row>
    <row r="10495" spans="1:2" x14ac:dyDescent="0.25">
      <c r="A10495" s="62">
        <v>43212111</v>
      </c>
      <c r="B10495" s="63" t="s">
        <v>11151</v>
      </c>
    </row>
    <row r="10496" spans="1:2" x14ac:dyDescent="0.25">
      <c r="A10496" s="62">
        <v>43212112</v>
      </c>
      <c r="B10496" s="63" t="s">
        <v>11152</v>
      </c>
    </row>
    <row r="10497" spans="1:2" x14ac:dyDescent="0.25">
      <c r="A10497" s="62">
        <v>43212113</v>
      </c>
      <c r="B10497" s="63" t="s">
        <v>11153</v>
      </c>
    </row>
    <row r="10498" spans="1:2" x14ac:dyDescent="0.25">
      <c r="A10498" s="62">
        <v>43212114</v>
      </c>
      <c r="B10498" s="63" t="s">
        <v>11154</v>
      </c>
    </row>
    <row r="10499" spans="1:2" x14ac:dyDescent="0.25">
      <c r="A10499" s="62">
        <v>43221501</v>
      </c>
      <c r="B10499" s="63" t="s">
        <v>11155</v>
      </c>
    </row>
    <row r="10500" spans="1:2" x14ac:dyDescent="0.25">
      <c r="A10500" s="62">
        <v>43221502</v>
      </c>
      <c r="B10500" s="63" t="s">
        <v>11156</v>
      </c>
    </row>
    <row r="10501" spans="1:2" x14ac:dyDescent="0.25">
      <c r="A10501" s="62">
        <v>43221503</v>
      </c>
      <c r="B10501" s="63" t="s">
        <v>11157</v>
      </c>
    </row>
    <row r="10502" spans="1:2" x14ac:dyDescent="0.25">
      <c r="A10502" s="62">
        <v>43221504</v>
      </c>
      <c r="B10502" s="63" t="s">
        <v>11158</v>
      </c>
    </row>
    <row r="10503" spans="1:2" x14ac:dyDescent="0.25">
      <c r="A10503" s="62">
        <v>43221505</v>
      </c>
      <c r="B10503" s="63" t="s">
        <v>11159</v>
      </c>
    </row>
    <row r="10504" spans="1:2" x14ac:dyDescent="0.25">
      <c r="A10504" s="62">
        <v>43221506</v>
      </c>
      <c r="B10504" s="63" t="s">
        <v>11160</v>
      </c>
    </row>
    <row r="10505" spans="1:2" x14ac:dyDescent="0.25">
      <c r="A10505" s="62">
        <v>43221507</v>
      </c>
      <c r="B10505" s="63" t="s">
        <v>11161</v>
      </c>
    </row>
    <row r="10506" spans="1:2" x14ac:dyDescent="0.25">
      <c r="A10506" s="62">
        <v>43221508</v>
      </c>
      <c r="B10506" s="63" t="s">
        <v>11162</v>
      </c>
    </row>
    <row r="10507" spans="1:2" x14ac:dyDescent="0.25">
      <c r="A10507" s="62">
        <v>43221509</v>
      </c>
      <c r="B10507" s="63" t="s">
        <v>11163</v>
      </c>
    </row>
    <row r="10508" spans="1:2" x14ac:dyDescent="0.25">
      <c r="A10508" s="62">
        <v>43221510</v>
      </c>
      <c r="B10508" s="63" t="s">
        <v>11164</v>
      </c>
    </row>
    <row r="10509" spans="1:2" x14ac:dyDescent="0.25">
      <c r="A10509" s="62">
        <v>43221513</v>
      </c>
      <c r="B10509" s="63" t="s">
        <v>11165</v>
      </c>
    </row>
    <row r="10510" spans="1:2" x14ac:dyDescent="0.25">
      <c r="A10510" s="62">
        <v>43221514</v>
      </c>
      <c r="B10510" s="63" t="s">
        <v>11166</v>
      </c>
    </row>
    <row r="10511" spans="1:2" x14ac:dyDescent="0.25">
      <c r="A10511" s="62">
        <v>43221515</v>
      </c>
      <c r="B10511" s="63" t="s">
        <v>11167</v>
      </c>
    </row>
    <row r="10512" spans="1:2" x14ac:dyDescent="0.25">
      <c r="A10512" s="62">
        <v>43221516</v>
      </c>
      <c r="B10512" s="63" t="s">
        <v>11168</v>
      </c>
    </row>
    <row r="10513" spans="1:2" x14ac:dyDescent="0.25">
      <c r="A10513" s="62">
        <v>43221517</v>
      </c>
      <c r="B10513" s="63" t="s">
        <v>11169</v>
      </c>
    </row>
    <row r="10514" spans="1:2" x14ac:dyDescent="0.25">
      <c r="A10514" s="62">
        <v>43221518</v>
      </c>
      <c r="B10514" s="63" t="s">
        <v>11170</v>
      </c>
    </row>
    <row r="10515" spans="1:2" x14ac:dyDescent="0.25">
      <c r="A10515" s="62">
        <v>43221519</v>
      </c>
      <c r="B10515" s="63" t="s">
        <v>11171</v>
      </c>
    </row>
    <row r="10516" spans="1:2" x14ac:dyDescent="0.25">
      <c r="A10516" s="62">
        <v>43221520</v>
      </c>
      <c r="B10516" s="63" t="s">
        <v>11172</v>
      </c>
    </row>
    <row r="10517" spans="1:2" x14ac:dyDescent="0.25">
      <c r="A10517" s="62">
        <v>43221521</v>
      </c>
      <c r="B10517" s="63" t="s">
        <v>11173</v>
      </c>
    </row>
    <row r="10518" spans="1:2" x14ac:dyDescent="0.25">
      <c r="A10518" s="62">
        <v>43221522</v>
      </c>
      <c r="B10518" s="63" t="s">
        <v>11174</v>
      </c>
    </row>
    <row r="10519" spans="1:2" x14ac:dyDescent="0.25">
      <c r="A10519" s="62">
        <v>43221523</v>
      </c>
      <c r="B10519" s="63" t="s">
        <v>11175</v>
      </c>
    </row>
    <row r="10520" spans="1:2" x14ac:dyDescent="0.25">
      <c r="A10520" s="62">
        <v>43221524</v>
      </c>
      <c r="B10520" s="63" t="s">
        <v>11176</v>
      </c>
    </row>
    <row r="10521" spans="1:2" x14ac:dyDescent="0.25">
      <c r="A10521" s="62">
        <v>43221525</v>
      </c>
      <c r="B10521" s="63" t="s">
        <v>11177</v>
      </c>
    </row>
    <row r="10522" spans="1:2" x14ac:dyDescent="0.25">
      <c r="A10522" s="62">
        <v>43221526</v>
      </c>
      <c r="B10522" s="63" t="s">
        <v>11178</v>
      </c>
    </row>
    <row r="10523" spans="1:2" x14ac:dyDescent="0.25">
      <c r="A10523" s="62">
        <v>43221601</v>
      </c>
      <c r="B10523" s="63" t="s">
        <v>11179</v>
      </c>
    </row>
    <row r="10524" spans="1:2" x14ac:dyDescent="0.25">
      <c r="A10524" s="62">
        <v>43221602</v>
      </c>
      <c r="B10524" s="63" t="s">
        <v>11180</v>
      </c>
    </row>
    <row r="10525" spans="1:2" x14ac:dyDescent="0.25">
      <c r="A10525" s="62">
        <v>43221603</v>
      </c>
      <c r="B10525" s="63" t="s">
        <v>11181</v>
      </c>
    </row>
    <row r="10526" spans="1:2" x14ac:dyDescent="0.25">
      <c r="A10526" s="62">
        <v>43221701</v>
      </c>
      <c r="B10526" s="63" t="s">
        <v>11182</v>
      </c>
    </row>
    <row r="10527" spans="1:2" x14ac:dyDescent="0.25">
      <c r="A10527" s="62">
        <v>43221702</v>
      </c>
      <c r="B10527" s="63" t="s">
        <v>11183</v>
      </c>
    </row>
    <row r="10528" spans="1:2" x14ac:dyDescent="0.25">
      <c r="A10528" s="62">
        <v>43221703</v>
      </c>
      <c r="B10528" s="63" t="s">
        <v>11184</v>
      </c>
    </row>
    <row r="10529" spans="1:2" x14ac:dyDescent="0.25">
      <c r="A10529" s="62">
        <v>43221704</v>
      </c>
      <c r="B10529" s="63" t="s">
        <v>11185</v>
      </c>
    </row>
    <row r="10530" spans="1:2" x14ac:dyDescent="0.25">
      <c r="A10530" s="62">
        <v>43221705</v>
      </c>
      <c r="B10530" s="63" t="s">
        <v>11186</v>
      </c>
    </row>
    <row r="10531" spans="1:2" x14ac:dyDescent="0.25">
      <c r="A10531" s="62">
        <v>43221706</v>
      </c>
      <c r="B10531" s="63" t="s">
        <v>11187</v>
      </c>
    </row>
    <row r="10532" spans="1:2" x14ac:dyDescent="0.25">
      <c r="A10532" s="62">
        <v>43221707</v>
      </c>
      <c r="B10532" s="63" t="s">
        <v>11188</v>
      </c>
    </row>
    <row r="10533" spans="1:2" x14ac:dyDescent="0.25">
      <c r="A10533" s="62">
        <v>43221708</v>
      </c>
      <c r="B10533" s="63" t="s">
        <v>11189</v>
      </c>
    </row>
    <row r="10534" spans="1:2" x14ac:dyDescent="0.25">
      <c r="A10534" s="62">
        <v>43221709</v>
      </c>
      <c r="B10534" s="63" t="s">
        <v>11190</v>
      </c>
    </row>
    <row r="10535" spans="1:2" x14ac:dyDescent="0.25">
      <c r="A10535" s="62">
        <v>43221710</v>
      </c>
      <c r="B10535" s="63" t="s">
        <v>11191</v>
      </c>
    </row>
    <row r="10536" spans="1:2" x14ac:dyDescent="0.25">
      <c r="A10536" s="62">
        <v>43221711</v>
      </c>
      <c r="B10536" s="63" t="s">
        <v>11192</v>
      </c>
    </row>
    <row r="10537" spans="1:2" x14ac:dyDescent="0.25">
      <c r="A10537" s="62">
        <v>43221712</v>
      </c>
      <c r="B10537" s="63" t="s">
        <v>11193</v>
      </c>
    </row>
    <row r="10538" spans="1:2" x14ac:dyDescent="0.25">
      <c r="A10538" s="62">
        <v>43221713</v>
      </c>
      <c r="B10538" s="63" t="s">
        <v>11194</v>
      </c>
    </row>
    <row r="10539" spans="1:2" x14ac:dyDescent="0.25">
      <c r="A10539" s="62">
        <v>43221714</v>
      </c>
      <c r="B10539" s="63" t="s">
        <v>11195</v>
      </c>
    </row>
    <row r="10540" spans="1:2" x14ac:dyDescent="0.25">
      <c r="A10540" s="62">
        <v>43221715</v>
      </c>
      <c r="B10540" s="63" t="s">
        <v>11196</v>
      </c>
    </row>
    <row r="10541" spans="1:2" x14ac:dyDescent="0.25">
      <c r="A10541" s="62">
        <v>43221716</v>
      </c>
      <c r="B10541" s="63" t="s">
        <v>11197</v>
      </c>
    </row>
    <row r="10542" spans="1:2" x14ac:dyDescent="0.25">
      <c r="A10542" s="62">
        <v>43221717</v>
      </c>
      <c r="B10542" s="63" t="s">
        <v>11198</v>
      </c>
    </row>
    <row r="10543" spans="1:2" x14ac:dyDescent="0.25">
      <c r="A10543" s="62">
        <v>43221718</v>
      </c>
      <c r="B10543" s="63" t="s">
        <v>11199</v>
      </c>
    </row>
    <row r="10544" spans="1:2" x14ac:dyDescent="0.25">
      <c r="A10544" s="62">
        <v>43221719</v>
      </c>
      <c r="B10544" s="63" t="s">
        <v>11200</v>
      </c>
    </row>
    <row r="10545" spans="1:2" x14ac:dyDescent="0.25">
      <c r="A10545" s="62">
        <v>43221720</v>
      </c>
      <c r="B10545" s="63" t="s">
        <v>11201</v>
      </c>
    </row>
    <row r="10546" spans="1:2" x14ac:dyDescent="0.25">
      <c r="A10546" s="62">
        <v>43221721</v>
      </c>
      <c r="B10546" s="63" t="s">
        <v>11202</v>
      </c>
    </row>
    <row r="10547" spans="1:2" x14ac:dyDescent="0.25">
      <c r="A10547" s="62">
        <v>43221801</v>
      </c>
      <c r="B10547" s="63" t="s">
        <v>11203</v>
      </c>
    </row>
    <row r="10548" spans="1:2" x14ac:dyDescent="0.25">
      <c r="A10548" s="62">
        <v>43221802</v>
      </c>
      <c r="B10548" s="63" t="s">
        <v>11204</v>
      </c>
    </row>
    <row r="10549" spans="1:2" x14ac:dyDescent="0.25">
      <c r="A10549" s="62">
        <v>43221803</v>
      </c>
      <c r="B10549" s="63" t="s">
        <v>11205</v>
      </c>
    </row>
    <row r="10550" spans="1:2" x14ac:dyDescent="0.25">
      <c r="A10550" s="62">
        <v>43221804</v>
      </c>
      <c r="B10550" s="63" t="s">
        <v>11206</v>
      </c>
    </row>
    <row r="10551" spans="1:2" x14ac:dyDescent="0.25">
      <c r="A10551" s="62">
        <v>43221805</v>
      </c>
      <c r="B10551" s="63" t="s">
        <v>11207</v>
      </c>
    </row>
    <row r="10552" spans="1:2" x14ac:dyDescent="0.25">
      <c r="A10552" s="62">
        <v>43221806</v>
      </c>
      <c r="B10552" s="63" t="s">
        <v>11208</v>
      </c>
    </row>
    <row r="10553" spans="1:2" x14ac:dyDescent="0.25">
      <c r="A10553" s="62">
        <v>43221807</v>
      </c>
      <c r="B10553" s="63" t="s">
        <v>11209</v>
      </c>
    </row>
    <row r="10554" spans="1:2" x14ac:dyDescent="0.25">
      <c r="A10554" s="62">
        <v>43221808</v>
      </c>
      <c r="B10554" s="63" t="s">
        <v>11210</v>
      </c>
    </row>
    <row r="10555" spans="1:2" x14ac:dyDescent="0.25">
      <c r="A10555" s="62">
        <v>43222501</v>
      </c>
      <c r="B10555" s="63" t="s">
        <v>11211</v>
      </c>
    </row>
    <row r="10556" spans="1:2" x14ac:dyDescent="0.25">
      <c r="A10556" s="62">
        <v>43222502</v>
      </c>
      <c r="B10556" s="63" t="s">
        <v>11212</v>
      </c>
    </row>
    <row r="10557" spans="1:2" x14ac:dyDescent="0.25">
      <c r="A10557" s="62">
        <v>43222503</v>
      </c>
      <c r="B10557" s="63" t="s">
        <v>11213</v>
      </c>
    </row>
    <row r="10558" spans="1:2" x14ac:dyDescent="0.25">
      <c r="A10558" s="62">
        <v>43222602</v>
      </c>
      <c r="B10558" s="63" t="s">
        <v>11214</v>
      </c>
    </row>
    <row r="10559" spans="1:2" x14ac:dyDescent="0.25">
      <c r="A10559" s="62">
        <v>43222604</v>
      </c>
      <c r="B10559" s="63" t="s">
        <v>11215</v>
      </c>
    </row>
    <row r="10560" spans="1:2" x14ac:dyDescent="0.25">
      <c r="A10560" s="62">
        <v>43222605</v>
      </c>
      <c r="B10560" s="63" t="s">
        <v>11216</v>
      </c>
    </row>
    <row r="10561" spans="1:2" x14ac:dyDescent="0.25">
      <c r="A10561" s="62">
        <v>43222606</v>
      </c>
      <c r="B10561" s="63" t="s">
        <v>11217</v>
      </c>
    </row>
    <row r="10562" spans="1:2" x14ac:dyDescent="0.25">
      <c r="A10562" s="62">
        <v>43222607</v>
      </c>
      <c r="B10562" s="63" t="s">
        <v>11218</v>
      </c>
    </row>
    <row r="10563" spans="1:2" x14ac:dyDescent="0.25">
      <c r="A10563" s="62">
        <v>43222608</v>
      </c>
      <c r="B10563" s="63" t="s">
        <v>11219</v>
      </c>
    </row>
    <row r="10564" spans="1:2" x14ac:dyDescent="0.25">
      <c r="A10564" s="62">
        <v>43222609</v>
      </c>
      <c r="B10564" s="63" t="s">
        <v>11220</v>
      </c>
    </row>
    <row r="10565" spans="1:2" x14ac:dyDescent="0.25">
      <c r="A10565" s="62">
        <v>43222610</v>
      </c>
      <c r="B10565" s="63" t="s">
        <v>11221</v>
      </c>
    </row>
    <row r="10566" spans="1:2" x14ac:dyDescent="0.25">
      <c r="A10566" s="62">
        <v>43222611</v>
      </c>
      <c r="B10566" s="63" t="s">
        <v>11222</v>
      </c>
    </row>
    <row r="10567" spans="1:2" x14ac:dyDescent="0.25">
      <c r="A10567" s="62">
        <v>43222612</v>
      </c>
      <c r="B10567" s="63" t="s">
        <v>11223</v>
      </c>
    </row>
    <row r="10568" spans="1:2" x14ac:dyDescent="0.25">
      <c r="A10568" s="62">
        <v>43222615</v>
      </c>
      <c r="B10568" s="63" t="s">
        <v>11224</v>
      </c>
    </row>
    <row r="10569" spans="1:2" x14ac:dyDescent="0.25">
      <c r="A10569" s="62">
        <v>43222619</v>
      </c>
      <c r="B10569" s="63" t="s">
        <v>11225</v>
      </c>
    </row>
    <row r="10570" spans="1:2" x14ac:dyDescent="0.25">
      <c r="A10570" s="62">
        <v>43222620</v>
      </c>
      <c r="B10570" s="63" t="s">
        <v>11226</v>
      </c>
    </row>
    <row r="10571" spans="1:2" x14ac:dyDescent="0.25">
      <c r="A10571" s="62">
        <v>43222621</v>
      </c>
      <c r="B10571" s="63" t="s">
        <v>11227</v>
      </c>
    </row>
    <row r="10572" spans="1:2" x14ac:dyDescent="0.25">
      <c r="A10572" s="62">
        <v>43222622</v>
      </c>
      <c r="B10572" s="63" t="s">
        <v>11228</v>
      </c>
    </row>
    <row r="10573" spans="1:2" x14ac:dyDescent="0.25">
      <c r="A10573" s="62">
        <v>43222623</v>
      </c>
      <c r="B10573" s="63" t="s">
        <v>11229</v>
      </c>
    </row>
    <row r="10574" spans="1:2" x14ac:dyDescent="0.25">
      <c r="A10574" s="62">
        <v>43222624</v>
      </c>
      <c r="B10574" s="63" t="s">
        <v>11230</v>
      </c>
    </row>
    <row r="10575" spans="1:2" x14ac:dyDescent="0.25">
      <c r="A10575" s="62">
        <v>43222625</v>
      </c>
      <c r="B10575" s="63" t="s">
        <v>11231</v>
      </c>
    </row>
    <row r="10576" spans="1:2" x14ac:dyDescent="0.25">
      <c r="A10576" s="62">
        <v>43222626</v>
      </c>
      <c r="B10576" s="63" t="s">
        <v>11232</v>
      </c>
    </row>
    <row r="10577" spans="1:2" x14ac:dyDescent="0.25">
      <c r="A10577" s="62">
        <v>43222627</v>
      </c>
      <c r="B10577" s="63" t="s">
        <v>11233</v>
      </c>
    </row>
    <row r="10578" spans="1:2" x14ac:dyDescent="0.25">
      <c r="A10578" s="62">
        <v>43222628</v>
      </c>
      <c r="B10578" s="63" t="s">
        <v>11234</v>
      </c>
    </row>
    <row r="10579" spans="1:2" x14ac:dyDescent="0.25">
      <c r="A10579" s="62">
        <v>43222629</v>
      </c>
      <c r="B10579" s="63" t="s">
        <v>11235</v>
      </c>
    </row>
    <row r="10580" spans="1:2" x14ac:dyDescent="0.25">
      <c r="A10580" s="62">
        <v>43222630</v>
      </c>
      <c r="B10580" s="63" t="s">
        <v>11236</v>
      </c>
    </row>
    <row r="10581" spans="1:2" x14ac:dyDescent="0.25">
      <c r="A10581" s="62">
        <v>43222631</v>
      </c>
      <c r="B10581" s="63" t="s">
        <v>11237</v>
      </c>
    </row>
    <row r="10582" spans="1:2" x14ac:dyDescent="0.25">
      <c r="A10582" s="62">
        <v>43222632</v>
      </c>
      <c r="B10582" s="63" t="s">
        <v>11238</v>
      </c>
    </row>
    <row r="10583" spans="1:2" x14ac:dyDescent="0.25">
      <c r="A10583" s="62">
        <v>43222701</v>
      </c>
      <c r="B10583" s="63" t="s">
        <v>11239</v>
      </c>
    </row>
    <row r="10584" spans="1:2" x14ac:dyDescent="0.25">
      <c r="A10584" s="62">
        <v>43222702</v>
      </c>
      <c r="B10584" s="63" t="s">
        <v>11240</v>
      </c>
    </row>
    <row r="10585" spans="1:2" x14ac:dyDescent="0.25">
      <c r="A10585" s="62">
        <v>43222703</v>
      </c>
      <c r="B10585" s="63" t="s">
        <v>11241</v>
      </c>
    </row>
    <row r="10586" spans="1:2" x14ac:dyDescent="0.25">
      <c r="A10586" s="62">
        <v>43222801</v>
      </c>
      <c r="B10586" s="63" t="s">
        <v>11242</v>
      </c>
    </row>
    <row r="10587" spans="1:2" x14ac:dyDescent="0.25">
      <c r="A10587" s="62">
        <v>43222802</v>
      </c>
      <c r="B10587" s="63" t="s">
        <v>11243</v>
      </c>
    </row>
    <row r="10588" spans="1:2" x14ac:dyDescent="0.25">
      <c r="A10588" s="62">
        <v>43222803</v>
      </c>
      <c r="B10588" s="63" t="s">
        <v>11244</v>
      </c>
    </row>
    <row r="10589" spans="1:2" x14ac:dyDescent="0.25">
      <c r="A10589" s="62">
        <v>43222805</v>
      </c>
      <c r="B10589" s="63" t="s">
        <v>11245</v>
      </c>
    </row>
    <row r="10590" spans="1:2" x14ac:dyDescent="0.25">
      <c r="A10590" s="62">
        <v>43222806</v>
      </c>
      <c r="B10590" s="63" t="s">
        <v>11246</v>
      </c>
    </row>
    <row r="10591" spans="1:2" x14ac:dyDescent="0.25">
      <c r="A10591" s="62">
        <v>43222811</v>
      </c>
      <c r="B10591" s="63" t="s">
        <v>11247</v>
      </c>
    </row>
    <row r="10592" spans="1:2" x14ac:dyDescent="0.25">
      <c r="A10592" s="62">
        <v>43222813</v>
      </c>
      <c r="B10592" s="63" t="s">
        <v>11248</v>
      </c>
    </row>
    <row r="10593" spans="1:2" x14ac:dyDescent="0.25">
      <c r="A10593" s="62">
        <v>43222814</v>
      </c>
      <c r="B10593" s="63" t="s">
        <v>11249</v>
      </c>
    </row>
    <row r="10594" spans="1:2" x14ac:dyDescent="0.25">
      <c r="A10594" s="62">
        <v>43222815</v>
      </c>
      <c r="B10594" s="63" t="s">
        <v>11250</v>
      </c>
    </row>
    <row r="10595" spans="1:2" x14ac:dyDescent="0.25">
      <c r="A10595" s="62">
        <v>43222816</v>
      </c>
      <c r="B10595" s="63" t="s">
        <v>11251</v>
      </c>
    </row>
    <row r="10596" spans="1:2" x14ac:dyDescent="0.25">
      <c r="A10596" s="62">
        <v>43222817</v>
      </c>
      <c r="B10596" s="63" t="s">
        <v>11252</v>
      </c>
    </row>
    <row r="10597" spans="1:2" x14ac:dyDescent="0.25">
      <c r="A10597" s="62">
        <v>43222818</v>
      </c>
      <c r="B10597" s="63" t="s">
        <v>11253</v>
      </c>
    </row>
    <row r="10598" spans="1:2" x14ac:dyDescent="0.25">
      <c r="A10598" s="62">
        <v>43222819</v>
      </c>
      <c r="B10598" s="63" t="s">
        <v>11254</v>
      </c>
    </row>
    <row r="10599" spans="1:2" x14ac:dyDescent="0.25">
      <c r="A10599" s="62">
        <v>43222820</v>
      </c>
      <c r="B10599" s="63" t="s">
        <v>11255</v>
      </c>
    </row>
    <row r="10600" spans="1:2" x14ac:dyDescent="0.25">
      <c r="A10600" s="62">
        <v>43222821</v>
      </c>
      <c r="B10600" s="63" t="s">
        <v>11256</v>
      </c>
    </row>
    <row r="10601" spans="1:2" x14ac:dyDescent="0.25">
      <c r="A10601" s="62">
        <v>43222822</v>
      </c>
      <c r="B10601" s="63" t="s">
        <v>11257</v>
      </c>
    </row>
    <row r="10602" spans="1:2" x14ac:dyDescent="0.25">
      <c r="A10602" s="62">
        <v>43222823</v>
      </c>
      <c r="B10602" s="63" t="s">
        <v>11258</v>
      </c>
    </row>
    <row r="10603" spans="1:2" x14ac:dyDescent="0.25">
      <c r="A10603" s="62">
        <v>43222824</v>
      </c>
      <c r="B10603" s="63" t="s">
        <v>11259</v>
      </c>
    </row>
    <row r="10604" spans="1:2" x14ac:dyDescent="0.25">
      <c r="A10604" s="62">
        <v>43222825</v>
      </c>
      <c r="B10604" s="63" t="s">
        <v>11260</v>
      </c>
    </row>
    <row r="10605" spans="1:2" x14ac:dyDescent="0.25">
      <c r="A10605" s="62">
        <v>43222901</v>
      </c>
      <c r="B10605" s="63" t="s">
        <v>11261</v>
      </c>
    </row>
    <row r="10606" spans="1:2" x14ac:dyDescent="0.25">
      <c r="A10606" s="62">
        <v>43222902</v>
      </c>
      <c r="B10606" s="63" t="s">
        <v>11262</v>
      </c>
    </row>
    <row r="10607" spans="1:2" x14ac:dyDescent="0.25">
      <c r="A10607" s="62">
        <v>43223001</v>
      </c>
      <c r="B10607" s="63" t="s">
        <v>11263</v>
      </c>
    </row>
    <row r="10608" spans="1:2" x14ac:dyDescent="0.25">
      <c r="A10608" s="62">
        <v>43223101</v>
      </c>
      <c r="B10608" s="63" t="s">
        <v>11264</v>
      </c>
    </row>
    <row r="10609" spans="1:2" x14ac:dyDescent="0.25">
      <c r="A10609" s="62">
        <v>43223102</v>
      </c>
      <c r="B10609" s="63" t="s">
        <v>11265</v>
      </c>
    </row>
    <row r="10610" spans="1:2" x14ac:dyDescent="0.25">
      <c r="A10610" s="62">
        <v>43223103</v>
      </c>
      <c r="B10610" s="63" t="s">
        <v>11266</v>
      </c>
    </row>
    <row r="10611" spans="1:2" x14ac:dyDescent="0.25">
      <c r="A10611" s="62">
        <v>43223104</v>
      </c>
      <c r="B10611" s="63" t="s">
        <v>11267</v>
      </c>
    </row>
    <row r="10612" spans="1:2" x14ac:dyDescent="0.25">
      <c r="A10612" s="62">
        <v>43223105</v>
      </c>
      <c r="B10612" s="63" t="s">
        <v>11268</v>
      </c>
    </row>
    <row r="10613" spans="1:2" x14ac:dyDescent="0.25">
      <c r="A10613" s="62">
        <v>43223106</v>
      </c>
      <c r="B10613" s="63" t="s">
        <v>11269</v>
      </c>
    </row>
    <row r="10614" spans="1:2" x14ac:dyDescent="0.25">
      <c r="A10614" s="62">
        <v>43223107</v>
      </c>
      <c r="B10614" s="63" t="s">
        <v>11270</v>
      </c>
    </row>
    <row r="10615" spans="1:2" x14ac:dyDescent="0.25">
      <c r="A10615" s="62">
        <v>43223108</v>
      </c>
      <c r="B10615" s="63" t="s">
        <v>11271</v>
      </c>
    </row>
    <row r="10616" spans="1:2" x14ac:dyDescent="0.25">
      <c r="A10616" s="62">
        <v>43223109</v>
      </c>
      <c r="B10616" s="63" t="s">
        <v>11272</v>
      </c>
    </row>
    <row r="10617" spans="1:2" x14ac:dyDescent="0.25">
      <c r="A10617" s="62">
        <v>43223110</v>
      </c>
      <c r="B10617" s="63" t="s">
        <v>11273</v>
      </c>
    </row>
    <row r="10618" spans="1:2" x14ac:dyDescent="0.25">
      <c r="A10618" s="62">
        <v>43223111</v>
      </c>
      <c r="B10618" s="63" t="s">
        <v>11274</v>
      </c>
    </row>
    <row r="10619" spans="1:2" x14ac:dyDescent="0.25">
      <c r="A10619" s="62">
        <v>43223112</v>
      </c>
      <c r="B10619" s="63" t="s">
        <v>11275</v>
      </c>
    </row>
    <row r="10620" spans="1:2" x14ac:dyDescent="0.25">
      <c r="A10620" s="62">
        <v>43223113</v>
      </c>
      <c r="B10620" s="63" t="s">
        <v>11276</v>
      </c>
    </row>
    <row r="10621" spans="1:2" x14ac:dyDescent="0.25">
      <c r="A10621" s="62">
        <v>43223201</v>
      </c>
      <c r="B10621" s="63" t="s">
        <v>11277</v>
      </c>
    </row>
    <row r="10622" spans="1:2" x14ac:dyDescent="0.25">
      <c r="A10622" s="62">
        <v>43223202</v>
      </c>
      <c r="B10622" s="63" t="s">
        <v>11278</v>
      </c>
    </row>
    <row r="10623" spans="1:2" x14ac:dyDescent="0.25">
      <c r="A10623" s="62">
        <v>43223203</v>
      </c>
      <c r="B10623" s="63" t="s">
        <v>11279</v>
      </c>
    </row>
    <row r="10624" spans="1:2" x14ac:dyDescent="0.25">
      <c r="A10624" s="62">
        <v>43223204</v>
      </c>
      <c r="B10624" s="63" t="s">
        <v>11280</v>
      </c>
    </row>
    <row r="10625" spans="1:2" x14ac:dyDescent="0.25">
      <c r="A10625" s="62">
        <v>43223205</v>
      </c>
      <c r="B10625" s="63" t="s">
        <v>11281</v>
      </c>
    </row>
    <row r="10626" spans="1:2" x14ac:dyDescent="0.25">
      <c r="A10626" s="62">
        <v>43223206</v>
      </c>
      <c r="B10626" s="63" t="s">
        <v>11282</v>
      </c>
    </row>
    <row r="10627" spans="1:2" x14ac:dyDescent="0.25">
      <c r="A10627" s="62">
        <v>43223207</v>
      </c>
      <c r="B10627" s="63" t="s">
        <v>11283</v>
      </c>
    </row>
    <row r="10628" spans="1:2" x14ac:dyDescent="0.25">
      <c r="A10628" s="62">
        <v>43223208</v>
      </c>
      <c r="B10628" s="63" t="s">
        <v>11284</v>
      </c>
    </row>
    <row r="10629" spans="1:2" x14ac:dyDescent="0.25">
      <c r="A10629" s="62">
        <v>43223209</v>
      </c>
      <c r="B10629" s="63" t="s">
        <v>11285</v>
      </c>
    </row>
    <row r="10630" spans="1:2" x14ac:dyDescent="0.25">
      <c r="A10630" s="62">
        <v>43223210</v>
      </c>
      <c r="B10630" s="63" t="s">
        <v>11286</v>
      </c>
    </row>
    <row r="10631" spans="1:2" x14ac:dyDescent="0.25">
      <c r="A10631" s="62">
        <v>43223211</v>
      </c>
      <c r="B10631" s="63" t="s">
        <v>11287</v>
      </c>
    </row>
    <row r="10632" spans="1:2" x14ac:dyDescent="0.25">
      <c r="A10632" s="62">
        <v>43223212</v>
      </c>
      <c r="B10632" s="63" t="s">
        <v>11288</v>
      </c>
    </row>
    <row r="10633" spans="1:2" x14ac:dyDescent="0.25">
      <c r="A10633" s="62">
        <v>43231501</v>
      </c>
      <c r="B10633" s="63" t="s">
        <v>11289</v>
      </c>
    </row>
    <row r="10634" spans="1:2" x14ac:dyDescent="0.25">
      <c r="A10634" s="62">
        <v>43231503</v>
      </c>
      <c r="B10634" s="63" t="s">
        <v>11290</v>
      </c>
    </row>
    <row r="10635" spans="1:2" x14ac:dyDescent="0.25">
      <c r="A10635" s="62">
        <v>43231505</v>
      </c>
      <c r="B10635" s="63" t="s">
        <v>11291</v>
      </c>
    </row>
    <row r="10636" spans="1:2" x14ac:dyDescent="0.25">
      <c r="A10636" s="62">
        <v>43231506</v>
      </c>
      <c r="B10636" s="63" t="s">
        <v>11292</v>
      </c>
    </row>
    <row r="10637" spans="1:2" x14ac:dyDescent="0.25">
      <c r="A10637" s="62">
        <v>43231507</v>
      </c>
      <c r="B10637" s="63" t="s">
        <v>11293</v>
      </c>
    </row>
    <row r="10638" spans="1:2" x14ac:dyDescent="0.25">
      <c r="A10638" s="62">
        <v>43231508</v>
      </c>
      <c r="B10638" s="63" t="s">
        <v>11294</v>
      </c>
    </row>
    <row r="10639" spans="1:2" x14ac:dyDescent="0.25">
      <c r="A10639" s="62">
        <v>43231509</v>
      </c>
      <c r="B10639" s="63" t="s">
        <v>11295</v>
      </c>
    </row>
    <row r="10640" spans="1:2" x14ac:dyDescent="0.25">
      <c r="A10640" s="62">
        <v>43231510</v>
      </c>
      <c r="B10640" s="63" t="s">
        <v>11296</v>
      </c>
    </row>
    <row r="10641" spans="1:2" x14ac:dyDescent="0.25">
      <c r="A10641" s="62">
        <v>43231511</v>
      </c>
      <c r="B10641" s="63" t="s">
        <v>11297</v>
      </c>
    </row>
    <row r="10642" spans="1:2" x14ac:dyDescent="0.25">
      <c r="A10642" s="62">
        <v>43231512</v>
      </c>
      <c r="B10642" s="63" t="s">
        <v>11298</v>
      </c>
    </row>
    <row r="10643" spans="1:2" x14ac:dyDescent="0.25">
      <c r="A10643" s="62">
        <v>43231513</v>
      </c>
      <c r="B10643" s="63" t="s">
        <v>11299</v>
      </c>
    </row>
    <row r="10644" spans="1:2" x14ac:dyDescent="0.25">
      <c r="A10644" s="62">
        <v>43231601</v>
      </c>
      <c r="B10644" s="63" t="s">
        <v>11300</v>
      </c>
    </row>
    <row r="10645" spans="1:2" x14ac:dyDescent="0.25">
      <c r="A10645" s="62">
        <v>43231602</v>
      </c>
      <c r="B10645" s="63" t="s">
        <v>11301</v>
      </c>
    </row>
    <row r="10646" spans="1:2" x14ac:dyDescent="0.25">
      <c r="A10646" s="62">
        <v>43231603</v>
      </c>
      <c r="B10646" s="63" t="s">
        <v>11302</v>
      </c>
    </row>
    <row r="10647" spans="1:2" x14ac:dyDescent="0.25">
      <c r="A10647" s="62">
        <v>43231604</v>
      </c>
      <c r="B10647" s="63" t="s">
        <v>11303</v>
      </c>
    </row>
    <row r="10648" spans="1:2" x14ac:dyDescent="0.25">
      <c r="A10648" s="62">
        <v>43231605</v>
      </c>
      <c r="B10648" s="63" t="s">
        <v>11304</v>
      </c>
    </row>
    <row r="10649" spans="1:2" x14ac:dyDescent="0.25">
      <c r="A10649" s="62">
        <v>43232001</v>
      </c>
      <c r="B10649" s="63" t="s">
        <v>11305</v>
      </c>
    </row>
    <row r="10650" spans="1:2" x14ac:dyDescent="0.25">
      <c r="A10650" s="62">
        <v>43232002</v>
      </c>
      <c r="B10650" s="63" t="s">
        <v>11306</v>
      </c>
    </row>
    <row r="10651" spans="1:2" x14ac:dyDescent="0.25">
      <c r="A10651" s="62">
        <v>43232003</v>
      </c>
      <c r="B10651" s="63" t="s">
        <v>11307</v>
      </c>
    </row>
    <row r="10652" spans="1:2" x14ac:dyDescent="0.25">
      <c r="A10652" s="62">
        <v>43232004</v>
      </c>
      <c r="B10652" s="63" t="s">
        <v>11308</v>
      </c>
    </row>
    <row r="10653" spans="1:2" x14ac:dyDescent="0.25">
      <c r="A10653" s="62">
        <v>43232005</v>
      </c>
      <c r="B10653" s="63" t="s">
        <v>11309</v>
      </c>
    </row>
    <row r="10654" spans="1:2" x14ac:dyDescent="0.25">
      <c r="A10654" s="62">
        <v>43232101</v>
      </c>
      <c r="B10654" s="63" t="s">
        <v>11310</v>
      </c>
    </row>
    <row r="10655" spans="1:2" x14ac:dyDescent="0.25">
      <c r="A10655" s="62">
        <v>43232102</v>
      </c>
      <c r="B10655" s="63" t="s">
        <v>11311</v>
      </c>
    </row>
    <row r="10656" spans="1:2" x14ac:dyDescent="0.25">
      <c r="A10656" s="62">
        <v>43232103</v>
      </c>
      <c r="B10656" s="63" t="s">
        <v>11312</v>
      </c>
    </row>
    <row r="10657" spans="1:2" x14ac:dyDescent="0.25">
      <c r="A10657" s="62">
        <v>43232104</v>
      </c>
      <c r="B10657" s="63" t="s">
        <v>11313</v>
      </c>
    </row>
    <row r="10658" spans="1:2" x14ac:dyDescent="0.25">
      <c r="A10658" s="62">
        <v>43232105</v>
      </c>
      <c r="B10658" s="63" t="s">
        <v>11314</v>
      </c>
    </row>
    <row r="10659" spans="1:2" x14ac:dyDescent="0.25">
      <c r="A10659" s="62">
        <v>43232106</v>
      </c>
      <c r="B10659" s="63" t="s">
        <v>11315</v>
      </c>
    </row>
    <row r="10660" spans="1:2" x14ac:dyDescent="0.25">
      <c r="A10660" s="62">
        <v>43232107</v>
      </c>
      <c r="B10660" s="63" t="s">
        <v>11316</v>
      </c>
    </row>
    <row r="10661" spans="1:2" x14ac:dyDescent="0.25">
      <c r="A10661" s="62">
        <v>43232108</v>
      </c>
      <c r="B10661" s="63" t="s">
        <v>11317</v>
      </c>
    </row>
    <row r="10662" spans="1:2" x14ac:dyDescent="0.25">
      <c r="A10662" s="62">
        <v>43232110</v>
      </c>
      <c r="B10662" s="63" t="s">
        <v>11318</v>
      </c>
    </row>
    <row r="10663" spans="1:2" x14ac:dyDescent="0.25">
      <c r="A10663" s="62">
        <v>43232111</v>
      </c>
      <c r="B10663" s="63" t="s">
        <v>11319</v>
      </c>
    </row>
    <row r="10664" spans="1:2" x14ac:dyDescent="0.25">
      <c r="A10664" s="62">
        <v>43232112</v>
      </c>
      <c r="B10664" s="63" t="s">
        <v>11320</v>
      </c>
    </row>
    <row r="10665" spans="1:2" x14ac:dyDescent="0.25">
      <c r="A10665" s="62">
        <v>43232201</v>
      </c>
      <c r="B10665" s="63" t="s">
        <v>11321</v>
      </c>
    </row>
    <row r="10666" spans="1:2" x14ac:dyDescent="0.25">
      <c r="A10666" s="62">
        <v>43232202</v>
      </c>
      <c r="B10666" s="63" t="s">
        <v>11322</v>
      </c>
    </row>
    <row r="10667" spans="1:2" x14ac:dyDescent="0.25">
      <c r="A10667" s="62">
        <v>43232203</v>
      </c>
      <c r="B10667" s="63" t="s">
        <v>11323</v>
      </c>
    </row>
    <row r="10668" spans="1:2" x14ac:dyDescent="0.25">
      <c r="A10668" s="62">
        <v>43232301</v>
      </c>
      <c r="B10668" s="63" t="s">
        <v>11324</v>
      </c>
    </row>
    <row r="10669" spans="1:2" x14ac:dyDescent="0.25">
      <c r="A10669" s="62">
        <v>43232302</v>
      </c>
      <c r="B10669" s="63" t="s">
        <v>11325</v>
      </c>
    </row>
    <row r="10670" spans="1:2" x14ac:dyDescent="0.25">
      <c r="A10670" s="62">
        <v>43232303</v>
      </c>
      <c r="B10670" s="63" t="s">
        <v>11326</v>
      </c>
    </row>
    <row r="10671" spans="1:2" x14ac:dyDescent="0.25">
      <c r="A10671" s="62">
        <v>43232304</v>
      </c>
      <c r="B10671" s="63" t="s">
        <v>11327</v>
      </c>
    </row>
    <row r="10672" spans="1:2" x14ac:dyDescent="0.25">
      <c r="A10672" s="62">
        <v>43232305</v>
      </c>
      <c r="B10672" s="63" t="s">
        <v>11328</v>
      </c>
    </row>
    <row r="10673" spans="1:2" x14ac:dyDescent="0.25">
      <c r="A10673" s="62">
        <v>43232306</v>
      </c>
      <c r="B10673" s="63" t="s">
        <v>11329</v>
      </c>
    </row>
    <row r="10674" spans="1:2" x14ac:dyDescent="0.25">
      <c r="A10674" s="62">
        <v>43232307</v>
      </c>
      <c r="B10674" s="63" t="s">
        <v>11330</v>
      </c>
    </row>
    <row r="10675" spans="1:2" x14ac:dyDescent="0.25">
      <c r="A10675" s="62">
        <v>43232309</v>
      </c>
      <c r="B10675" s="63" t="s">
        <v>11331</v>
      </c>
    </row>
    <row r="10676" spans="1:2" x14ac:dyDescent="0.25">
      <c r="A10676" s="62">
        <v>43232310</v>
      </c>
      <c r="B10676" s="63" t="s">
        <v>11332</v>
      </c>
    </row>
    <row r="10677" spans="1:2" x14ac:dyDescent="0.25">
      <c r="A10677" s="62">
        <v>43232311</v>
      </c>
      <c r="B10677" s="63" t="s">
        <v>11333</v>
      </c>
    </row>
    <row r="10678" spans="1:2" x14ac:dyDescent="0.25">
      <c r="A10678" s="62">
        <v>43232312</v>
      </c>
      <c r="B10678" s="63" t="s">
        <v>11334</v>
      </c>
    </row>
    <row r="10679" spans="1:2" x14ac:dyDescent="0.25">
      <c r="A10679" s="62">
        <v>43232313</v>
      </c>
      <c r="B10679" s="63" t="s">
        <v>11335</v>
      </c>
    </row>
    <row r="10680" spans="1:2" x14ac:dyDescent="0.25">
      <c r="A10680" s="62">
        <v>43232401</v>
      </c>
      <c r="B10680" s="63" t="s">
        <v>11336</v>
      </c>
    </row>
    <row r="10681" spans="1:2" x14ac:dyDescent="0.25">
      <c r="A10681" s="62">
        <v>43232402</v>
      </c>
      <c r="B10681" s="63" t="s">
        <v>11337</v>
      </c>
    </row>
    <row r="10682" spans="1:2" x14ac:dyDescent="0.25">
      <c r="A10682" s="62">
        <v>43232403</v>
      </c>
      <c r="B10682" s="63" t="s">
        <v>11338</v>
      </c>
    </row>
    <row r="10683" spans="1:2" x14ac:dyDescent="0.25">
      <c r="A10683" s="62">
        <v>43232404</v>
      </c>
      <c r="B10683" s="63" t="s">
        <v>11339</v>
      </c>
    </row>
    <row r="10684" spans="1:2" x14ac:dyDescent="0.25">
      <c r="A10684" s="62">
        <v>43232405</v>
      </c>
      <c r="B10684" s="63" t="s">
        <v>11340</v>
      </c>
    </row>
    <row r="10685" spans="1:2" x14ac:dyDescent="0.25">
      <c r="A10685" s="62">
        <v>43232406</v>
      </c>
      <c r="B10685" s="63" t="s">
        <v>11341</v>
      </c>
    </row>
    <row r="10686" spans="1:2" x14ac:dyDescent="0.25">
      <c r="A10686" s="62">
        <v>43232407</v>
      </c>
      <c r="B10686" s="63" t="s">
        <v>11342</v>
      </c>
    </row>
    <row r="10687" spans="1:2" x14ac:dyDescent="0.25">
      <c r="A10687" s="62">
        <v>43232408</v>
      </c>
      <c r="B10687" s="63" t="s">
        <v>11343</v>
      </c>
    </row>
    <row r="10688" spans="1:2" x14ac:dyDescent="0.25">
      <c r="A10688" s="62">
        <v>43232409</v>
      </c>
      <c r="B10688" s="63" t="s">
        <v>11344</v>
      </c>
    </row>
    <row r="10689" spans="1:2" x14ac:dyDescent="0.25">
      <c r="A10689" s="62">
        <v>43232501</v>
      </c>
      <c r="B10689" s="63" t="s">
        <v>11345</v>
      </c>
    </row>
    <row r="10690" spans="1:2" x14ac:dyDescent="0.25">
      <c r="A10690" s="62">
        <v>43232502</v>
      </c>
      <c r="B10690" s="63" t="s">
        <v>11346</v>
      </c>
    </row>
    <row r="10691" spans="1:2" x14ac:dyDescent="0.25">
      <c r="A10691" s="62">
        <v>43232503</v>
      </c>
      <c r="B10691" s="63" t="s">
        <v>11347</v>
      </c>
    </row>
    <row r="10692" spans="1:2" x14ac:dyDescent="0.25">
      <c r="A10692" s="62">
        <v>43232504</v>
      </c>
      <c r="B10692" s="63" t="s">
        <v>11348</v>
      </c>
    </row>
    <row r="10693" spans="1:2" x14ac:dyDescent="0.25">
      <c r="A10693" s="62">
        <v>43232601</v>
      </c>
      <c r="B10693" s="63" t="s">
        <v>11349</v>
      </c>
    </row>
    <row r="10694" spans="1:2" x14ac:dyDescent="0.25">
      <c r="A10694" s="62">
        <v>43232602</v>
      </c>
      <c r="B10694" s="63" t="s">
        <v>11350</v>
      </c>
    </row>
    <row r="10695" spans="1:2" x14ac:dyDescent="0.25">
      <c r="A10695" s="62">
        <v>43232603</v>
      </c>
      <c r="B10695" s="63" t="s">
        <v>11351</v>
      </c>
    </row>
    <row r="10696" spans="1:2" x14ac:dyDescent="0.25">
      <c r="A10696" s="62">
        <v>43232604</v>
      </c>
      <c r="B10696" s="63" t="s">
        <v>11352</v>
      </c>
    </row>
    <row r="10697" spans="1:2" x14ac:dyDescent="0.25">
      <c r="A10697" s="62">
        <v>43232605</v>
      </c>
      <c r="B10697" s="63" t="s">
        <v>11353</v>
      </c>
    </row>
    <row r="10698" spans="1:2" x14ac:dyDescent="0.25">
      <c r="A10698" s="62">
        <v>43232606</v>
      </c>
      <c r="B10698" s="63" t="s">
        <v>11354</v>
      </c>
    </row>
    <row r="10699" spans="1:2" x14ac:dyDescent="0.25">
      <c r="A10699" s="62">
        <v>43232607</v>
      </c>
      <c r="B10699" s="63" t="s">
        <v>11355</v>
      </c>
    </row>
    <row r="10700" spans="1:2" x14ac:dyDescent="0.25">
      <c r="A10700" s="62">
        <v>43232608</v>
      </c>
      <c r="B10700" s="63" t="s">
        <v>11356</v>
      </c>
    </row>
    <row r="10701" spans="1:2" x14ac:dyDescent="0.25">
      <c r="A10701" s="62">
        <v>43232609</v>
      </c>
      <c r="B10701" s="63" t="s">
        <v>11357</v>
      </c>
    </row>
    <row r="10702" spans="1:2" x14ac:dyDescent="0.25">
      <c r="A10702" s="62">
        <v>43232610</v>
      </c>
      <c r="B10702" s="63" t="s">
        <v>11358</v>
      </c>
    </row>
    <row r="10703" spans="1:2" x14ac:dyDescent="0.25">
      <c r="A10703" s="62">
        <v>43232611</v>
      </c>
      <c r="B10703" s="63" t="s">
        <v>11359</v>
      </c>
    </row>
    <row r="10704" spans="1:2" x14ac:dyDescent="0.25">
      <c r="A10704" s="62">
        <v>43232612</v>
      </c>
      <c r="B10704" s="63" t="s">
        <v>11360</v>
      </c>
    </row>
    <row r="10705" spans="1:2" x14ac:dyDescent="0.25">
      <c r="A10705" s="62">
        <v>43232701</v>
      </c>
      <c r="B10705" s="63" t="s">
        <v>11361</v>
      </c>
    </row>
    <row r="10706" spans="1:2" x14ac:dyDescent="0.25">
      <c r="A10706" s="62">
        <v>43232702</v>
      </c>
      <c r="B10706" s="63" t="s">
        <v>11362</v>
      </c>
    </row>
    <row r="10707" spans="1:2" x14ac:dyDescent="0.25">
      <c r="A10707" s="62">
        <v>43232703</v>
      </c>
      <c r="B10707" s="63" t="s">
        <v>11363</v>
      </c>
    </row>
    <row r="10708" spans="1:2" x14ac:dyDescent="0.25">
      <c r="A10708" s="62">
        <v>43232704</v>
      </c>
      <c r="B10708" s="63" t="s">
        <v>11364</v>
      </c>
    </row>
    <row r="10709" spans="1:2" x14ac:dyDescent="0.25">
      <c r="A10709" s="62">
        <v>43232705</v>
      </c>
      <c r="B10709" s="63" t="s">
        <v>11365</v>
      </c>
    </row>
    <row r="10710" spans="1:2" x14ac:dyDescent="0.25">
      <c r="A10710" s="62">
        <v>43232801</v>
      </c>
      <c r="B10710" s="63" t="s">
        <v>11366</v>
      </c>
    </row>
    <row r="10711" spans="1:2" x14ac:dyDescent="0.25">
      <c r="A10711" s="62">
        <v>43232802</v>
      </c>
      <c r="B10711" s="63" t="s">
        <v>11367</v>
      </c>
    </row>
    <row r="10712" spans="1:2" x14ac:dyDescent="0.25">
      <c r="A10712" s="62">
        <v>43232803</v>
      </c>
      <c r="B10712" s="63" t="s">
        <v>11368</v>
      </c>
    </row>
    <row r="10713" spans="1:2" x14ac:dyDescent="0.25">
      <c r="A10713" s="62">
        <v>43232804</v>
      </c>
      <c r="B10713" s="63" t="s">
        <v>11369</v>
      </c>
    </row>
    <row r="10714" spans="1:2" x14ac:dyDescent="0.25">
      <c r="A10714" s="62">
        <v>43232901</v>
      </c>
      <c r="B10714" s="63" t="s">
        <v>11370</v>
      </c>
    </row>
    <row r="10715" spans="1:2" x14ac:dyDescent="0.25">
      <c r="A10715" s="62">
        <v>43232902</v>
      </c>
      <c r="B10715" s="63" t="s">
        <v>11371</v>
      </c>
    </row>
    <row r="10716" spans="1:2" x14ac:dyDescent="0.25">
      <c r="A10716" s="62">
        <v>43232903</v>
      </c>
      <c r="B10716" s="63" t="s">
        <v>11372</v>
      </c>
    </row>
    <row r="10717" spans="1:2" x14ac:dyDescent="0.25">
      <c r="A10717" s="62">
        <v>43232904</v>
      </c>
      <c r="B10717" s="63" t="s">
        <v>11373</v>
      </c>
    </row>
    <row r="10718" spans="1:2" x14ac:dyDescent="0.25">
      <c r="A10718" s="62">
        <v>43232905</v>
      </c>
      <c r="B10718" s="63" t="s">
        <v>11374</v>
      </c>
    </row>
    <row r="10719" spans="1:2" x14ac:dyDescent="0.25">
      <c r="A10719" s="62">
        <v>43232906</v>
      </c>
      <c r="B10719" s="63" t="s">
        <v>11375</v>
      </c>
    </row>
    <row r="10720" spans="1:2" x14ac:dyDescent="0.25">
      <c r="A10720" s="62">
        <v>43232907</v>
      </c>
      <c r="B10720" s="63" t="s">
        <v>11376</v>
      </c>
    </row>
    <row r="10721" spans="1:2" x14ac:dyDescent="0.25">
      <c r="A10721" s="62">
        <v>43232908</v>
      </c>
      <c r="B10721" s="63" t="s">
        <v>11377</v>
      </c>
    </row>
    <row r="10722" spans="1:2" x14ac:dyDescent="0.25">
      <c r="A10722" s="62">
        <v>43232909</v>
      </c>
      <c r="B10722" s="63" t="s">
        <v>11378</v>
      </c>
    </row>
    <row r="10723" spans="1:2" x14ac:dyDescent="0.25">
      <c r="A10723" s="62">
        <v>43232910</v>
      </c>
      <c r="B10723" s="63" t="s">
        <v>11379</v>
      </c>
    </row>
    <row r="10724" spans="1:2" x14ac:dyDescent="0.25">
      <c r="A10724" s="62">
        <v>43232911</v>
      </c>
      <c r="B10724" s="63" t="s">
        <v>11380</v>
      </c>
    </row>
    <row r="10725" spans="1:2" x14ac:dyDescent="0.25">
      <c r="A10725" s="62">
        <v>43232912</v>
      </c>
      <c r="B10725" s="63" t="s">
        <v>11381</v>
      </c>
    </row>
    <row r="10726" spans="1:2" x14ac:dyDescent="0.25">
      <c r="A10726" s="62">
        <v>43232913</v>
      </c>
      <c r="B10726" s="63" t="s">
        <v>11382</v>
      </c>
    </row>
    <row r="10727" spans="1:2" x14ac:dyDescent="0.25">
      <c r="A10727" s="62">
        <v>43232914</v>
      </c>
      <c r="B10727" s="63" t="s">
        <v>11383</v>
      </c>
    </row>
    <row r="10728" spans="1:2" x14ac:dyDescent="0.25">
      <c r="A10728" s="62">
        <v>43232915</v>
      </c>
      <c r="B10728" s="63" t="s">
        <v>11384</v>
      </c>
    </row>
    <row r="10729" spans="1:2" x14ac:dyDescent="0.25">
      <c r="A10729" s="62">
        <v>43233001</v>
      </c>
      <c r="B10729" s="63" t="s">
        <v>11385</v>
      </c>
    </row>
    <row r="10730" spans="1:2" x14ac:dyDescent="0.25">
      <c r="A10730" s="62">
        <v>43233002</v>
      </c>
      <c r="B10730" s="63" t="s">
        <v>11386</v>
      </c>
    </row>
    <row r="10731" spans="1:2" x14ac:dyDescent="0.25">
      <c r="A10731" s="62">
        <v>43233004</v>
      </c>
      <c r="B10731" s="63" t="s">
        <v>11387</v>
      </c>
    </row>
    <row r="10732" spans="1:2" x14ac:dyDescent="0.25">
      <c r="A10732" s="62">
        <v>43233201</v>
      </c>
      <c r="B10732" s="63" t="s">
        <v>11388</v>
      </c>
    </row>
    <row r="10733" spans="1:2" x14ac:dyDescent="0.25">
      <c r="A10733" s="62">
        <v>43233203</v>
      </c>
      <c r="B10733" s="63" t="s">
        <v>11389</v>
      </c>
    </row>
    <row r="10734" spans="1:2" x14ac:dyDescent="0.25">
      <c r="A10734" s="62">
        <v>43233204</v>
      </c>
      <c r="B10734" s="63" t="s">
        <v>11390</v>
      </c>
    </row>
    <row r="10735" spans="1:2" x14ac:dyDescent="0.25">
      <c r="A10735" s="62">
        <v>43233205</v>
      </c>
      <c r="B10735" s="63" t="s">
        <v>11391</v>
      </c>
    </row>
    <row r="10736" spans="1:2" x14ac:dyDescent="0.25">
      <c r="A10736" s="62">
        <v>43233401</v>
      </c>
      <c r="B10736" s="63" t="s">
        <v>11392</v>
      </c>
    </row>
    <row r="10737" spans="1:2" x14ac:dyDescent="0.25">
      <c r="A10737" s="62">
        <v>43233402</v>
      </c>
      <c r="B10737" s="63" t="s">
        <v>11393</v>
      </c>
    </row>
    <row r="10738" spans="1:2" x14ac:dyDescent="0.25">
      <c r="A10738" s="62">
        <v>43233403</v>
      </c>
      <c r="B10738" s="63" t="s">
        <v>11394</v>
      </c>
    </row>
    <row r="10739" spans="1:2" x14ac:dyDescent="0.25">
      <c r="A10739" s="62">
        <v>43233404</v>
      </c>
      <c r="B10739" s="63" t="s">
        <v>11395</v>
      </c>
    </row>
    <row r="10740" spans="1:2" x14ac:dyDescent="0.25">
      <c r="A10740" s="62">
        <v>43233405</v>
      </c>
      <c r="B10740" s="63" t="s">
        <v>11396</v>
      </c>
    </row>
    <row r="10741" spans="1:2" x14ac:dyDescent="0.25">
      <c r="A10741" s="62">
        <v>43233406</v>
      </c>
      <c r="B10741" s="63" t="s">
        <v>11397</v>
      </c>
    </row>
    <row r="10742" spans="1:2" x14ac:dyDescent="0.25">
      <c r="A10742" s="62">
        <v>43233407</v>
      </c>
      <c r="B10742" s="63" t="s">
        <v>11398</v>
      </c>
    </row>
    <row r="10743" spans="1:2" x14ac:dyDescent="0.25">
      <c r="A10743" s="62">
        <v>43233410</v>
      </c>
      <c r="B10743" s="63" t="s">
        <v>11399</v>
      </c>
    </row>
    <row r="10744" spans="1:2" x14ac:dyDescent="0.25">
      <c r="A10744" s="62">
        <v>43233411</v>
      </c>
      <c r="B10744" s="63" t="s">
        <v>11400</v>
      </c>
    </row>
    <row r="10745" spans="1:2" x14ac:dyDescent="0.25">
      <c r="A10745" s="62">
        <v>43233413</v>
      </c>
      <c r="B10745" s="63" t="s">
        <v>11401</v>
      </c>
    </row>
    <row r="10746" spans="1:2" x14ac:dyDescent="0.25">
      <c r="A10746" s="62">
        <v>43233414</v>
      </c>
      <c r="B10746" s="63" t="s">
        <v>11402</v>
      </c>
    </row>
    <row r="10747" spans="1:2" x14ac:dyDescent="0.25">
      <c r="A10747" s="62">
        <v>43233415</v>
      </c>
      <c r="B10747" s="63" t="s">
        <v>11403</v>
      </c>
    </row>
    <row r="10748" spans="1:2" x14ac:dyDescent="0.25">
      <c r="A10748" s="62">
        <v>43233501</v>
      </c>
      <c r="B10748" s="63" t="s">
        <v>11404</v>
      </c>
    </row>
    <row r="10749" spans="1:2" x14ac:dyDescent="0.25">
      <c r="A10749" s="62">
        <v>43233502</v>
      </c>
      <c r="B10749" s="63" t="s">
        <v>11405</v>
      </c>
    </row>
    <row r="10750" spans="1:2" x14ac:dyDescent="0.25">
      <c r="A10750" s="62">
        <v>43233503</v>
      </c>
      <c r="B10750" s="63" t="s">
        <v>11406</v>
      </c>
    </row>
    <row r="10751" spans="1:2" x14ac:dyDescent="0.25">
      <c r="A10751" s="62">
        <v>43233504</v>
      </c>
      <c r="B10751" s="63" t="s">
        <v>11407</v>
      </c>
    </row>
    <row r="10752" spans="1:2" x14ac:dyDescent="0.25">
      <c r="A10752" s="62">
        <v>43233505</v>
      </c>
      <c r="B10752" s="63" t="s">
        <v>11408</v>
      </c>
    </row>
    <row r="10753" spans="1:2" x14ac:dyDescent="0.25">
      <c r="A10753" s="62">
        <v>43233506</v>
      </c>
      <c r="B10753" s="63" t="s">
        <v>11409</v>
      </c>
    </row>
    <row r="10754" spans="1:2" x14ac:dyDescent="0.25">
      <c r="A10754" s="62">
        <v>43233507</v>
      </c>
      <c r="B10754" s="63" t="s">
        <v>11410</v>
      </c>
    </row>
    <row r="10755" spans="1:2" x14ac:dyDescent="0.25">
      <c r="A10755" s="62">
        <v>43233508</v>
      </c>
      <c r="B10755" s="63" t="s">
        <v>11411</v>
      </c>
    </row>
    <row r="10756" spans="1:2" x14ac:dyDescent="0.25">
      <c r="A10756" s="62">
        <v>43233509</v>
      </c>
      <c r="B10756" s="63" t="s">
        <v>11412</v>
      </c>
    </row>
    <row r="10757" spans="1:2" x14ac:dyDescent="0.25">
      <c r="A10757" s="62">
        <v>43233510</v>
      </c>
      <c r="B10757" s="63" t="s">
        <v>11413</v>
      </c>
    </row>
    <row r="10758" spans="1:2" x14ac:dyDescent="0.25">
      <c r="A10758" s="62">
        <v>43233511</v>
      </c>
      <c r="B10758" s="63" t="s">
        <v>11414</v>
      </c>
    </row>
    <row r="10759" spans="1:2" x14ac:dyDescent="0.25">
      <c r="A10759" s="62">
        <v>44101501</v>
      </c>
      <c r="B10759" s="63" t="s">
        <v>622</v>
      </c>
    </row>
    <row r="10760" spans="1:2" x14ac:dyDescent="0.25">
      <c r="A10760" s="62">
        <v>44101502</v>
      </c>
      <c r="B10760" s="63" t="s">
        <v>11415</v>
      </c>
    </row>
    <row r="10761" spans="1:2" x14ac:dyDescent="0.25">
      <c r="A10761" s="62">
        <v>44101503</v>
      </c>
      <c r="B10761" s="63" t="s">
        <v>11416</v>
      </c>
    </row>
    <row r="10762" spans="1:2" x14ac:dyDescent="0.25">
      <c r="A10762" s="62">
        <v>44101504</v>
      </c>
      <c r="B10762" s="63" t="s">
        <v>11417</v>
      </c>
    </row>
    <row r="10763" spans="1:2" x14ac:dyDescent="0.25">
      <c r="A10763" s="62">
        <v>44101505</v>
      </c>
      <c r="B10763" s="63" t="s">
        <v>11418</v>
      </c>
    </row>
    <row r="10764" spans="1:2" x14ac:dyDescent="0.25">
      <c r="A10764" s="62">
        <v>44101506</v>
      </c>
      <c r="B10764" s="63" t="s">
        <v>11419</v>
      </c>
    </row>
    <row r="10765" spans="1:2" x14ac:dyDescent="0.25">
      <c r="A10765" s="62">
        <v>44101601</v>
      </c>
      <c r="B10765" s="63" t="s">
        <v>11420</v>
      </c>
    </row>
    <row r="10766" spans="1:2" x14ac:dyDescent="0.25">
      <c r="A10766" s="62">
        <v>44101602</v>
      </c>
      <c r="B10766" s="63" t="s">
        <v>11421</v>
      </c>
    </row>
    <row r="10767" spans="1:2" x14ac:dyDescent="0.25">
      <c r="A10767" s="62">
        <v>44101603</v>
      </c>
      <c r="B10767" s="63" t="s">
        <v>11422</v>
      </c>
    </row>
    <row r="10768" spans="1:2" x14ac:dyDescent="0.25">
      <c r="A10768" s="62">
        <v>44101604</v>
      </c>
      <c r="B10768" s="63" t="s">
        <v>11423</v>
      </c>
    </row>
    <row r="10769" spans="1:2" x14ac:dyDescent="0.25">
      <c r="A10769" s="62">
        <v>44101605</v>
      </c>
      <c r="B10769" s="63" t="s">
        <v>11424</v>
      </c>
    </row>
    <row r="10770" spans="1:2" x14ac:dyDescent="0.25">
      <c r="A10770" s="62">
        <v>44101606</v>
      </c>
      <c r="B10770" s="63" t="s">
        <v>11425</v>
      </c>
    </row>
    <row r="10771" spans="1:2" x14ac:dyDescent="0.25">
      <c r="A10771" s="62">
        <v>44101701</v>
      </c>
      <c r="B10771" s="63" t="s">
        <v>11426</v>
      </c>
    </row>
    <row r="10772" spans="1:2" x14ac:dyDescent="0.25">
      <c r="A10772" s="62">
        <v>44101702</v>
      </c>
      <c r="B10772" s="63" t="s">
        <v>11427</v>
      </c>
    </row>
    <row r="10773" spans="1:2" x14ac:dyDescent="0.25">
      <c r="A10773" s="62">
        <v>44101703</v>
      </c>
      <c r="B10773" s="63" t="s">
        <v>11428</v>
      </c>
    </row>
    <row r="10774" spans="1:2" x14ac:dyDescent="0.25">
      <c r="A10774" s="62">
        <v>44101704</v>
      </c>
      <c r="B10774" s="63" t="s">
        <v>11429</v>
      </c>
    </row>
    <row r="10775" spans="1:2" x14ac:dyDescent="0.25">
      <c r="A10775" s="62">
        <v>44101705</v>
      </c>
      <c r="B10775" s="63" t="s">
        <v>11430</v>
      </c>
    </row>
    <row r="10776" spans="1:2" x14ac:dyDescent="0.25">
      <c r="A10776" s="62">
        <v>44101706</v>
      </c>
      <c r="B10776" s="63" t="s">
        <v>11431</v>
      </c>
    </row>
    <row r="10777" spans="1:2" x14ac:dyDescent="0.25">
      <c r="A10777" s="62">
        <v>44101707</v>
      </c>
      <c r="B10777" s="63" t="s">
        <v>11432</v>
      </c>
    </row>
    <row r="10778" spans="1:2" x14ac:dyDescent="0.25">
      <c r="A10778" s="62">
        <v>44101708</v>
      </c>
      <c r="B10778" s="63" t="s">
        <v>11433</v>
      </c>
    </row>
    <row r="10779" spans="1:2" x14ac:dyDescent="0.25">
      <c r="A10779" s="62">
        <v>44101709</v>
      </c>
      <c r="B10779" s="63" t="s">
        <v>11434</v>
      </c>
    </row>
    <row r="10780" spans="1:2" x14ac:dyDescent="0.25">
      <c r="A10780" s="62">
        <v>44101710</v>
      </c>
      <c r="B10780" s="63" t="s">
        <v>11435</v>
      </c>
    </row>
    <row r="10781" spans="1:2" x14ac:dyDescent="0.25">
      <c r="A10781" s="62">
        <v>44101711</v>
      </c>
      <c r="B10781" s="63" t="s">
        <v>11436</v>
      </c>
    </row>
    <row r="10782" spans="1:2" x14ac:dyDescent="0.25">
      <c r="A10782" s="62">
        <v>44101712</v>
      </c>
      <c r="B10782" s="63" t="s">
        <v>11437</v>
      </c>
    </row>
    <row r="10783" spans="1:2" x14ac:dyDescent="0.25">
      <c r="A10783" s="62">
        <v>44101713</v>
      </c>
      <c r="B10783" s="63" t="s">
        <v>11438</v>
      </c>
    </row>
    <row r="10784" spans="1:2" x14ac:dyDescent="0.25">
      <c r="A10784" s="62">
        <v>44101714</v>
      </c>
      <c r="B10784" s="63" t="s">
        <v>11439</v>
      </c>
    </row>
    <row r="10785" spans="1:2" x14ac:dyDescent="0.25">
      <c r="A10785" s="62">
        <v>44101715</v>
      </c>
      <c r="B10785" s="63" t="s">
        <v>11440</v>
      </c>
    </row>
    <row r="10786" spans="1:2" x14ac:dyDescent="0.25">
      <c r="A10786" s="62">
        <v>44101716</v>
      </c>
      <c r="B10786" s="63" t="s">
        <v>11441</v>
      </c>
    </row>
    <row r="10787" spans="1:2" x14ac:dyDescent="0.25">
      <c r="A10787" s="62">
        <v>44101718</v>
      </c>
      <c r="B10787" s="63" t="s">
        <v>11442</v>
      </c>
    </row>
    <row r="10788" spans="1:2" x14ac:dyDescent="0.25">
      <c r="A10788" s="62">
        <v>44101719</v>
      </c>
      <c r="B10788" s="63" t="s">
        <v>11443</v>
      </c>
    </row>
    <row r="10789" spans="1:2" x14ac:dyDescent="0.25">
      <c r="A10789" s="62">
        <v>44101720</v>
      </c>
      <c r="B10789" s="63" t="s">
        <v>11444</v>
      </c>
    </row>
    <row r="10790" spans="1:2" x14ac:dyDescent="0.25">
      <c r="A10790" s="62">
        <v>44101721</v>
      </c>
      <c r="B10790" s="63" t="s">
        <v>11445</v>
      </c>
    </row>
    <row r="10791" spans="1:2" x14ac:dyDescent="0.25">
      <c r="A10791" s="62">
        <v>44101722</v>
      </c>
      <c r="B10791" s="63" t="s">
        <v>11446</v>
      </c>
    </row>
    <row r="10792" spans="1:2" x14ac:dyDescent="0.25">
      <c r="A10792" s="62">
        <v>44101723</v>
      </c>
      <c r="B10792" s="63" t="s">
        <v>11447</v>
      </c>
    </row>
    <row r="10793" spans="1:2" x14ac:dyDescent="0.25">
      <c r="A10793" s="62">
        <v>44101724</v>
      </c>
      <c r="B10793" s="63" t="s">
        <v>11448</v>
      </c>
    </row>
    <row r="10794" spans="1:2" x14ac:dyDescent="0.25">
      <c r="A10794" s="62">
        <v>44101725</v>
      </c>
      <c r="B10794" s="63" t="s">
        <v>11449</v>
      </c>
    </row>
    <row r="10795" spans="1:2" x14ac:dyDescent="0.25">
      <c r="A10795" s="62">
        <v>44101726</v>
      </c>
      <c r="B10795" s="63" t="s">
        <v>11450</v>
      </c>
    </row>
    <row r="10796" spans="1:2" x14ac:dyDescent="0.25">
      <c r="A10796" s="62">
        <v>44101727</v>
      </c>
      <c r="B10796" s="63" t="s">
        <v>11451</v>
      </c>
    </row>
    <row r="10797" spans="1:2" x14ac:dyDescent="0.25">
      <c r="A10797" s="62">
        <v>44101728</v>
      </c>
      <c r="B10797" s="63" t="s">
        <v>11452</v>
      </c>
    </row>
    <row r="10798" spans="1:2" x14ac:dyDescent="0.25">
      <c r="A10798" s="62">
        <v>44101729</v>
      </c>
      <c r="B10798" s="63" t="s">
        <v>11453</v>
      </c>
    </row>
    <row r="10799" spans="1:2" x14ac:dyDescent="0.25">
      <c r="A10799" s="62">
        <v>44101801</v>
      </c>
      <c r="B10799" s="63" t="s">
        <v>11454</v>
      </c>
    </row>
    <row r="10800" spans="1:2" x14ac:dyDescent="0.25">
      <c r="A10800" s="62">
        <v>44101802</v>
      </c>
      <c r="B10800" s="63" t="s">
        <v>11455</v>
      </c>
    </row>
    <row r="10801" spans="1:2" x14ac:dyDescent="0.25">
      <c r="A10801" s="62">
        <v>44101803</v>
      </c>
      <c r="B10801" s="63" t="s">
        <v>11456</v>
      </c>
    </row>
    <row r="10802" spans="1:2" x14ac:dyDescent="0.25">
      <c r="A10802" s="62">
        <v>44101804</v>
      </c>
      <c r="B10802" s="63" t="s">
        <v>11457</v>
      </c>
    </row>
    <row r="10803" spans="1:2" x14ac:dyDescent="0.25">
      <c r="A10803" s="62">
        <v>44101805</v>
      </c>
      <c r="B10803" s="63" t="s">
        <v>11458</v>
      </c>
    </row>
    <row r="10804" spans="1:2" x14ac:dyDescent="0.25">
      <c r="A10804" s="62">
        <v>44101806</v>
      </c>
      <c r="B10804" s="63" t="s">
        <v>11459</v>
      </c>
    </row>
    <row r="10805" spans="1:2" x14ac:dyDescent="0.25">
      <c r="A10805" s="62">
        <v>44101901</v>
      </c>
      <c r="B10805" s="63" t="s">
        <v>11460</v>
      </c>
    </row>
    <row r="10806" spans="1:2" x14ac:dyDescent="0.25">
      <c r="A10806" s="62">
        <v>44101902</v>
      </c>
      <c r="B10806" s="63" t="s">
        <v>11461</v>
      </c>
    </row>
    <row r="10807" spans="1:2" x14ac:dyDescent="0.25">
      <c r="A10807" s="62">
        <v>44102001</v>
      </c>
      <c r="B10807" s="63" t="s">
        <v>11462</v>
      </c>
    </row>
    <row r="10808" spans="1:2" x14ac:dyDescent="0.25">
      <c r="A10808" s="62">
        <v>44102002</v>
      </c>
      <c r="B10808" s="63" t="s">
        <v>11463</v>
      </c>
    </row>
    <row r="10809" spans="1:2" x14ac:dyDescent="0.25">
      <c r="A10809" s="62">
        <v>44102003</v>
      </c>
      <c r="B10809" s="63" t="s">
        <v>11464</v>
      </c>
    </row>
    <row r="10810" spans="1:2" x14ac:dyDescent="0.25">
      <c r="A10810" s="62">
        <v>44102004</v>
      </c>
      <c r="B10810" s="63" t="s">
        <v>11465</v>
      </c>
    </row>
    <row r="10811" spans="1:2" x14ac:dyDescent="0.25">
      <c r="A10811" s="62">
        <v>44102101</v>
      </c>
      <c r="B10811" s="63" t="s">
        <v>11466</v>
      </c>
    </row>
    <row r="10812" spans="1:2" x14ac:dyDescent="0.25">
      <c r="A10812" s="62">
        <v>44102102</v>
      </c>
      <c r="B10812" s="63" t="s">
        <v>11467</v>
      </c>
    </row>
    <row r="10813" spans="1:2" x14ac:dyDescent="0.25">
      <c r="A10813" s="62">
        <v>44102103</v>
      </c>
      <c r="B10813" s="63" t="s">
        <v>11468</v>
      </c>
    </row>
    <row r="10814" spans="1:2" x14ac:dyDescent="0.25">
      <c r="A10814" s="62">
        <v>44102104</v>
      </c>
      <c r="B10814" s="63" t="s">
        <v>11469</v>
      </c>
    </row>
    <row r="10815" spans="1:2" x14ac:dyDescent="0.25">
      <c r="A10815" s="62">
        <v>44102105</v>
      </c>
      <c r="B10815" s="63" t="s">
        <v>11470</v>
      </c>
    </row>
    <row r="10816" spans="1:2" x14ac:dyDescent="0.25">
      <c r="A10816" s="62">
        <v>44102106</v>
      </c>
      <c r="B10816" s="63" t="s">
        <v>11471</v>
      </c>
    </row>
    <row r="10817" spans="1:2" x14ac:dyDescent="0.25">
      <c r="A10817" s="62">
        <v>44102107</v>
      </c>
      <c r="B10817" s="63" t="s">
        <v>11472</v>
      </c>
    </row>
    <row r="10818" spans="1:2" x14ac:dyDescent="0.25">
      <c r="A10818" s="62">
        <v>44102108</v>
      </c>
      <c r="B10818" s="63" t="s">
        <v>11473</v>
      </c>
    </row>
    <row r="10819" spans="1:2" x14ac:dyDescent="0.25">
      <c r="A10819" s="62">
        <v>44102201</v>
      </c>
      <c r="B10819" s="63" t="s">
        <v>11474</v>
      </c>
    </row>
    <row r="10820" spans="1:2" x14ac:dyDescent="0.25">
      <c r="A10820" s="62">
        <v>44102202</v>
      </c>
      <c r="B10820" s="63" t="s">
        <v>11475</v>
      </c>
    </row>
    <row r="10821" spans="1:2" x14ac:dyDescent="0.25">
      <c r="A10821" s="62">
        <v>44102203</v>
      </c>
      <c r="B10821" s="63" t="s">
        <v>11476</v>
      </c>
    </row>
    <row r="10822" spans="1:2" x14ac:dyDescent="0.25">
      <c r="A10822" s="62">
        <v>44102301</v>
      </c>
      <c r="B10822" s="63" t="s">
        <v>11477</v>
      </c>
    </row>
    <row r="10823" spans="1:2" x14ac:dyDescent="0.25">
      <c r="A10823" s="62">
        <v>44102302</v>
      </c>
      <c r="B10823" s="63" t="s">
        <v>11478</v>
      </c>
    </row>
    <row r="10824" spans="1:2" x14ac:dyDescent="0.25">
      <c r="A10824" s="62">
        <v>44102303</v>
      </c>
      <c r="B10824" s="63" t="s">
        <v>11479</v>
      </c>
    </row>
    <row r="10825" spans="1:2" x14ac:dyDescent="0.25">
      <c r="A10825" s="62">
        <v>44102304</v>
      </c>
      <c r="B10825" s="63" t="s">
        <v>11480</v>
      </c>
    </row>
    <row r="10826" spans="1:2" x14ac:dyDescent="0.25">
      <c r="A10826" s="62">
        <v>44102305</v>
      </c>
      <c r="B10826" s="63" t="s">
        <v>11481</v>
      </c>
    </row>
    <row r="10827" spans="1:2" x14ac:dyDescent="0.25">
      <c r="A10827" s="62">
        <v>44102306</v>
      </c>
      <c r="B10827" s="63" t="s">
        <v>11482</v>
      </c>
    </row>
    <row r="10828" spans="1:2" x14ac:dyDescent="0.25">
      <c r="A10828" s="62">
        <v>44102307</v>
      </c>
      <c r="B10828" s="63" t="s">
        <v>11483</v>
      </c>
    </row>
    <row r="10829" spans="1:2" x14ac:dyDescent="0.25">
      <c r="A10829" s="62">
        <v>44102402</v>
      </c>
      <c r="B10829" s="63" t="s">
        <v>11484</v>
      </c>
    </row>
    <row r="10830" spans="1:2" x14ac:dyDescent="0.25">
      <c r="A10830" s="62">
        <v>44102403</v>
      </c>
      <c r="B10830" s="63" t="s">
        <v>11485</v>
      </c>
    </row>
    <row r="10831" spans="1:2" x14ac:dyDescent="0.25">
      <c r="A10831" s="62">
        <v>44102404</v>
      </c>
      <c r="B10831" s="63" t="s">
        <v>11486</v>
      </c>
    </row>
    <row r="10832" spans="1:2" x14ac:dyDescent="0.25">
      <c r="A10832" s="62">
        <v>44102405</v>
      </c>
      <c r="B10832" s="63" t="s">
        <v>11487</v>
      </c>
    </row>
    <row r="10833" spans="1:2" x14ac:dyDescent="0.25">
      <c r="A10833" s="62">
        <v>44102406</v>
      </c>
      <c r="B10833" s="63" t="s">
        <v>11488</v>
      </c>
    </row>
    <row r="10834" spans="1:2" x14ac:dyDescent="0.25">
      <c r="A10834" s="62">
        <v>44102407</v>
      </c>
      <c r="B10834" s="63" t="s">
        <v>11489</v>
      </c>
    </row>
    <row r="10835" spans="1:2" x14ac:dyDescent="0.25">
      <c r="A10835" s="62">
        <v>44102408</v>
      </c>
      <c r="B10835" s="63" t="s">
        <v>11490</v>
      </c>
    </row>
    <row r="10836" spans="1:2" x14ac:dyDescent="0.25">
      <c r="A10836" s="62">
        <v>44102409</v>
      </c>
      <c r="B10836" s="63" t="s">
        <v>11491</v>
      </c>
    </row>
    <row r="10837" spans="1:2" x14ac:dyDescent="0.25">
      <c r="A10837" s="62">
        <v>44102411</v>
      </c>
      <c r="B10837" s="63" t="s">
        <v>11492</v>
      </c>
    </row>
    <row r="10838" spans="1:2" x14ac:dyDescent="0.25">
      <c r="A10838" s="62">
        <v>44102412</v>
      </c>
      <c r="B10838" s="63" t="s">
        <v>11493</v>
      </c>
    </row>
    <row r="10839" spans="1:2" x14ac:dyDescent="0.25">
      <c r="A10839" s="62">
        <v>44102501</v>
      </c>
      <c r="B10839" s="63" t="s">
        <v>11494</v>
      </c>
    </row>
    <row r="10840" spans="1:2" x14ac:dyDescent="0.25">
      <c r="A10840" s="62">
        <v>44102502</v>
      </c>
      <c r="B10840" s="63" t="s">
        <v>11495</v>
      </c>
    </row>
    <row r="10841" spans="1:2" x14ac:dyDescent="0.25">
      <c r="A10841" s="62">
        <v>44102503</v>
      </c>
      <c r="B10841" s="63" t="s">
        <v>11496</v>
      </c>
    </row>
    <row r="10842" spans="1:2" x14ac:dyDescent="0.25">
      <c r="A10842" s="62">
        <v>44102602</v>
      </c>
      <c r="B10842" s="63" t="s">
        <v>11497</v>
      </c>
    </row>
    <row r="10843" spans="1:2" x14ac:dyDescent="0.25">
      <c r="A10843" s="62">
        <v>44102603</v>
      </c>
      <c r="B10843" s="63" t="s">
        <v>11498</v>
      </c>
    </row>
    <row r="10844" spans="1:2" x14ac:dyDescent="0.25">
      <c r="A10844" s="62">
        <v>44102604</v>
      </c>
      <c r="B10844" s="63" t="s">
        <v>11499</v>
      </c>
    </row>
    <row r="10845" spans="1:2" x14ac:dyDescent="0.25">
      <c r="A10845" s="62">
        <v>44102605</v>
      </c>
      <c r="B10845" s="63" t="s">
        <v>11500</v>
      </c>
    </row>
    <row r="10846" spans="1:2" x14ac:dyDescent="0.25">
      <c r="A10846" s="62">
        <v>44102606</v>
      </c>
      <c r="B10846" s="63" t="s">
        <v>11501</v>
      </c>
    </row>
    <row r="10847" spans="1:2" x14ac:dyDescent="0.25">
      <c r="A10847" s="62">
        <v>44102607</v>
      </c>
      <c r="B10847" s="63" t="s">
        <v>11502</v>
      </c>
    </row>
    <row r="10848" spans="1:2" x14ac:dyDescent="0.25">
      <c r="A10848" s="62">
        <v>44102608</v>
      </c>
      <c r="B10848" s="63" t="s">
        <v>11503</v>
      </c>
    </row>
    <row r="10849" spans="1:2" x14ac:dyDescent="0.25">
      <c r="A10849" s="62">
        <v>44102609</v>
      </c>
      <c r="B10849" s="63" t="s">
        <v>11504</v>
      </c>
    </row>
    <row r="10850" spans="1:2" x14ac:dyDescent="0.25">
      <c r="A10850" s="62">
        <v>44102610</v>
      </c>
      <c r="B10850" s="63" t="s">
        <v>11505</v>
      </c>
    </row>
    <row r="10851" spans="1:2" x14ac:dyDescent="0.25">
      <c r="A10851" s="62">
        <v>44102801</v>
      </c>
      <c r="B10851" s="63" t="s">
        <v>11506</v>
      </c>
    </row>
    <row r="10852" spans="1:2" x14ac:dyDescent="0.25">
      <c r="A10852" s="62">
        <v>44102901</v>
      </c>
      <c r="B10852" s="63" t="s">
        <v>11507</v>
      </c>
    </row>
    <row r="10853" spans="1:2" x14ac:dyDescent="0.25">
      <c r="A10853" s="62">
        <v>44102902</v>
      </c>
      <c r="B10853" s="63" t="s">
        <v>11508</v>
      </c>
    </row>
    <row r="10854" spans="1:2" x14ac:dyDescent="0.25">
      <c r="A10854" s="62">
        <v>44102903</v>
      </c>
      <c r="B10854" s="63" t="s">
        <v>11509</v>
      </c>
    </row>
    <row r="10855" spans="1:2" x14ac:dyDescent="0.25">
      <c r="A10855" s="62">
        <v>44102904</v>
      </c>
      <c r="B10855" s="63" t="s">
        <v>11510</v>
      </c>
    </row>
    <row r="10856" spans="1:2" x14ac:dyDescent="0.25">
      <c r="A10856" s="62">
        <v>44102905</v>
      </c>
      <c r="B10856" s="63" t="s">
        <v>11511</v>
      </c>
    </row>
    <row r="10857" spans="1:2" x14ac:dyDescent="0.25">
      <c r="A10857" s="62">
        <v>44102906</v>
      </c>
      <c r="B10857" s="63" t="s">
        <v>11512</v>
      </c>
    </row>
    <row r="10858" spans="1:2" x14ac:dyDescent="0.25">
      <c r="A10858" s="62">
        <v>44102907</v>
      </c>
      <c r="B10858" s="63" t="s">
        <v>11513</v>
      </c>
    </row>
    <row r="10859" spans="1:2" x14ac:dyDescent="0.25">
      <c r="A10859" s="62">
        <v>44102908</v>
      </c>
      <c r="B10859" s="63" t="s">
        <v>11514</v>
      </c>
    </row>
    <row r="10860" spans="1:2" x14ac:dyDescent="0.25">
      <c r="A10860" s="62">
        <v>44102909</v>
      </c>
      <c r="B10860" s="63" t="s">
        <v>11515</v>
      </c>
    </row>
    <row r="10861" spans="1:2" x14ac:dyDescent="0.25">
      <c r="A10861" s="62">
        <v>44102910</v>
      </c>
      <c r="B10861" s="63" t="s">
        <v>11516</v>
      </c>
    </row>
    <row r="10862" spans="1:2" x14ac:dyDescent="0.25">
      <c r="A10862" s="62">
        <v>44102911</v>
      </c>
      <c r="B10862" s="63" t="s">
        <v>11517</v>
      </c>
    </row>
    <row r="10863" spans="1:2" x14ac:dyDescent="0.25">
      <c r="A10863" s="62">
        <v>44102912</v>
      </c>
      <c r="B10863" s="63" t="s">
        <v>11518</v>
      </c>
    </row>
    <row r="10864" spans="1:2" x14ac:dyDescent="0.25">
      <c r="A10864" s="62">
        <v>44102913</v>
      </c>
      <c r="B10864" s="63" t="s">
        <v>11519</v>
      </c>
    </row>
    <row r="10865" spans="1:2" x14ac:dyDescent="0.25">
      <c r="A10865" s="62">
        <v>44103001</v>
      </c>
      <c r="B10865" s="63" t="s">
        <v>11520</v>
      </c>
    </row>
    <row r="10866" spans="1:2" x14ac:dyDescent="0.25">
      <c r="A10866" s="62">
        <v>44103002</v>
      </c>
      <c r="B10866" s="63" t="s">
        <v>11521</v>
      </c>
    </row>
    <row r="10867" spans="1:2" x14ac:dyDescent="0.25">
      <c r="A10867" s="62">
        <v>44103003</v>
      </c>
      <c r="B10867" s="63" t="s">
        <v>11522</v>
      </c>
    </row>
    <row r="10868" spans="1:2" x14ac:dyDescent="0.25">
      <c r="A10868" s="62">
        <v>44103004</v>
      </c>
      <c r="B10868" s="63" t="s">
        <v>11523</v>
      </c>
    </row>
    <row r="10869" spans="1:2" x14ac:dyDescent="0.25">
      <c r="A10869" s="62">
        <v>44103005</v>
      </c>
      <c r="B10869" s="63" t="s">
        <v>11524</v>
      </c>
    </row>
    <row r="10870" spans="1:2" x14ac:dyDescent="0.25">
      <c r="A10870" s="62">
        <v>44103101</v>
      </c>
      <c r="B10870" s="63" t="s">
        <v>11525</v>
      </c>
    </row>
    <row r="10871" spans="1:2" x14ac:dyDescent="0.25">
      <c r="A10871" s="62">
        <v>44103103</v>
      </c>
      <c r="B10871" s="63" t="s">
        <v>11526</v>
      </c>
    </row>
    <row r="10872" spans="1:2" x14ac:dyDescent="0.25">
      <c r="A10872" s="62">
        <v>44103104</v>
      </c>
      <c r="B10872" s="63" t="s">
        <v>11527</v>
      </c>
    </row>
    <row r="10873" spans="1:2" x14ac:dyDescent="0.25">
      <c r="A10873" s="62">
        <v>44103105</v>
      </c>
      <c r="B10873" s="63" t="s">
        <v>11528</v>
      </c>
    </row>
    <row r="10874" spans="1:2" x14ac:dyDescent="0.25">
      <c r="A10874" s="62">
        <v>44103106</v>
      </c>
      <c r="B10874" s="63" t="s">
        <v>11529</v>
      </c>
    </row>
    <row r="10875" spans="1:2" x14ac:dyDescent="0.25">
      <c r="A10875" s="62">
        <v>44103107</v>
      </c>
      <c r="B10875" s="63" t="s">
        <v>11530</v>
      </c>
    </row>
    <row r="10876" spans="1:2" x14ac:dyDescent="0.25">
      <c r="A10876" s="62">
        <v>44103108</v>
      </c>
      <c r="B10876" s="63" t="s">
        <v>11531</v>
      </c>
    </row>
    <row r="10877" spans="1:2" x14ac:dyDescent="0.25">
      <c r="A10877" s="62">
        <v>44103109</v>
      </c>
      <c r="B10877" s="63" t="s">
        <v>11532</v>
      </c>
    </row>
    <row r="10878" spans="1:2" x14ac:dyDescent="0.25">
      <c r="A10878" s="62">
        <v>44103110</v>
      </c>
      <c r="B10878" s="63" t="s">
        <v>11533</v>
      </c>
    </row>
    <row r="10879" spans="1:2" x14ac:dyDescent="0.25">
      <c r="A10879" s="62">
        <v>44103111</v>
      </c>
      <c r="B10879" s="63" t="s">
        <v>11534</v>
      </c>
    </row>
    <row r="10880" spans="1:2" x14ac:dyDescent="0.25">
      <c r="A10880" s="62">
        <v>44103112</v>
      </c>
      <c r="B10880" s="63" t="s">
        <v>11535</v>
      </c>
    </row>
    <row r="10881" spans="1:2" x14ac:dyDescent="0.25">
      <c r="A10881" s="62">
        <v>44103113</v>
      </c>
      <c r="B10881" s="63" t="s">
        <v>11536</v>
      </c>
    </row>
    <row r="10882" spans="1:2" x14ac:dyDescent="0.25">
      <c r="A10882" s="62">
        <v>44103114</v>
      </c>
      <c r="B10882" s="63" t="s">
        <v>11537</v>
      </c>
    </row>
    <row r="10883" spans="1:2" x14ac:dyDescent="0.25">
      <c r="A10883" s="62">
        <v>44103116</v>
      </c>
      <c r="B10883" s="63" t="s">
        <v>11538</v>
      </c>
    </row>
    <row r="10884" spans="1:2" x14ac:dyDescent="0.25">
      <c r="A10884" s="62">
        <v>44103117</v>
      </c>
      <c r="B10884" s="63" t="s">
        <v>11539</v>
      </c>
    </row>
    <row r="10885" spans="1:2" x14ac:dyDescent="0.25">
      <c r="A10885" s="62">
        <v>44103118</v>
      </c>
      <c r="B10885" s="63" t="s">
        <v>11540</v>
      </c>
    </row>
    <row r="10886" spans="1:2" x14ac:dyDescent="0.25">
      <c r="A10886" s="62">
        <v>44103119</v>
      </c>
      <c r="B10886" s="63" t="s">
        <v>11541</v>
      </c>
    </row>
    <row r="10887" spans="1:2" x14ac:dyDescent="0.25">
      <c r="A10887" s="62">
        <v>44103120</v>
      </c>
      <c r="B10887" s="63" t="s">
        <v>11542</v>
      </c>
    </row>
    <row r="10888" spans="1:2" x14ac:dyDescent="0.25">
      <c r="A10888" s="62">
        <v>44103121</v>
      </c>
      <c r="B10888" s="63" t="s">
        <v>11543</v>
      </c>
    </row>
    <row r="10889" spans="1:2" x14ac:dyDescent="0.25">
      <c r="A10889" s="62">
        <v>44103122</v>
      </c>
      <c r="B10889" s="63" t="s">
        <v>11544</v>
      </c>
    </row>
    <row r="10890" spans="1:2" x14ac:dyDescent="0.25">
      <c r="A10890" s="62">
        <v>44103201</v>
      </c>
      <c r="B10890" s="63" t="s">
        <v>11545</v>
      </c>
    </row>
    <row r="10891" spans="1:2" x14ac:dyDescent="0.25">
      <c r="A10891" s="62">
        <v>44103202</v>
      </c>
      <c r="B10891" s="63" t="s">
        <v>11546</v>
      </c>
    </row>
    <row r="10892" spans="1:2" x14ac:dyDescent="0.25">
      <c r="A10892" s="62">
        <v>44103203</v>
      </c>
      <c r="B10892" s="63" t="s">
        <v>11547</v>
      </c>
    </row>
    <row r="10893" spans="1:2" x14ac:dyDescent="0.25">
      <c r="A10893" s="62">
        <v>44103204</v>
      </c>
      <c r="B10893" s="63" t="s">
        <v>11548</v>
      </c>
    </row>
    <row r="10894" spans="1:2" x14ac:dyDescent="0.25">
      <c r="A10894" s="62">
        <v>44103205</v>
      </c>
      <c r="B10894" s="63" t="s">
        <v>11549</v>
      </c>
    </row>
    <row r="10895" spans="1:2" x14ac:dyDescent="0.25">
      <c r="A10895" s="62">
        <v>44103502</v>
      </c>
      <c r="B10895" s="63" t="s">
        <v>11550</v>
      </c>
    </row>
    <row r="10896" spans="1:2" x14ac:dyDescent="0.25">
      <c r="A10896" s="62">
        <v>44103503</v>
      </c>
      <c r="B10896" s="63" t="s">
        <v>11551</v>
      </c>
    </row>
    <row r="10897" spans="1:2" x14ac:dyDescent="0.25">
      <c r="A10897" s="62">
        <v>44103504</v>
      </c>
      <c r="B10897" s="63" t="s">
        <v>11552</v>
      </c>
    </row>
    <row r="10898" spans="1:2" x14ac:dyDescent="0.25">
      <c r="A10898" s="62">
        <v>44103505</v>
      </c>
      <c r="B10898" s="63" t="s">
        <v>11553</v>
      </c>
    </row>
    <row r="10899" spans="1:2" x14ac:dyDescent="0.25">
      <c r="A10899" s="62">
        <v>44103506</v>
      </c>
      <c r="B10899" s="63" t="s">
        <v>11554</v>
      </c>
    </row>
    <row r="10900" spans="1:2" x14ac:dyDescent="0.25">
      <c r="A10900" s="62">
        <v>44103507</v>
      </c>
      <c r="B10900" s="63" t="s">
        <v>11555</v>
      </c>
    </row>
    <row r="10901" spans="1:2" x14ac:dyDescent="0.25">
      <c r="A10901" s="62">
        <v>44103601</v>
      </c>
      <c r="B10901" s="63" t="s">
        <v>11556</v>
      </c>
    </row>
    <row r="10902" spans="1:2" x14ac:dyDescent="0.25">
      <c r="A10902" s="62">
        <v>44111501</v>
      </c>
      <c r="B10902" s="63" t="s">
        <v>11557</v>
      </c>
    </row>
    <row r="10903" spans="1:2" x14ac:dyDescent="0.25">
      <c r="A10903" s="62">
        <v>44111502</v>
      </c>
      <c r="B10903" s="63" t="s">
        <v>11558</v>
      </c>
    </row>
    <row r="10904" spans="1:2" x14ac:dyDescent="0.25">
      <c r="A10904" s="62">
        <v>44111503</v>
      </c>
      <c r="B10904" s="63" t="s">
        <v>11559</v>
      </c>
    </row>
    <row r="10905" spans="1:2" x14ac:dyDescent="0.25">
      <c r="A10905" s="62">
        <v>44111506</v>
      </c>
      <c r="B10905" s="63" t="s">
        <v>11560</v>
      </c>
    </row>
    <row r="10906" spans="1:2" x14ac:dyDescent="0.25">
      <c r="A10906" s="62">
        <v>44111507</v>
      </c>
      <c r="B10906" s="63" t="s">
        <v>11561</v>
      </c>
    </row>
    <row r="10907" spans="1:2" x14ac:dyDescent="0.25">
      <c r="A10907" s="62">
        <v>44111509</v>
      </c>
      <c r="B10907" s="63" t="s">
        <v>11562</v>
      </c>
    </row>
    <row r="10908" spans="1:2" x14ac:dyDescent="0.25">
      <c r="A10908" s="62">
        <v>44111510</v>
      </c>
      <c r="B10908" s="63" t="s">
        <v>11563</v>
      </c>
    </row>
    <row r="10909" spans="1:2" x14ac:dyDescent="0.25">
      <c r="A10909" s="62">
        <v>44111511</v>
      </c>
      <c r="B10909" s="63" t="s">
        <v>11564</v>
      </c>
    </row>
    <row r="10910" spans="1:2" x14ac:dyDescent="0.25">
      <c r="A10910" s="62">
        <v>44111512</v>
      </c>
      <c r="B10910" s="63" t="s">
        <v>11565</v>
      </c>
    </row>
    <row r="10911" spans="1:2" x14ac:dyDescent="0.25">
      <c r="A10911" s="62">
        <v>44111513</v>
      </c>
      <c r="B10911" s="63" t="s">
        <v>11566</v>
      </c>
    </row>
    <row r="10912" spans="1:2" x14ac:dyDescent="0.25">
      <c r="A10912" s="62">
        <v>44111514</v>
      </c>
      <c r="B10912" s="63" t="s">
        <v>11567</v>
      </c>
    </row>
    <row r="10913" spans="1:2" x14ac:dyDescent="0.25">
      <c r="A10913" s="62">
        <v>44111515</v>
      </c>
      <c r="B10913" s="63" t="s">
        <v>11568</v>
      </c>
    </row>
    <row r="10914" spans="1:2" x14ac:dyDescent="0.25">
      <c r="A10914" s="62">
        <v>44111516</v>
      </c>
      <c r="B10914" s="63" t="s">
        <v>11569</v>
      </c>
    </row>
    <row r="10915" spans="1:2" x14ac:dyDescent="0.25">
      <c r="A10915" s="62">
        <v>44111517</v>
      </c>
      <c r="B10915" s="63" t="s">
        <v>11570</v>
      </c>
    </row>
    <row r="10916" spans="1:2" x14ac:dyDescent="0.25">
      <c r="A10916" s="62">
        <v>44111518</v>
      </c>
      <c r="B10916" s="63" t="s">
        <v>11571</v>
      </c>
    </row>
    <row r="10917" spans="1:2" x14ac:dyDescent="0.25">
      <c r="A10917" s="62">
        <v>44111519</v>
      </c>
      <c r="B10917" s="63" t="s">
        <v>11572</v>
      </c>
    </row>
    <row r="10918" spans="1:2" x14ac:dyDescent="0.25">
      <c r="A10918" s="62">
        <v>44111520</v>
      </c>
      <c r="B10918" s="63" t="s">
        <v>11573</v>
      </c>
    </row>
    <row r="10919" spans="1:2" x14ac:dyDescent="0.25">
      <c r="A10919" s="62">
        <v>44111521</v>
      </c>
      <c r="B10919" s="63" t="s">
        <v>11574</v>
      </c>
    </row>
    <row r="10920" spans="1:2" x14ac:dyDescent="0.25">
      <c r="A10920" s="62">
        <v>44111601</v>
      </c>
      <c r="B10920" s="63" t="s">
        <v>11575</v>
      </c>
    </row>
    <row r="10921" spans="1:2" x14ac:dyDescent="0.25">
      <c r="A10921" s="62">
        <v>44111603</v>
      </c>
      <c r="B10921" s="63" t="s">
        <v>11576</v>
      </c>
    </row>
    <row r="10922" spans="1:2" x14ac:dyDescent="0.25">
      <c r="A10922" s="62">
        <v>44111604</v>
      </c>
      <c r="B10922" s="63" t="s">
        <v>11577</v>
      </c>
    </row>
    <row r="10923" spans="1:2" x14ac:dyDescent="0.25">
      <c r="A10923" s="62">
        <v>44111605</v>
      </c>
      <c r="B10923" s="63" t="s">
        <v>11578</v>
      </c>
    </row>
    <row r="10924" spans="1:2" x14ac:dyDescent="0.25">
      <c r="A10924" s="62">
        <v>44111606</v>
      </c>
      <c r="B10924" s="63" t="s">
        <v>11579</v>
      </c>
    </row>
    <row r="10925" spans="1:2" x14ac:dyDescent="0.25">
      <c r="A10925" s="62">
        <v>44111607</v>
      </c>
      <c r="B10925" s="63" t="s">
        <v>11580</v>
      </c>
    </row>
    <row r="10926" spans="1:2" x14ac:dyDescent="0.25">
      <c r="A10926" s="62">
        <v>44111608</v>
      </c>
      <c r="B10926" s="63" t="s">
        <v>11581</v>
      </c>
    </row>
    <row r="10927" spans="1:2" x14ac:dyDescent="0.25">
      <c r="A10927" s="62">
        <v>44111609</v>
      </c>
      <c r="B10927" s="63" t="s">
        <v>11582</v>
      </c>
    </row>
    <row r="10928" spans="1:2" x14ac:dyDescent="0.25">
      <c r="A10928" s="62">
        <v>44111610</v>
      </c>
      <c r="B10928" s="63" t="s">
        <v>11583</v>
      </c>
    </row>
    <row r="10929" spans="1:2" x14ac:dyDescent="0.25">
      <c r="A10929" s="62">
        <v>44111611</v>
      </c>
      <c r="B10929" s="63" t="s">
        <v>11584</v>
      </c>
    </row>
    <row r="10930" spans="1:2" x14ac:dyDescent="0.25">
      <c r="A10930" s="62">
        <v>44111612</v>
      </c>
      <c r="B10930" s="63" t="s">
        <v>11585</v>
      </c>
    </row>
    <row r="10931" spans="1:2" x14ac:dyDescent="0.25">
      <c r="A10931" s="62">
        <v>44111613</v>
      </c>
      <c r="B10931" s="63" t="s">
        <v>11586</v>
      </c>
    </row>
    <row r="10932" spans="1:2" x14ac:dyDescent="0.25">
      <c r="A10932" s="62">
        <v>44111614</v>
      </c>
      <c r="B10932" s="63" t="s">
        <v>11587</v>
      </c>
    </row>
    <row r="10933" spans="1:2" x14ac:dyDescent="0.25">
      <c r="A10933" s="62">
        <v>44111615</v>
      </c>
      <c r="B10933" s="63" t="s">
        <v>11588</v>
      </c>
    </row>
    <row r="10934" spans="1:2" x14ac:dyDescent="0.25">
      <c r="A10934" s="62">
        <v>44111616</v>
      </c>
      <c r="B10934" s="63" t="s">
        <v>11589</v>
      </c>
    </row>
    <row r="10935" spans="1:2" x14ac:dyDescent="0.25">
      <c r="A10935" s="62">
        <v>44111801</v>
      </c>
      <c r="B10935" s="63" t="s">
        <v>11590</v>
      </c>
    </row>
    <row r="10936" spans="1:2" x14ac:dyDescent="0.25">
      <c r="A10936" s="62">
        <v>44111802</v>
      </c>
      <c r="B10936" s="63" t="s">
        <v>11591</v>
      </c>
    </row>
    <row r="10937" spans="1:2" x14ac:dyDescent="0.25">
      <c r="A10937" s="62">
        <v>44111803</v>
      </c>
      <c r="B10937" s="63" t="s">
        <v>11592</v>
      </c>
    </row>
    <row r="10938" spans="1:2" x14ac:dyDescent="0.25">
      <c r="A10938" s="62">
        <v>44111804</v>
      </c>
      <c r="B10938" s="63" t="s">
        <v>11593</v>
      </c>
    </row>
    <row r="10939" spans="1:2" x14ac:dyDescent="0.25">
      <c r="A10939" s="62">
        <v>44111805</v>
      </c>
      <c r="B10939" s="63" t="s">
        <v>11594</v>
      </c>
    </row>
    <row r="10940" spans="1:2" x14ac:dyDescent="0.25">
      <c r="A10940" s="62">
        <v>44111806</v>
      </c>
      <c r="B10940" s="63" t="s">
        <v>11595</v>
      </c>
    </row>
    <row r="10941" spans="1:2" x14ac:dyDescent="0.25">
      <c r="A10941" s="62">
        <v>44111807</v>
      </c>
      <c r="B10941" s="63" t="s">
        <v>4079</v>
      </c>
    </row>
    <row r="10942" spans="1:2" x14ac:dyDescent="0.25">
      <c r="A10942" s="62">
        <v>44111808</v>
      </c>
      <c r="B10942" s="63" t="s">
        <v>11596</v>
      </c>
    </row>
    <row r="10943" spans="1:2" x14ac:dyDescent="0.25">
      <c r="A10943" s="62">
        <v>44111809</v>
      </c>
      <c r="B10943" s="63" t="s">
        <v>11597</v>
      </c>
    </row>
    <row r="10944" spans="1:2" x14ac:dyDescent="0.25">
      <c r="A10944" s="62">
        <v>44111810</v>
      </c>
      <c r="B10944" s="63" t="s">
        <v>11598</v>
      </c>
    </row>
    <row r="10945" spans="1:2" x14ac:dyDescent="0.25">
      <c r="A10945" s="62">
        <v>44111812</v>
      </c>
      <c r="B10945" s="63" t="s">
        <v>11599</v>
      </c>
    </row>
    <row r="10946" spans="1:2" x14ac:dyDescent="0.25">
      <c r="A10946" s="62">
        <v>44111813</v>
      </c>
      <c r="B10946" s="63" t="s">
        <v>11600</v>
      </c>
    </row>
    <row r="10947" spans="1:2" x14ac:dyDescent="0.25">
      <c r="A10947" s="62">
        <v>44111814</v>
      </c>
      <c r="B10947" s="63" t="s">
        <v>11601</v>
      </c>
    </row>
    <row r="10948" spans="1:2" x14ac:dyDescent="0.25">
      <c r="A10948" s="62">
        <v>44111815</v>
      </c>
      <c r="B10948" s="63" t="s">
        <v>11602</v>
      </c>
    </row>
    <row r="10949" spans="1:2" x14ac:dyDescent="0.25">
      <c r="A10949" s="62">
        <v>44111901</v>
      </c>
      <c r="B10949" s="63" t="s">
        <v>11603</v>
      </c>
    </row>
    <row r="10950" spans="1:2" x14ac:dyDescent="0.25">
      <c r="A10950" s="62">
        <v>44111902</v>
      </c>
      <c r="B10950" s="63" t="s">
        <v>11604</v>
      </c>
    </row>
    <row r="10951" spans="1:2" x14ac:dyDescent="0.25">
      <c r="A10951" s="62">
        <v>44111903</v>
      </c>
      <c r="B10951" s="63" t="s">
        <v>11605</v>
      </c>
    </row>
    <row r="10952" spans="1:2" x14ac:dyDescent="0.25">
      <c r="A10952" s="62">
        <v>44111904</v>
      </c>
      <c r="B10952" s="63" t="s">
        <v>11606</v>
      </c>
    </row>
    <row r="10953" spans="1:2" x14ac:dyDescent="0.25">
      <c r="A10953" s="62">
        <v>44111905</v>
      </c>
      <c r="B10953" s="63" t="s">
        <v>11607</v>
      </c>
    </row>
    <row r="10954" spans="1:2" x14ac:dyDescent="0.25">
      <c r="A10954" s="62">
        <v>44111906</v>
      </c>
      <c r="B10954" s="63" t="s">
        <v>11608</v>
      </c>
    </row>
    <row r="10955" spans="1:2" x14ac:dyDescent="0.25">
      <c r="A10955" s="62">
        <v>44111907</v>
      </c>
      <c r="B10955" s="63" t="s">
        <v>11609</v>
      </c>
    </row>
    <row r="10956" spans="1:2" x14ac:dyDescent="0.25">
      <c r="A10956" s="62">
        <v>44111908</v>
      </c>
      <c r="B10956" s="63" t="s">
        <v>11610</v>
      </c>
    </row>
    <row r="10957" spans="1:2" x14ac:dyDescent="0.25">
      <c r="A10957" s="62">
        <v>44111909</v>
      </c>
      <c r="B10957" s="63" t="s">
        <v>11611</v>
      </c>
    </row>
    <row r="10958" spans="1:2" x14ac:dyDescent="0.25">
      <c r="A10958" s="62">
        <v>44111910</v>
      </c>
      <c r="B10958" s="63" t="s">
        <v>11612</v>
      </c>
    </row>
    <row r="10959" spans="1:2" x14ac:dyDescent="0.25">
      <c r="A10959" s="62">
        <v>44111911</v>
      </c>
      <c r="B10959" s="63" t="s">
        <v>11613</v>
      </c>
    </row>
    <row r="10960" spans="1:2" x14ac:dyDescent="0.25">
      <c r="A10960" s="62">
        <v>44112001</v>
      </c>
      <c r="B10960" s="63" t="s">
        <v>11614</v>
      </c>
    </row>
    <row r="10961" spans="1:2" x14ac:dyDescent="0.25">
      <c r="A10961" s="62">
        <v>44112002</v>
      </c>
      <c r="B10961" s="63" t="s">
        <v>11615</v>
      </c>
    </row>
    <row r="10962" spans="1:2" x14ac:dyDescent="0.25">
      <c r="A10962" s="62">
        <v>44112004</v>
      </c>
      <c r="B10962" s="63" t="s">
        <v>11616</v>
      </c>
    </row>
    <row r="10963" spans="1:2" x14ac:dyDescent="0.25">
      <c r="A10963" s="62">
        <v>44112005</v>
      </c>
      <c r="B10963" s="63" t="s">
        <v>11617</v>
      </c>
    </row>
    <row r="10964" spans="1:2" x14ac:dyDescent="0.25">
      <c r="A10964" s="62">
        <v>44112006</v>
      </c>
      <c r="B10964" s="63" t="s">
        <v>11618</v>
      </c>
    </row>
    <row r="10965" spans="1:2" x14ac:dyDescent="0.25">
      <c r="A10965" s="62">
        <v>44112007</v>
      </c>
      <c r="B10965" s="63" t="s">
        <v>11619</v>
      </c>
    </row>
    <row r="10966" spans="1:2" x14ac:dyDescent="0.25">
      <c r="A10966" s="62">
        <v>44112008</v>
      </c>
      <c r="B10966" s="63" t="s">
        <v>11620</v>
      </c>
    </row>
    <row r="10967" spans="1:2" x14ac:dyDescent="0.25">
      <c r="A10967" s="62">
        <v>44121501</v>
      </c>
      <c r="B10967" s="63" t="s">
        <v>11621</v>
      </c>
    </row>
    <row r="10968" spans="1:2" x14ac:dyDescent="0.25">
      <c r="A10968" s="62">
        <v>44121503</v>
      </c>
      <c r="B10968" s="63" t="s">
        <v>11622</v>
      </c>
    </row>
    <row r="10969" spans="1:2" x14ac:dyDescent="0.25">
      <c r="A10969" s="62">
        <v>44121504</v>
      </c>
      <c r="B10969" s="63" t="s">
        <v>11623</v>
      </c>
    </row>
    <row r="10970" spans="1:2" x14ac:dyDescent="0.25">
      <c r="A10970" s="62">
        <v>44121505</v>
      </c>
      <c r="B10970" s="63" t="s">
        <v>11624</v>
      </c>
    </row>
    <row r="10971" spans="1:2" x14ac:dyDescent="0.25">
      <c r="A10971" s="62">
        <v>44121506</v>
      </c>
      <c r="B10971" s="63" t="s">
        <v>11625</v>
      </c>
    </row>
    <row r="10972" spans="1:2" x14ac:dyDescent="0.25">
      <c r="A10972" s="62">
        <v>44121507</v>
      </c>
      <c r="B10972" s="63" t="s">
        <v>11626</v>
      </c>
    </row>
    <row r="10973" spans="1:2" x14ac:dyDescent="0.25">
      <c r="A10973" s="62">
        <v>44121508</v>
      </c>
      <c r="B10973" s="63" t="s">
        <v>11627</v>
      </c>
    </row>
    <row r="10974" spans="1:2" x14ac:dyDescent="0.25">
      <c r="A10974" s="62">
        <v>44121509</v>
      </c>
      <c r="B10974" s="63" t="s">
        <v>11628</v>
      </c>
    </row>
    <row r="10975" spans="1:2" x14ac:dyDescent="0.25">
      <c r="A10975" s="62">
        <v>44121510</v>
      </c>
      <c r="B10975" s="63" t="s">
        <v>11629</v>
      </c>
    </row>
    <row r="10976" spans="1:2" x14ac:dyDescent="0.25">
      <c r="A10976" s="62">
        <v>44121511</v>
      </c>
      <c r="B10976" s="63" t="s">
        <v>11630</v>
      </c>
    </row>
    <row r="10977" spans="1:2" x14ac:dyDescent="0.25">
      <c r="A10977" s="62">
        <v>44121512</v>
      </c>
      <c r="B10977" s="63" t="s">
        <v>11631</v>
      </c>
    </row>
    <row r="10978" spans="1:2" x14ac:dyDescent="0.25">
      <c r="A10978" s="62">
        <v>44121604</v>
      </c>
      <c r="B10978" s="63" t="s">
        <v>11632</v>
      </c>
    </row>
    <row r="10979" spans="1:2" x14ac:dyDescent="0.25">
      <c r="A10979" s="62">
        <v>44121605</v>
      </c>
      <c r="B10979" s="63" t="s">
        <v>11633</v>
      </c>
    </row>
    <row r="10980" spans="1:2" x14ac:dyDescent="0.25">
      <c r="A10980" s="62">
        <v>44121611</v>
      </c>
      <c r="B10980" s="63" t="s">
        <v>11634</v>
      </c>
    </row>
    <row r="10981" spans="1:2" x14ac:dyDescent="0.25">
      <c r="A10981" s="62">
        <v>44121612</v>
      </c>
      <c r="B10981" s="63" t="s">
        <v>11635</v>
      </c>
    </row>
    <row r="10982" spans="1:2" x14ac:dyDescent="0.25">
      <c r="A10982" s="62">
        <v>44121613</v>
      </c>
      <c r="B10982" s="63" t="s">
        <v>11636</v>
      </c>
    </row>
    <row r="10983" spans="1:2" x14ac:dyDescent="0.25">
      <c r="A10983" s="62">
        <v>44121614</v>
      </c>
      <c r="B10983" s="63" t="s">
        <v>11637</v>
      </c>
    </row>
    <row r="10984" spans="1:2" x14ac:dyDescent="0.25">
      <c r="A10984" s="62">
        <v>44121615</v>
      </c>
      <c r="B10984" s="63" t="s">
        <v>11638</v>
      </c>
    </row>
    <row r="10985" spans="1:2" x14ac:dyDescent="0.25">
      <c r="A10985" s="62">
        <v>44121617</v>
      </c>
      <c r="B10985" s="63" t="s">
        <v>11639</v>
      </c>
    </row>
    <row r="10986" spans="1:2" x14ac:dyDescent="0.25">
      <c r="A10986" s="62">
        <v>44121618</v>
      </c>
      <c r="B10986" s="63" t="s">
        <v>11640</v>
      </c>
    </row>
    <row r="10987" spans="1:2" x14ac:dyDescent="0.25">
      <c r="A10987" s="62">
        <v>44121619</v>
      </c>
      <c r="B10987" s="63" t="s">
        <v>11641</v>
      </c>
    </row>
    <row r="10988" spans="1:2" x14ac:dyDescent="0.25">
      <c r="A10988" s="62">
        <v>44121620</v>
      </c>
      <c r="B10988" s="63" t="s">
        <v>11642</v>
      </c>
    </row>
    <row r="10989" spans="1:2" x14ac:dyDescent="0.25">
      <c r="A10989" s="62">
        <v>44121621</v>
      </c>
      <c r="B10989" s="63" t="s">
        <v>11643</v>
      </c>
    </row>
    <row r="10990" spans="1:2" x14ac:dyDescent="0.25">
      <c r="A10990" s="62">
        <v>44121622</v>
      </c>
      <c r="B10990" s="63" t="s">
        <v>7191</v>
      </c>
    </row>
    <row r="10991" spans="1:2" x14ac:dyDescent="0.25">
      <c r="A10991" s="62">
        <v>44121623</v>
      </c>
      <c r="B10991" s="63" t="s">
        <v>11644</v>
      </c>
    </row>
    <row r="10992" spans="1:2" x14ac:dyDescent="0.25">
      <c r="A10992" s="62">
        <v>44121624</v>
      </c>
      <c r="B10992" s="63" t="s">
        <v>11645</v>
      </c>
    </row>
    <row r="10993" spans="1:2" x14ac:dyDescent="0.25">
      <c r="A10993" s="62">
        <v>44121625</v>
      </c>
      <c r="B10993" s="63" t="s">
        <v>11646</v>
      </c>
    </row>
    <row r="10994" spans="1:2" x14ac:dyDescent="0.25">
      <c r="A10994" s="62">
        <v>44121626</v>
      </c>
      <c r="B10994" s="63" t="s">
        <v>11647</v>
      </c>
    </row>
    <row r="10995" spans="1:2" x14ac:dyDescent="0.25">
      <c r="A10995" s="62">
        <v>44121627</v>
      </c>
      <c r="B10995" s="63" t="s">
        <v>11648</v>
      </c>
    </row>
    <row r="10996" spans="1:2" x14ac:dyDescent="0.25">
      <c r="A10996" s="62">
        <v>44121628</v>
      </c>
      <c r="B10996" s="63" t="s">
        <v>11649</v>
      </c>
    </row>
    <row r="10997" spans="1:2" x14ac:dyDescent="0.25">
      <c r="A10997" s="62">
        <v>44121630</v>
      </c>
      <c r="B10997" s="63" t="s">
        <v>11650</v>
      </c>
    </row>
    <row r="10998" spans="1:2" x14ac:dyDescent="0.25">
      <c r="A10998" s="62">
        <v>44121631</v>
      </c>
      <c r="B10998" s="63" t="s">
        <v>11651</v>
      </c>
    </row>
    <row r="10999" spans="1:2" x14ac:dyDescent="0.25">
      <c r="A10999" s="62">
        <v>44121632</v>
      </c>
      <c r="B10999" s="63" t="s">
        <v>11652</v>
      </c>
    </row>
    <row r="11000" spans="1:2" x14ac:dyDescent="0.25">
      <c r="A11000" s="62">
        <v>44121633</v>
      </c>
      <c r="B11000" s="63" t="s">
        <v>11653</v>
      </c>
    </row>
    <row r="11001" spans="1:2" x14ac:dyDescent="0.25">
      <c r="A11001" s="62">
        <v>44121634</v>
      </c>
      <c r="B11001" s="63" t="s">
        <v>11654</v>
      </c>
    </row>
    <row r="11002" spans="1:2" x14ac:dyDescent="0.25">
      <c r="A11002" s="62">
        <v>44121635</v>
      </c>
      <c r="B11002" s="63" t="s">
        <v>11655</v>
      </c>
    </row>
    <row r="11003" spans="1:2" x14ac:dyDescent="0.25">
      <c r="A11003" s="62">
        <v>44121701</v>
      </c>
      <c r="B11003" s="63" t="s">
        <v>11656</v>
      </c>
    </row>
    <row r="11004" spans="1:2" x14ac:dyDescent="0.25">
      <c r="A11004" s="62">
        <v>44121702</v>
      </c>
      <c r="B11004" s="63" t="s">
        <v>11657</v>
      </c>
    </row>
    <row r="11005" spans="1:2" x14ac:dyDescent="0.25">
      <c r="A11005" s="62">
        <v>44121703</v>
      </c>
      <c r="B11005" s="63" t="s">
        <v>11658</v>
      </c>
    </row>
    <row r="11006" spans="1:2" x14ac:dyDescent="0.25">
      <c r="A11006" s="62">
        <v>44121704</v>
      </c>
      <c r="B11006" s="63" t="s">
        <v>11659</v>
      </c>
    </row>
    <row r="11007" spans="1:2" x14ac:dyDescent="0.25">
      <c r="A11007" s="62">
        <v>44121705</v>
      </c>
      <c r="B11007" s="63" t="s">
        <v>11660</v>
      </c>
    </row>
    <row r="11008" spans="1:2" x14ac:dyDescent="0.25">
      <c r="A11008" s="62">
        <v>44121706</v>
      </c>
      <c r="B11008" s="63" t="s">
        <v>11661</v>
      </c>
    </row>
    <row r="11009" spans="1:2" x14ac:dyDescent="0.25">
      <c r="A11009" s="62">
        <v>44121707</v>
      </c>
      <c r="B11009" s="63" t="s">
        <v>11662</v>
      </c>
    </row>
    <row r="11010" spans="1:2" x14ac:dyDescent="0.25">
      <c r="A11010" s="62">
        <v>44121708</v>
      </c>
      <c r="B11010" s="63" t="s">
        <v>11663</v>
      </c>
    </row>
    <row r="11011" spans="1:2" x14ac:dyDescent="0.25">
      <c r="A11011" s="62">
        <v>44121709</v>
      </c>
      <c r="B11011" s="63" t="s">
        <v>11664</v>
      </c>
    </row>
    <row r="11012" spans="1:2" x14ac:dyDescent="0.25">
      <c r="A11012" s="62">
        <v>44121710</v>
      </c>
      <c r="B11012" s="63" t="s">
        <v>11665</v>
      </c>
    </row>
    <row r="11013" spans="1:2" x14ac:dyDescent="0.25">
      <c r="A11013" s="62">
        <v>44121711</v>
      </c>
      <c r="B11013" s="63" t="s">
        <v>11666</v>
      </c>
    </row>
    <row r="11014" spans="1:2" x14ac:dyDescent="0.25">
      <c r="A11014" s="62">
        <v>44121712</v>
      </c>
      <c r="B11014" s="63" t="s">
        <v>11667</v>
      </c>
    </row>
    <row r="11015" spans="1:2" x14ac:dyDescent="0.25">
      <c r="A11015" s="62">
        <v>44121713</v>
      </c>
      <c r="B11015" s="63" t="s">
        <v>11668</v>
      </c>
    </row>
    <row r="11016" spans="1:2" x14ac:dyDescent="0.25">
      <c r="A11016" s="62">
        <v>44121714</v>
      </c>
      <c r="B11016" s="63" t="s">
        <v>11669</v>
      </c>
    </row>
    <row r="11017" spans="1:2" x14ac:dyDescent="0.25">
      <c r="A11017" s="62">
        <v>44121715</v>
      </c>
      <c r="B11017" s="63" t="s">
        <v>11670</v>
      </c>
    </row>
    <row r="11018" spans="1:2" x14ac:dyDescent="0.25">
      <c r="A11018" s="62">
        <v>44121716</v>
      </c>
      <c r="B11018" s="63" t="s">
        <v>11671</v>
      </c>
    </row>
    <row r="11019" spans="1:2" x14ac:dyDescent="0.25">
      <c r="A11019" s="62">
        <v>44121717</v>
      </c>
      <c r="B11019" s="63" t="s">
        <v>11672</v>
      </c>
    </row>
    <row r="11020" spans="1:2" x14ac:dyDescent="0.25">
      <c r="A11020" s="62">
        <v>44121718</v>
      </c>
      <c r="B11020" s="63" t="s">
        <v>11673</v>
      </c>
    </row>
    <row r="11021" spans="1:2" x14ac:dyDescent="0.25">
      <c r="A11021" s="62">
        <v>44121801</v>
      </c>
      <c r="B11021" s="63" t="s">
        <v>11674</v>
      </c>
    </row>
    <row r="11022" spans="1:2" x14ac:dyDescent="0.25">
      <c r="A11022" s="62">
        <v>44121802</v>
      </c>
      <c r="B11022" s="63" t="s">
        <v>11675</v>
      </c>
    </row>
    <row r="11023" spans="1:2" x14ac:dyDescent="0.25">
      <c r="A11023" s="62">
        <v>44121804</v>
      </c>
      <c r="B11023" s="63" t="s">
        <v>11676</v>
      </c>
    </row>
    <row r="11024" spans="1:2" x14ac:dyDescent="0.25">
      <c r="A11024" s="62">
        <v>44121805</v>
      </c>
      <c r="B11024" s="63" t="s">
        <v>11677</v>
      </c>
    </row>
    <row r="11025" spans="1:2" x14ac:dyDescent="0.25">
      <c r="A11025" s="62">
        <v>44121806</v>
      </c>
      <c r="B11025" s="63" t="s">
        <v>11678</v>
      </c>
    </row>
    <row r="11026" spans="1:2" x14ac:dyDescent="0.25">
      <c r="A11026" s="62">
        <v>44121807</v>
      </c>
      <c r="B11026" s="63" t="s">
        <v>11679</v>
      </c>
    </row>
    <row r="11027" spans="1:2" x14ac:dyDescent="0.25">
      <c r="A11027" s="62">
        <v>44121808</v>
      </c>
      <c r="B11027" s="63" t="s">
        <v>11680</v>
      </c>
    </row>
    <row r="11028" spans="1:2" x14ac:dyDescent="0.25">
      <c r="A11028" s="62">
        <v>44121902</v>
      </c>
      <c r="B11028" s="63" t="s">
        <v>11681</v>
      </c>
    </row>
    <row r="11029" spans="1:2" x14ac:dyDescent="0.25">
      <c r="A11029" s="62">
        <v>44121904</v>
      </c>
      <c r="B11029" s="63" t="s">
        <v>11682</v>
      </c>
    </row>
    <row r="11030" spans="1:2" x14ac:dyDescent="0.25">
      <c r="A11030" s="62">
        <v>44121905</v>
      </c>
      <c r="B11030" s="63" t="s">
        <v>11683</v>
      </c>
    </row>
    <row r="11031" spans="1:2" x14ac:dyDescent="0.25">
      <c r="A11031" s="62">
        <v>44122001</v>
      </c>
      <c r="B11031" s="63" t="s">
        <v>11684</v>
      </c>
    </row>
    <row r="11032" spans="1:2" x14ac:dyDescent="0.25">
      <c r="A11032" s="62">
        <v>44122002</v>
      </c>
      <c r="B11032" s="63" t="s">
        <v>11685</v>
      </c>
    </row>
    <row r="11033" spans="1:2" x14ac:dyDescent="0.25">
      <c r="A11033" s="62">
        <v>44122003</v>
      </c>
      <c r="B11033" s="63" t="s">
        <v>11686</v>
      </c>
    </row>
    <row r="11034" spans="1:2" x14ac:dyDescent="0.25">
      <c r="A11034" s="62">
        <v>44122005</v>
      </c>
      <c r="B11034" s="63" t="s">
        <v>11687</v>
      </c>
    </row>
    <row r="11035" spans="1:2" x14ac:dyDescent="0.25">
      <c r="A11035" s="62">
        <v>44122008</v>
      </c>
      <c r="B11035" s="63" t="s">
        <v>11688</v>
      </c>
    </row>
    <row r="11036" spans="1:2" x14ac:dyDescent="0.25">
      <c r="A11036" s="62">
        <v>44122009</v>
      </c>
      <c r="B11036" s="63" t="s">
        <v>11689</v>
      </c>
    </row>
    <row r="11037" spans="1:2" x14ac:dyDescent="0.25">
      <c r="A11037" s="62">
        <v>44122010</v>
      </c>
      <c r="B11037" s="63" t="s">
        <v>11690</v>
      </c>
    </row>
    <row r="11038" spans="1:2" x14ac:dyDescent="0.25">
      <c r="A11038" s="62">
        <v>44122011</v>
      </c>
      <c r="B11038" s="63" t="s">
        <v>11691</v>
      </c>
    </row>
    <row r="11039" spans="1:2" x14ac:dyDescent="0.25">
      <c r="A11039" s="62">
        <v>44122012</v>
      </c>
      <c r="B11039" s="63" t="s">
        <v>11692</v>
      </c>
    </row>
    <row r="11040" spans="1:2" x14ac:dyDescent="0.25">
      <c r="A11040" s="62">
        <v>44122013</v>
      </c>
      <c r="B11040" s="63" t="s">
        <v>11693</v>
      </c>
    </row>
    <row r="11041" spans="1:2" x14ac:dyDescent="0.25">
      <c r="A11041" s="62">
        <v>44122014</v>
      </c>
      <c r="B11041" s="63" t="s">
        <v>11694</v>
      </c>
    </row>
    <row r="11042" spans="1:2" x14ac:dyDescent="0.25">
      <c r="A11042" s="62">
        <v>44122015</v>
      </c>
      <c r="B11042" s="63" t="s">
        <v>11695</v>
      </c>
    </row>
    <row r="11043" spans="1:2" x14ac:dyDescent="0.25">
      <c r="A11043" s="62">
        <v>44122016</v>
      </c>
      <c r="B11043" s="63" t="s">
        <v>11696</v>
      </c>
    </row>
    <row r="11044" spans="1:2" x14ac:dyDescent="0.25">
      <c r="A11044" s="62">
        <v>44122017</v>
      </c>
      <c r="B11044" s="63" t="s">
        <v>11697</v>
      </c>
    </row>
    <row r="11045" spans="1:2" x14ac:dyDescent="0.25">
      <c r="A11045" s="62">
        <v>44122018</v>
      </c>
      <c r="B11045" s="63" t="s">
        <v>11698</v>
      </c>
    </row>
    <row r="11046" spans="1:2" x14ac:dyDescent="0.25">
      <c r="A11046" s="62">
        <v>44122019</v>
      </c>
      <c r="B11046" s="63" t="s">
        <v>11699</v>
      </c>
    </row>
    <row r="11047" spans="1:2" x14ac:dyDescent="0.25">
      <c r="A11047" s="62">
        <v>44122020</v>
      </c>
      <c r="B11047" s="63" t="s">
        <v>11700</v>
      </c>
    </row>
    <row r="11048" spans="1:2" x14ac:dyDescent="0.25">
      <c r="A11048" s="62">
        <v>44122021</v>
      </c>
      <c r="B11048" s="63" t="s">
        <v>11701</v>
      </c>
    </row>
    <row r="11049" spans="1:2" x14ac:dyDescent="0.25">
      <c r="A11049" s="62">
        <v>44122022</v>
      </c>
      <c r="B11049" s="63" t="s">
        <v>11702</v>
      </c>
    </row>
    <row r="11050" spans="1:2" x14ac:dyDescent="0.25">
      <c r="A11050" s="62">
        <v>44122023</v>
      </c>
      <c r="B11050" s="63" t="s">
        <v>11703</v>
      </c>
    </row>
    <row r="11051" spans="1:2" x14ac:dyDescent="0.25">
      <c r="A11051" s="62">
        <v>44122024</v>
      </c>
      <c r="B11051" s="63" t="s">
        <v>11704</v>
      </c>
    </row>
    <row r="11052" spans="1:2" x14ac:dyDescent="0.25">
      <c r="A11052" s="62">
        <v>44122025</v>
      </c>
      <c r="B11052" s="63" t="s">
        <v>11705</v>
      </c>
    </row>
    <row r="11053" spans="1:2" x14ac:dyDescent="0.25">
      <c r="A11053" s="62">
        <v>44122026</v>
      </c>
      <c r="B11053" s="63" t="s">
        <v>11706</v>
      </c>
    </row>
    <row r="11054" spans="1:2" x14ac:dyDescent="0.25">
      <c r="A11054" s="62">
        <v>44122027</v>
      </c>
      <c r="B11054" s="63" t="s">
        <v>11707</v>
      </c>
    </row>
    <row r="11055" spans="1:2" x14ac:dyDescent="0.25">
      <c r="A11055" s="62">
        <v>44122028</v>
      </c>
      <c r="B11055" s="63" t="s">
        <v>11708</v>
      </c>
    </row>
    <row r="11056" spans="1:2" x14ac:dyDescent="0.25">
      <c r="A11056" s="62">
        <v>44122101</v>
      </c>
      <c r="B11056" s="63" t="s">
        <v>11709</v>
      </c>
    </row>
    <row r="11057" spans="1:2" x14ac:dyDescent="0.25">
      <c r="A11057" s="62">
        <v>44122103</v>
      </c>
      <c r="B11057" s="63" t="s">
        <v>11710</v>
      </c>
    </row>
    <row r="11058" spans="1:2" x14ac:dyDescent="0.25">
      <c r="A11058" s="62">
        <v>44122104</v>
      </c>
      <c r="B11058" s="63" t="s">
        <v>11711</v>
      </c>
    </row>
    <row r="11059" spans="1:2" x14ac:dyDescent="0.25">
      <c r="A11059" s="62">
        <v>44122105</v>
      </c>
      <c r="B11059" s="63" t="s">
        <v>11712</v>
      </c>
    </row>
    <row r="11060" spans="1:2" x14ac:dyDescent="0.25">
      <c r="A11060" s="62">
        <v>44122106</v>
      </c>
      <c r="B11060" s="63" t="s">
        <v>11713</v>
      </c>
    </row>
    <row r="11061" spans="1:2" x14ac:dyDescent="0.25">
      <c r="A11061" s="62">
        <v>44122107</v>
      </c>
      <c r="B11061" s="63" t="s">
        <v>5557</v>
      </c>
    </row>
    <row r="11062" spans="1:2" x14ac:dyDescent="0.25">
      <c r="A11062" s="62">
        <v>44122109</v>
      </c>
      <c r="B11062" s="63" t="s">
        <v>11714</v>
      </c>
    </row>
    <row r="11063" spans="1:2" x14ac:dyDescent="0.25">
      <c r="A11063" s="62">
        <v>44122110</v>
      </c>
      <c r="B11063" s="63" t="s">
        <v>11715</v>
      </c>
    </row>
    <row r="11064" spans="1:2" x14ac:dyDescent="0.25">
      <c r="A11064" s="62">
        <v>44122111</v>
      </c>
      <c r="B11064" s="63" t="s">
        <v>11716</v>
      </c>
    </row>
    <row r="11065" spans="1:2" x14ac:dyDescent="0.25">
      <c r="A11065" s="62">
        <v>44122112</v>
      </c>
      <c r="B11065" s="63" t="s">
        <v>11717</v>
      </c>
    </row>
    <row r="11066" spans="1:2" x14ac:dyDescent="0.25">
      <c r="A11066" s="62">
        <v>44122113</v>
      </c>
      <c r="B11066" s="63" t="s">
        <v>11718</v>
      </c>
    </row>
    <row r="11067" spans="1:2" x14ac:dyDescent="0.25">
      <c r="A11067" s="62">
        <v>44122114</v>
      </c>
      <c r="B11067" s="63" t="s">
        <v>11719</v>
      </c>
    </row>
    <row r="11068" spans="1:2" x14ac:dyDescent="0.25">
      <c r="A11068" s="62">
        <v>44122115</v>
      </c>
      <c r="B11068" s="63" t="s">
        <v>11720</v>
      </c>
    </row>
    <row r="11069" spans="1:2" x14ac:dyDescent="0.25">
      <c r="A11069" s="62">
        <v>44122116</v>
      </c>
      <c r="B11069" s="63" t="s">
        <v>11721</v>
      </c>
    </row>
    <row r="11070" spans="1:2" x14ac:dyDescent="0.25">
      <c r="A11070" s="62">
        <v>44122117</v>
      </c>
      <c r="B11070" s="63" t="s">
        <v>11722</v>
      </c>
    </row>
    <row r="11071" spans="1:2" x14ac:dyDescent="0.25">
      <c r="A11071" s="62">
        <v>44122118</v>
      </c>
      <c r="B11071" s="63" t="s">
        <v>11723</v>
      </c>
    </row>
    <row r="11072" spans="1:2" x14ac:dyDescent="0.25">
      <c r="A11072" s="62">
        <v>44122119</v>
      </c>
      <c r="B11072" s="63" t="s">
        <v>11724</v>
      </c>
    </row>
    <row r="11073" spans="1:2" x14ac:dyDescent="0.25">
      <c r="A11073" s="62">
        <v>44122120</v>
      </c>
      <c r="B11073" s="63" t="s">
        <v>11725</v>
      </c>
    </row>
    <row r="11074" spans="1:2" x14ac:dyDescent="0.25">
      <c r="A11074" s="62">
        <v>44122121</v>
      </c>
      <c r="B11074" s="63" t="s">
        <v>11726</v>
      </c>
    </row>
    <row r="11075" spans="1:2" x14ac:dyDescent="0.25">
      <c r="A11075" s="62">
        <v>45101501</v>
      </c>
      <c r="B11075" s="63" t="s">
        <v>11727</v>
      </c>
    </row>
    <row r="11076" spans="1:2" x14ac:dyDescent="0.25">
      <c r="A11076" s="62">
        <v>45101502</v>
      </c>
      <c r="B11076" s="63" t="s">
        <v>11728</v>
      </c>
    </row>
    <row r="11077" spans="1:2" x14ac:dyDescent="0.25">
      <c r="A11077" s="62">
        <v>45101503</v>
      </c>
      <c r="B11077" s="63" t="s">
        <v>11729</v>
      </c>
    </row>
    <row r="11078" spans="1:2" x14ac:dyDescent="0.25">
      <c r="A11078" s="62">
        <v>45101504</v>
      </c>
      <c r="B11078" s="63" t="s">
        <v>11730</v>
      </c>
    </row>
    <row r="11079" spans="1:2" x14ac:dyDescent="0.25">
      <c r="A11079" s="62">
        <v>45101505</v>
      </c>
      <c r="B11079" s="63" t="s">
        <v>11731</v>
      </c>
    </row>
    <row r="11080" spans="1:2" x14ac:dyDescent="0.25">
      <c r="A11080" s="62">
        <v>45101506</v>
      </c>
      <c r="B11080" s="63" t="s">
        <v>11732</v>
      </c>
    </row>
    <row r="11081" spans="1:2" x14ac:dyDescent="0.25">
      <c r="A11081" s="62">
        <v>45101507</v>
      </c>
      <c r="B11081" s="63" t="s">
        <v>11733</v>
      </c>
    </row>
    <row r="11082" spans="1:2" x14ac:dyDescent="0.25">
      <c r="A11082" s="62">
        <v>45101508</v>
      </c>
      <c r="B11082" s="63" t="s">
        <v>11734</v>
      </c>
    </row>
    <row r="11083" spans="1:2" x14ac:dyDescent="0.25">
      <c r="A11083" s="62">
        <v>45101509</v>
      </c>
      <c r="B11083" s="63" t="s">
        <v>11735</v>
      </c>
    </row>
    <row r="11084" spans="1:2" x14ac:dyDescent="0.25">
      <c r="A11084" s="62">
        <v>45101510</v>
      </c>
      <c r="B11084" s="63" t="s">
        <v>11736</v>
      </c>
    </row>
    <row r="11085" spans="1:2" x14ac:dyDescent="0.25">
      <c r="A11085" s="62">
        <v>45101511</v>
      </c>
      <c r="B11085" s="63" t="s">
        <v>11737</v>
      </c>
    </row>
    <row r="11086" spans="1:2" x14ac:dyDescent="0.25">
      <c r="A11086" s="62">
        <v>45101512</v>
      </c>
      <c r="B11086" s="63" t="s">
        <v>11738</v>
      </c>
    </row>
    <row r="11087" spans="1:2" x14ac:dyDescent="0.25">
      <c r="A11087" s="62">
        <v>45101513</v>
      </c>
      <c r="B11087" s="63" t="s">
        <v>11739</v>
      </c>
    </row>
    <row r="11088" spans="1:2" x14ac:dyDescent="0.25">
      <c r="A11088" s="62">
        <v>45101514</v>
      </c>
      <c r="B11088" s="63" t="s">
        <v>11740</v>
      </c>
    </row>
    <row r="11089" spans="1:2" x14ac:dyDescent="0.25">
      <c r="A11089" s="62">
        <v>45101515</v>
      </c>
      <c r="B11089" s="63" t="s">
        <v>11741</v>
      </c>
    </row>
    <row r="11090" spans="1:2" x14ac:dyDescent="0.25">
      <c r="A11090" s="62">
        <v>45101602</v>
      </c>
      <c r="B11090" s="63" t="s">
        <v>11742</v>
      </c>
    </row>
    <row r="11091" spans="1:2" x14ac:dyDescent="0.25">
      <c r="A11091" s="62">
        <v>45101603</v>
      </c>
      <c r="B11091" s="63" t="s">
        <v>11743</v>
      </c>
    </row>
    <row r="11092" spans="1:2" x14ac:dyDescent="0.25">
      <c r="A11092" s="62">
        <v>45101604</v>
      </c>
      <c r="B11092" s="63" t="s">
        <v>11744</v>
      </c>
    </row>
    <row r="11093" spans="1:2" x14ac:dyDescent="0.25">
      <c r="A11093" s="62">
        <v>45101606</v>
      </c>
      <c r="B11093" s="63" t="s">
        <v>11745</v>
      </c>
    </row>
    <row r="11094" spans="1:2" x14ac:dyDescent="0.25">
      <c r="A11094" s="62">
        <v>45101607</v>
      </c>
      <c r="B11094" s="63" t="s">
        <v>11746</v>
      </c>
    </row>
    <row r="11095" spans="1:2" x14ac:dyDescent="0.25">
      <c r="A11095" s="62">
        <v>45101608</v>
      </c>
      <c r="B11095" s="63" t="s">
        <v>11747</v>
      </c>
    </row>
    <row r="11096" spans="1:2" x14ac:dyDescent="0.25">
      <c r="A11096" s="62">
        <v>45101609</v>
      </c>
      <c r="B11096" s="63" t="s">
        <v>11748</v>
      </c>
    </row>
    <row r="11097" spans="1:2" x14ac:dyDescent="0.25">
      <c r="A11097" s="62">
        <v>45101610</v>
      </c>
      <c r="B11097" s="63" t="s">
        <v>11749</v>
      </c>
    </row>
    <row r="11098" spans="1:2" x14ac:dyDescent="0.25">
      <c r="A11098" s="62">
        <v>45101611</v>
      </c>
      <c r="B11098" s="63" t="s">
        <v>11750</v>
      </c>
    </row>
    <row r="11099" spans="1:2" x14ac:dyDescent="0.25">
      <c r="A11099" s="62">
        <v>45101701</v>
      </c>
      <c r="B11099" s="63" t="s">
        <v>11751</v>
      </c>
    </row>
    <row r="11100" spans="1:2" x14ac:dyDescent="0.25">
      <c r="A11100" s="62">
        <v>45101702</v>
      </c>
      <c r="B11100" s="63" t="s">
        <v>11752</v>
      </c>
    </row>
    <row r="11101" spans="1:2" x14ac:dyDescent="0.25">
      <c r="A11101" s="62">
        <v>45101703</v>
      </c>
      <c r="B11101" s="63" t="s">
        <v>11753</v>
      </c>
    </row>
    <row r="11102" spans="1:2" x14ac:dyDescent="0.25">
      <c r="A11102" s="62">
        <v>45101704</v>
      </c>
      <c r="B11102" s="63" t="s">
        <v>11754</v>
      </c>
    </row>
    <row r="11103" spans="1:2" x14ac:dyDescent="0.25">
      <c r="A11103" s="62">
        <v>45101705</v>
      </c>
      <c r="B11103" s="63" t="s">
        <v>11755</v>
      </c>
    </row>
    <row r="11104" spans="1:2" x14ac:dyDescent="0.25">
      <c r="A11104" s="62">
        <v>45101706</v>
      </c>
      <c r="B11104" s="63" t="s">
        <v>11756</v>
      </c>
    </row>
    <row r="11105" spans="1:2" x14ac:dyDescent="0.25">
      <c r="A11105" s="62">
        <v>45101707</v>
      </c>
      <c r="B11105" s="63" t="s">
        <v>11757</v>
      </c>
    </row>
    <row r="11106" spans="1:2" x14ac:dyDescent="0.25">
      <c r="A11106" s="62">
        <v>45101708</v>
      </c>
      <c r="B11106" s="63" t="s">
        <v>11758</v>
      </c>
    </row>
    <row r="11107" spans="1:2" x14ac:dyDescent="0.25">
      <c r="A11107" s="62">
        <v>45101801</v>
      </c>
      <c r="B11107" s="63" t="s">
        <v>11759</v>
      </c>
    </row>
    <row r="11108" spans="1:2" x14ac:dyDescent="0.25">
      <c r="A11108" s="62">
        <v>45101802</v>
      </c>
      <c r="B11108" s="63" t="s">
        <v>11760</v>
      </c>
    </row>
    <row r="11109" spans="1:2" x14ac:dyDescent="0.25">
      <c r="A11109" s="62">
        <v>45101803</v>
      </c>
      <c r="B11109" s="63" t="s">
        <v>11761</v>
      </c>
    </row>
    <row r="11110" spans="1:2" x14ac:dyDescent="0.25">
      <c r="A11110" s="62">
        <v>45101804</v>
      </c>
      <c r="B11110" s="63" t="s">
        <v>11762</v>
      </c>
    </row>
    <row r="11111" spans="1:2" x14ac:dyDescent="0.25">
      <c r="A11111" s="62">
        <v>45101805</v>
      </c>
      <c r="B11111" s="63" t="s">
        <v>11763</v>
      </c>
    </row>
    <row r="11112" spans="1:2" x14ac:dyDescent="0.25">
      <c r="A11112" s="62">
        <v>45101806</v>
      </c>
      <c r="B11112" s="63" t="s">
        <v>11764</v>
      </c>
    </row>
    <row r="11113" spans="1:2" x14ac:dyDescent="0.25">
      <c r="A11113" s="62">
        <v>45101807</v>
      </c>
      <c r="B11113" s="63" t="s">
        <v>11765</v>
      </c>
    </row>
    <row r="11114" spans="1:2" x14ac:dyDescent="0.25">
      <c r="A11114" s="62">
        <v>45101808</v>
      </c>
      <c r="B11114" s="63" t="s">
        <v>11766</v>
      </c>
    </row>
    <row r="11115" spans="1:2" x14ac:dyDescent="0.25">
      <c r="A11115" s="62">
        <v>45101901</v>
      </c>
      <c r="B11115" s="63" t="s">
        <v>11767</v>
      </c>
    </row>
    <row r="11116" spans="1:2" x14ac:dyDescent="0.25">
      <c r="A11116" s="62">
        <v>45101902</v>
      </c>
      <c r="B11116" s="63" t="s">
        <v>11768</v>
      </c>
    </row>
    <row r="11117" spans="1:2" x14ac:dyDescent="0.25">
      <c r="A11117" s="62">
        <v>45101903</v>
      </c>
      <c r="B11117" s="63" t="s">
        <v>11769</v>
      </c>
    </row>
    <row r="11118" spans="1:2" x14ac:dyDescent="0.25">
      <c r="A11118" s="62">
        <v>45101904</v>
      </c>
      <c r="B11118" s="63" t="s">
        <v>11770</v>
      </c>
    </row>
    <row r="11119" spans="1:2" x14ac:dyDescent="0.25">
      <c r="A11119" s="62">
        <v>45101905</v>
      </c>
      <c r="B11119" s="63" t="s">
        <v>11771</v>
      </c>
    </row>
    <row r="11120" spans="1:2" x14ac:dyDescent="0.25">
      <c r="A11120" s="62">
        <v>45102001</v>
      </c>
      <c r="B11120" s="63" t="s">
        <v>11772</v>
      </c>
    </row>
    <row r="11121" spans="1:2" x14ac:dyDescent="0.25">
      <c r="A11121" s="62">
        <v>45102002</v>
      </c>
      <c r="B11121" s="63" t="s">
        <v>11773</v>
      </c>
    </row>
    <row r="11122" spans="1:2" x14ac:dyDescent="0.25">
      <c r="A11122" s="62">
        <v>45102003</v>
      </c>
      <c r="B11122" s="63" t="s">
        <v>11774</v>
      </c>
    </row>
    <row r="11123" spans="1:2" x14ac:dyDescent="0.25">
      <c r="A11123" s="62">
        <v>45102004</v>
      </c>
      <c r="B11123" s="63" t="s">
        <v>11775</v>
      </c>
    </row>
    <row r="11124" spans="1:2" x14ac:dyDescent="0.25">
      <c r="A11124" s="62">
        <v>45102005</v>
      </c>
      <c r="B11124" s="63" t="s">
        <v>11776</v>
      </c>
    </row>
    <row r="11125" spans="1:2" x14ac:dyDescent="0.25">
      <c r="A11125" s="62">
        <v>45111501</v>
      </c>
      <c r="B11125" s="63" t="s">
        <v>11777</v>
      </c>
    </row>
    <row r="11126" spans="1:2" x14ac:dyDescent="0.25">
      <c r="A11126" s="62">
        <v>45111502</v>
      </c>
      <c r="B11126" s="63" t="s">
        <v>11778</v>
      </c>
    </row>
    <row r="11127" spans="1:2" x14ac:dyDescent="0.25">
      <c r="A11127" s="62">
        <v>45111503</v>
      </c>
      <c r="B11127" s="63" t="s">
        <v>11779</v>
      </c>
    </row>
    <row r="11128" spans="1:2" x14ac:dyDescent="0.25">
      <c r="A11128" s="62">
        <v>45111504</v>
      </c>
      <c r="B11128" s="63" t="s">
        <v>11780</v>
      </c>
    </row>
    <row r="11129" spans="1:2" x14ac:dyDescent="0.25">
      <c r="A11129" s="62">
        <v>45111601</v>
      </c>
      <c r="B11129" s="63" t="s">
        <v>11781</v>
      </c>
    </row>
    <row r="11130" spans="1:2" x14ac:dyDescent="0.25">
      <c r="A11130" s="62">
        <v>45111602</v>
      </c>
      <c r="B11130" s="63" t="s">
        <v>11782</v>
      </c>
    </row>
    <row r="11131" spans="1:2" x14ac:dyDescent="0.25">
      <c r="A11131" s="62">
        <v>45111603</v>
      </c>
      <c r="B11131" s="63" t="s">
        <v>11783</v>
      </c>
    </row>
    <row r="11132" spans="1:2" x14ac:dyDescent="0.25">
      <c r="A11132" s="62">
        <v>45111604</v>
      </c>
      <c r="B11132" s="63" t="s">
        <v>11784</v>
      </c>
    </row>
    <row r="11133" spans="1:2" x14ac:dyDescent="0.25">
      <c r="A11133" s="62">
        <v>45111605</v>
      </c>
      <c r="B11133" s="63" t="s">
        <v>11785</v>
      </c>
    </row>
    <row r="11134" spans="1:2" x14ac:dyDescent="0.25">
      <c r="A11134" s="62">
        <v>45111606</v>
      </c>
      <c r="B11134" s="63" t="s">
        <v>11786</v>
      </c>
    </row>
    <row r="11135" spans="1:2" x14ac:dyDescent="0.25">
      <c r="A11135" s="62">
        <v>45111607</v>
      </c>
      <c r="B11135" s="63" t="s">
        <v>11787</v>
      </c>
    </row>
    <row r="11136" spans="1:2" x14ac:dyDescent="0.25">
      <c r="A11136" s="62">
        <v>45111608</v>
      </c>
      <c r="B11136" s="63" t="s">
        <v>11788</v>
      </c>
    </row>
    <row r="11137" spans="1:2" x14ac:dyDescent="0.25">
      <c r="A11137" s="62">
        <v>45111609</v>
      </c>
      <c r="B11137" s="63" t="s">
        <v>11789</v>
      </c>
    </row>
    <row r="11138" spans="1:2" x14ac:dyDescent="0.25">
      <c r="A11138" s="62">
        <v>45111610</v>
      </c>
      <c r="B11138" s="63" t="s">
        <v>11790</v>
      </c>
    </row>
    <row r="11139" spans="1:2" x14ac:dyDescent="0.25">
      <c r="A11139" s="62">
        <v>45111612</v>
      </c>
      <c r="B11139" s="63" t="s">
        <v>11791</v>
      </c>
    </row>
    <row r="11140" spans="1:2" x14ac:dyDescent="0.25">
      <c r="A11140" s="62">
        <v>45111613</v>
      </c>
      <c r="B11140" s="63" t="s">
        <v>11792</v>
      </c>
    </row>
    <row r="11141" spans="1:2" x14ac:dyDescent="0.25">
      <c r="A11141" s="62">
        <v>45111614</v>
      </c>
      <c r="B11141" s="63" t="s">
        <v>11793</v>
      </c>
    </row>
    <row r="11142" spans="1:2" x14ac:dyDescent="0.25">
      <c r="A11142" s="62">
        <v>45111615</v>
      </c>
      <c r="B11142" s="63" t="s">
        <v>11794</v>
      </c>
    </row>
    <row r="11143" spans="1:2" x14ac:dyDescent="0.25">
      <c r="A11143" s="62">
        <v>45111616</v>
      </c>
      <c r="B11143" s="63" t="s">
        <v>11795</v>
      </c>
    </row>
    <row r="11144" spans="1:2" x14ac:dyDescent="0.25">
      <c r="A11144" s="62">
        <v>45111617</v>
      </c>
      <c r="B11144" s="63" t="s">
        <v>11796</v>
      </c>
    </row>
    <row r="11145" spans="1:2" x14ac:dyDescent="0.25">
      <c r="A11145" s="62">
        <v>45111618</v>
      </c>
      <c r="B11145" s="63" t="s">
        <v>11797</v>
      </c>
    </row>
    <row r="11146" spans="1:2" x14ac:dyDescent="0.25">
      <c r="A11146" s="62">
        <v>45111620</v>
      </c>
      <c r="B11146" s="63" t="s">
        <v>11798</v>
      </c>
    </row>
    <row r="11147" spans="1:2" x14ac:dyDescent="0.25">
      <c r="A11147" s="62">
        <v>45111701</v>
      </c>
      <c r="B11147" s="63" t="s">
        <v>11799</v>
      </c>
    </row>
    <row r="11148" spans="1:2" x14ac:dyDescent="0.25">
      <c r="A11148" s="62">
        <v>45111702</v>
      </c>
      <c r="B11148" s="63" t="s">
        <v>11800</v>
      </c>
    </row>
    <row r="11149" spans="1:2" x14ac:dyDescent="0.25">
      <c r="A11149" s="62">
        <v>45111703</v>
      </c>
      <c r="B11149" s="63" t="s">
        <v>11801</v>
      </c>
    </row>
    <row r="11150" spans="1:2" x14ac:dyDescent="0.25">
      <c r="A11150" s="62">
        <v>45111704</v>
      </c>
      <c r="B11150" s="63" t="s">
        <v>11802</v>
      </c>
    </row>
    <row r="11151" spans="1:2" x14ac:dyDescent="0.25">
      <c r="A11151" s="62">
        <v>45111705</v>
      </c>
      <c r="B11151" s="63" t="s">
        <v>11803</v>
      </c>
    </row>
    <row r="11152" spans="1:2" x14ac:dyDescent="0.25">
      <c r="A11152" s="62">
        <v>45111801</v>
      </c>
      <c r="B11152" s="63" t="s">
        <v>11804</v>
      </c>
    </row>
    <row r="11153" spans="1:2" x14ac:dyDescent="0.25">
      <c r="A11153" s="62">
        <v>45111802</v>
      </c>
      <c r="B11153" s="63" t="s">
        <v>11805</v>
      </c>
    </row>
    <row r="11154" spans="1:2" x14ac:dyDescent="0.25">
      <c r="A11154" s="62">
        <v>45111803</v>
      </c>
      <c r="B11154" s="63" t="s">
        <v>11806</v>
      </c>
    </row>
    <row r="11155" spans="1:2" x14ac:dyDescent="0.25">
      <c r="A11155" s="62">
        <v>45111804</v>
      </c>
      <c r="B11155" s="63" t="s">
        <v>11807</v>
      </c>
    </row>
    <row r="11156" spans="1:2" x14ac:dyDescent="0.25">
      <c r="A11156" s="62">
        <v>45111805</v>
      </c>
      <c r="B11156" s="63" t="s">
        <v>11808</v>
      </c>
    </row>
    <row r="11157" spans="1:2" x14ac:dyDescent="0.25">
      <c r="A11157" s="62">
        <v>45111806</v>
      </c>
      <c r="B11157" s="63" t="s">
        <v>11809</v>
      </c>
    </row>
    <row r="11158" spans="1:2" x14ac:dyDescent="0.25">
      <c r="A11158" s="62">
        <v>45111807</v>
      </c>
      <c r="B11158" s="63" t="s">
        <v>11810</v>
      </c>
    </row>
    <row r="11159" spans="1:2" x14ac:dyDescent="0.25">
      <c r="A11159" s="62">
        <v>45111808</v>
      </c>
      <c r="B11159" s="63" t="s">
        <v>11811</v>
      </c>
    </row>
    <row r="11160" spans="1:2" x14ac:dyDescent="0.25">
      <c r="A11160" s="62">
        <v>45111809</v>
      </c>
      <c r="B11160" s="63" t="s">
        <v>11812</v>
      </c>
    </row>
    <row r="11161" spans="1:2" x14ac:dyDescent="0.25">
      <c r="A11161" s="62">
        <v>45111810</v>
      </c>
      <c r="B11161" s="63" t="s">
        <v>11813</v>
      </c>
    </row>
    <row r="11162" spans="1:2" x14ac:dyDescent="0.25">
      <c r="A11162" s="62">
        <v>45111901</v>
      </c>
      <c r="B11162" s="63" t="s">
        <v>11814</v>
      </c>
    </row>
    <row r="11163" spans="1:2" x14ac:dyDescent="0.25">
      <c r="A11163" s="62">
        <v>45111902</v>
      </c>
      <c r="B11163" s="63" t="s">
        <v>11815</v>
      </c>
    </row>
    <row r="11164" spans="1:2" x14ac:dyDescent="0.25">
      <c r="A11164" s="62">
        <v>45112001</v>
      </c>
      <c r="B11164" s="63" t="s">
        <v>11816</v>
      </c>
    </row>
    <row r="11165" spans="1:2" x14ac:dyDescent="0.25">
      <c r="A11165" s="62">
        <v>45112002</v>
      </c>
      <c r="B11165" s="63" t="s">
        <v>11817</v>
      </c>
    </row>
    <row r="11166" spans="1:2" x14ac:dyDescent="0.25">
      <c r="A11166" s="62">
        <v>45112003</v>
      </c>
      <c r="B11166" s="63" t="s">
        <v>11818</v>
      </c>
    </row>
    <row r="11167" spans="1:2" x14ac:dyDescent="0.25">
      <c r="A11167" s="62">
        <v>45112004</v>
      </c>
      <c r="B11167" s="63" t="s">
        <v>11819</v>
      </c>
    </row>
    <row r="11168" spans="1:2" x14ac:dyDescent="0.25">
      <c r="A11168" s="62">
        <v>45121501</v>
      </c>
      <c r="B11168" s="63" t="s">
        <v>11820</v>
      </c>
    </row>
    <row r="11169" spans="1:2" x14ac:dyDescent="0.25">
      <c r="A11169" s="62">
        <v>45121502</v>
      </c>
      <c r="B11169" s="63" t="s">
        <v>11821</v>
      </c>
    </row>
    <row r="11170" spans="1:2" x14ac:dyDescent="0.25">
      <c r="A11170" s="62">
        <v>45121503</v>
      </c>
      <c r="B11170" s="63" t="s">
        <v>11822</v>
      </c>
    </row>
    <row r="11171" spans="1:2" x14ac:dyDescent="0.25">
      <c r="A11171" s="62">
        <v>45121504</v>
      </c>
      <c r="B11171" s="63" t="s">
        <v>11823</v>
      </c>
    </row>
    <row r="11172" spans="1:2" x14ac:dyDescent="0.25">
      <c r="A11172" s="62">
        <v>45121505</v>
      </c>
      <c r="B11172" s="63" t="s">
        <v>11824</v>
      </c>
    </row>
    <row r="11173" spans="1:2" x14ac:dyDescent="0.25">
      <c r="A11173" s="62">
        <v>45121506</v>
      </c>
      <c r="B11173" s="63" t="s">
        <v>11825</v>
      </c>
    </row>
    <row r="11174" spans="1:2" x14ac:dyDescent="0.25">
      <c r="A11174" s="62">
        <v>45121510</v>
      </c>
      <c r="B11174" s="63" t="s">
        <v>11826</v>
      </c>
    </row>
    <row r="11175" spans="1:2" x14ac:dyDescent="0.25">
      <c r="A11175" s="62">
        <v>45121511</v>
      </c>
      <c r="B11175" s="63" t="s">
        <v>11827</v>
      </c>
    </row>
    <row r="11176" spans="1:2" x14ac:dyDescent="0.25">
      <c r="A11176" s="62">
        <v>45121512</v>
      </c>
      <c r="B11176" s="63" t="s">
        <v>11828</v>
      </c>
    </row>
    <row r="11177" spans="1:2" x14ac:dyDescent="0.25">
      <c r="A11177" s="62">
        <v>45121513</v>
      </c>
      <c r="B11177" s="63" t="s">
        <v>11829</v>
      </c>
    </row>
    <row r="11178" spans="1:2" x14ac:dyDescent="0.25">
      <c r="A11178" s="62">
        <v>45121514</v>
      </c>
      <c r="B11178" s="63" t="s">
        <v>11830</v>
      </c>
    </row>
    <row r="11179" spans="1:2" x14ac:dyDescent="0.25">
      <c r="A11179" s="62">
        <v>45121515</v>
      </c>
      <c r="B11179" s="63" t="s">
        <v>11831</v>
      </c>
    </row>
    <row r="11180" spans="1:2" x14ac:dyDescent="0.25">
      <c r="A11180" s="62">
        <v>45121516</v>
      </c>
      <c r="B11180" s="63" t="s">
        <v>11832</v>
      </c>
    </row>
    <row r="11181" spans="1:2" x14ac:dyDescent="0.25">
      <c r="A11181" s="62">
        <v>45121517</v>
      </c>
      <c r="B11181" s="63" t="s">
        <v>11833</v>
      </c>
    </row>
    <row r="11182" spans="1:2" x14ac:dyDescent="0.25">
      <c r="A11182" s="62">
        <v>45121518</v>
      </c>
      <c r="B11182" s="63" t="s">
        <v>11834</v>
      </c>
    </row>
    <row r="11183" spans="1:2" x14ac:dyDescent="0.25">
      <c r="A11183" s="62">
        <v>45121519</v>
      </c>
      <c r="B11183" s="63" t="s">
        <v>11835</v>
      </c>
    </row>
    <row r="11184" spans="1:2" x14ac:dyDescent="0.25">
      <c r="A11184" s="62">
        <v>45121520</v>
      </c>
      <c r="B11184" s="63" t="s">
        <v>11836</v>
      </c>
    </row>
    <row r="11185" spans="1:2" x14ac:dyDescent="0.25">
      <c r="A11185" s="62">
        <v>45121601</v>
      </c>
      <c r="B11185" s="63" t="s">
        <v>11837</v>
      </c>
    </row>
    <row r="11186" spans="1:2" x14ac:dyDescent="0.25">
      <c r="A11186" s="62">
        <v>45121602</v>
      </c>
      <c r="B11186" s="63" t="s">
        <v>11838</v>
      </c>
    </row>
    <row r="11187" spans="1:2" x14ac:dyDescent="0.25">
      <c r="A11187" s="62">
        <v>45121603</v>
      </c>
      <c r="B11187" s="63" t="s">
        <v>11839</v>
      </c>
    </row>
    <row r="11188" spans="1:2" x14ac:dyDescent="0.25">
      <c r="A11188" s="62">
        <v>45121604</v>
      </c>
      <c r="B11188" s="63" t="s">
        <v>11840</v>
      </c>
    </row>
    <row r="11189" spans="1:2" x14ac:dyDescent="0.25">
      <c r="A11189" s="62">
        <v>45121605</v>
      </c>
      <c r="B11189" s="63" t="s">
        <v>11841</v>
      </c>
    </row>
    <row r="11190" spans="1:2" x14ac:dyDescent="0.25">
      <c r="A11190" s="62">
        <v>45121606</v>
      </c>
      <c r="B11190" s="63" t="s">
        <v>11842</v>
      </c>
    </row>
    <row r="11191" spans="1:2" x14ac:dyDescent="0.25">
      <c r="A11191" s="62">
        <v>45121607</v>
      </c>
      <c r="B11191" s="63" t="s">
        <v>11843</v>
      </c>
    </row>
    <row r="11192" spans="1:2" x14ac:dyDescent="0.25">
      <c r="A11192" s="62">
        <v>45121608</v>
      </c>
      <c r="B11192" s="63" t="s">
        <v>11844</v>
      </c>
    </row>
    <row r="11193" spans="1:2" x14ac:dyDescent="0.25">
      <c r="A11193" s="62">
        <v>45121609</v>
      </c>
      <c r="B11193" s="63" t="s">
        <v>11845</v>
      </c>
    </row>
    <row r="11194" spans="1:2" x14ac:dyDescent="0.25">
      <c r="A11194" s="62">
        <v>45121610</v>
      </c>
      <c r="B11194" s="63" t="s">
        <v>11846</v>
      </c>
    </row>
    <row r="11195" spans="1:2" x14ac:dyDescent="0.25">
      <c r="A11195" s="62">
        <v>45121611</v>
      </c>
      <c r="B11195" s="63" t="s">
        <v>11847</v>
      </c>
    </row>
    <row r="11196" spans="1:2" x14ac:dyDescent="0.25">
      <c r="A11196" s="62">
        <v>45121612</v>
      </c>
      <c r="B11196" s="63" t="s">
        <v>11848</v>
      </c>
    </row>
    <row r="11197" spans="1:2" x14ac:dyDescent="0.25">
      <c r="A11197" s="62">
        <v>45121613</v>
      </c>
      <c r="B11197" s="63" t="s">
        <v>11849</v>
      </c>
    </row>
    <row r="11198" spans="1:2" x14ac:dyDescent="0.25">
      <c r="A11198" s="62">
        <v>45121614</v>
      </c>
      <c r="B11198" s="63" t="s">
        <v>11850</v>
      </c>
    </row>
    <row r="11199" spans="1:2" x14ac:dyDescent="0.25">
      <c r="A11199" s="62">
        <v>45121615</v>
      </c>
      <c r="B11199" s="63" t="s">
        <v>11851</v>
      </c>
    </row>
    <row r="11200" spans="1:2" x14ac:dyDescent="0.25">
      <c r="A11200" s="62">
        <v>45121616</v>
      </c>
      <c r="B11200" s="63" t="s">
        <v>11852</v>
      </c>
    </row>
    <row r="11201" spans="1:2" x14ac:dyDescent="0.25">
      <c r="A11201" s="62">
        <v>45121617</v>
      </c>
      <c r="B11201" s="63" t="s">
        <v>11853</v>
      </c>
    </row>
    <row r="11202" spans="1:2" x14ac:dyDescent="0.25">
      <c r="A11202" s="62">
        <v>45121618</v>
      </c>
      <c r="B11202" s="63" t="s">
        <v>11854</v>
      </c>
    </row>
    <row r="11203" spans="1:2" x14ac:dyDescent="0.25">
      <c r="A11203" s="62">
        <v>45121619</v>
      </c>
      <c r="B11203" s="63" t="s">
        <v>11855</v>
      </c>
    </row>
    <row r="11204" spans="1:2" x14ac:dyDescent="0.25">
      <c r="A11204" s="62">
        <v>45121620</v>
      </c>
      <c r="B11204" s="63" t="s">
        <v>11856</v>
      </c>
    </row>
    <row r="11205" spans="1:2" x14ac:dyDescent="0.25">
      <c r="A11205" s="62">
        <v>45121621</v>
      </c>
      <c r="B11205" s="63" t="s">
        <v>11857</v>
      </c>
    </row>
    <row r="11206" spans="1:2" x14ac:dyDescent="0.25">
      <c r="A11206" s="62">
        <v>45121622</v>
      </c>
      <c r="B11206" s="63" t="s">
        <v>11858</v>
      </c>
    </row>
    <row r="11207" spans="1:2" x14ac:dyDescent="0.25">
      <c r="A11207" s="62">
        <v>45121623</v>
      </c>
      <c r="B11207" s="63" t="s">
        <v>11859</v>
      </c>
    </row>
    <row r="11208" spans="1:2" x14ac:dyDescent="0.25">
      <c r="A11208" s="62">
        <v>45121701</v>
      </c>
      <c r="B11208" s="63" t="s">
        <v>11860</v>
      </c>
    </row>
    <row r="11209" spans="1:2" x14ac:dyDescent="0.25">
      <c r="A11209" s="62">
        <v>45121702</v>
      </c>
      <c r="B11209" s="63" t="s">
        <v>11861</v>
      </c>
    </row>
    <row r="11210" spans="1:2" x14ac:dyDescent="0.25">
      <c r="A11210" s="62">
        <v>45121703</v>
      </c>
      <c r="B11210" s="63" t="s">
        <v>11862</v>
      </c>
    </row>
    <row r="11211" spans="1:2" x14ac:dyDescent="0.25">
      <c r="A11211" s="62">
        <v>45121704</v>
      </c>
      <c r="B11211" s="63" t="s">
        <v>11863</v>
      </c>
    </row>
    <row r="11212" spans="1:2" x14ac:dyDescent="0.25">
      <c r="A11212" s="62">
        <v>45121705</v>
      </c>
      <c r="B11212" s="63" t="s">
        <v>11864</v>
      </c>
    </row>
    <row r="11213" spans="1:2" x14ac:dyDescent="0.25">
      <c r="A11213" s="62">
        <v>45121706</v>
      </c>
      <c r="B11213" s="63" t="s">
        <v>11865</v>
      </c>
    </row>
    <row r="11214" spans="1:2" x14ac:dyDescent="0.25">
      <c r="A11214" s="62">
        <v>45121801</v>
      </c>
      <c r="B11214" s="63" t="s">
        <v>11866</v>
      </c>
    </row>
    <row r="11215" spans="1:2" x14ac:dyDescent="0.25">
      <c r="A11215" s="62">
        <v>45121802</v>
      </c>
      <c r="B11215" s="63" t="s">
        <v>11867</v>
      </c>
    </row>
    <row r="11216" spans="1:2" x14ac:dyDescent="0.25">
      <c r="A11216" s="62">
        <v>45121803</v>
      </c>
      <c r="B11216" s="63" t="s">
        <v>11868</v>
      </c>
    </row>
    <row r="11217" spans="1:2" x14ac:dyDescent="0.25">
      <c r="A11217" s="62">
        <v>45121804</v>
      </c>
      <c r="B11217" s="63" t="s">
        <v>11869</v>
      </c>
    </row>
    <row r="11218" spans="1:2" x14ac:dyDescent="0.25">
      <c r="A11218" s="62">
        <v>45121805</v>
      </c>
      <c r="B11218" s="63" t="s">
        <v>11870</v>
      </c>
    </row>
    <row r="11219" spans="1:2" x14ac:dyDescent="0.25">
      <c r="A11219" s="62">
        <v>45121806</v>
      </c>
      <c r="B11219" s="63" t="s">
        <v>11871</v>
      </c>
    </row>
    <row r="11220" spans="1:2" x14ac:dyDescent="0.25">
      <c r="A11220" s="62">
        <v>45121807</v>
      </c>
      <c r="B11220" s="63" t="s">
        <v>11872</v>
      </c>
    </row>
    <row r="11221" spans="1:2" x14ac:dyDescent="0.25">
      <c r="A11221" s="62">
        <v>45121808</v>
      </c>
      <c r="B11221" s="63" t="s">
        <v>11873</v>
      </c>
    </row>
    <row r="11222" spans="1:2" x14ac:dyDescent="0.25">
      <c r="A11222" s="62">
        <v>45121809</v>
      </c>
      <c r="B11222" s="63" t="s">
        <v>11874</v>
      </c>
    </row>
    <row r="11223" spans="1:2" x14ac:dyDescent="0.25">
      <c r="A11223" s="62">
        <v>45121810</v>
      </c>
      <c r="B11223" s="63" t="s">
        <v>11875</v>
      </c>
    </row>
    <row r="11224" spans="1:2" x14ac:dyDescent="0.25">
      <c r="A11224" s="62">
        <v>45131501</v>
      </c>
      <c r="B11224" s="63" t="s">
        <v>11876</v>
      </c>
    </row>
    <row r="11225" spans="1:2" x14ac:dyDescent="0.25">
      <c r="A11225" s="62">
        <v>45131502</v>
      </c>
      <c r="B11225" s="63" t="s">
        <v>11877</v>
      </c>
    </row>
    <row r="11226" spans="1:2" x14ac:dyDescent="0.25">
      <c r="A11226" s="62">
        <v>45131503</v>
      </c>
      <c r="B11226" s="63" t="s">
        <v>11878</v>
      </c>
    </row>
    <row r="11227" spans="1:2" x14ac:dyDescent="0.25">
      <c r="A11227" s="62">
        <v>45131505</v>
      </c>
      <c r="B11227" s="63" t="s">
        <v>11879</v>
      </c>
    </row>
    <row r="11228" spans="1:2" x14ac:dyDescent="0.25">
      <c r="A11228" s="62">
        <v>45131601</v>
      </c>
      <c r="B11228" s="63" t="s">
        <v>11880</v>
      </c>
    </row>
    <row r="11229" spans="1:2" x14ac:dyDescent="0.25">
      <c r="A11229" s="62">
        <v>45131604</v>
      </c>
      <c r="B11229" s="63" t="s">
        <v>11881</v>
      </c>
    </row>
    <row r="11230" spans="1:2" x14ac:dyDescent="0.25">
      <c r="A11230" s="62">
        <v>45131701</v>
      </c>
      <c r="B11230" s="63" t="s">
        <v>11882</v>
      </c>
    </row>
    <row r="11231" spans="1:2" x14ac:dyDescent="0.25">
      <c r="A11231" s="62">
        <v>45141501</v>
      </c>
      <c r="B11231" s="63" t="s">
        <v>11883</v>
      </c>
    </row>
    <row r="11232" spans="1:2" x14ac:dyDescent="0.25">
      <c r="A11232" s="62">
        <v>45141502</v>
      </c>
      <c r="B11232" s="63" t="s">
        <v>11884</v>
      </c>
    </row>
    <row r="11233" spans="1:2" x14ac:dyDescent="0.25">
      <c r="A11233" s="62">
        <v>45141601</v>
      </c>
      <c r="B11233" s="63" t="s">
        <v>11885</v>
      </c>
    </row>
    <row r="11234" spans="1:2" x14ac:dyDescent="0.25">
      <c r="A11234" s="62">
        <v>45141602</v>
      </c>
      <c r="B11234" s="63" t="s">
        <v>11886</v>
      </c>
    </row>
    <row r="11235" spans="1:2" x14ac:dyDescent="0.25">
      <c r="A11235" s="62">
        <v>45141603</v>
      </c>
      <c r="B11235" s="63" t="s">
        <v>11887</v>
      </c>
    </row>
    <row r="11236" spans="1:2" x14ac:dyDescent="0.25">
      <c r="A11236" s="62">
        <v>46101501</v>
      </c>
      <c r="B11236" s="63" t="s">
        <v>11888</v>
      </c>
    </row>
    <row r="11237" spans="1:2" x14ac:dyDescent="0.25">
      <c r="A11237" s="62">
        <v>46101502</v>
      </c>
      <c r="B11237" s="63" t="s">
        <v>11889</v>
      </c>
    </row>
    <row r="11238" spans="1:2" x14ac:dyDescent="0.25">
      <c r="A11238" s="62">
        <v>46101503</v>
      </c>
      <c r="B11238" s="63" t="s">
        <v>11890</v>
      </c>
    </row>
    <row r="11239" spans="1:2" x14ac:dyDescent="0.25">
      <c r="A11239" s="62">
        <v>46101504</v>
      </c>
      <c r="B11239" s="63" t="s">
        <v>11891</v>
      </c>
    </row>
    <row r="11240" spans="1:2" x14ac:dyDescent="0.25">
      <c r="A11240" s="62">
        <v>46101505</v>
      </c>
      <c r="B11240" s="63" t="s">
        <v>11892</v>
      </c>
    </row>
    <row r="11241" spans="1:2" x14ac:dyDescent="0.25">
      <c r="A11241" s="62">
        <v>46101506</v>
      </c>
      <c r="B11241" s="63" t="s">
        <v>11893</v>
      </c>
    </row>
    <row r="11242" spans="1:2" x14ac:dyDescent="0.25">
      <c r="A11242" s="62">
        <v>46101601</v>
      </c>
      <c r="B11242" s="63" t="s">
        <v>11894</v>
      </c>
    </row>
    <row r="11243" spans="1:2" x14ac:dyDescent="0.25">
      <c r="A11243" s="62">
        <v>46101701</v>
      </c>
      <c r="B11243" s="63" t="s">
        <v>11895</v>
      </c>
    </row>
    <row r="11244" spans="1:2" x14ac:dyDescent="0.25">
      <c r="A11244" s="62">
        <v>46101702</v>
      </c>
      <c r="B11244" s="63" t="s">
        <v>11896</v>
      </c>
    </row>
    <row r="11245" spans="1:2" x14ac:dyDescent="0.25">
      <c r="A11245" s="62">
        <v>46101801</v>
      </c>
      <c r="B11245" s="63" t="s">
        <v>11897</v>
      </c>
    </row>
    <row r="11246" spans="1:2" x14ac:dyDescent="0.25">
      <c r="A11246" s="62">
        <v>46111501</v>
      </c>
      <c r="B11246" s="63" t="s">
        <v>11898</v>
      </c>
    </row>
    <row r="11247" spans="1:2" x14ac:dyDescent="0.25">
      <c r="A11247" s="62">
        <v>46111502</v>
      </c>
      <c r="B11247" s="63" t="s">
        <v>11899</v>
      </c>
    </row>
    <row r="11248" spans="1:2" x14ac:dyDescent="0.25">
      <c r="A11248" s="62">
        <v>46111503</v>
      </c>
      <c r="B11248" s="63" t="s">
        <v>11900</v>
      </c>
    </row>
    <row r="11249" spans="1:2" x14ac:dyDescent="0.25">
      <c r="A11249" s="62">
        <v>46111601</v>
      </c>
      <c r="B11249" s="63" t="s">
        <v>11901</v>
      </c>
    </row>
    <row r="11250" spans="1:2" x14ac:dyDescent="0.25">
      <c r="A11250" s="62">
        <v>46111602</v>
      </c>
      <c r="B11250" s="63" t="s">
        <v>11902</v>
      </c>
    </row>
    <row r="11251" spans="1:2" x14ac:dyDescent="0.25">
      <c r="A11251" s="62">
        <v>46111701</v>
      </c>
      <c r="B11251" s="63" t="s">
        <v>11903</v>
      </c>
    </row>
    <row r="11252" spans="1:2" x14ac:dyDescent="0.25">
      <c r="A11252" s="62">
        <v>46111702</v>
      </c>
      <c r="B11252" s="63" t="s">
        <v>11904</v>
      </c>
    </row>
    <row r="11253" spans="1:2" x14ac:dyDescent="0.25">
      <c r="A11253" s="62">
        <v>46111801</v>
      </c>
      <c r="B11253" s="63" t="s">
        <v>11905</v>
      </c>
    </row>
    <row r="11254" spans="1:2" x14ac:dyDescent="0.25">
      <c r="A11254" s="62">
        <v>46121501</v>
      </c>
      <c r="B11254" s="63" t="s">
        <v>11906</v>
      </c>
    </row>
    <row r="11255" spans="1:2" x14ac:dyDescent="0.25">
      <c r="A11255" s="62">
        <v>46121502</v>
      </c>
      <c r="B11255" s="63" t="s">
        <v>11907</v>
      </c>
    </row>
    <row r="11256" spans="1:2" x14ac:dyDescent="0.25">
      <c r="A11256" s="62">
        <v>46121503</v>
      </c>
      <c r="B11256" s="63" t="s">
        <v>11908</v>
      </c>
    </row>
    <row r="11257" spans="1:2" x14ac:dyDescent="0.25">
      <c r="A11257" s="62">
        <v>46121504</v>
      </c>
      <c r="B11257" s="63" t="s">
        <v>11909</v>
      </c>
    </row>
    <row r="11258" spans="1:2" x14ac:dyDescent="0.25">
      <c r="A11258" s="62">
        <v>46121505</v>
      </c>
      <c r="B11258" s="63" t="s">
        <v>11910</v>
      </c>
    </row>
    <row r="11259" spans="1:2" x14ac:dyDescent="0.25">
      <c r="A11259" s="62">
        <v>46121506</v>
      </c>
      <c r="B11259" s="63" t="s">
        <v>11911</v>
      </c>
    </row>
    <row r="11260" spans="1:2" x14ac:dyDescent="0.25">
      <c r="A11260" s="62">
        <v>46121507</v>
      </c>
      <c r="B11260" s="63" t="s">
        <v>11912</v>
      </c>
    </row>
    <row r="11261" spans="1:2" x14ac:dyDescent="0.25">
      <c r="A11261" s="62">
        <v>46121508</v>
      </c>
      <c r="B11261" s="63" t="s">
        <v>11913</v>
      </c>
    </row>
    <row r="11262" spans="1:2" x14ac:dyDescent="0.25">
      <c r="A11262" s="62">
        <v>46121509</v>
      </c>
      <c r="B11262" s="63" t="s">
        <v>11914</v>
      </c>
    </row>
    <row r="11263" spans="1:2" x14ac:dyDescent="0.25">
      <c r="A11263" s="62">
        <v>46121510</v>
      </c>
      <c r="B11263" s="63" t="s">
        <v>11915</v>
      </c>
    </row>
    <row r="11264" spans="1:2" x14ac:dyDescent="0.25">
      <c r="A11264" s="62">
        <v>46121511</v>
      </c>
      <c r="B11264" s="63" t="s">
        <v>11916</v>
      </c>
    </row>
    <row r="11265" spans="1:2" x14ac:dyDescent="0.25">
      <c r="A11265" s="62">
        <v>46121512</v>
      </c>
      <c r="B11265" s="63" t="s">
        <v>11917</v>
      </c>
    </row>
    <row r="11266" spans="1:2" x14ac:dyDescent="0.25">
      <c r="A11266" s="62">
        <v>46121601</v>
      </c>
      <c r="B11266" s="63" t="s">
        <v>11918</v>
      </c>
    </row>
    <row r="11267" spans="1:2" x14ac:dyDescent="0.25">
      <c r="A11267" s="62">
        <v>46121602</v>
      </c>
      <c r="B11267" s="63" t="s">
        <v>11919</v>
      </c>
    </row>
    <row r="11268" spans="1:2" x14ac:dyDescent="0.25">
      <c r="A11268" s="62">
        <v>46121603</v>
      </c>
      <c r="B11268" s="63" t="s">
        <v>11920</v>
      </c>
    </row>
    <row r="11269" spans="1:2" x14ac:dyDescent="0.25">
      <c r="A11269" s="62">
        <v>46121604</v>
      </c>
      <c r="B11269" s="63" t="s">
        <v>11921</v>
      </c>
    </row>
    <row r="11270" spans="1:2" x14ac:dyDescent="0.25">
      <c r="A11270" s="62">
        <v>46121605</v>
      </c>
      <c r="B11270" s="63" t="s">
        <v>11922</v>
      </c>
    </row>
    <row r="11271" spans="1:2" x14ac:dyDescent="0.25">
      <c r="A11271" s="62">
        <v>46131501</v>
      </c>
      <c r="B11271" s="63" t="s">
        <v>11923</v>
      </c>
    </row>
    <row r="11272" spans="1:2" x14ac:dyDescent="0.25">
      <c r="A11272" s="62">
        <v>46131502</v>
      </c>
      <c r="B11272" s="63" t="s">
        <v>11924</v>
      </c>
    </row>
    <row r="11273" spans="1:2" x14ac:dyDescent="0.25">
      <c r="A11273" s="62">
        <v>46131503</v>
      </c>
      <c r="B11273" s="63" t="s">
        <v>11925</v>
      </c>
    </row>
    <row r="11274" spans="1:2" x14ac:dyDescent="0.25">
      <c r="A11274" s="62">
        <v>46131504</v>
      </c>
      <c r="B11274" s="63" t="s">
        <v>11926</v>
      </c>
    </row>
    <row r="11275" spans="1:2" x14ac:dyDescent="0.25">
      <c r="A11275" s="62">
        <v>46131505</v>
      </c>
      <c r="B11275" s="63" t="s">
        <v>11927</v>
      </c>
    </row>
    <row r="11276" spans="1:2" x14ac:dyDescent="0.25">
      <c r="A11276" s="62">
        <v>46131601</v>
      </c>
      <c r="B11276" s="63" t="s">
        <v>11928</v>
      </c>
    </row>
    <row r="11277" spans="1:2" x14ac:dyDescent="0.25">
      <c r="A11277" s="62">
        <v>46131602</v>
      </c>
      <c r="B11277" s="63" t="s">
        <v>11929</v>
      </c>
    </row>
    <row r="11278" spans="1:2" x14ac:dyDescent="0.25">
      <c r="A11278" s="62">
        <v>46131603</v>
      </c>
      <c r="B11278" s="63" t="s">
        <v>11930</v>
      </c>
    </row>
    <row r="11279" spans="1:2" x14ac:dyDescent="0.25">
      <c r="A11279" s="62">
        <v>46131604</v>
      </c>
      <c r="B11279" s="63" t="s">
        <v>11931</v>
      </c>
    </row>
    <row r="11280" spans="1:2" x14ac:dyDescent="0.25">
      <c r="A11280" s="62">
        <v>46141501</v>
      </c>
      <c r="B11280" s="63" t="s">
        <v>11932</v>
      </c>
    </row>
    <row r="11281" spans="1:2" x14ac:dyDescent="0.25">
      <c r="A11281" s="62">
        <v>46141502</v>
      </c>
      <c r="B11281" s="63" t="s">
        <v>11933</v>
      </c>
    </row>
    <row r="11282" spans="1:2" x14ac:dyDescent="0.25">
      <c r="A11282" s="62">
        <v>46151501</v>
      </c>
      <c r="B11282" s="63" t="s">
        <v>11934</v>
      </c>
    </row>
    <row r="11283" spans="1:2" x14ac:dyDescent="0.25">
      <c r="A11283" s="62">
        <v>46151502</v>
      </c>
      <c r="B11283" s="63" t="s">
        <v>11935</v>
      </c>
    </row>
    <row r="11284" spans="1:2" x14ac:dyDescent="0.25">
      <c r="A11284" s="62">
        <v>46151503</v>
      </c>
      <c r="B11284" s="63" t="s">
        <v>11936</v>
      </c>
    </row>
    <row r="11285" spans="1:2" x14ac:dyDescent="0.25">
      <c r="A11285" s="62">
        <v>46151504</v>
      </c>
      <c r="B11285" s="63" t="s">
        <v>11937</v>
      </c>
    </row>
    <row r="11286" spans="1:2" x14ac:dyDescent="0.25">
      <c r="A11286" s="62">
        <v>46151505</v>
      </c>
      <c r="B11286" s="63" t="s">
        <v>11938</v>
      </c>
    </row>
    <row r="11287" spans="1:2" x14ac:dyDescent="0.25">
      <c r="A11287" s="62">
        <v>46151506</v>
      </c>
      <c r="B11287" s="63" t="s">
        <v>11939</v>
      </c>
    </row>
    <row r="11288" spans="1:2" x14ac:dyDescent="0.25">
      <c r="A11288" s="62">
        <v>46151507</v>
      </c>
      <c r="B11288" s="63" t="s">
        <v>11940</v>
      </c>
    </row>
    <row r="11289" spans="1:2" x14ac:dyDescent="0.25">
      <c r="A11289" s="62">
        <v>46151601</v>
      </c>
      <c r="B11289" s="63" t="s">
        <v>11941</v>
      </c>
    </row>
    <row r="11290" spans="1:2" x14ac:dyDescent="0.25">
      <c r="A11290" s="62">
        <v>46151602</v>
      </c>
      <c r="B11290" s="63" t="s">
        <v>11942</v>
      </c>
    </row>
    <row r="11291" spans="1:2" x14ac:dyDescent="0.25">
      <c r="A11291" s="62">
        <v>46151604</v>
      </c>
      <c r="B11291" s="63" t="s">
        <v>11943</v>
      </c>
    </row>
    <row r="11292" spans="1:2" x14ac:dyDescent="0.25">
      <c r="A11292" s="62">
        <v>46151605</v>
      </c>
      <c r="B11292" s="63" t="s">
        <v>590</v>
      </c>
    </row>
    <row r="11293" spans="1:2" x14ac:dyDescent="0.25">
      <c r="A11293" s="62">
        <v>46151606</v>
      </c>
      <c r="B11293" s="63" t="s">
        <v>11944</v>
      </c>
    </row>
    <row r="11294" spans="1:2" x14ac:dyDescent="0.25">
      <c r="A11294" s="62">
        <v>46151607</v>
      </c>
      <c r="B11294" s="63" t="s">
        <v>11945</v>
      </c>
    </row>
    <row r="11295" spans="1:2" x14ac:dyDescent="0.25">
      <c r="A11295" s="62">
        <v>46151702</v>
      </c>
      <c r="B11295" s="63" t="s">
        <v>11946</v>
      </c>
    </row>
    <row r="11296" spans="1:2" x14ac:dyDescent="0.25">
      <c r="A11296" s="62">
        <v>46151703</v>
      </c>
      <c r="B11296" s="63" t="s">
        <v>11947</v>
      </c>
    </row>
    <row r="11297" spans="1:2" x14ac:dyDescent="0.25">
      <c r="A11297" s="62">
        <v>46151704</v>
      </c>
      <c r="B11297" s="63" t="s">
        <v>11948</v>
      </c>
    </row>
    <row r="11298" spans="1:2" x14ac:dyDescent="0.25">
      <c r="A11298" s="62">
        <v>46151705</v>
      </c>
      <c r="B11298" s="63" t="s">
        <v>11949</v>
      </c>
    </row>
    <row r="11299" spans="1:2" x14ac:dyDescent="0.25">
      <c r="A11299" s="62">
        <v>46151706</v>
      </c>
      <c r="B11299" s="63" t="s">
        <v>11950</v>
      </c>
    </row>
    <row r="11300" spans="1:2" x14ac:dyDescent="0.25">
      <c r="A11300" s="62">
        <v>46151707</v>
      </c>
      <c r="B11300" s="63" t="s">
        <v>11951</v>
      </c>
    </row>
    <row r="11301" spans="1:2" x14ac:dyDescent="0.25">
      <c r="A11301" s="62">
        <v>46151708</v>
      </c>
      <c r="B11301" s="63" t="s">
        <v>11952</v>
      </c>
    </row>
    <row r="11302" spans="1:2" x14ac:dyDescent="0.25">
      <c r="A11302" s="62">
        <v>46151709</v>
      </c>
      <c r="B11302" s="63" t="s">
        <v>11953</v>
      </c>
    </row>
    <row r="11303" spans="1:2" x14ac:dyDescent="0.25">
      <c r="A11303" s="62">
        <v>46151710</v>
      </c>
      <c r="B11303" s="63" t="s">
        <v>11954</v>
      </c>
    </row>
    <row r="11304" spans="1:2" x14ac:dyDescent="0.25">
      <c r="A11304" s="62">
        <v>46151711</v>
      </c>
      <c r="B11304" s="63" t="s">
        <v>11955</v>
      </c>
    </row>
    <row r="11305" spans="1:2" x14ac:dyDescent="0.25">
      <c r="A11305" s="62">
        <v>46151712</v>
      </c>
      <c r="B11305" s="63" t="s">
        <v>11956</v>
      </c>
    </row>
    <row r="11306" spans="1:2" x14ac:dyDescent="0.25">
      <c r="A11306" s="62">
        <v>46151713</v>
      </c>
      <c r="B11306" s="63" t="s">
        <v>11957</v>
      </c>
    </row>
    <row r="11307" spans="1:2" x14ac:dyDescent="0.25">
      <c r="A11307" s="62">
        <v>46151714</v>
      </c>
      <c r="B11307" s="63" t="s">
        <v>11958</v>
      </c>
    </row>
    <row r="11308" spans="1:2" x14ac:dyDescent="0.25">
      <c r="A11308" s="62">
        <v>46151715</v>
      </c>
      <c r="B11308" s="63" t="s">
        <v>11959</v>
      </c>
    </row>
    <row r="11309" spans="1:2" x14ac:dyDescent="0.25">
      <c r="A11309" s="62">
        <v>46161501</v>
      </c>
      <c r="B11309" s="63" t="s">
        <v>11960</v>
      </c>
    </row>
    <row r="11310" spans="1:2" x14ac:dyDescent="0.25">
      <c r="A11310" s="62">
        <v>46161502</v>
      </c>
      <c r="B11310" s="63" t="s">
        <v>11961</v>
      </c>
    </row>
    <row r="11311" spans="1:2" x14ac:dyDescent="0.25">
      <c r="A11311" s="62">
        <v>46161503</v>
      </c>
      <c r="B11311" s="63" t="s">
        <v>11962</v>
      </c>
    </row>
    <row r="11312" spans="1:2" x14ac:dyDescent="0.25">
      <c r="A11312" s="62">
        <v>46161504</v>
      </c>
      <c r="B11312" s="63" t="s">
        <v>11963</v>
      </c>
    </row>
    <row r="11313" spans="1:2" x14ac:dyDescent="0.25">
      <c r="A11313" s="62">
        <v>46161505</v>
      </c>
      <c r="B11313" s="63" t="s">
        <v>11964</v>
      </c>
    </row>
    <row r="11314" spans="1:2" x14ac:dyDescent="0.25">
      <c r="A11314" s="62">
        <v>46161506</v>
      </c>
      <c r="B11314" s="63" t="s">
        <v>11965</v>
      </c>
    </row>
    <row r="11315" spans="1:2" x14ac:dyDescent="0.25">
      <c r="A11315" s="62">
        <v>46161507</v>
      </c>
      <c r="B11315" s="63" t="s">
        <v>11966</v>
      </c>
    </row>
    <row r="11316" spans="1:2" x14ac:dyDescent="0.25">
      <c r="A11316" s="62">
        <v>46161508</v>
      </c>
      <c r="B11316" s="63" t="s">
        <v>11967</v>
      </c>
    </row>
    <row r="11317" spans="1:2" x14ac:dyDescent="0.25">
      <c r="A11317" s="62">
        <v>46161509</v>
      </c>
      <c r="B11317" s="63" t="s">
        <v>11968</v>
      </c>
    </row>
    <row r="11318" spans="1:2" x14ac:dyDescent="0.25">
      <c r="A11318" s="62">
        <v>46161510</v>
      </c>
      <c r="B11318" s="63" t="s">
        <v>11969</v>
      </c>
    </row>
    <row r="11319" spans="1:2" x14ac:dyDescent="0.25">
      <c r="A11319" s="62">
        <v>46161601</v>
      </c>
      <c r="B11319" s="63" t="s">
        <v>11970</v>
      </c>
    </row>
    <row r="11320" spans="1:2" x14ac:dyDescent="0.25">
      <c r="A11320" s="62">
        <v>46161602</v>
      </c>
      <c r="B11320" s="63" t="s">
        <v>11971</v>
      </c>
    </row>
    <row r="11321" spans="1:2" x14ac:dyDescent="0.25">
      <c r="A11321" s="62">
        <v>46161603</v>
      </c>
      <c r="B11321" s="63" t="s">
        <v>11972</v>
      </c>
    </row>
    <row r="11322" spans="1:2" x14ac:dyDescent="0.25">
      <c r="A11322" s="62">
        <v>46161604</v>
      </c>
      <c r="B11322" s="63" t="s">
        <v>11973</v>
      </c>
    </row>
    <row r="11323" spans="1:2" x14ac:dyDescent="0.25">
      <c r="A11323" s="62">
        <v>46171501</v>
      </c>
      <c r="B11323" s="63" t="s">
        <v>11974</v>
      </c>
    </row>
    <row r="11324" spans="1:2" x14ac:dyDescent="0.25">
      <c r="A11324" s="62">
        <v>46171502</v>
      </c>
      <c r="B11324" s="63" t="s">
        <v>11975</v>
      </c>
    </row>
    <row r="11325" spans="1:2" x14ac:dyDescent="0.25">
      <c r="A11325" s="62">
        <v>46171503</v>
      </c>
      <c r="B11325" s="63" t="s">
        <v>11976</v>
      </c>
    </row>
    <row r="11326" spans="1:2" x14ac:dyDescent="0.25">
      <c r="A11326" s="62">
        <v>46171504</v>
      </c>
      <c r="B11326" s="63" t="s">
        <v>11977</v>
      </c>
    </row>
    <row r="11327" spans="1:2" x14ac:dyDescent="0.25">
      <c r="A11327" s="62">
        <v>46171505</v>
      </c>
      <c r="B11327" s="63" t="s">
        <v>11978</v>
      </c>
    </row>
    <row r="11328" spans="1:2" x14ac:dyDescent="0.25">
      <c r="A11328" s="62">
        <v>46171506</v>
      </c>
      <c r="B11328" s="63" t="s">
        <v>11979</v>
      </c>
    </row>
    <row r="11329" spans="1:2" x14ac:dyDescent="0.25">
      <c r="A11329" s="62">
        <v>46171507</v>
      </c>
      <c r="B11329" s="63" t="s">
        <v>11980</v>
      </c>
    </row>
    <row r="11330" spans="1:2" x14ac:dyDescent="0.25">
      <c r="A11330" s="62">
        <v>46171508</v>
      </c>
      <c r="B11330" s="63" t="s">
        <v>11981</v>
      </c>
    </row>
    <row r="11331" spans="1:2" x14ac:dyDescent="0.25">
      <c r="A11331" s="62">
        <v>46171509</v>
      </c>
      <c r="B11331" s="63" t="s">
        <v>11982</v>
      </c>
    </row>
    <row r="11332" spans="1:2" x14ac:dyDescent="0.25">
      <c r="A11332" s="62">
        <v>46171510</v>
      </c>
      <c r="B11332" s="63" t="s">
        <v>11983</v>
      </c>
    </row>
    <row r="11333" spans="1:2" x14ac:dyDescent="0.25">
      <c r="A11333" s="62">
        <v>46171511</v>
      </c>
      <c r="B11333" s="63" t="s">
        <v>11984</v>
      </c>
    </row>
    <row r="11334" spans="1:2" x14ac:dyDescent="0.25">
      <c r="A11334" s="62">
        <v>46171512</v>
      </c>
      <c r="B11334" s="63" t="s">
        <v>11985</v>
      </c>
    </row>
    <row r="11335" spans="1:2" x14ac:dyDescent="0.25">
      <c r="A11335" s="62">
        <v>46171513</v>
      </c>
      <c r="B11335" s="63" t="s">
        <v>11986</v>
      </c>
    </row>
    <row r="11336" spans="1:2" x14ac:dyDescent="0.25">
      <c r="A11336" s="62">
        <v>46171514</v>
      </c>
      <c r="B11336" s="63" t="s">
        <v>11987</v>
      </c>
    </row>
    <row r="11337" spans="1:2" x14ac:dyDescent="0.25">
      <c r="A11337" s="62">
        <v>46171515</v>
      </c>
      <c r="B11337" s="63" t="s">
        <v>11988</v>
      </c>
    </row>
    <row r="11338" spans="1:2" x14ac:dyDescent="0.25">
      <c r="A11338" s="62">
        <v>46171516</v>
      </c>
      <c r="B11338" s="63" t="s">
        <v>11989</v>
      </c>
    </row>
    <row r="11339" spans="1:2" x14ac:dyDescent="0.25">
      <c r="A11339" s="62">
        <v>46171517</v>
      </c>
      <c r="B11339" s="63" t="s">
        <v>11990</v>
      </c>
    </row>
    <row r="11340" spans="1:2" x14ac:dyDescent="0.25">
      <c r="A11340" s="62">
        <v>46171602</v>
      </c>
      <c r="B11340" s="63" t="s">
        <v>11991</v>
      </c>
    </row>
    <row r="11341" spans="1:2" x14ac:dyDescent="0.25">
      <c r="A11341" s="62">
        <v>46171603</v>
      </c>
      <c r="B11341" s="63" t="s">
        <v>11992</v>
      </c>
    </row>
    <row r="11342" spans="1:2" x14ac:dyDescent="0.25">
      <c r="A11342" s="62">
        <v>46171604</v>
      </c>
      <c r="B11342" s="63" t="s">
        <v>11993</v>
      </c>
    </row>
    <row r="11343" spans="1:2" x14ac:dyDescent="0.25">
      <c r="A11343" s="62">
        <v>46171605</v>
      </c>
      <c r="B11343" s="63" t="s">
        <v>11994</v>
      </c>
    </row>
    <row r="11344" spans="1:2" x14ac:dyDescent="0.25">
      <c r="A11344" s="62">
        <v>46171606</v>
      </c>
      <c r="B11344" s="63" t="s">
        <v>11995</v>
      </c>
    </row>
    <row r="11345" spans="1:2" x14ac:dyDescent="0.25">
      <c r="A11345" s="62">
        <v>46171607</v>
      </c>
      <c r="B11345" s="63" t="s">
        <v>11996</v>
      </c>
    </row>
    <row r="11346" spans="1:2" x14ac:dyDescent="0.25">
      <c r="A11346" s="62">
        <v>46171608</v>
      </c>
      <c r="B11346" s="63" t="s">
        <v>11997</v>
      </c>
    </row>
    <row r="11347" spans="1:2" x14ac:dyDescent="0.25">
      <c r="A11347" s="62">
        <v>46171609</v>
      </c>
      <c r="B11347" s="63" t="s">
        <v>11998</v>
      </c>
    </row>
    <row r="11348" spans="1:2" x14ac:dyDescent="0.25">
      <c r="A11348" s="62">
        <v>46171610</v>
      </c>
      <c r="B11348" s="63" t="s">
        <v>11999</v>
      </c>
    </row>
    <row r="11349" spans="1:2" x14ac:dyDescent="0.25">
      <c r="A11349" s="62">
        <v>46171611</v>
      </c>
      <c r="B11349" s="63" t="s">
        <v>12000</v>
      </c>
    </row>
    <row r="11350" spans="1:2" x14ac:dyDescent="0.25">
      <c r="A11350" s="62">
        <v>46171612</v>
      </c>
      <c r="B11350" s="63" t="s">
        <v>12001</v>
      </c>
    </row>
    <row r="11351" spans="1:2" x14ac:dyDescent="0.25">
      <c r="A11351" s="62">
        <v>46171613</v>
      </c>
      <c r="B11351" s="63" t="s">
        <v>12002</v>
      </c>
    </row>
    <row r="11352" spans="1:2" x14ac:dyDescent="0.25">
      <c r="A11352" s="62">
        <v>46171615</v>
      </c>
      <c r="B11352" s="63" t="s">
        <v>12003</v>
      </c>
    </row>
    <row r="11353" spans="1:2" x14ac:dyDescent="0.25">
      <c r="A11353" s="62">
        <v>46171616</v>
      </c>
      <c r="B11353" s="63" t="s">
        <v>12004</v>
      </c>
    </row>
    <row r="11354" spans="1:2" x14ac:dyDescent="0.25">
      <c r="A11354" s="62">
        <v>46171617</v>
      </c>
      <c r="B11354" s="63" t="s">
        <v>12005</v>
      </c>
    </row>
    <row r="11355" spans="1:2" x14ac:dyDescent="0.25">
      <c r="A11355" s="62">
        <v>46171618</v>
      </c>
      <c r="B11355" s="63" t="s">
        <v>12006</v>
      </c>
    </row>
    <row r="11356" spans="1:2" x14ac:dyDescent="0.25">
      <c r="A11356" s="62">
        <v>46171619</v>
      </c>
      <c r="B11356" s="63" t="s">
        <v>550</v>
      </c>
    </row>
    <row r="11357" spans="1:2" x14ac:dyDescent="0.25">
      <c r="A11357" s="62">
        <v>46171620</v>
      </c>
      <c r="B11357" s="63" t="s">
        <v>12007</v>
      </c>
    </row>
    <row r="11358" spans="1:2" x14ac:dyDescent="0.25">
      <c r="A11358" s="62">
        <v>46171621</v>
      </c>
      <c r="B11358" s="63" t="s">
        <v>12008</v>
      </c>
    </row>
    <row r="11359" spans="1:2" x14ac:dyDescent="0.25">
      <c r="A11359" s="62">
        <v>46181501</v>
      </c>
      <c r="B11359" s="63" t="s">
        <v>12009</v>
      </c>
    </row>
    <row r="11360" spans="1:2" x14ac:dyDescent="0.25">
      <c r="A11360" s="62">
        <v>46181502</v>
      </c>
      <c r="B11360" s="63" t="s">
        <v>12010</v>
      </c>
    </row>
    <row r="11361" spans="1:2" x14ac:dyDescent="0.25">
      <c r="A11361" s="62">
        <v>46181503</v>
      </c>
      <c r="B11361" s="63" t="s">
        <v>12011</v>
      </c>
    </row>
    <row r="11362" spans="1:2" x14ac:dyDescent="0.25">
      <c r="A11362" s="62">
        <v>46181504</v>
      </c>
      <c r="B11362" s="63" t="s">
        <v>12012</v>
      </c>
    </row>
    <row r="11363" spans="1:2" x14ac:dyDescent="0.25">
      <c r="A11363" s="62">
        <v>46181505</v>
      </c>
      <c r="B11363" s="63" t="s">
        <v>12013</v>
      </c>
    </row>
    <row r="11364" spans="1:2" x14ac:dyDescent="0.25">
      <c r="A11364" s="62">
        <v>46181506</v>
      </c>
      <c r="B11364" s="63" t="s">
        <v>12014</v>
      </c>
    </row>
    <row r="11365" spans="1:2" x14ac:dyDescent="0.25">
      <c r="A11365" s="62">
        <v>46181507</v>
      </c>
      <c r="B11365" s="63" t="s">
        <v>12015</v>
      </c>
    </row>
    <row r="11366" spans="1:2" x14ac:dyDescent="0.25">
      <c r="A11366" s="62">
        <v>46181508</v>
      </c>
      <c r="B11366" s="63" t="s">
        <v>12016</v>
      </c>
    </row>
    <row r="11367" spans="1:2" x14ac:dyDescent="0.25">
      <c r="A11367" s="62">
        <v>46181509</v>
      </c>
      <c r="B11367" s="63" t="s">
        <v>12017</v>
      </c>
    </row>
    <row r="11368" spans="1:2" x14ac:dyDescent="0.25">
      <c r="A11368" s="62">
        <v>46181512</v>
      </c>
      <c r="B11368" s="63" t="s">
        <v>12018</v>
      </c>
    </row>
    <row r="11369" spans="1:2" x14ac:dyDescent="0.25">
      <c r="A11369" s="62">
        <v>46181514</v>
      </c>
      <c r="B11369" s="63" t="s">
        <v>12019</v>
      </c>
    </row>
    <row r="11370" spans="1:2" x14ac:dyDescent="0.25">
      <c r="A11370" s="62">
        <v>46181516</v>
      </c>
      <c r="B11370" s="63" t="s">
        <v>12020</v>
      </c>
    </row>
    <row r="11371" spans="1:2" x14ac:dyDescent="0.25">
      <c r="A11371" s="62">
        <v>46181517</v>
      </c>
      <c r="B11371" s="63" t="s">
        <v>12021</v>
      </c>
    </row>
    <row r="11372" spans="1:2" x14ac:dyDescent="0.25">
      <c r="A11372" s="62">
        <v>46181518</v>
      </c>
      <c r="B11372" s="63" t="s">
        <v>12022</v>
      </c>
    </row>
    <row r="11373" spans="1:2" x14ac:dyDescent="0.25">
      <c r="A11373" s="62">
        <v>46181520</v>
      </c>
      <c r="B11373" s="63" t="s">
        <v>12023</v>
      </c>
    </row>
    <row r="11374" spans="1:2" x14ac:dyDescent="0.25">
      <c r="A11374" s="62">
        <v>46181522</v>
      </c>
      <c r="B11374" s="63" t="s">
        <v>12024</v>
      </c>
    </row>
    <row r="11375" spans="1:2" x14ac:dyDescent="0.25">
      <c r="A11375" s="62">
        <v>46181525</v>
      </c>
      <c r="B11375" s="63" t="s">
        <v>12025</v>
      </c>
    </row>
    <row r="11376" spans="1:2" x14ac:dyDescent="0.25">
      <c r="A11376" s="62">
        <v>46181526</v>
      </c>
      <c r="B11376" s="63" t="s">
        <v>12026</v>
      </c>
    </row>
    <row r="11377" spans="1:2" x14ac:dyDescent="0.25">
      <c r="A11377" s="62">
        <v>46181527</v>
      </c>
      <c r="B11377" s="63" t="s">
        <v>12027</v>
      </c>
    </row>
    <row r="11378" spans="1:2" x14ac:dyDescent="0.25">
      <c r="A11378" s="62">
        <v>46181528</v>
      </c>
      <c r="B11378" s="63" t="s">
        <v>12028</v>
      </c>
    </row>
    <row r="11379" spans="1:2" x14ac:dyDescent="0.25">
      <c r="A11379" s="62">
        <v>46181529</v>
      </c>
      <c r="B11379" s="63" t="s">
        <v>12029</v>
      </c>
    </row>
    <row r="11380" spans="1:2" x14ac:dyDescent="0.25">
      <c r="A11380" s="62">
        <v>46181530</v>
      </c>
      <c r="B11380" s="63" t="s">
        <v>12030</v>
      </c>
    </row>
    <row r="11381" spans="1:2" x14ac:dyDescent="0.25">
      <c r="A11381" s="62">
        <v>46181531</v>
      </c>
      <c r="B11381" s="63" t="s">
        <v>12031</v>
      </c>
    </row>
    <row r="11382" spans="1:2" x14ac:dyDescent="0.25">
      <c r="A11382" s="62">
        <v>46181532</v>
      </c>
      <c r="B11382" s="63" t="s">
        <v>12032</v>
      </c>
    </row>
    <row r="11383" spans="1:2" x14ac:dyDescent="0.25">
      <c r="A11383" s="62">
        <v>46181533</v>
      </c>
      <c r="B11383" s="63" t="s">
        <v>12033</v>
      </c>
    </row>
    <row r="11384" spans="1:2" x14ac:dyDescent="0.25">
      <c r="A11384" s="62">
        <v>46181534</v>
      </c>
      <c r="B11384" s="63" t="s">
        <v>12034</v>
      </c>
    </row>
    <row r="11385" spans="1:2" x14ac:dyDescent="0.25">
      <c r="A11385" s="62">
        <v>46181535</v>
      </c>
      <c r="B11385" s="63" t="s">
        <v>12035</v>
      </c>
    </row>
    <row r="11386" spans="1:2" x14ac:dyDescent="0.25">
      <c r="A11386" s="62">
        <v>46181601</v>
      </c>
      <c r="B11386" s="63" t="s">
        <v>12036</v>
      </c>
    </row>
    <row r="11387" spans="1:2" x14ac:dyDescent="0.25">
      <c r="A11387" s="62">
        <v>46181602</v>
      </c>
      <c r="B11387" s="63" t="s">
        <v>12037</v>
      </c>
    </row>
    <row r="11388" spans="1:2" x14ac:dyDescent="0.25">
      <c r="A11388" s="62">
        <v>46181603</v>
      </c>
      <c r="B11388" s="63" t="s">
        <v>12038</v>
      </c>
    </row>
    <row r="11389" spans="1:2" x14ac:dyDescent="0.25">
      <c r="A11389" s="62">
        <v>46181604</v>
      </c>
      <c r="B11389" s="63" t="s">
        <v>12039</v>
      </c>
    </row>
    <row r="11390" spans="1:2" x14ac:dyDescent="0.25">
      <c r="A11390" s="62">
        <v>46181605</v>
      </c>
      <c r="B11390" s="63" t="s">
        <v>12040</v>
      </c>
    </row>
    <row r="11391" spans="1:2" x14ac:dyDescent="0.25">
      <c r="A11391" s="62">
        <v>46181606</v>
      </c>
      <c r="B11391" s="63" t="s">
        <v>12041</v>
      </c>
    </row>
    <row r="11392" spans="1:2" x14ac:dyDescent="0.25">
      <c r="A11392" s="62">
        <v>46181701</v>
      </c>
      <c r="B11392" s="63" t="s">
        <v>12042</v>
      </c>
    </row>
    <row r="11393" spans="1:2" x14ac:dyDescent="0.25">
      <c r="A11393" s="62">
        <v>46181702</v>
      </c>
      <c r="B11393" s="63" t="s">
        <v>12043</v>
      </c>
    </row>
    <row r="11394" spans="1:2" x14ac:dyDescent="0.25">
      <c r="A11394" s="62">
        <v>46181703</v>
      </c>
      <c r="B11394" s="63" t="s">
        <v>12044</v>
      </c>
    </row>
    <row r="11395" spans="1:2" x14ac:dyDescent="0.25">
      <c r="A11395" s="62">
        <v>46181704</v>
      </c>
      <c r="B11395" s="63" t="s">
        <v>12045</v>
      </c>
    </row>
    <row r="11396" spans="1:2" x14ac:dyDescent="0.25">
      <c r="A11396" s="62">
        <v>46181705</v>
      </c>
      <c r="B11396" s="63" t="s">
        <v>12046</v>
      </c>
    </row>
    <row r="11397" spans="1:2" x14ac:dyDescent="0.25">
      <c r="A11397" s="62">
        <v>46181706</v>
      </c>
      <c r="B11397" s="63" t="s">
        <v>12047</v>
      </c>
    </row>
    <row r="11398" spans="1:2" x14ac:dyDescent="0.25">
      <c r="A11398" s="62">
        <v>46181707</v>
      </c>
      <c r="B11398" s="63" t="s">
        <v>12048</v>
      </c>
    </row>
    <row r="11399" spans="1:2" x14ac:dyDescent="0.25">
      <c r="A11399" s="62">
        <v>46181801</v>
      </c>
      <c r="B11399" s="63" t="s">
        <v>12049</v>
      </c>
    </row>
    <row r="11400" spans="1:2" x14ac:dyDescent="0.25">
      <c r="A11400" s="62">
        <v>46181802</v>
      </c>
      <c r="B11400" s="63" t="s">
        <v>12050</v>
      </c>
    </row>
    <row r="11401" spans="1:2" x14ac:dyDescent="0.25">
      <c r="A11401" s="62">
        <v>46181803</v>
      </c>
      <c r="B11401" s="63" t="s">
        <v>10208</v>
      </c>
    </row>
    <row r="11402" spans="1:2" x14ac:dyDescent="0.25">
      <c r="A11402" s="62">
        <v>46181804</v>
      </c>
      <c r="B11402" s="63" t="s">
        <v>12051</v>
      </c>
    </row>
    <row r="11403" spans="1:2" x14ac:dyDescent="0.25">
      <c r="A11403" s="62">
        <v>46181805</v>
      </c>
      <c r="B11403" s="63" t="s">
        <v>12052</v>
      </c>
    </row>
    <row r="11404" spans="1:2" x14ac:dyDescent="0.25">
      <c r="A11404" s="62">
        <v>46181806</v>
      </c>
      <c r="B11404" s="63" t="s">
        <v>12053</v>
      </c>
    </row>
    <row r="11405" spans="1:2" x14ac:dyDescent="0.25">
      <c r="A11405" s="62">
        <v>46181808</v>
      </c>
      <c r="B11405" s="63" t="s">
        <v>12054</v>
      </c>
    </row>
    <row r="11406" spans="1:2" x14ac:dyDescent="0.25">
      <c r="A11406" s="62">
        <v>46181809</v>
      </c>
      <c r="B11406" s="63" t="s">
        <v>12055</v>
      </c>
    </row>
    <row r="11407" spans="1:2" x14ac:dyDescent="0.25">
      <c r="A11407" s="62">
        <v>46181810</v>
      </c>
      <c r="B11407" s="63" t="s">
        <v>12056</v>
      </c>
    </row>
    <row r="11408" spans="1:2" x14ac:dyDescent="0.25">
      <c r="A11408" s="62">
        <v>46181811</v>
      </c>
      <c r="B11408" s="63" t="s">
        <v>12057</v>
      </c>
    </row>
    <row r="11409" spans="1:2" x14ac:dyDescent="0.25">
      <c r="A11409" s="62">
        <v>46181901</v>
      </c>
      <c r="B11409" s="63" t="s">
        <v>12058</v>
      </c>
    </row>
    <row r="11410" spans="1:2" x14ac:dyDescent="0.25">
      <c r="A11410" s="62">
        <v>46181902</v>
      </c>
      <c r="B11410" s="63" t="s">
        <v>12059</v>
      </c>
    </row>
    <row r="11411" spans="1:2" x14ac:dyDescent="0.25">
      <c r="A11411" s="62">
        <v>46181903</v>
      </c>
      <c r="B11411" s="63" t="s">
        <v>12060</v>
      </c>
    </row>
    <row r="11412" spans="1:2" x14ac:dyDescent="0.25">
      <c r="A11412" s="62">
        <v>46182001</v>
      </c>
      <c r="B11412" s="63" t="s">
        <v>12061</v>
      </c>
    </row>
    <row r="11413" spans="1:2" x14ac:dyDescent="0.25">
      <c r="A11413" s="62">
        <v>46182002</v>
      </c>
      <c r="B11413" s="63" t="s">
        <v>12062</v>
      </c>
    </row>
    <row r="11414" spans="1:2" x14ac:dyDescent="0.25">
      <c r="A11414" s="62">
        <v>46182003</v>
      </c>
      <c r="B11414" s="63" t="s">
        <v>12063</v>
      </c>
    </row>
    <row r="11415" spans="1:2" x14ac:dyDescent="0.25">
      <c r="A11415" s="62">
        <v>46182004</v>
      </c>
      <c r="B11415" s="63" t="s">
        <v>12064</v>
      </c>
    </row>
    <row r="11416" spans="1:2" x14ac:dyDescent="0.25">
      <c r="A11416" s="62">
        <v>46182005</v>
      </c>
      <c r="B11416" s="63" t="s">
        <v>12065</v>
      </c>
    </row>
    <row r="11417" spans="1:2" x14ac:dyDescent="0.25">
      <c r="A11417" s="62">
        <v>46182006</v>
      </c>
      <c r="B11417" s="63" t="s">
        <v>12066</v>
      </c>
    </row>
    <row r="11418" spans="1:2" x14ac:dyDescent="0.25">
      <c r="A11418" s="62">
        <v>46182007</v>
      </c>
      <c r="B11418" s="63" t="s">
        <v>12067</v>
      </c>
    </row>
    <row r="11419" spans="1:2" x14ac:dyDescent="0.25">
      <c r="A11419" s="62">
        <v>46182101</v>
      </c>
      <c r="B11419" s="63" t="s">
        <v>12068</v>
      </c>
    </row>
    <row r="11420" spans="1:2" x14ac:dyDescent="0.25">
      <c r="A11420" s="62">
        <v>46182102</v>
      </c>
      <c r="B11420" s="63" t="s">
        <v>12069</v>
      </c>
    </row>
    <row r="11421" spans="1:2" x14ac:dyDescent="0.25">
      <c r="A11421" s="62">
        <v>46182103</v>
      </c>
      <c r="B11421" s="63" t="s">
        <v>12070</v>
      </c>
    </row>
    <row r="11422" spans="1:2" x14ac:dyDescent="0.25">
      <c r="A11422" s="62">
        <v>46182104</v>
      </c>
      <c r="B11422" s="63" t="s">
        <v>12071</v>
      </c>
    </row>
    <row r="11423" spans="1:2" x14ac:dyDescent="0.25">
      <c r="A11423" s="62">
        <v>46182105</v>
      </c>
      <c r="B11423" s="63" t="s">
        <v>12072</v>
      </c>
    </row>
    <row r="11424" spans="1:2" x14ac:dyDescent="0.25">
      <c r="A11424" s="62">
        <v>46182106</v>
      </c>
      <c r="B11424" s="63" t="s">
        <v>12073</v>
      </c>
    </row>
    <row r="11425" spans="1:2" x14ac:dyDescent="0.25">
      <c r="A11425" s="62">
        <v>46182107</v>
      </c>
      <c r="B11425" s="63" t="s">
        <v>12074</v>
      </c>
    </row>
    <row r="11426" spans="1:2" x14ac:dyDescent="0.25">
      <c r="A11426" s="62">
        <v>46182108</v>
      </c>
      <c r="B11426" s="63" t="s">
        <v>12075</v>
      </c>
    </row>
    <row r="11427" spans="1:2" x14ac:dyDescent="0.25">
      <c r="A11427" s="62">
        <v>46182201</v>
      </c>
      <c r="B11427" s="63" t="s">
        <v>12076</v>
      </c>
    </row>
    <row r="11428" spans="1:2" x14ac:dyDescent="0.25">
      <c r="A11428" s="62">
        <v>46182202</v>
      </c>
      <c r="B11428" s="63" t="s">
        <v>12077</v>
      </c>
    </row>
    <row r="11429" spans="1:2" x14ac:dyDescent="0.25">
      <c r="A11429" s="62">
        <v>46182203</v>
      </c>
      <c r="B11429" s="63" t="s">
        <v>12078</v>
      </c>
    </row>
    <row r="11430" spans="1:2" x14ac:dyDescent="0.25">
      <c r="A11430" s="62">
        <v>46182204</v>
      </c>
      <c r="B11430" s="63" t="s">
        <v>12079</v>
      </c>
    </row>
    <row r="11431" spans="1:2" x14ac:dyDescent="0.25">
      <c r="A11431" s="62">
        <v>46182205</v>
      </c>
      <c r="B11431" s="63" t="s">
        <v>12080</v>
      </c>
    </row>
    <row r="11432" spans="1:2" x14ac:dyDescent="0.25">
      <c r="A11432" s="62">
        <v>46182206</v>
      </c>
      <c r="B11432" s="63" t="s">
        <v>12081</v>
      </c>
    </row>
    <row r="11433" spans="1:2" x14ac:dyDescent="0.25">
      <c r="A11433" s="62">
        <v>46182207</v>
      </c>
      <c r="B11433" s="63" t="s">
        <v>12082</v>
      </c>
    </row>
    <row r="11434" spans="1:2" x14ac:dyDescent="0.25">
      <c r="A11434" s="62">
        <v>46182208</v>
      </c>
      <c r="B11434" s="63" t="s">
        <v>12083</v>
      </c>
    </row>
    <row r="11435" spans="1:2" x14ac:dyDescent="0.25">
      <c r="A11435" s="62">
        <v>46182209</v>
      </c>
      <c r="B11435" s="63" t="s">
        <v>12084</v>
      </c>
    </row>
    <row r="11436" spans="1:2" x14ac:dyDescent="0.25">
      <c r="A11436" s="62">
        <v>46182301</v>
      </c>
      <c r="B11436" s="63" t="s">
        <v>12085</v>
      </c>
    </row>
    <row r="11437" spans="1:2" x14ac:dyDescent="0.25">
      <c r="A11437" s="62">
        <v>46182302</v>
      </c>
      <c r="B11437" s="63" t="s">
        <v>12086</v>
      </c>
    </row>
    <row r="11438" spans="1:2" x14ac:dyDescent="0.25">
      <c r="A11438" s="62">
        <v>46182303</v>
      </c>
      <c r="B11438" s="63" t="s">
        <v>12087</v>
      </c>
    </row>
    <row r="11439" spans="1:2" x14ac:dyDescent="0.25">
      <c r="A11439" s="62">
        <v>46182304</v>
      </c>
      <c r="B11439" s="63" t="s">
        <v>12088</v>
      </c>
    </row>
    <row r="11440" spans="1:2" x14ac:dyDescent="0.25">
      <c r="A11440" s="62">
        <v>46182305</v>
      </c>
      <c r="B11440" s="63" t="s">
        <v>12089</v>
      </c>
    </row>
    <row r="11441" spans="1:2" x14ac:dyDescent="0.25">
      <c r="A11441" s="62">
        <v>46182306</v>
      </c>
      <c r="B11441" s="63" t="s">
        <v>12090</v>
      </c>
    </row>
    <row r="11442" spans="1:2" x14ac:dyDescent="0.25">
      <c r="A11442" s="62">
        <v>46182401</v>
      </c>
      <c r="B11442" s="63" t="s">
        <v>12091</v>
      </c>
    </row>
    <row r="11443" spans="1:2" x14ac:dyDescent="0.25">
      <c r="A11443" s="62">
        <v>46182402</v>
      </c>
      <c r="B11443" s="63" t="s">
        <v>12092</v>
      </c>
    </row>
    <row r="11444" spans="1:2" x14ac:dyDescent="0.25">
      <c r="A11444" s="62">
        <v>46182501</v>
      </c>
      <c r="B11444" s="63" t="s">
        <v>12093</v>
      </c>
    </row>
    <row r="11445" spans="1:2" x14ac:dyDescent="0.25">
      <c r="A11445" s="62">
        <v>46191501</v>
      </c>
      <c r="B11445" s="63" t="s">
        <v>12094</v>
      </c>
    </row>
    <row r="11446" spans="1:2" x14ac:dyDescent="0.25">
      <c r="A11446" s="62">
        <v>46191502</v>
      </c>
      <c r="B11446" s="63" t="s">
        <v>12095</v>
      </c>
    </row>
    <row r="11447" spans="1:2" x14ac:dyDescent="0.25">
      <c r="A11447" s="62">
        <v>46191503</v>
      </c>
      <c r="B11447" s="63" t="s">
        <v>12096</v>
      </c>
    </row>
    <row r="11448" spans="1:2" x14ac:dyDescent="0.25">
      <c r="A11448" s="62">
        <v>46191504</v>
      </c>
      <c r="B11448" s="63" t="s">
        <v>12097</v>
      </c>
    </row>
    <row r="11449" spans="1:2" x14ac:dyDescent="0.25">
      <c r="A11449" s="62">
        <v>46191505</v>
      </c>
      <c r="B11449" s="63" t="s">
        <v>12098</v>
      </c>
    </row>
    <row r="11450" spans="1:2" x14ac:dyDescent="0.25">
      <c r="A11450" s="62">
        <v>46191601</v>
      </c>
      <c r="B11450" s="63" t="s">
        <v>12099</v>
      </c>
    </row>
    <row r="11451" spans="1:2" x14ac:dyDescent="0.25">
      <c r="A11451" s="62">
        <v>46191602</v>
      </c>
      <c r="B11451" s="63" t="s">
        <v>12100</v>
      </c>
    </row>
    <row r="11452" spans="1:2" x14ac:dyDescent="0.25">
      <c r="A11452" s="62">
        <v>46191603</v>
      </c>
      <c r="B11452" s="63" t="s">
        <v>12101</v>
      </c>
    </row>
    <row r="11453" spans="1:2" x14ac:dyDescent="0.25">
      <c r="A11453" s="62">
        <v>46191604</v>
      </c>
      <c r="B11453" s="63" t="s">
        <v>12102</v>
      </c>
    </row>
    <row r="11454" spans="1:2" x14ac:dyDescent="0.25">
      <c r="A11454" s="62">
        <v>46191605</v>
      </c>
      <c r="B11454" s="63" t="s">
        <v>12103</v>
      </c>
    </row>
    <row r="11455" spans="1:2" x14ac:dyDescent="0.25">
      <c r="A11455" s="62">
        <v>46191606</v>
      </c>
      <c r="B11455" s="63" t="s">
        <v>12104</v>
      </c>
    </row>
    <row r="11456" spans="1:2" x14ac:dyDescent="0.25">
      <c r="A11456" s="62">
        <v>46191607</v>
      </c>
      <c r="B11456" s="63" t="s">
        <v>12105</v>
      </c>
    </row>
    <row r="11457" spans="1:2" x14ac:dyDescent="0.25">
      <c r="A11457" s="62">
        <v>46191608</v>
      </c>
      <c r="B11457" s="63" t="s">
        <v>12106</v>
      </c>
    </row>
    <row r="11458" spans="1:2" x14ac:dyDescent="0.25">
      <c r="A11458" s="62">
        <v>46191609</v>
      </c>
      <c r="B11458" s="63" t="s">
        <v>12107</v>
      </c>
    </row>
    <row r="11459" spans="1:2" x14ac:dyDescent="0.25">
      <c r="A11459" s="62">
        <v>46191610</v>
      </c>
      <c r="B11459" s="63" t="s">
        <v>12108</v>
      </c>
    </row>
    <row r="11460" spans="1:2" x14ac:dyDescent="0.25">
      <c r="A11460" s="62">
        <v>47101501</v>
      </c>
      <c r="B11460" s="63" t="s">
        <v>12109</v>
      </c>
    </row>
    <row r="11461" spans="1:2" x14ac:dyDescent="0.25">
      <c r="A11461" s="62">
        <v>47101502</v>
      </c>
      <c r="B11461" s="63" t="s">
        <v>12110</v>
      </c>
    </row>
    <row r="11462" spans="1:2" x14ac:dyDescent="0.25">
      <c r="A11462" s="62">
        <v>47101503</v>
      </c>
      <c r="B11462" s="63" t="s">
        <v>12111</v>
      </c>
    </row>
    <row r="11463" spans="1:2" x14ac:dyDescent="0.25">
      <c r="A11463" s="62">
        <v>47101504</v>
      </c>
      <c r="B11463" s="63" t="s">
        <v>12112</v>
      </c>
    </row>
    <row r="11464" spans="1:2" x14ac:dyDescent="0.25">
      <c r="A11464" s="62">
        <v>47101505</v>
      </c>
      <c r="B11464" s="63" t="s">
        <v>12113</v>
      </c>
    </row>
    <row r="11465" spans="1:2" x14ac:dyDescent="0.25">
      <c r="A11465" s="62">
        <v>47101506</v>
      </c>
      <c r="B11465" s="63" t="s">
        <v>12114</v>
      </c>
    </row>
    <row r="11466" spans="1:2" x14ac:dyDescent="0.25">
      <c r="A11466" s="62">
        <v>47101507</v>
      </c>
      <c r="B11466" s="63" t="s">
        <v>12115</v>
      </c>
    </row>
    <row r="11467" spans="1:2" x14ac:dyDescent="0.25">
      <c r="A11467" s="62">
        <v>47101508</v>
      </c>
      <c r="B11467" s="63" t="s">
        <v>12116</v>
      </c>
    </row>
    <row r="11468" spans="1:2" x14ac:dyDescent="0.25">
      <c r="A11468" s="62">
        <v>47101509</v>
      </c>
      <c r="B11468" s="63" t="s">
        <v>12117</v>
      </c>
    </row>
    <row r="11469" spans="1:2" x14ac:dyDescent="0.25">
      <c r="A11469" s="62">
        <v>47101510</v>
      </c>
      <c r="B11469" s="63" t="s">
        <v>12118</v>
      </c>
    </row>
    <row r="11470" spans="1:2" x14ac:dyDescent="0.25">
      <c r="A11470" s="62">
        <v>47101511</v>
      </c>
      <c r="B11470" s="63" t="s">
        <v>12119</v>
      </c>
    </row>
    <row r="11471" spans="1:2" x14ac:dyDescent="0.25">
      <c r="A11471" s="62">
        <v>47101512</v>
      </c>
      <c r="B11471" s="63" t="s">
        <v>12120</v>
      </c>
    </row>
    <row r="11472" spans="1:2" x14ac:dyDescent="0.25">
      <c r="A11472" s="62">
        <v>47101513</v>
      </c>
      <c r="B11472" s="63" t="s">
        <v>12121</v>
      </c>
    </row>
    <row r="11473" spans="1:2" x14ac:dyDescent="0.25">
      <c r="A11473" s="62">
        <v>47101514</v>
      </c>
      <c r="B11473" s="63" t="s">
        <v>12122</v>
      </c>
    </row>
    <row r="11474" spans="1:2" x14ac:dyDescent="0.25">
      <c r="A11474" s="62">
        <v>47101516</v>
      </c>
      <c r="B11474" s="63" t="s">
        <v>12123</v>
      </c>
    </row>
    <row r="11475" spans="1:2" x14ac:dyDescent="0.25">
      <c r="A11475" s="62">
        <v>47101517</v>
      </c>
      <c r="B11475" s="63" t="s">
        <v>12124</v>
      </c>
    </row>
    <row r="11476" spans="1:2" x14ac:dyDescent="0.25">
      <c r="A11476" s="62">
        <v>47101518</v>
      </c>
      <c r="B11476" s="63" t="s">
        <v>12125</v>
      </c>
    </row>
    <row r="11477" spans="1:2" x14ac:dyDescent="0.25">
      <c r="A11477" s="62">
        <v>47101519</v>
      </c>
      <c r="B11477" s="63" t="s">
        <v>12126</v>
      </c>
    </row>
    <row r="11478" spans="1:2" x14ac:dyDescent="0.25">
      <c r="A11478" s="62">
        <v>47101521</v>
      </c>
      <c r="B11478" s="63" t="s">
        <v>12127</v>
      </c>
    </row>
    <row r="11479" spans="1:2" x14ac:dyDescent="0.25">
      <c r="A11479" s="62">
        <v>47101522</v>
      </c>
      <c r="B11479" s="63" t="s">
        <v>12128</v>
      </c>
    </row>
    <row r="11480" spans="1:2" x14ac:dyDescent="0.25">
      <c r="A11480" s="62">
        <v>47101523</v>
      </c>
      <c r="B11480" s="63" t="s">
        <v>12129</v>
      </c>
    </row>
    <row r="11481" spans="1:2" x14ac:dyDescent="0.25">
      <c r="A11481" s="62">
        <v>47101524</v>
      </c>
      <c r="B11481" s="63" t="s">
        <v>12130</v>
      </c>
    </row>
    <row r="11482" spans="1:2" x14ac:dyDescent="0.25">
      <c r="A11482" s="62">
        <v>47101525</v>
      </c>
      <c r="B11482" s="63" t="s">
        <v>12131</v>
      </c>
    </row>
    <row r="11483" spans="1:2" x14ac:dyDescent="0.25">
      <c r="A11483" s="62">
        <v>47101526</v>
      </c>
      <c r="B11483" s="63" t="s">
        <v>12132</v>
      </c>
    </row>
    <row r="11484" spans="1:2" x14ac:dyDescent="0.25">
      <c r="A11484" s="62">
        <v>47101527</v>
      </c>
      <c r="B11484" s="63" t="s">
        <v>12133</v>
      </c>
    </row>
    <row r="11485" spans="1:2" x14ac:dyDescent="0.25">
      <c r="A11485" s="62">
        <v>47101528</v>
      </c>
      <c r="B11485" s="63" t="s">
        <v>12134</v>
      </c>
    </row>
    <row r="11486" spans="1:2" x14ac:dyDescent="0.25">
      <c r="A11486" s="62">
        <v>47101529</v>
      </c>
      <c r="B11486" s="63" t="s">
        <v>12135</v>
      </c>
    </row>
    <row r="11487" spans="1:2" x14ac:dyDescent="0.25">
      <c r="A11487" s="62">
        <v>47101530</v>
      </c>
      <c r="B11487" s="63" t="s">
        <v>12136</v>
      </c>
    </row>
    <row r="11488" spans="1:2" x14ac:dyDescent="0.25">
      <c r="A11488" s="62">
        <v>47101531</v>
      </c>
      <c r="B11488" s="63" t="s">
        <v>12137</v>
      </c>
    </row>
    <row r="11489" spans="1:2" x14ac:dyDescent="0.25">
      <c r="A11489" s="62">
        <v>47101532</v>
      </c>
      <c r="B11489" s="63" t="s">
        <v>12138</v>
      </c>
    </row>
    <row r="11490" spans="1:2" x14ac:dyDescent="0.25">
      <c r="A11490" s="62">
        <v>47101533</v>
      </c>
      <c r="B11490" s="63" t="s">
        <v>12139</v>
      </c>
    </row>
    <row r="11491" spans="1:2" x14ac:dyDescent="0.25">
      <c r="A11491" s="62">
        <v>47101534</v>
      </c>
      <c r="B11491" s="63" t="s">
        <v>12140</v>
      </c>
    </row>
    <row r="11492" spans="1:2" x14ac:dyDescent="0.25">
      <c r="A11492" s="62">
        <v>47101535</v>
      </c>
      <c r="B11492" s="63" t="s">
        <v>12141</v>
      </c>
    </row>
    <row r="11493" spans="1:2" x14ac:dyDescent="0.25">
      <c r="A11493" s="62">
        <v>47101536</v>
      </c>
      <c r="B11493" s="63" t="s">
        <v>12142</v>
      </c>
    </row>
    <row r="11494" spans="1:2" x14ac:dyDescent="0.25">
      <c r="A11494" s="62">
        <v>47101537</v>
      </c>
      <c r="B11494" s="63" t="s">
        <v>12143</v>
      </c>
    </row>
    <row r="11495" spans="1:2" x14ac:dyDescent="0.25">
      <c r="A11495" s="62">
        <v>47101538</v>
      </c>
      <c r="B11495" s="63" t="s">
        <v>12144</v>
      </c>
    </row>
    <row r="11496" spans="1:2" x14ac:dyDescent="0.25">
      <c r="A11496" s="62">
        <v>47101539</v>
      </c>
      <c r="B11496" s="63" t="s">
        <v>12145</v>
      </c>
    </row>
    <row r="11497" spans="1:2" x14ac:dyDescent="0.25">
      <c r="A11497" s="62">
        <v>47101601</v>
      </c>
      <c r="B11497" s="63" t="s">
        <v>12146</v>
      </c>
    </row>
    <row r="11498" spans="1:2" x14ac:dyDescent="0.25">
      <c r="A11498" s="62">
        <v>47101602</v>
      </c>
      <c r="B11498" s="63" t="s">
        <v>12147</v>
      </c>
    </row>
    <row r="11499" spans="1:2" x14ac:dyDescent="0.25">
      <c r="A11499" s="62">
        <v>47101603</v>
      </c>
      <c r="B11499" s="63" t="s">
        <v>12148</v>
      </c>
    </row>
    <row r="11500" spans="1:2" x14ac:dyDescent="0.25">
      <c r="A11500" s="62">
        <v>47101604</v>
      </c>
      <c r="B11500" s="63" t="s">
        <v>12149</v>
      </c>
    </row>
    <row r="11501" spans="1:2" x14ac:dyDescent="0.25">
      <c r="A11501" s="62">
        <v>47101605</v>
      </c>
      <c r="B11501" s="63" t="s">
        <v>12150</v>
      </c>
    </row>
    <row r="11502" spans="1:2" x14ac:dyDescent="0.25">
      <c r="A11502" s="62">
        <v>47101606</v>
      </c>
      <c r="B11502" s="63" t="s">
        <v>12151</v>
      </c>
    </row>
    <row r="11503" spans="1:2" x14ac:dyDescent="0.25">
      <c r="A11503" s="62">
        <v>47101607</v>
      </c>
      <c r="B11503" s="63" t="s">
        <v>12152</v>
      </c>
    </row>
    <row r="11504" spans="1:2" x14ac:dyDescent="0.25">
      <c r="A11504" s="62">
        <v>47101608</v>
      </c>
      <c r="B11504" s="63" t="s">
        <v>12153</v>
      </c>
    </row>
    <row r="11505" spans="1:2" x14ac:dyDescent="0.25">
      <c r="A11505" s="62">
        <v>47101609</v>
      </c>
      <c r="B11505" s="63" t="s">
        <v>12154</v>
      </c>
    </row>
    <row r="11506" spans="1:2" x14ac:dyDescent="0.25">
      <c r="A11506" s="62">
        <v>47101610</v>
      </c>
      <c r="B11506" s="63" t="s">
        <v>12155</v>
      </c>
    </row>
    <row r="11507" spans="1:2" x14ac:dyDescent="0.25">
      <c r="A11507" s="62">
        <v>47101611</v>
      </c>
      <c r="B11507" s="63" t="s">
        <v>12156</v>
      </c>
    </row>
    <row r="11508" spans="1:2" x14ac:dyDescent="0.25">
      <c r="A11508" s="62">
        <v>47101612</v>
      </c>
      <c r="B11508" s="63" t="s">
        <v>12157</v>
      </c>
    </row>
    <row r="11509" spans="1:2" x14ac:dyDescent="0.25">
      <c r="A11509" s="62">
        <v>47101613</v>
      </c>
      <c r="B11509" s="63" t="s">
        <v>12158</v>
      </c>
    </row>
    <row r="11510" spans="1:2" x14ac:dyDescent="0.25">
      <c r="A11510" s="62">
        <v>47111501</v>
      </c>
      <c r="B11510" s="63" t="s">
        <v>12159</v>
      </c>
    </row>
    <row r="11511" spans="1:2" x14ac:dyDescent="0.25">
      <c r="A11511" s="62">
        <v>47111502</v>
      </c>
      <c r="B11511" s="63" t="s">
        <v>12160</v>
      </c>
    </row>
    <row r="11512" spans="1:2" x14ac:dyDescent="0.25">
      <c r="A11512" s="62">
        <v>47111503</v>
      </c>
      <c r="B11512" s="63" t="s">
        <v>12161</v>
      </c>
    </row>
    <row r="11513" spans="1:2" x14ac:dyDescent="0.25">
      <c r="A11513" s="62">
        <v>47111505</v>
      </c>
      <c r="B11513" s="63" t="s">
        <v>12162</v>
      </c>
    </row>
    <row r="11514" spans="1:2" x14ac:dyDescent="0.25">
      <c r="A11514" s="62">
        <v>47111601</v>
      </c>
      <c r="B11514" s="63" t="s">
        <v>12163</v>
      </c>
    </row>
    <row r="11515" spans="1:2" x14ac:dyDescent="0.25">
      <c r="A11515" s="62">
        <v>47111602</v>
      </c>
      <c r="B11515" s="63" t="s">
        <v>12164</v>
      </c>
    </row>
    <row r="11516" spans="1:2" x14ac:dyDescent="0.25">
      <c r="A11516" s="62">
        <v>47111603</v>
      </c>
      <c r="B11516" s="63" t="s">
        <v>12165</v>
      </c>
    </row>
    <row r="11517" spans="1:2" x14ac:dyDescent="0.25">
      <c r="A11517" s="62">
        <v>47111701</v>
      </c>
      <c r="B11517" s="63" t="s">
        <v>12166</v>
      </c>
    </row>
    <row r="11518" spans="1:2" x14ac:dyDescent="0.25">
      <c r="A11518" s="62">
        <v>47121501</v>
      </c>
      <c r="B11518" s="63" t="s">
        <v>12167</v>
      </c>
    </row>
    <row r="11519" spans="1:2" x14ac:dyDescent="0.25">
      <c r="A11519" s="62">
        <v>47121502</v>
      </c>
      <c r="B11519" s="63" t="s">
        <v>12168</v>
      </c>
    </row>
    <row r="11520" spans="1:2" x14ac:dyDescent="0.25">
      <c r="A11520" s="62">
        <v>47121602</v>
      </c>
      <c r="B11520" s="63" t="s">
        <v>12169</v>
      </c>
    </row>
    <row r="11521" spans="1:2" x14ac:dyDescent="0.25">
      <c r="A11521" s="62">
        <v>47121603</v>
      </c>
      <c r="B11521" s="63" t="s">
        <v>12170</v>
      </c>
    </row>
    <row r="11522" spans="1:2" x14ac:dyDescent="0.25">
      <c r="A11522" s="62">
        <v>47121604</v>
      </c>
      <c r="B11522" s="63" t="s">
        <v>12171</v>
      </c>
    </row>
    <row r="11523" spans="1:2" x14ac:dyDescent="0.25">
      <c r="A11523" s="62">
        <v>47121605</v>
      </c>
      <c r="B11523" s="63" t="s">
        <v>12172</v>
      </c>
    </row>
    <row r="11524" spans="1:2" x14ac:dyDescent="0.25">
      <c r="A11524" s="62">
        <v>47121606</v>
      </c>
      <c r="B11524" s="63" t="s">
        <v>12173</v>
      </c>
    </row>
    <row r="11525" spans="1:2" x14ac:dyDescent="0.25">
      <c r="A11525" s="62">
        <v>47121607</v>
      </c>
      <c r="B11525" s="63" t="s">
        <v>12174</v>
      </c>
    </row>
    <row r="11526" spans="1:2" x14ac:dyDescent="0.25">
      <c r="A11526" s="62">
        <v>47121608</v>
      </c>
      <c r="B11526" s="63" t="s">
        <v>12175</v>
      </c>
    </row>
    <row r="11527" spans="1:2" x14ac:dyDescent="0.25">
      <c r="A11527" s="62">
        <v>47121609</v>
      </c>
      <c r="B11527" s="63" t="s">
        <v>12176</v>
      </c>
    </row>
    <row r="11528" spans="1:2" x14ac:dyDescent="0.25">
      <c r="A11528" s="62">
        <v>47121610</v>
      </c>
      <c r="B11528" s="63" t="s">
        <v>12177</v>
      </c>
    </row>
    <row r="11529" spans="1:2" x14ac:dyDescent="0.25">
      <c r="A11529" s="62">
        <v>47121611</v>
      </c>
      <c r="B11529" s="63" t="s">
        <v>12178</v>
      </c>
    </row>
    <row r="11530" spans="1:2" x14ac:dyDescent="0.25">
      <c r="A11530" s="62">
        <v>47121612</v>
      </c>
      <c r="B11530" s="63" t="s">
        <v>12179</v>
      </c>
    </row>
    <row r="11531" spans="1:2" x14ac:dyDescent="0.25">
      <c r="A11531" s="62">
        <v>47121613</v>
      </c>
      <c r="B11531" s="63" t="s">
        <v>12180</v>
      </c>
    </row>
    <row r="11532" spans="1:2" x14ac:dyDescent="0.25">
      <c r="A11532" s="62">
        <v>47121701</v>
      </c>
      <c r="B11532" s="63" t="s">
        <v>12181</v>
      </c>
    </row>
    <row r="11533" spans="1:2" x14ac:dyDescent="0.25">
      <c r="A11533" s="62">
        <v>47121702</v>
      </c>
      <c r="B11533" s="63" t="s">
        <v>12182</v>
      </c>
    </row>
    <row r="11534" spans="1:2" x14ac:dyDescent="0.25">
      <c r="A11534" s="62">
        <v>47121703</v>
      </c>
      <c r="B11534" s="63" t="s">
        <v>12183</v>
      </c>
    </row>
    <row r="11535" spans="1:2" x14ac:dyDescent="0.25">
      <c r="A11535" s="62">
        <v>47121704</v>
      </c>
      <c r="B11535" s="63" t="s">
        <v>12184</v>
      </c>
    </row>
    <row r="11536" spans="1:2" x14ac:dyDescent="0.25">
      <c r="A11536" s="62">
        <v>47121705</v>
      </c>
      <c r="B11536" s="63" t="s">
        <v>12185</v>
      </c>
    </row>
    <row r="11537" spans="1:2" x14ac:dyDescent="0.25">
      <c r="A11537" s="62">
        <v>47121706</v>
      </c>
      <c r="B11537" s="63" t="s">
        <v>12186</v>
      </c>
    </row>
    <row r="11538" spans="1:2" x14ac:dyDescent="0.25">
      <c r="A11538" s="62">
        <v>47121707</v>
      </c>
      <c r="B11538" s="63" t="s">
        <v>12187</v>
      </c>
    </row>
    <row r="11539" spans="1:2" x14ac:dyDescent="0.25">
      <c r="A11539" s="62">
        <v>47121708</v>
      </c>
      <c r="B11539" s="63" t="s">
        <v>12188</v>
      </c>
    </row>
    <row r="11540" spans="1:2" x14ac:dyDescent="0.25">
      <c r="A11540" s="62">
        <v>47121801</v>
      </c>
      <c r="B11540" s="63" t="s">
        <v>12189</v>
      </c>
    </row>
    <row r="11541" spans="1:2" x14ac:dyDescent="0.25">
      <c r="A11541" s="62">
        <v>47121802</v>
      </c>
      <c r="B11541" s="63" t="s">
        <v>12190</v>
      </c>
    </row>
    <row r="11542" spans="1:2" x14ac:dyDescent="0.25">
      <c r="A11542" s="62">
        <v>47121803</v>
      </c>
      <c r="B11542" s="63" t="s">
        <v>12191</v>
      </c>
    </row>
    <row r="11543" spans="1:2" x14ac:dyDescent="0.25">
      <c r="A11543" s="62">
        <v>47121804</v>
      </c>
      <c r="B11543" s="63" t="s">
        <v>12192</v>
      </c>
    </row>
    <row r="11544" spans="1:2" x14ac:dyDescent="0.25">
      <c r="A11544" s="62">
        <v>47121805</v>
      </c>
      <c r="B11544" s="63" t="s">
        <v>12193</v>
      </c>
    </row>
    <row r="11545" spans="1:2" x14ac:dyDescent="0.25">
      <c r="A11545" s="62">
        <v>47121806</v>
      </c>
      <c r="B11545" s="63" t="s">
        <v>12194</v>
      </c>
    </row>
    <row r="11546" spans="1:2" x14ac:dyDescent="0.25">
      <c r="A11546" s="62">
        <v>47121807</v>
      </c>
      <c r="B11546" s="63" t="s">
        <v>12195</v>
      </c>
    </row>
    <row r="11547" spans="1:2" x14ac:dyDescent="0.25">
      <c r="A11547" s="62">
        <v>47121808</v>
      </c>
      <c r="B11547" s="63" t="s">
        <v>12196</v>
      </c>
    </row>
    <row r="11548" spans="1:2" x14ac:dyDescent="0.25">
      <c r="A11548" s="62">
        <v>47121809</v>
      </c>
      <c r="B11548" s="63" t="s">
        <v>12197</v>
      </c>
    </row>
    <row r="11549" spans="1:2" x14ac:dyDescent="0.25">
      <c r="A11549" s="62">
        <v>47121810</v>
      </c>
      <c r="B11549" s="63" t="s">
        <v>12198</v>
      </c>
    </row>
    <row r="11550" spans="1:2" x14ac:dyDescent="0.25">
      <c r="A11550" s="62">
        <v>47121811</v>
      </c>
      <c r="B11550" s="63" t="s">
        <v>12199</v>
      </c>
    </row>
    <row r="11551" spans="1:2" x14ac:dyDescent="0.25">
      <c r="A11551" s="62">
        <v>47121812</v>
      </c>
      <c r="B11551" s="63" t="s">
        <v>12200</v>
      </c>
    </row>
    <row r="11552" spans="1:2" x14ac:dyDescent="0.25">
      <c r="A11552" s="62">
        <v>47121813</v>
      </c>
      <c r="B11552" s="63" t="s">
        <v>12201</v>
      </c>
    </row>
    <row r="11553" spans="1:2" x14ac:dyDescent="0.25">
      <c r="A11553" s="62">
        <v>47121901</v>
      </c>
      <c r="B11553" s="63" t="s">
        <v>12202</v>
      </c>
    </row>
    <row r="11554" spans="1:2" x14ac:dyDescent="0.25">
      <c r="A11554" s="62">
        <v>47121902</v>
      </c>
      <c r="B11554" s="63" t="s">
        <v>12203</v>
      </c>
    </row>
    <row r="11555" spans="1:2" x14ac:dyDescent="0.25">
      <c r="A11555" s="62">
        <v>47121903</v>
      </c>
      <c r="B11555" s="63" t="s">
        <v>12204</v>
      </c>
    </row>
    <row r="11556" spans="1:2" x14ac:dyDescent="0.25">
      <c r="A11556" s="62">
        <v>47131501</v>
      </c>
      <c r="B11556" s="63" t="s">
        <v>12205</v>
      </c>
    </row>
    <row r="11557" spans="1:2" x14ac:dyDescent="0.25">
      <c r="A11557" s="62">
        <v>47131502</v>
      </c>
      <c r="B11557" s="63" t="s">
        <v>12206</v>
      </c>
    </row>
    <row r="11558" spans="1:2" x14ac:dyDescent="0.25">
      <c r="A11558" s="62">
        <v>47131503</v>
      </c>
      <c r="B11558" s="63" t="s">
        <v>12207</v>
      </c>
    </row>
    <row r="11559" spans="1:2" x14ac:dyDescent="0.25">
      <c r="A11559" s="62">
        <v>47131601</v>
      </c>
      <c r="B11559" s="63" t="s">
        <v>12208</v>
      </c>
    </row>
    <row r="11560" spans="1:2" x14ac:dyDescent="0.25">
      <c r="A11560" s="62">
        <v>47131602</v>
      </c>
      <c r="B11560" s="63" t="s">
        <v>12209</v>
      </c>
    </row>
    <row r="11561" spans="1:2" x14ac:dyDescent="0.25">
      <c r="A11561" s="62">
        <v>47131603</v>
      </c>
      <c r="B11561" s="63" t="s">
        <v>12210</v>
      </c>
    </row>
    <row r="11562" spans="1:2" x14ac:dyDescent="0.25">
      <c r="A11562" s="62">
        <v>47131604</v>
      </c>
      <c r="B11562" s="63" t="s">
        <v>12211</v>
      </c>
    </row>
    <row r="11563" spans="1:2" x14ac:dyDescent="0.25">
      <c r="A11563" s="62">
        <v>47131605</v>
      </c>
      <c r="B11563" s="63" t="s">
        <v>12212</v>
      </c>
    </row>
    <row r="11564" spans="1:2" x14ac:dyDescent="0.25">
      <c r="A11564" s="62">
        <v>47131608</v>
      </c>
      <c r="B11564" s="63" t="s">
        <v>12213</v>
      </c>
    </row>
    <row r="11565" spans="1:2" x14ac:dyDescent="0.25">
      <c r="A11565" s="62">
        <v>47131609</v>
      </c>
      <c r="B11565" s="63" t="s">
        <v>12214</v>
      </c>
    </row>
    <row r="11566" spans="1:2" x14ac:dyDescent="0.25">
      <c r="A11566" s="62">
        <v>47131610</v>
      </c>
      <c r="B11566" s="63" t="s">
        <v>12215</v>
      </c>
    </row>
    <row r="11567" spans="1:2" x14ac:dyDescent="0.25">
      <c r="A11567" s="62">
        <v>47131611</v>
      </c>
      <c r="B11567" s="63" t="s">
        <v>12216</v>
      </c>
    </row>
    <row r="11568" spans="1:2" x14ac:dyDescent="0.25">
      <c r="A11568" s="62">
        <v>47131612</v>
      </c>
      <c r="B11568" s="63" t="s">
        <v>12217</v>
      </c>
    </row>
    <row r="11569" spans="1:2" x14ac:dyDescent="0.25">
      <c r="A11569" s="62">
        <v>47131613</v>
      </c>
      <c r="B11569" s="63" t="s">
        <v>12218</v>
      </c>
    </row>
    <row r="11570" spans="1:2" x14ac:dyDescent="0.25">
      <c r="A11570" s="62">
        <v>47131614</v>
      </c>
      <c r="B11570" s="63" t="s">
        <v>12219</v>
      </c>
    </row>
    <row r="11571" spans="1:2" x14ac:dyDescent="0.25">
      <c r="A11571" s="62">
        <v>47131615</v>
      </c>
      <c r="B11571" s="63" t="s">
        <v>12220</v>
      </c>
    </row>
    <row r="11572" spans="1:2" x14ac:dyDescent="0.25">
      <c r="A11572" s="62">
        <v>47131616</v>
      </c>
      <c r="B11572" s="63" t="s">
        <v>12221</v>
      </c>
    </row>
    <row r="11573" spans="1:2" x14ac:dyDescent="0.25">
      <c r="A11573" s="62">
        <v>47131617</v>
      </c>
      <c r="B11573" s="63" t="s">
        <v>12222</v>
      </c>
    </row>
    <row r="11574" spans="1:2" x14ac:dyDescent="0.25">
      <c r="A11574" s="62">
        <v>47131618</v>
      </c>
      <c r="B11574" s="63" t="s">
        <v>12223</v>
      </c>
    </row>
    <row r="11575" spans="1:2" x14ac:dyDescent="0.25">
      <c r="A11575" s="62">
        <v>47131619</v>
      </c>
      <c r="B11575" s="63" t="s">
        <v>12224</v>
      </c>
    </row>
    <row r="11576" spans="1:2" x14ac:dyDescent="0.25">
      <c r="A11576" s="62">
        <v>47131701</v>
      </c>
      <c r="B11576" s="63" t="s">
        <v>12225</v>
      </c>
    </row>
    <row r="11577" spans="1:2" x14ac:dyDescent="0.25">
      <c r="A11577" s="62">
        <v>47131702</v>
      </c>
      <c r="B11577" s="63" t="s">
        <v>12226</v>
      </c>
    </row>
    <row r="11578" spans="1:2" x14ac:dyDescent="0.25">
      <c r="A11578" s="62">
        <v>47131703</v>
      </c>
      <c r="B11578" s="63" t="s">
        <v>12227</v>
      </c>
    </row>
    <row r="11579" spans="1:2" x14ac:dyDescent="0.25">
      <c r="A11579" s="62">
        <v>47131704</v>
      </c>
      <c r="B11579" s="63" t="s">
        <v>12228</v>
      </c>
    </row>
    <row r="11580" spans="1:2" x14ac:dyDescent="0.25">
      <c r="A11580" s="62">
        <v>47131705</v>
      </c>
      <c r="B11580" s="63" t="s">
        <v>12229</v>
      </c>
    </row>
    <row r="11581" spans="1:2" x14ac:dyDescent="0.25">
      <c r="A11581" s="62">
        <v>47131706</v>
      </c>
      <c r="B11581" s="63" t="s">
        <v>12230</v>
      </c>
    </row>
    <row r="11582" spans="1:2" x14ac:dyDescent="0.25">
      <c r="A11582" s="62">
        <v>47131707</v>
      </c>
      <c r="B11582" s="63" t="s">
        <v>12231</v>
      </c>
    </row>
    <row r="11583" spans="1:2" x14ac:dyDescent="0.25">
      <c r="A11583" s="62">
        <v>47131708</v>
      </c>
      <c r="B11583" s="63" t="s">
        <v>12232</v>
      </c>
    </row>
    <row r="11584" spans="1:2" x14ac:dyDescent="0.25">
      <c r="A11584" s="62">
        <v>47131709</v>
      </c>
      <c r="B11584" s="63" t="s">
        <v>12233</v>
      </c>
    </row>
    <row r="11585" spans="1:2" x14ac:dyDescent="0.25">
      <c r="A11585" s="62">
        <v>47131710</v>
      </c>
      <c r="B11585" s="63" t="s">
        <v>12234</v>
      </c>
    </row>
    <row r="11586" spans="1:2" x14ac:dyDescent="0.25">
      <c r="A11586" s="62">
        <v>47131711</v>
      </c>
      <c r="B11586" s="63" t="s">
        <v>12235</v>
      </c>
    </row>
    <row r="11587" spans="1:2" x14ac:dyDescent="0.25">
      <c r="A11587" s="62">
        <v>47131801</v>
      </c>
      <c r="B11587" s="63" t="s">
        <v>12236</v>
      </c>
    </row>
    <row r="11588" spans="1:2" x14ac:dyDescent="0.25">
      <c r="A11588" s="62">
        <v>47131802</v>
      </c>
      <c r="B11588" s="63" t="s">
        <v>12237</v>
      </c>
    </row>
    <row r="11589" spans="1:2" x14ac:dyDescent="0.25">
      <c r="A11589" s="62">
        <v>47131803</v>
      </c>
      <c r="B11589" s="63" t="s">
        <v>12238</v>
      </c>
    </row>
    <row r="11590" spans="1:2" x14ac:dyDescent="0.25">
      <c r="A11590" s="62">
        <v>47131804</v>
      </c>
      <c r="B11590" s="63" t="s">
        <v>12239</v>
      </c>
    </row>
    <row r="11591" spans="1:2" x14ac:dyDescent="0.25">
      <c r="A11591" s="62">
        <v>47131805</v>
      </c>
      <c r="B11591" s="63" t="s">
        <v>12240</v>
      </c>
    </row>
    <row r="11592" spans="1:2" x14ac:dyDescent="0.25">
      <c r="A11592" s="62">
        <v>47131806</v>
      </c>
      <c r="B11592" s="63" t="s">
        <v>12241</v>
      </c>
    </row>
    <row r="11593" spans="1:2" x14ac:dyDescent="0.25">
      <c r="A11593" s="62">
        <v>47131807</v>
      </c>
      <c r="B11593" s="63" t="s">
        <v>12242</v>
      </c>
    </row>
    <row r="11594" spans="1:2" x14ac:dyDescent="0.25">
      <c r="A11594" s="62">
        <v>47131808</v>
      </c>
      <c r="B11594" s="63" t="s">
        <v>12243</v>
      </c>
    </row>
    <row r="11595" spans="1:2" x14ac:dyDescent="0.25">
      <c r="A11595" s="62">
        <v>47131809</v>
      </c>
      <c r="B11595" s="63" t="s">
        <v>12244</v>
      </c>
    </row>
    <row r="11596" spans="1:2" x14ac:dyDescent="0.25">
      <c r="A11596" s="62">
        <v>47131810</v>
      </c>
      <c r="B11596" s="63" t="s">
        <v>12245</v>
      </c>
    </row>
    <row r="11597" spans="1:2" x14ac:dyDescent="0.25">
      <c r="A11597" s="62">
        <v>47131811</v>
      </c>
      <c r="B11597" s="63" t="s">
        <v>12246</v>
      </c>
    </row>
    <row r="11598" spans="1:2" x14ac:dyDescent="0.25">
      <c r="A11598" s="62">
        <v>47131812</v>
      </c>
      <c r="B11598" s="63" t="s">
        <v>12247</v>
      </c>
    </row>
    <row r="11599" spans="1:2" x14ac:dyDescent="0.25">
      <c r="A11599" s="62">
        <v>47131813</v>
      </c>
      <c r="B11599" s="63" t="s">
        <v>12248</v>
      </c>
    </row>
    <row r="11600" spans="1:2" x14ac:dyDescent="0.25">
      <c r="A11600" s="62">
        <v>47131814</v>
      </c>
      <c r="B11600" s="63" t="s">
        <v>12249</v>
      </c>
    </row>
    <row r="11601" spans="1:2" x14ac:dyDescent="0.25">
      <c r="A11601" s="62">
        <v>47131815</v>
      </c>
      <c r="B11601" s="63" t="s">
        <v>12250</v>
      </c>
    </row>
    <row r="11602" spans="1:2" x14ac:dyDescent="0.25">
      <c r="A11602" s="62">
        <v>47131816</v>
      </c>
      <c r="B11602" s="63" t="s">
        <v>12251</v>
      </c>
    </row>
    <row r="11603" spans="1:2" x14ac:dyDescent="0.25">
      <c r="A11603" s="62">
        <v>47131817</v>
      </c>
      <c r="B11603" s="63" t="s">
        <v>12252</v>
      </c>
    </row>
    <row r="11604" spans="1:2" x14ac:dyDescent="0.25">
      <c r="A11604" s="62">
        <v>47131818</v>
      </c>
      <c r="B11604" s="63" t="s">
        <v>12253</v>
      </c>
    </row>
    <row r="11605" spans="1:2" x14ac:dyDescent="0.25">
      <c r="A11605" s="62">
        <v>47131819</v>
      </c>
      <c r="B11605" s="63" t="s">
        <v>12254</v>
      </c>
    </row>
    <row r="11606" spans="1:2" x14ac:dyDescent="0.25">
      <c r="A11606" s="62">
        <v>47131820</v>
      </c>
      <c r="B11606" s="63" t="s">
        <v>12255</v>
      </c>
    </row>
    <row r="11607" spans="1:2" x14ac:dyDescent="0.25">
      <c r="A11607" s="62">
        <v>47131821</v>
      </c>
      <c r="B11607" s="63" t="s">
        <v>12256</v>
      </c>
    </row>
    <row r="11608" spans="1:2" x14ac:dyDescent="0.25">
      <c r="A11608" s="62">
        <v>47131822</v>
      </c>
      <c r="B11608" s="63" t="s">
        <v>12257</v>
      </c>
    </row>
    <row r="11609" spans="1:2" x14ac:dyDescent="0.25">
      <c r="A11609" s="62">
        <v>47131823</v>
      </c>
      <c r="B11609" s="63" t="s">
        <v>12258</v>
      </c>
    </row>
    <row r="11610" spans="1:2" x14ac:dyDescent="0.25">
      <c r="A11610" s="62">
        <v>47131824</v>
      </c>
      <c r="B11610" s="63" t="s">
        <v>12259</v>
      </c>
    </row>
    <row r="11611" spans="1:2" x14ac:dyDescent="0.25">
      <c r="A11611" s="62">
        <v>47131825</v>
      </c>
      <c r="B11611" s="63" t="s">
        <v>12260</v>
      </c>
    </row>
    <row r="11612" spans="1:2" x14ac:dyDescent="0.25">
      <c r="A11612" s="62">
        <v>47131826</v>
      </c>
      <c r="B11612" s="63" t="s">
        <v>12261</v>
      </c>
    </row>
    <row r="11613" spans="1:2" x14ac:dyDescent="0.25">
      <c r="A11613" s="62">
        <v>47131827</v>
      </c>
      <c r="B11613" s="63" t="s">
        <v>12262</v>
      </c>
    </row>
    <row r="11614" spans="1:2" x14ac:dyDescent="0.25">
      <c r="A11614" s="62">
        <v>47131828</v>
      </c>
      <c r="B11614" s="63" t="s">
        <v>12263</v>
      </c>
    </row>
    <row r="11615" spans="1:2" x14ac:dyDescent="0.25">
      <c r="A11615" s="62">
        <v>47131829</v>
      </c>
      <c r="B11615" s="63" t="s">
        <v>12264</v>
      </c>
    </row>
    <row r="11616" spans="1:2" x14ac:dyDescent="0.25">
      <c r="A11616" s="62">
        <v>47131830</v>
      </c>
      <c r="B11616" s="63" t="s">
        <v>12265</v>
      </c>
    </row>
    <row r="11617" spans="1:2" x14ac:dyDescent="0.25">
      <c r="A11617" s="62">
        <v>47131831</v>
      </c>
      <c r="B11617" s="63" t="s">
        <v>12266</v>
      </c>
    </row>
    <row r="11618" spans="1:2" x14ac:dyDescent="0.25">
      <c r="A11618" s="62">
        <v>47131832</v>
      </c>
      <c r="B11618" s="63" t="s">
        <v>12267</v>
      </c>
    </row>
    <row r="11619" spans="1:2" x14ac:dyDescent="0.25">
      <c r="A11619" s="62">
        <v>47131833</v>
      </c>
      <c r="B11619" s="63" t="s">
        <v>12268</v>
      </c>
    </row>
    <row r="11620" spans="1:2" x14ac:dyDescent="0.25">
      <c r="A11620" s="62">
        <v>47131834</v>
      </c>
      <c r="B11620" s="63" t="s">
        <v>12269</v>
      </c>
    </row>
    <row r="11621" spans="1:2" x14ac:dyDescent="0.25">
      <c r="A11621" s="62">
        <v>47131901</v>
      </c>
      <c r="B11621" s="63" t="s">
        <v>12270</v>
      </c>
    </row>
    <row r="11622" spans="1:2" x14ac:dyDescent="0.25">
      <c r="A11622" s="62">
        <v>47131902</v>
      </c>
      <c r="B11622" s="63" t="s">
        <v>12271</v>
      </c>
    </row>
    <row r="11623" spans="1:2" x14ac:dyDescent="0.25">
      <c r="A11623" s="62">
        <v>47131903</v>
      </c>
      <c r="B11623" s="63" t="s">
        <v>12272</v>
      </c>
    </row>
    <row r="11624" spans="1:2" x14ac:dyDescent="0.25">
      <c r="A11624" s="62">
        <v>47131904</v>
      </c>
      <c r="B11624" s="63" t="s">
        <v>12273</v>
      </c>
    </row>
    <row r="11625" spans="1:2" x14ac:dyDescent="0.25">
      <c r="A11625" s="62">
        <v>47131905</v>
      </c>
      <c r="B11625" s="63" t="s">
        <v>12274</v>
      </c>
    </row>
    <row r="11626" spans="1:2" x14ac:dyDescent="0.25">
      <c r="A11626" s="62">
        <v>47131906</v>
      </c>
      <c r="B11626" s="63" t="s">
        <v>12275</v>
      </c>
    </row>
    <row r="11627" spans="1:2" x14ac:dyDescent="0.25">
      <c r="A11627" s="62">
        <v>47131907</v>
      </c>
      <c r="B11627" s="63" t="s">
        <v>12276</v>
      </c>
    </row>
    <row r="11628" spans="1:2" x14ac:dyDescent="0.25">
      <c r="A11628" s="62">
        <v>47131908</v>
      </c>
      <c r="B11628" s="63" t="s">
        <v>12277</v>
      </c>
    </row>
    <row r="11629" spans="1:2" x14ac:dyDescent="0.25">
      <c r="A11629" s="62">
        <v>47131909</v>
      </c>
      <c r="B11629" s="63" t="s">
        <v>12278</v>
      </c>
    </row>
    <row r="11630" spans="1:2" x14ac:dyDescent="0.25">
      <c r="A11630" s="62">
        <v>47132101</v>
      </c>
      <c r="B11630" s="63" t="s">
        <v>12279</v>
      </c>
    </row>
    <row r="11631" spans="1:2" x14ac:dyDescent="0.25">
      <c r="A11631" s="62">
        <v>47132102</v>
      </c>
      <c r="B11631" s="63" t="s">
        <v>12280</v>
      </c>
    </row>
    <row r="11632" spans="1:2" x14ac:dyDescent="0.25">
      <c r="A11632" s="62">
        <v>48101501</v>
      </c>
      <c r="B11632" s="63" t="s">
        <v>12281</v>
      </c>
    </row>
    <row r="11633" spans="1:2" x14ac:dyDescent="0.25">
      <c r="A11633" s="62">
        <v>48101502</v>
      </c>
      <c r="B11633" s="63" t="s">
        <v>12282</v>
      </c>
    </row>
    <row r="11634" spans="1:2" x14ac:dyDescent="0.25">
      <c r="A11634" s="62">
        <v>48101503</v>
      </c>
      <c r="B11634" s="63" t="s">
        <v>12283</v>
      </c>
    </row>
    <row r="11635" spans="1:2" x14ac:dyDescent="0.25">
      <c r="A11635" s="62">
        <v>48101504</v>
      </c>
      <c r="B11635" s="63" t="s">
        <v>12284</v>
      </c>
    </row>
    <row r="11636" spans="1:2" x14ac:dyDescent="0.25">
      <c r="A11636" s="62">
        <v>48101505</v>
      </c>
      <c r="B11636" s="63" t="s">
        <v>12285</v>
      </c>
    </row>
    <row r="11637" spans="1:2" x14ac:dyDescent="0.25">
      <c r="A11637" s="62">
        <v>48101506</v>
      </c>
      <c r="B11637" s="63" t="s">
        <v>12286</v>
      </c>
    </row>
    <row r="11638" spans="1:2" x14ac:dyDescent="0.25">
      <c r="A11638" s="62">
        <v>48101507</v>
      </c>
      <c r="B11638" s="63" t="s">
        <v>12287</v>
      </c>
    </row>
    <row r="11639" spans="1:2" x14ac:dyDescent="0.25">
      <c r="A11639" s="62">
        <v>48101508</v>
      </c>
      <c r="B11639" s="63" t="s">
        <v>12288</v>
      </c>
    </row>
    <row r="11640" spans="1:2" x14ac:dyDescent="0.25">
      <c r="A11640" s="62">
        <v>48101509</v>
      </c>
      <c r="B11640" s="63" t="s">
        <v>12289</v>
      </c>
    </row>
    <row r="11641" spans="1:2" x14ac:dyDescent="0.25">
      <c r="A11641" s="62">
        <v>48101510</v>
      </c>
      <c r="B11641" s="63" t="s">
        <v>12290</v>
      </c>
    </row>
    <row r="11642" spans="1:2" x14ac:dyDescent="0.25">
      <c r="A11642" s="62">
        <v>48101511</v>
      </c>
      <c r="B11642" s="63" t="s">
        <v>12291</v>
      </c>
    </row>
    <row r="11643" spans="1:2" x14ac:dyDescent="0.25">
      <c r="A11643" s="62">
        <v>48101512</v>
      </c>
      <c r="B11643" s="63" t="s">
        <v>12292</v>
      </c>
    </row>
    <row r="11644" spans="1:2" x14ac:dyDescent="0.25">
      <c r="A11644" s="62">
        <v>48101513</v>
      </c>
      <c r="B11644" s="63" t="s">
        <v>12293</v>
      </c>
    </row>
    <row r="11645" spans="1:2" x14ac:dyDescent="0.25">
      <c r="A11645" s="62">
        <v>48101514</v>
      </c>
      <c r="B11645" s="63" t="s">
        <v>12294</v>
      </c>
    </row>
    <row r="11646" spans="1:2" x14ac:dyDescent="0.25">
      <c r="A11646" s="62">
        <v>48101515</v>
      </c>
      <c r="B11646" s="63" t="s">
        <v>12295</v>
      </c>
    </row>
    <row r="11647" spans="1:2" x14ac:dyDescent="0.25">
      <c r="A11647" s="62">
        <v>48101516</v>
      </c>
      <c r="B11647" s="63" t="s">
        <v>12296</v>
      </c>
    </row>
    <row r="11648" spans="1:2" x14ac:dyDescent="0.25">
      <c r="A11648" s="62">
        <v>48101517</v>
      </c>
      <c r="B11648" s="63" t="s">
        <v>12297</v>
      </c>
    </row>
    <row r="11649" spans="1:2" x14ac:dyDescent="0.25">
      <c r="A11649" s="62">
        <v>48101518</v>
      </c>
      <c r="B11649" s="63" t="s">
        <v>12298</v>
      </c>
    </row>
    <row r="11650" spans="1:2" x14ac:dyDescent="0.25">
      <c r="A11650" s="62">
        <v>48101519</v>
      </c>
      <c r="B11650" s="63" t="s">
        <v>12299</v>
      </c>
    </row>
    <row r="11651" spans="1:2" x14ac:dyDescent="0.25">
      <c r="A11651" s="62">
        <v>48101520</v>
      </c>
      <c r="B11651" s="63" t="s">
        <v>12300</v>
      </c>
    </row>
    <row r="11652" spans="1:2" x14ac:dyDescent="0.25">
      <c r="A11652" s="62">
        <v>48101521</v>
      </c>
      <c r="B11652" s="63" t="s">
        <v>12301</v>
      </c>
    </row>
    <row r="11653" spans="1:2" x14ac:dyDescent="0.25">
      <c r="A11653" s="62">
        <v>48101522</v>
      </c>
      <c r="B11653" s="63" t="s">
        <v>12302</v>
      </c>
    </row>
    <row r="11654" spans="1:2" x14ac:dyDescent="0.25">
      <c r="A11654" s="62">
        <v>48101523</v>
      </c>
      <c r="B11654" s="63" t="s">
        <v>12303</v>
      </c>
    </row>
    <row r="11655" spans="1:2" x14ac:dyDescent="0.25">
      <c r="A11655" s="62">
        <v>48101524</v>
      </c>
      <c r="B11655" s="63" t="s">
        <v>12304</v>
      </c>
    </row>
    <row r="11656" spans="1:2" x14ac:dyDescent="0.25">
      <c r="A11656" s="62">
        <v>48101525</v>
      </c>
      <c r="B11656" s="63" t="s">
        <v>12305</v>
      </c>
    </row>
    <row r="11657" spans="1:2" x14ac:dyDescent="0.25">
      <c r="A11657" s="62">
        <v>48101526</v>
      </c>
      <c r="B11657" s="63" t="s">
        <v>12306</v>
      </c>
    </row>
    <row r="11658" spans="1:2" x14ac:dyDescent="0.25">
      <c r="A11658" s="62">
        <v>48101527</v>
      </c>
      <c r="B11658" s="63" t="s">
        <v>12307</v>
      </c>
    </row>
    <row r="11659" spans="1:2" x14ac:dyDescent="0.25">
      <c r="A11659" s="62">
        <v>48101528</v>
      </c>
      <c r="B11659" s="63" t="s">
        <v>12308</v>
      </c>
    </row>
    <row r="11660" spans="1:2" x14ac:dyDescent="0.25">
      <c r="A11660" s="62">
        <v>48101529</v>
      </c>
      <c r="B11660" s="63" t="s">
        <v>12309</v>
      </c>
    </row>
    <row r="11661" spans="1:2" x14ac:dyDescent="0.25">
      <c r="A11661" s="62">
        <v>48101530</v>
      </c>
      <c r="B11661" s="63" t="s">
        <v>12310</v>
      </c>
    </row>
    <row r="11662" spans="1:2" x14ac:dyDescent="0.25">
      <c r="A11662" s="62">
        <v>48101531</v>
      </c>
      <c r="B11662" s="63" t="s">
        <v>12311</v>
      </c>
    </row>
    <row r="11663" spans="1:2" x14ac:dyDescent="0.25">
      <c r="A11663" s="62">
        <v>48101532</v>
      </c>
      <c r="B11663" s="63" t="s">
        <v>12312</v>
      </c>
    </row>
    <row r="11664" spans="1:2" x14ac:dyDescent="0.25">
      <c r="A11664" s="62">
        <v>48101601</v>
      </c>
      <c r="B11664" s="63" t="s">
        <v>12313</v>
      </c>
    </row>
    <row r="11665" spans="1:2" x14ac:dyDescent="0.25">
      <c r="A11665" s="62">
        <v>48101602</v>
      </c>
      <c r="B11665" s="63" t="s">
        <v>12314</v>
      </c>
    </row>
    <row r="11666" spans="1:2" x14ac:dyDescent="0.25">
      <c r="A11666" s="62">
        <v>48101603</v>
      </c>
      <c r="B11666" s="63" t="s">
        <v>12315</v>
      </c>
    </row>
    <row r="11667" spans="1:2" x14ac:dyDescent="0.25">
      <c r="A11667" s="62">
        <v>48101604</v>
      </c>
      <c r="B11667" s="63" t="s">
        <v>12316</v>
      </c>
    </row>
    <row r="11668" spans="1:2" x14ac:dyDescent="0.25">
      <c r="A11668" s="62">
        <v>48101605</v>
      </c>
      <c r="B11668" s="63" t="s">
        <v>12317</v>
      </c>
    </row>
    <row r="11669" spans="1:2" x14ac:dyDescent="0.25">
      <c r="A11669" s="62">
        <v>48101606</v>
      </c>
      <c r="B11669" s="63" t="s">
        <v>12318</v>
      </c>
    </row>
    <row r="11670" spans="1:2" x14ac:dyDescent="0.25">
      <c r="A11670" s="62">
        <v>48101607</v>
      </c>
      <c r="B11670" s="63" t="s">
        <v>12319</v>
      </c>
    </row>
    <row r="11671" spans="1:2" x14ac:dyDescent="0.25">
      <c r="A11671" s="62">
        <v>48101608</v>
      </c>
      <c r="B11671" s="63" t="s">
        <v>12320</v>
      </c>
    </row>
    <row r="11672" spans="1:2" x14ac:dyDescent="0.25">
      <c r="A11672" s="62">
        <v>48101609</v>
      </c>
      <c r="B11672" s="63" t="s">
        <v>12321</v>
      </c>
    </row>
    <row r="11673" spans="1:2" x14ac:dyDescent="0.25">
      <c r="A11673" s="62">
        <v>48101610</v>
      </c>
      <c r="B11673" s="63" t="s">
        <v>12322</v>
      </c>
    </row>
    <row r="11674" spans="1:2" x14ac:dyDescent="0.25">
      <c r="A11674" s="62">
        <v>48101611</v>
      </c>
      <c r="B11674" s="63" t="s">
        <v>12323</v>
      </c>
    </row>
    <row r="11675" spans="1:2" x14ac:dyDescent="0.25">
      <c r="A11675" s="62">
        <v>48101612</v>
      </c>
      <c r="B11675" s="63" t="s">
        <v>12324</v>
      </c>
    </row>
    <row r="11676" spans="1:2" x14ac:dyDescent="0.25">
      <c r="A11676" s="62">
        <v>48101613</v>
      </c>
      <c r="B11676" s="63" t="s">
        <v>12325</v>
      </c>
    </row>
    <row r="11677" spans="1:2" x14ac:dyDescent="0.25">
      <c r="A11677" s="62">
        <v>48101614</v>
      </c>
      <c r="B11677" s="63" t="s">
        <v>12326</v>
      </c>
    </row>
    <row r="11678" spans="1:2" x14ac:dyDescent="0.25">
      <c r="A11678" s="62">
        <v>48101615</v>
      </c>
      <c r="B11678" s="63" t="s">
        <v>12327</v>
      </c>
    </row>
    <row r="11679" spans="1:2" x14ac:dyDescent="0.25">
      <c r="A11679" s="62">
        <v>48101616</v>
      </c>
      <c r="B11679" s="63" t="s">
        <v>12328</v>
      </c>
    </row>
    <row r="11680" spans="1:2" x14ac:dyDescent="0.25">
      <c r="A11680" s="62">
        <v>48101617</v>
      </c>
      <c r="B11680" s="63" t="s">
        <v>12329</v>
      </c>
    </row>
    <row r="11681" spans="1:2" x14ac:dyDescent="0.25">
      <c r="A11681" s="62">
        <v>48101701</v>
      </c>
      <c r="B11681" s="63" t="s">
        <v>12330</v>
      </c>
    </row>
    <row r="11682" spans="1:2" x14ac:dyDescent="0.25">
      <c r="A11682" s="62">
        <v>48101702</v>
      </c>
      <c r="B11682" s="63" t="s">
        <v>12331</v>
      </c>
    </row>
    <row r="11683" spans="1:2" x14ac:dyDescent="0.25">
      <c r="A11683" s="62">
        <v>48101703</v>
      </c>
      <c r="B11683" s="63" t="s">
        <v>12332</v>
      </c>
    </row>
    <row r="11684" spans="1:2" x14ac:dyDescent="0.25">
      <c r="A11684" s="62">
        <v>48101704</v>
      </c>
      <c r="B11684" s="63" t="s">
        <v>12333</v>
      </c>
    </row>
    <row r="11685" spans="1:2" x14ac:dyDescent="0.25">
      <c r="A11685" s="62">
        <v>48101705</v>
      </c>
      <c r="B11685" s="63" t="s">
        <v>12334</v>
      </c>
    </row>
    <row r="11686" spans="1:2" x14ac:dyDescent="0.25">
      <c r="A11686" s="62">
        <v>48101706</v>
      </c>
      <c r="B11686" s="63" t="s">
        <v>12335</v>
      </c>
    </row>
    <row r="11687" spans="1:2" x14ac:dyDescent="0.25">
      <c r="A11687" s="62">
        <v>48101707</v>
      </c>
      <c r="B11687" s="63" t="s">
        <v>12336</v>
      </c>
    </row>
    <row r="11688" spans="1:2" x14ac:dyDescent="0.25">
      <c r="A11688" s="62">
        <v>48101708</v>
      </c>
      <c r="B11688" s="63" t="s">
        <v>12337</v>
      </c>
    </row>
    <row r="11689" spans="1:2" x14ac:dyDescent="0.25">
      <c r="A11689" s="62">
        <v>48101709</v>
      </c>
      <c r="B11689" s="63" t="s">
        <v>12338</v>
      </c>
    </row>
    <row r="11690" spans="1:2" x14ac:dyDescent="0.25">
      <c r="A11690" s="62">
        <v>48101710</v>
      </c>
      <c r="B11690" s="63" t="s">
        <v>12339</v>
      </c>
    </row>
    <row r="11691" spans="1:2" x14ac:dyDescent="0.25">
      <c r="A11691" s="62">
        <v>48101711</v>
      </c>
      <c r="B11691" s="63" t="s">
        <v>12340</v>
      </c>
    </row>
    <row r="11692" spans="1:2" x14ac:dyDescent="0.25">
      <c r="A11692" s="62">
        <v>48101712</v>
      </c>
      <c r="B11692" s="63" t="s">
        <v>12341</v>
      </c>
    </row>
    <row r="11693" spans="1:2" x14ac:dyDescent="0.25">
      <c r="A11693" s="62">
        <v>48101713</v>
      </c>
      <c r="B11693" s="63" t="s">
        <v>12342</v>
      </c>
    </row>
    <row r="11694" spans="1:2" x14ac:dyDescent="0.25">
      <c r="A11694" s="62">
        <v>48101714</v>
      </c>
      <c r="B11694" s="63" t="s">
        <v>12343</v>
      </c>
    </row>
    <row r="11695" spans="1:2" x14ac:dyDescent="0.25">
      <c r="A11695" s="62">
        <v>48101715</v>
      </c>
      <c r="B11695" s="63" t="s">
        <v>12344</v>
      </c>
    </row>
    <row r="11696" spans="1:2" x14ac:dyDescent="0.25">
      <c r="A11696" s="62">
        <v>48101801</v>
      </c>
      <c r="B11696" s="63" t="s">
        <v>12345</v>
      </c>
    </row>
    <row r="11697" spans="1:2" x14ac:dyDescent="0.25">
      <c r="A11697" s="62">
        <v>48101802</v>
      </c>
      <c r="B11697" s="63" t="s">
        <v>12346</v>
      </c>
    </row>
    <row r="11698" spans="1:2" x14ac:dyDescent="0.25">
      <c r="A11698" s="62">
        <v>48101803</v>
      </c>
      <c r="B11698" s="63" t="s">
        <v>12347</v>
      </c>
    </row>
    <row r="11699" spans="1:2" x14ac:dyDescent="0.25">
      <c r="A11699" s="62">
        <v>48101804</v>
      </c>
      <c r="B11699" s="63" t="s">
        <v>12348</v>
      </c>
    </row>
    <row r="11700" spans="1:2" x14ac:dyDescent="0.25">
      <c r="A11700" s="62">
        <v>48101805</v>
      </c>
      <c r="B11700" s="63" t="s">
        <v>12349</v>
      </c>
    </row>
    <row r="11701" spans="1:2" x14ac:dyDescent="0.25">
      <c r="A11701" s="62">
        <v>48101806</v>
      </c>
      <c r="B11701" s="63" t="s">
        <v>12350</v>
      </c>
    </row>
    <row r="11702" spans="1:2" x14ac:dyDescent="0.25">
      <c r="A11702" s="62">
        <v>48101807</v>
      </c>
      <c r="B11702" s="63" t="s">
        <v>12351</v>
      </c>
    </row>
    <row r="11703" spans="1:2" x14ac:dyDescent="0.25">
      <c r="A11703" s="62">
        <v>48101808</v>
      </c>
      <c r="B11703" s="63" t="s">
        <v>12352</v>
      </c>
    </row>
    <row r="11704" spans="1:2" x14ac:dyDescent="0.25">
      <c r="A11704" s="62">
        <v>48101809</v>
      </c>
      <c r="B11704" s="63" t="s">
        <v>12353</v>
      </c>
    </row>
    <row r="11705" spans="1:2" x14ac:dyDescent="0.25">
      <c r="A11705" s="62">
        <v>48101810</v>
      </c>
      <c r="B11705" s="63" t="s">
        <v>12354</v>
      </c>
    </row>
    <row r="11706" spans="1:2" x14ac:dyDescent="0.25">
      <c r="A11706" s="62">
        <v>48101811</v>
      </c>
      <c r="B11706" s="63" t="s">
        <v>12355</v>
      </c>
    </row>
    <row r="11707" spans="1:2" x14ac:dyDescent="0.25">
      <c r="A11707" s="62">
        <v>48101812</v>
      </c>
      <c r="B11707" s="63" t="s">
        <v>12356</v>
      </c>
    </row>
    <row r="11708" spans="1:2" x14ac:dyDescent="0.25">
      <c r="A11708" s="62">
        <v>48101813</v>
      </c>
      <c r="B11708" s="63" t="s">
        <v>12357</v>
      </c>
    </row>
    <row r="11709" spans="1:2" x14ac:dyDescent="0.25">
      <c r="A11709" s="62">
        <v>48101814</v>
      </c>
      <c r="B11709" s="63" t="s">
        <v>12358</v>
      </c>
    </row>
    <row r="11710" spans="1:2" x14ac:dyDescent="0.25">
      <c r="A11710" s="62">
        <v>48101815</v>
      </c>
      <c r="B11710" s="63" t="s">
        <v>12359</v>
      </c>
    </row>
    <row r="11711" spans="1:2" x14ac:dyDescent="0.25">
      <c r="A11711" s="62">
        <v>48101816</v>
      </c>
      <c r="B11711" s="63" t="s">
        <v>12360</v>
      </c>
    </row>
    <row r="11712" spans="1:2" x14ac:dyDescent="0.25">
      <c r="A11712" s="62">
        <v>48101817</v>
      </c>
      <c r="B11712" s="63" t="s">
        <v>12361</v>
      </c>
    </row>
    <row r="11713" spans="1:2" x14ac:dyDescent="0.25">
      <c r="A11713" s="62">
        <v>48101901</v>
      </c>
      <c r="B11713" s="63" t="s">
        <v>12362</v>
      </c>
    </row>
    <row r="11714" spans="1:2" x14ac:dyDescent="0.25">
      <c r="A11714" s="62">
        <v>48101902</v>
      </c>
      <c r="B11714" s="63" t="s">
        <v>12363</v>
      </c>
    </row>
    <row r="11715" spans="1:2" x14ac:dyDescent="0.25">
      <c r="A11715" s="62">
        <v>48101903</v>
      </c>
      <c r="B11715" s="63" t="s">
        <v>12364</v>
      </c>
    </row>
    <row r="11716" spans="1:2" x14ac:dyDescent="0.25">
      <c r="A11716" s="62">
        <v>48101904</v>
      </c>
      <c r="B11716" s="63" t="s">
        <v>12365</v>
      </c>
    </row>
    <row r="11717" spans="1:2" x14ac:dyDescent="0.25">
      <c r="A11717" s="62">
        <v>48101905</v>
      </c>
      <c r="B11717" s="63" t="s">
        <v>12366</v>
      </c>
    </row>
    <row r="11718" spans="1:2" x14ac:dyDescent="0.25">
      <c r="A11718" s="62">
        <v>48101906</v>
      </c>
      <c r="B11718" s="63" t="s">
        <v>12367</v>
      </c>
    </row>
    <row r="11719" spans="1:2" x14ac:dyDescent="0.25">
      <c r="A11719" s="62">
        <v>48101907</v>
      </c>
      <c r="B11719" s="63" t="s">
        <v>12368</v>
      </c>
    </row>
    <row r="11720" spans="1:2" x14ac:dyDescent="0.25">
      <c r="A11720" s="62">
        <v>48101908</v>
      </c>
      <c r="B11720" s="63" t="s">
        <v>12369</v>
      </c>
    </row>
    <row r="11721" spans="1:2" x14ac:dyDescent="0.25">
      <c r="A11721" s="62">
        <v>48101909</v>
      </c>
      <c r="B11721" s="63" t="s">
        <v>12370</v>
      </c>
    </row>
    <row r="11722" spans="1:2" x14ac:dyDescent="0.25">
      <c r="A11722" s="62">
        <v>48101910</v>
      </c>
      <c r="B11722" s="63" t="s">
        <v>12371</v>
      </c>
    </row>
    <row r="11723" spans="1:2" x14ac:dyDescent="0.25">
      <c r="A11723" s="62">
        <v>48101911</v>
      </c>
      <c r="B11723" s="63" t="s">
        <v>12372</v>
      </c>
    </row>
    <row r="11724" spans="1:2" x14ac:dyDescent="0.25">
      <c r="A11724" s="62">
        <v>48101912</v>
      </c>
      <c r="B11724" s="63" t="s">
        <v>12373</v>
      </c>
    </row>
    <row r="11725" spans="1:2" x14ac:dyDescent="0.25">
      <c r="A11725" s="62">
        <v>48101913</v>
      </c>
      <c r="B11725" s="63" t="s">
        <v>12374</v>
      </c>
    </row>
    <row r="11726" spans="1:2" x14ac:dyDescent="0.25">
      <c r="A11726" s="62">
        <v>48101914</v>
      </c>
      <c r="B11726" s="63" t="s">
        <v>12375</v>
      </c>
    </row>
    <row r="11727" spans="1:2" x14ac:dyDescent="0.25">
      <c r="A11727" s="62">
        <v>48101915</v>
      </c>
      <c r="B11727" s="63" t="s">
        <v>12376</v>
      </c>
    </row>
    <row r="11728" spans="1:2" x14ac:dyDescent="0.25">
      <c r="A11728" s="62">
        <v>48101916</v>
      </c>
      <c r="B11728" s="63" t="s">
        <v>12377</v>
      </c>
    </row>
    <row r="11729" spans="1:2" x14ac:dyDescent="0.25">
      <c r="A11729" s="62">
        <v>48101917</v>
      </c>
      <c r="B11729" s="63" t="s">
        <v>12378</v>
      </c>
    </row>
    <row r="11730" spans="1:2" x14ac:dyDescent="0.25">
      <c r="A11730" s="62">
        <v>48101918</v>
      </c>
      <c r="B11730" s="63" t="s">
        <v>12379</v>
      </c>
    </row>
    <row r="11731" spans="1:2" x14ac:dyDescent="0.25">
      <c r="A11731" s="62">
        <v>48101919</v>
      </c>
      <c r="B11731" s="63" t="s">
        <v>12380</v>
      </c>
    </row>
    <row r="11732" spans="1:2" x14ac:dyDescent="0.25">
      <c r="A11732" s="62">
        <v>48101920</v>
      </c>
      <c r="B11732" s="63" t="s">
        <v>12381</v>
      </c>
    </row>
    <row r="11733" spans="1:2" x14ac:dyDescent="0.25">
      <c r="A11733" s="62">
        <v>48102001</v>
      </c>
      <c r="B11733" s="63" t="s">
        <v>12382</v>
      </c>
    </row>
    <row r="11734" spans="1:2" x14ac:dyDescent="0.25">
      <c r="A11734" s="62">
        <v>48102002</v>
      </c>
      <c r="B11734" s="63" t="s">
        <v>12383</v>
      </c>
    </row>
    <row r="11735" spans="1:2" x14ac:dyDescent="0.25">
      <c r="A11735" s="62">
        <v>48102003</v>
      </c>
      <c r="B11735" s="63" t="s">
        <v>12384</v>
      </c>
    </row>
    <row r="11736" spans="1:2" x14ac:dyDescent="0.25">
      <c r="A11736" s="62">
        <v>48102004</v>
      </c>
      <c r="B11736" s="63" t="s">
        <v>12385</v>
      </c>
    </row>
    <row r="11737" spans="1:2" x14ac:dyDescent="0.25">
      <c r="A11737" s="62">
        <v>48102005</v>
      </c>
      <c r="B11737" s="63" t="s">
        <v>12386</v>
      </c>
    </row>
    <row r="11738" spans="1:2" x14ac:dyDescent="0.25">
      <c r="A11738" s="62">
        <v>48102006</v>
      </c>
      <c r="B11738" s="63" t="s">
        <v>12387</v>
      </c>
    </row>
    <row r="11739" spans="1:2" x14ac:dyDescent="0.25">
      <c r="A11739" s="62">
        <v>48102007</v>
      </c>
      <c r="B11739" s="63" t="s">
        <v>12388</v>
      </c>
    </row>
    <row r="11740" spans="1:2" x14ac:dyDescent="0.25">
      <c r="A11740" s="62">
        <v>48102101</v>
      </c>
      <c r="B11740" s="63" t="s">
        <v>12389</v>
      </c>
    </row>
    <row r="11741" spans="1:2" x14ac:dyDescent="0.25">
      <c r="A11741" s="62">
        <v>48102102</v>
      </c>
      <c r="B11741" s="63" t="s">
        <v>12390</v>
      </c>
    </row>
    <row r="11742" spans="1:2" x14ac:dyDescent="0.25">
      <c r="A11742" s="62">
        <v>48102103</v>
      </c>
      <c r="B11742" s="63" t="s">
        <v>12391</v>
      </c>
    </row>
    <row r="11743" spans="1:2" x14ac:dyDescent="0.25">
      <c r="A11743" s="62">
        <v>48102104</v>
      </c>
      <c r="B11743" s="63" t="s">
        <v>12392</v>
      </c>
    </row>
    <row r="11744" spans="1:2" x14ac:dyDescent="0.25">
      <c r="A11744" s="62">
        <v>48102105</v>
      </c>
      <c r="B11744" s="63" t="s">
        <v>12393</v>
      </c>
    </row>
    <row r="11745" spans="1:2" x14ac:dyDescent="0.25">
      <c r="A11745" s="62">
        <v>48102106</v>
      </c>
      <c r="B11745" s="63" t="s">
        <v>12394</v>
      </c>
    </row>
    <row r="11746" spans="1:2" x14ac:dyDescent="0.25">
      <c r="A11746" s="62">
        <v>48102107</v>
      </c>
      <c r="B11746" s="63" t="s">
        <v>12395</v>
      </c>
    </row>
    <row r="11747" spans="1:2" x14ac:dyDescent="0.25">
      <c r="A11747" s="62">
        <v>48111001</v>
      </c>
      <c r="B11747" s="63" t="s">
        <v>12396</v>
      </c>
    </row>
    <row r="11748" spans="1:2" x14ac:dyDescent="0.25">
      <c r="A11748" s="62">
        <v>48111002</v>
      </c>
      <c r="B11748" s="63" t="s">
        <v>12397</v>
      </c>
    </row>
    <row r="11749" spans="1:2" x14ac:dyDescent="0.25">
      <c r="A11749" s="62">
        <v>48111101</v>
      </c>
      <c r="B11749" s="63" t="s">
        <v>12398</v>
      </c>
    </row>
    <row r="11750" spans="1:2" x14ac:dyDescent="0.25">
      <c r="A11750" s="62">
        <v>48111102</v>
      </c>
      <c r="B11750" s="63" t="s">
        <v>12399</v>
      </c>
    </row>
    <row r="11751" spans="1:2" x14ac:dyDescent="0.25">
      <c r="A11751" s="62">
        <v>48111103</v>
      </c>
      <c r="B11751" s="63" t="s">
        <v>12400</v>
      </c>
    </row>
    <row r="11752" spans="1:2" x14ac:dyDescent="0.25">
      <c r="A11752" s="62">
        <v>48111104</v>
      </c>
      <c r="B11752" s="63" t="s">
        <v>12401</v>
      </c>
    </row>
    <row r="11753" spans="1:2" x14ac:dyDescent="0.25">
      <c r="A11753" s="62">
        <v>48111105</v>
      </c>
      <c r="B11753" s="63" t="s">
        <v>12402</v>
      </c>
    </row>
    <row r="11754" spans="1:2" x14ac:dyDescent="0.25">
      <c r="A11754" s="62">
        <v>48111106</v>
      </c>
      <c r="B11754" s="63" t="s">
        <v>12403</v>
      </c>
    </row>
    <row r="11755" spans="1:2" x14ac:dyDescent="0.25">
      <c r="A11755" s="62">
        <v>48111107</v>
      </c>
      <c r="B11755" s="63" t="s">
        <v>12404</v>
      </c>
    </row>
    <row r="11756" spans="1:2" x14ac:dyDescent="0.25">
      <c r="A11756" s="62">
        <v>48111108</v>
      </c>
      <c r="B11756" s="63" t="s">
        <v>12405</v>
      </c>
    </row>
    <row r="11757" spans="1:2" x14ac:dyDescent="0.25">
      <c r="A11757" s="62">
        <v>48111201</v>
      </c>
      <c r="B11757" s="63" t="s">
        <v>12406</v>
      </c>
    </row>
    <row r="11758" spans="1:2" x14ac:dyDescent="0.25">
      <c r="A11758" s="62">
        <v>48111202</v>
      </c>
      <c r="B11758" s="63" t="s">
        <v>12407</v>
      </c>
    </row>
    <row r="11759" spans="1:2" x14ac:dyDescent="0.25">
      <c r="A11759" s="62">
        <v>48111301</v>
      </c>
      <c r="B11759" s="63" t="s">
        <v>12408</v>
      </c>
    </row>
    <row r="11760" spans="1:2" x14ac:dyDescent="0.25">
      <c r="A11760" s="62">
        <v>48111302</v>
      </c>
      <c r="B11760" s="63" t="s">
        <v>12409</v>
      </c>
    </row>
    <row r="11761" spans="1:2" x14ac:dyDescent="0.25">
      <c r="A11761" s="62">
        <v>48111303</v>
      </c>
      <c r="B11761" s="63" t="s">
        <v>12410</v>
      </c>
    </row>
    <row r="11762" spans="1:2" x14ac:dyDescent="0.25">
      <c r="A11762" s="62">
        <v>48111401</v>
      </c>
      <c r="B11762" s="63" t="s">
        <v>12411</v>
      </c>
    </row>
    <row r="11763" spans="1:2" x14ac:dyDescent="0.25">
      <c r="A11763" s="62">
        <v>48111402</v>
      </c>
      <c r="B11763" s="63" t="s">
        <v>12412</v>
      </c>
    </row>
    <row r="11764" spans="1:2" x14ac:dyDescent="0.25">
      <c r="A11764" s="62">
        <v>48111403</v>
      </c>
      <c r="B11764" s="63" t="s">
        <v>12413</v>
      </c>
    </row>
    <row r="11765" spans="1:2" x14ac:dyDescent="0.25">
      <c r="A11765" s="62">
        <v>48111404</v>
      </c>
      <c r="B11765" s="63" t="s">
        <v>12414</v>
      </c>
    </row>
    <row r="11766" spans="1:2" x14ac:dyDescent="0.25">
      <c r="A11766" s="62">
        <v>48111405</v>
      </c>
      <c r="B11766" s="63" t="s">
        <v>12415</v>
      </c>
    </row>
    <row r="11767" spans="1:2" x14ac:dyDescent="0.25">
      <c r="A11767" s="62">
        <v>48121101</v>
      </c>
      <c r="B11767" s="63" t="s">
        <v>12416</v>
      </c>
    </row>
    <row r="11768" spans="1:2" x14ac:dyDescent="0.25">
      <c r="A11768" s="62">
        <v>48121201</v>
      </c>
      <c r="B11768" s="63" t="s">
        <v>12417</v>
      </c>
    </row>
    <row r="11769" spans="1:2" x14ac:dyDescent="0.25">
      <c r="A11769" s="62">
        <v>48121202</v>
      </c>
      <c r="B11769" s="63" t="s">
        <v>12418</v>
      </c>
    </row>
    <row r="11770" spans="1:2" x14ac:dyDescent="0.25">
      <c r="A11770" s="62">
        <v>48121301</v>
      </c>
      <c r="B11770" s="63" t="s">
        <v>12419</v>
      </c>
    </row>
    <row r="11771" spans="1:2" x14ac:dyDescent="0.25">
      <c r="A11771" s="62">
        <v>48121302</v>
      </c>
      <c r="B11771" s="63" t="s">
        <v>12420</v>
      </c>
    </row>
    <row r="11772" spans="1:2" x14ac:dyDescent="0.25">
      <c r="A11772" s="62">
        <v>49101601</v>
      </c>
      <c r="B11772" s="63" t="s">
        <v>12421</v>
      </c>
    </row>
    <row r="11773" spans="1:2" x14ac:dyDescent="0.25">
      <c r="A11773" s="62">
        <v>49101602</v>
      </c>
      <c r="B11773" s="63" t="s">
        <v>12422</v>
      </c>
    </row>
    <row r="11774" spans="1:2" x14ac:dyDescent="0.25">
      <c r="A11774" s="62">
        <v>49101603</v>
      </c>
      <c r="B11774" s="63" t="s">
        <v>12423</v>
      </c>
    </row>
    <row r="11775" spans="1:2" x14ac:dyDescent="0.25">
      <c r="A11775" s="62">
        <v>49101604</v>
      </c>
      <c r="B11775" s="63" t="s">
        <v>12424</v>
      </c>
    </row>
    <row r="11776" spans="1:2" x14ac:dyDescent="0.25">
      <c r="A11776" s="62">
        <v>49101605</v>
      </c>
      <c r="B11776" s="63" t="s">
        <v>12425</v>
      </c>
    </row>
    <row r="11777" spans="1:2" x14ac:dyDescent="0.25">
      <c r="A11777" s="62">
        <v>49101606</v>
      </c>
      <c r="B11777" s="63" t="s">
        <v>12426</v>
      </c>
    </row>
    <row r="11778" spans="1:2" x14ac:dyDescent="0.25">
      <c r="A11778" s="62">
        <v>49101607</v>
      </c>
      <c r="B11778" s="63" t="s">
        <v>12427</v>
      </c>
    </row>
    <row r="11779" spans="1:2" x14ac:dyDescent="0.25">
      <c r="A11779" s="62">
        <v>49101608</v>
      </c>
      <c r="B11779" s="63" t="s">
        <v>12428</v>
      </c>
    </row>
    <row r="11780" spans="1:2" x14ac:dyDescent="0.25">
      <c r="A11780" s="62">
        <v>49101609</v>
      </c>
      <c r="B11780" s="63" t="s">
        <v>12429</v>
      </c>
    </row>
    <row r="11781" spans="1:2" x14ac:dyDescent="0.25">
      <c r="A11781" s="62">
        <v>49101611</v>
      </c>
      <c r="B11781" s="63" t="s">
        <v>12430</v>
      </c>
    </row>
    <row r="11782" spans="1:2" x14ac:dyDescent="0.25">
      <c r="A11782" s="62">
        <v>49101612</v>
      </c>
      <c r="B11782" s="63" t="s">
        <v>12431</v>
      </c>
    </row>
    <row r="11783" spans="1:2" x14ac:dyDescent="0.25">
      <c r="A11783" s="62">
        <v>49101613</v>
      </c>
      <c r="B11783" s="63" t="s">
        <v>12432</v>
      </c>
    </row>
    <row r="11784" spans="1:2" x14ac:dyDescent="0.25">
      <c r="A11784" s="62">
        <v>49101701</v>
      </c>
      <c r="B11784" s="63" t="s">
        <v>12433</v>
      </c>
    </row>
    <row r="11785" spans="1:2" x14ac:dyDescent="0.25">
      <c r="A11785" s="62">
        <v>49101702</v>
      </c>
      <c r="B11785" s="63" t="s">
        <v>12434</v>
      </c>
    </row>
    <row r="11786" spans="1:2" x14ac:dyDescent="0.25">
      <c r="A11786" s="62">
        <v>49101704</v>
      </c>
      <c r="B11786" s="63" t="s">
        <v>12435</v>
      </c>
    </row>
    <row r="11787" spans="1:2" x14ac:dyDescent="0.25">
      <c r="A11787" s="62">
        <v>49101705</v>
      </c>
      <c r="B11787" s="63" t="s">
        <v>12436</v>
      </c>
    </row>
    <row r="11788" spans="1:2" x14ac:dyDescent="0.25">
      <c r="A11788" s="62">
        <v>49101706</v>
      </c>
      <c r="B11788" s="63" t="s">
        <v>12437</v>
      </c>
    </row>
    <row r="11789" spans="1:2" x14ac:dyDescent="0.25">
      <c r="A11789" s="62">
        <v>49101707</v>
      </c>
      <c r="B11789" s="63" t="s">
        <v>12438</v>
      </c>
    </row>
    <row r="11790" spans="1:2" x14ac:dyDescent="0.25">
      <c r="A11790" s="62">
        <v>49101708</v>
      </c>
      <c r="B11790" s="63" t="s">
        <v>12439</v>
      </c>
    </row>
    <row r="11791" spans="1:2" x14ac:dyDescent="0.25">
      <c r="A11791" s="62">
        <v>49121502</v>
      </c>
      <c r="B11791" s="63" t="s">
        <v>12440</v>
      </c>
    </row>
    <row r="11792" spans="1:2" x14ac:dyDescent="0.25">
      <c r="A11792" s="62">
        <v>49121503</v>
      </c>
      <c r="B11792" s="63" t="s">
        <v>12441</v>
      </c>
    </row>
    <row r="11793" spans="1:2" x14ac:dyDescent="0.25">
      <c r="A11793" s="62">
        <v>49121504</v>
      </c>
      <c r="B11793" s="63" t="s">
        <v>12442</v>
      </c>
    </row>
    <row r="11794" spans="1:2" x14ac:dyDescent="0.25">
      <c r="A11794" s="62">
        <v>49121505</v>
      </c>
      <c r="B11794" s="63" t="s">
        <v>12443</v>
      </c>
    </row>
    <row r="11795" spans="1:2" x14ac:dyDescent="0.25">
      <c r="A11795" s="62">
        <v>49121506</v>
      </c>
      <c r="B11795" s="63" t="s">
        <v>12444</v>
      </c>
    </row>
    <row r="11796" spans="1:2" x14ac:dyDescent="0.25">
      <c r="A11796" s="62">
        <v>49121507</v>
      </c>
      <c r="B11796" s="63" t="s">
        <v>12445</v>
      </c>
    </row>
    <row r="11797" spans="1:2" x14ac:dyDescent="0.25">
      <c r="A11797" s="62">
        <v>49121508</v>
      </c>
      <c r="B11797" s="63" t="s">
        <v>12446</v>
      </c>
    </row>
    <row r="11798" spans="1:2" x14ac:dyDescent="0.25">
      <c r="A11798" s="62">
        <v>49121509</v>
      </c>
      <c r="B11798" s="63" t="s">
        <v>12447</v>
      </c>
    </row>
    <row r="11799" spans="1:2" x14ac:dyDescent="0.25">
      <c r="A11799" s="62">
        <v>49121510</v>
      </c>
      <c r="B11799" s="63" t="s">
        <v>12448</v>
      </c>
    </row>
    <row r="11800" spans="1:2" x14ac:dyDescent="0.25">
      <c r="A11800" s="62">
        <v>49121601</v>
      </c>
      <c r="B11800" s="63" t="s">
        <v>12449</v>
      </c>
    </row>
    <row r="11801" spans="1:2" x14ac:dyDescent="0.25">
      <c r="A11801" s="62">
        <v>49121602</v>
      </c>
      <c r="B11801" s="63" t="s">
        <v>12450</v>
      </c>
    </row>
    <row r="11802" spans="1:2" x14ac:dyDescent="0.25">
      <c r="A11802" s="62">
        <v>49121603</v>
      </c>
      <c r="B11802" s="63" t="s">
        <v>12451</v>
      </c>
    </row>
    <row r="11803" spans="1:2" x14ac:dyDescent="0.25">
      <c r="A11803" s="62">
        <v>49131501</v>
      </c>
      <c r="B11803" s="63" t="s">
        <v>12452</v>
      </c>
    </row>
    <row r="11804" spans="1:2" x14ac:dyDescent="0.25">
      <c r="A11804" s="62">
        <v>49131502</v>
      </c>
      <c r="B11804" s="63" t="s">
        <v>12453</v>
      </c>
    </row>
    <row r="11805" spans="1:2" x14ac:dyDescent="0.25">
      <c r="A11805" s="62">
        <v>49131503</v>
      </c>
      <c r="B11805" s="63" t="s">
        <v>12454</v>
      </c>
    </row>
    <row r="11806" spans="1:2" x14ac:dyDescent="0.25">
      <c r="A11806" s="62">
        <v>49131504</v>
      </c>
      <c r="B11806" s="63" t="s">
        <v>12455</v>
      </c>
    </row>
    <row r="11807" spans="1:2" x14ac:dyDescent="0.25">
      <c r="A11807" s="62">
        <v>49131505</v>
      </c>
      <c r="B11807" s="63" t="s">
        <v>12456</v>
      </c>
    </row>
    <row r="11808" spans="1:2" x14ac:dyDescent="0.25">
      <c r="A11808" s="62">
        <v>49131506</v>
      </c>
      <c r="B11808" s="63" t="s">
        <v>12457</v>
      </c>
    </row>
    <row r="11809" spans="1:2" x14ac:dyDescent="0.25">
      <c r="A11809" s="62">
        <v>49131601</v>
      </c>
      <c r="B11809" s="63" t="s">
        <v>12458</v>
      </c>
    </row>
    <row r="11810" spans="1:2" x14ac:dyDescent="0.25">
      <c r="A11810" s="62">
        <v>49131602</v>
      </c>
      <c r="B11810" s="63" t="s">
        <v>12459</v>
      </c>
    </row>
    <row r="11811" spans="1:2" x14ac:dyDescent="0.25">
      <c r="A11811" s="62">
        <v>49131603</v>
      </c>
      <c r="B11811" s="63" t="s">
        <v>12460</v>
      </c>
    </row>
    <row r="11812" spans="1:2" x14ac:dyDescent="0.25">
      <c r="A11812" s="62">
        <v>49131604</v>
      </c>
      <c r="B11812" s="63" t="s">
        <v>12461</v>
      </c>
    </row>
    <row r="11813" spans="1:2" x14ac:dyDescent="0.25">
      <c r="A11813" s="62">
        <v>49131605</v>
      </c>
      <c r="B11813" s="63" t="s">
        <v>12462</v>
      </c>
    </row>
    <row r="11814" spans="1:2" x14ac:dyDescent="0.25">
      <c r="A11814" s="62">
        <v>49131606</v>
      </c>
      <c r="B11814" s="63" t="s">
        <v>12463</v>
      </c>
    </row>
    <row r="11815" spans="1:2" x14ac:dyDescent="0.25">
      <c r="A11815" s="62">
        <v>49131607</v>
      </c>
      <c r="B11815" s="63" t="s">
        <v>12464</v>
      </c>
    </row>
    <row r="11816" spans="1:2" x14ac:dyDescent="0.25">
      <c r="A11816" s="62">
        <v>49141501</v>
      </c>
      <c r="B11816" s="63" t="s">
        <v>12465</v>
      </c>
    </row>
    <row r="11817" spans="1:2" x14ac:dyDescent="0.25">
      <c r="A11817" s="62">
        <v>49141502</v>
      </c>
      <c r="B11817" s="63" t="s">
        <v>12466</v>
      </c>
    </row>
    <row r="11818" spans="1:2" x14ac:dyDescent="0.25">
      <c r="A11818" s="62">
        <v>49141503</v>
      </c>
      <c r="B11818" s="63" t="s">
        <v>12467</v>
      </c>
    </row>
    <row r="11819" spans="1:2" x14ac:dyDescent="0.25">
      <c r="A11819" s="62">
        <v>49141504</v>
      </c>
      <c r="B11819" s="63" t="s">
        <v>12468</v>
      </c>
    </row>
    <row r="11820" spans="1:2" x14ac:dyDescent="0.25">
      <c r="A11820" s="62">
        <v>49141505</v>
      </c>
      <c r="B11820" s="63" t="s">
        <v>12469</v>
      </c>
    </row>
    <row r="11821" spans="1:2" x14ac:dyDescent="0.25">
      <c r="A11821" s="62">
        <v>49141506</v>
      </c>
      <c r="B11821" s="63" t="s">
        <v>12470</v>
      </c>
    </row>
    <row r="11822" spans="1:2" x14ac:dyDescent="0.25">
      <c r="A11822" s="62">
        <v>49141507</v>
      </c>
      <c r="B11822" s="63" t="s">
        <v>12471</v>
      </c>
    </row>
    <row r="11823" spans="1:2" x14ac:dyDescent="0.25">
      <c r="A11823" s="62">
        <v>49141602</v>
      </c>
      <c r="B11823" s="63" t="s">
        <v>12472</v>
      </c>
    </row>
    <row r="11824" spans="1:2" x14ac:dyDescent="0.25">
      <c r="A11824" s="62">
        <v>49141603</v>
      </c>
      <c r="B11824" s="63" t="s">
        <v>12473</v>
      </c>
    </row>
    <row r="11825" spans="1:2" x14ac:dyDescent="0.25">
      <c r="A11825" s="62">
        <v>49141604</v>
      </c>
      <c r="B11825" s="63" t="s">
        <v>12474</v>
      </c>
    </row>
    <row r="11826" spans="1:2" x14ac:dyDescent="0.25">
      <c r="A11826" s="62">
        <v>49141605</v>
      </c>
      <c r="B11826" s="63" t="s">
        <v>12475</v>
      </c>
    </row>
    <row r="11827" spans="1:2" x14ac:dyDescent="0.25">
      <c r="A11827" s="62">
        <v>49141606</v>
      </c>
      <c r="B11827" s="63" t="s">
        <v>12476</v>
      </c>
    </row>
    <row r="11828" spans="1:2" x14ac:dyDescent="0.25">
      <c r="A11828" s="62">
        <v>49141607</v>
      </c>
      <c r="B11828" s="63" t="s">
        <v>12477</v>
      </c>
    </row>
    <row r="11829" spans="1:2" x14ac:dyDescent="0.25">
      <c r="A11829" s="62">
        <v>49151501</v>
      </c>
      <c r="B11829" s="63" t="s">
        <v>12478</v>
      </c>
    </row>
    <row r="11830" spans="1:2" x14ac:dyDescent="0.25">
      <c r="A11830" s="62">
        <v>49151502</v>
      </c>
      <c r="B11830" s="63" t="s">
        <v>12479</v>
      </c>
    </row>
    <row r="11831" spans="1:2" x14ac:dyDescent="0.25">
      <c r="A11831" s="62">
        <v>49151503</v>
      </c>
      <c r="B11831" s="63" t="s">
        <v>12480</v>
      </c>
    </row>
    <row r="11832" spans="1:2" x14ac:dyDescent="0.25">
      <c r="A11832" s="62">
        <v>49151504</v>
      </c>
      <c r="B11832" s="63" t="s">
        <v>12481</v>
      </c>
    </row>
    <row r="11833" spans="1:2" x14ac:dyDescent="0.25">
      <c r="A11833" s="62">
        <v>49151505</v>
      </c>
      <c r="B11833" s="63" t="s">
        <v>12482</v>
      </c>
    </row>
    <row r="11834" spans="1:2" x14ac:dyDescent="0.25">
      <c r="A11834" s="62">
        <v>49151601</v>
      </c>
      <c r="B11834" s="63" t="s">
        <v>12483</v>
      </c>
    </row>
    <row r="11835" spans="1:2" x14ac:dyDescent="0.25">
      <c r="A11835" s="62">
        <v>49151602</v>
      </c>
      <c r="B11835" s="63" t="s">
        <v>12484</v>
      </c>
    </row>
    <row r="11836" spans="1:2" x14ac:dyDescent="0.25">
      <c r="A11836" s="62">
        <v>49151603</v>
      </c>
      <c r="B11836" s="63" t="s">
        <v>12485</v>
      </c>
    </row>
    <row r="11837" spans="1:2" x14ac:dyDescent="0.25">
      <c r="A11837" s="62">
        <v>49161501</v>
      </c>
      <c r="B11837" s="63" t="s">
        <v>12486</v>
      </c>
    </row>
    <row r="11838" spans="1:2" x14ac:dyDescent="0.25">
      <c r="A11838" s="62">
        <v>49161502</v>
      </c>
      <c r="B11838" s="63" t="s">
        <v>12487</v>
      </c>
    </row>
    <row r="11839" spans="1:2" x14ac:dyDescent="0.25">
      <c r="A11839" s="62">
        <v>49161503</v>
      </c>
      <c r="B11839" s="63" t="s">
        <v>12488</v>
      </c>
    </row>
    <row r="11840" spans="1:2" x14ac:dyDescent="0.25">
      <c r="A11840" s="62">
        <v>49161504</v>
      </c>
      <c r="B11840" s="63" t="s">
        <v>12489</v>
      </c>
    </row>
    <row r="11841" spans="1:2" x14ac:dyDescent="0.25">
      <c r="A11841" s="62">
        <v>49161505</v>
      </c>
      <c r="B11841" s="63" t="s">
        <v>12490</v>
      </c>
    </row>
    <row r="11842" spans="1:2" x14ac:dyDescent="0.25">
      <c r="A11842" s="62">
        <v>49161506</v>
      </c>
      <c r="B11842" s="63" t="s">
        <v>12491</v>
      </c>
    </row>
    <row r="11843" spans="1:2" x14ac:dyDescent="0.25">
      <c r="A11843" s="62">
        <v>49161507</v>
      </c>
      <c r="B11843" s="63" t="s">
        <v>12492</v>
      </c>
    </row>
    <row r="11844" spans="1:2" x14ac:dyDescent="0.25">
      <c r="A11844" s="62">
        <v>49161508</v>
      </c>
      <c r="B11844" s="63" t="s">
        <v>12493</v>
      </c>
    </row>
    <row r="11845" spans="1:2" x14ac:dyDescent="0.25">
      <c r="A11845" s="62">
        <v>49161509</v>
      </c>
      <c r="B11845" s="63" t="s">
        <v>12494</v>
      </c>
    </row>
    <row r="11846" spans="1:2" x14ac:dyDescent="0.25">
      <c r="A11846" s="62">
        <v>49161510</v>
      </c>
      <c r="B11846" s="63" t="s">
        <v>12495</v>
      </c>
    </row>
    <row r="11847" spans="1:2" x14ac:dyDescent="0.25">
      <c r="A11847" s="62">
        <v>49161511</v>
      </c>
      <c r="B11847" s="63" t="s">
        <v>12496</v>
      </c>
    </row>
    <row r="11848" spans="1:2" x14ac:dyDescent="0.25">
      <c r="A11848" s="62">
        <v>49161512</v>
      </c>
      <c r="B11848" s="63" t="s">
        <v>12497</v>
      </c>
    </row>
    <row r="11849" spans="1:2" x14ac:dyDescent="0.25">
      <c r="A11849" s="62">
        <v>49161513</v>
      </c>
      <c r="B11849" s="63" t="s">
        <v>12498</v>
      </c>
    </row>
    <row r="11850" spans="1:2" x14ac:dyDescent="0.25">
      <c r="A11850" s="62">
        <v>49161514</v>
      </c>
      <c r="B11850" s="63" t="s">
        <v>12499</v>
      </c>
    </row>
    <row r="11851" spans="1:2" x14ac:dyDescent="0.25">
      <c r="A11851" s="62">
        <v>49161515</v>
      </c>
      <c r="B11851" s="63" t="s">
        <v>12500</v>
      </c>
    </row>
    <row r="11852" spans="1:2" x14ac:dyDescent="0.25">
      <c r="A11852" s="62">
        <v>49161516</v>
      </c>
      <c r="B11852" s="63" t="s">
        <v>12501</v>
      </c>
    </row>
    <row r="11853" spans="1:2" x14ac:dyDescent="0.25">
      <c r="A11853" s="62">
        <v>49161517</v>
      </c>
      <c r="B11853" s="63" t="s">
        <v>12502</v>
      </c>
    </row>
    <row r="11854" spans="1:2" x14ac:dyDescent="0.25">
      <c r="A11854" s="62">
        <v>49161518</v>
      </c>
      <c r="B11854" s="63" t="s">
        <v>12503</v>
      </c>
    </row>
    <row r="11855" spans="1:2" x14ac:dyDescent="0.25">
      <c r="A11855" s="62">
        <v>49161519</v>
      </c>
      <c r="B11855" s="63" t="s">
        <v>12504</v>
      </c>
    </row>
    <row r="11856" spans="1:2" x14ac:dyDescent="0.25">
      <c r="A11856" s="62">
        <v>49161520</v>
      </c>
      <c r="B11856" s="63" t="s">
        <v>12505</v>
      </c>
    </row>
    <row r="11857" spans="1:2" x14ac:dyDescent="0.25">
      <c r="A11857" s="62">
        <v>49161521</v>
      </c>
      <c r="B11857" s="63" t="s">
        <v>12506</v>
      </c>
    </row>
    <row r="11858" spans="1:2" x14ac:dyDescent="0.25">
      <c r="A11858" s="62">
        <v>49161522</v>
      </c>
      <c r="B11858" s="63" t="s">
        <v>12507</v>
      </c>
    </row>
    <row r="11859" spans="1:2" x14ac:dyDescent="0.25">
      <c r="A11859" s="62">
        <v>49161523</v>
      </c>
      <c r="B11859" s="63" t="s">
        <v>12508</v>
      </c>
    </row>
    <row r="11860" spans="1:2" x14ac:dyDescent="0.25">
      <c r="A11860" s="62">
        <v>49161524</v>
      </c>
      <c r="B11860" s="63" t="s">
        <v>12509</v>
      </c>
    </row>
    <row r="11861" spans="1:2" x14ac:dyDescent="0.25">
      <c r="A11861" s="62">
        <v>49161525</v>
      </c>
      <c r="B11861" s="63" t="s">
        <v>12510</v>
      </c>
    </row>
    <row r="11862" spans="1:2" x14ac:dyDescent="0.25">
      <c r="A11862" s="62">
        <v>49161526</v>
      </c>
      <c r="B11862" s="63" t="s">
        <v>12511</v>
      </c>
    </row>
    <row r="11863" spans="1:2" x14ac:dyDescent="0.25">
      <c r="A11863" s="62">
        <v>49161601</v>
      </c>
      <c r="B11863" s="63" t="s">
        <v>12512</v>
      </c>
    </row>
    <row r="11864" spans="1:2" x14ac:dyDescent="0.25">
      <c r="A11864" s="62">
        <v>49161602</v>
      </c>
      <c r="B11864" s="63" t="s">
        <v>12513</v>
      </c>
    </row>
    <row r="11865" spans="1:2" x14ac:dyDescent="0.25">
      <c r="A11865" s="62">
        <v>49161603</v>
      </c>
      <c r="B11865" s="63" t="s">
        <v>12514</v>
      </c>
    </row>
    <row r="11866" spans="1:2" x14ac:dyDescent="0.25">
      <c r="A11866" s="62">
        <v>49161604</v>
      </c>
      <c r="B11866" s="63" t="s">
        <v>12515</v>
      </c>
    </row>
    <row r="11867" spans="1:2" x14ac:dyDescent="0.25">
      <c r="A11867" s="62">
        <v>49161605</v>
      </c>
      <c r="B11867" s="63" t="s">
        <v>12516</v>
      </c>
    </row>
    <row r="11868" spans="1:2" x14ac:dyDescent="0.25">
      <c r="A11868" s="62">
        <v>49161606</v>
      </c>
      <c r="B11868" s="63" t="s">
        <v>12517</v>
      </c>
    </row>
    <row r="11869" spans="1:2" x14ac:dyDescent="0.25">
      <c r="A11869" s="62">
        <v>49161607</v>
      </c>
      <c r="B11869" s="63" t="s">
        <v>12518</v>
      </c>
    </row>
    <row r="11870" spans="1:2" x14ac:dyDescent="0.25">
      <c r="A11870" s="62">
        <v>49161608</v>
      </c>
      <c r="B11870" s="63" t="s">
        <v>12519</v>
      </c>
    </row>
    <row r="11871" spans="1:2" x14ac:dyDescent="0.25">
      <c r="A11871" s="62">
        <v>49161609</v>
      </c>
      <c r="B11871" s="63" t="s">
        <v>12520</v>
      </c>
    </row>
    <row r="11872" spans="1:2" x14ac:dyDescent="0.25">
      <c r="A11872" s="62">
        <v>49161610</v>
      </c>
      <c r="B11872" s="63" t="s">
        <v>12521</v>
      </c>
    </row>
    <row r="11873" spans="1:2" x14ac:dyDescent="0.25">
      <c r="A11873" s="62">
        <v>49161611</v>
      </c>
      <c r="B11873" s="63" t="s">
        <v>12522</v>
      </c>
    </row>
    <row r="11874" spans="1:2" x14ac:dyDescent="0.25">
      <c r="A11874" s="62">
        <v>49161612</v>
      </c>
      <c r="B11874" s="63" t="s">
        <v>12523</v>
      </c>
    </row>
    <row r="11875" spans="1:2" x14ac:dyDescent="0.25">
      <c r="A11875" s="62">
        <v>49161613</v>
      </c>
      <c r="B11875" s="63" t="s">
        <v>12524</v>
      </c>
    </row>
    <row r="11876" spans="1:2" x14ac:dyDescent="0.25">
      <c r="A11876" s="62">
        <v>49161614</v>
      </c>
      <c r="B11876" s="63" t="s">
        <v>12525</v>
      </c>
    </row>
    <row r="11877" spans="1:2" x14ac:dyDescent="0.25">
      <c r="A11877" s="62">
        <v>49161615</v>
      </c>
      <c r="B11877" s="63" t="s">
        <v>12526</v>
      </c>
    </row>
    <row r="11878" spans="1:2" x14ac:dyDescent="0.25">
      <c r="A11878" s="62">
        <v>49161616</v>
      </c>
      <c r="B11878" s="63" t="s">
        <v>12527</v>
      </c>
    </row>
    <row r="11879" spans="1:2" x14ac:dyDescent="0.25">
      <c r="A11879" s="62">
        <v>49161617</v>
      </c>
      <c r="B11879" s="63" t="s">
        <v>12528</v>
      </c>
    </row>
    <row r="11880" spans="1:2" x14ac:dyDescent="0.25">
      <c r="A11880" s="62">
        <v>49161618</v>
      </c>
      <c r="B11880" s="63" t="s">
        <v>12529</v>
      </c>
    </row>
    <row r="11881" spans="1:2" x14ac:dyDescent="0.25">
      <c r="A11881" s="62">
        <v>49161619</v>
      </c>
      <c r="B11881" s="63" t="s">
        <v>12530</v>
      </c>
    </row>
    <row r="11882" spans="1:2" x14ac:dyDescent="0.25">
      <c r="A11882" s="62">
        <v>49161620</v>
      </c>
      <c r="B11882" s="63" t="s">
        <v>12531</v>
      </c>
    </row>
    <row r="11883" spans="1:2" x14ac:dyDescent="0.25">
      <c r="A11883" s="62">
        <v>49161701</v>
      </c>
      <c r="B11883" s="63" t="s">
        <v>12532</v>
      </c>
    </row>
    <row r="11884" spans="1:2" x14ac:dyDescent="0.25">
      <c r="A11884" s="62">
        <v>49161702</v>
      </c>
      <c r="B11884" s="63" t="s">
        <v>12533</v>
      </c>
    </row>
    <row r="11885" spans="1:2" x14ac:dyDescent="0.25">
      <c r="A11885" s="62">
        <v>49161703</v>
      </c>
      <c r="B11885" s="63" t="s">
        <v>2400</v>
      </c>
    </row>
    <row r="11886" spans="1:2" x14ac:dyDescent="0.25">
      <c r="A11886" s="62">
        <v>49161704</v>
      </c>
      <c r="B11886" s="63" t="s">
        <v>12534</v>
      </c>
    </row>
    <row r="11887" spans="1:2" x14ac:dyDescent="0.25">
      <c r="A11887" s="62">
        <v>49161705</v>
      </c>
      <c r="B11887" s="63" t="s">
        <v>12535</v>
      </c>
    </row>
    <row r="11888" spans="1:2" x14ac:dyDescent="0.25">
      <c r="A11888" s="62">
        <v>49161706</v>
      </c>
      <c r="B11888" s="63" t="s">
        <v>12536</v>
      </c>
    </row>
    <row r="11889" spans="1:2" x14ac:dyDescent="0.25">
      <c r="A11889" s="62">
        <v>49161707</v>
      </c>
      <c r="B11889" s="63" t="s">
        <v>12537</v>
      </c>
    </row>
    <row r="11890" spans="1:2" x14ac:dyDescent="0.25">
      <c r="A11890" s="62">
        <v>49171501</v>
      </c>
      <c r="B11890" s="63" t="s">
        <v>12538</v>
      </c>
    </row>
    <row r="11891" spans="1:2" x14ac:dyDescent="0.25">
      <c r="A11891" s="62">
        <v>49171502</v>
      </c>
      <c r="B11891" s="63" t="s">
        <v>12539</v>
      </c>
    </row>
    <row r="11892" spans="1:2" x14ac:dyDescent="0.25">
      <c r="A11892" s="62">
        <v>49171503</v>
      </c>
      <c r="B11892" s="63" t="s">
        <v>12540</v>
      </c>
    </row>
    <row r="11893" spans="1:2" x14ac:dyDescent="0.25">
      <c r="A11893" s="62">
        <v>49171504</v>
      </c>
      <c r="B11893" s="63" t="s">
        <v>12541</v>
      </c>
    </row>
    <row r="11894" spans="1:2" x14ac:dyDescent="0.25">
      <c r="A11894" s="62">
        <v>49171505</v>
      </c>
      <c r="B11894" s="63" t="s">
        <v>12542</v>
      </c>
    </row>
    <row r="11895" spans="1:2" x14ac:dyDescent="0.25">
      <c r="A11895" s="62">
        <v>49171601</v>
      </c>
      <c r="B11895" s="63" t="s">
        <v>12543</v>
      </c>
    </row>
    <row r="11896" spans="1:2" x14ac:dyDescent="0.25">
      <c r="A11896" s="62">
        <v>49171602</v>
      </c>
      <c r="B11896" s="63" t="s">
        <v>12544</v>
      </c>
    </row>
    <row r="11897" spans="1:2" x14ac:dyDescent="0.25">
      <c r="A11897" s="62">
        <v>49171603</v>
      </c>
      <c r="B11897" s="63" t="s">
        <v>12545</v>
      </c>
    </row>
    <row r="11898" spans="1:2" x14ac:dyDescent="0.25">
      <c r="A11898" s="62">
        <v>49181501</v>
      </c>
      <c r="B11898" s="63" t="s">
        <v>12546</v>
      </c>
    </row>
    <row r="11899" spans="1:2" x14ac:dyDescent="0.25">
      <c r="A11899" s="62">
        <v>49181502</v>
      </c>
      <c r="B11899" s="63" t="s">
        <v>12547</v>
      </c>
    </row>
    <row r="11900" spans="1:2" x14ac:dyDescent="0.25">
      <c r="A11900" s="62">
        <v>49181503</v>
      </c>
      <c r="B11900" s="63" t="s">
        <v>12548</v>
      </c>
    </row>
    <row r="11901" spans="1:2" x14ac:dyDescent="0.25">
      <c r="A11901" s="62">
        <v>49181504</v>
      </c>
      <c r="B11901" s="63" t="s">
        <v>12549</v>
      </c>
    </row>
    <row r="11902" spans="1:2" x14ac:dyDescent="0.25">
      <c r="A11902" s="62">
        <v>49181505</v>
      </c>
      <c r="B11902" s="63" t="s">
        <v>12550</v>
      </c>
    </row>
    <row r="11903" spans="1:2" x14ac:dyDescent="0.25">
      <c r="A11903" s="62">
        <v>49181506</v>
      </c>
      <c r="B11903" s="63" t="s">
        <v>12551</v>
      </c>
    </row>
    <row r="11904" spans="1:2" x14ac:dyDescent="0.25">
      <c r="A11904" s="62">
        <v>49181507</v>
      </c>
      <c r="B11904" s="63" t="s">
        <v>12552</v>
      </c>
    </row>
    <row r="11905" spans="1:2" x14ac:dyDescent="0.25">
      <c r="A11905" s="62">
        <v>49181508</v>
      </c>
      <c r="B11905" s="63" t="s">
        <v>12553</v>
      </c>
    </row>
    <row r="11906" spans="1:2" x14ac:dyDescent="0.25">
      <c r="A11906" s="62">
        <v>49181509</v>
      </c>
      <c r="B11906" s="63" t="s">
        <v>12554</v>
      </c>
    </row>
    <row r="11907" spans="1:2" x14ac:dyDescent="0.25">
      <c r="A11907" s="62">
        <v>49181510</v>
      </c>
      <c r="B11907" s="63" t="s">
        <v>12555</v>
      </c>
    </row>
    <row r="11908" spans="1:2" x14ac:dyDescent="0.25">
      <c r="A11908" s="62">
        <v>49181511</v>
      </c>
      <c r="B11908" s="63" t="s">
        <v>12556</v>
      </c>
    </row>
    <row r="11909" spans="1:2" x14ac:dyDescent="0.25">
      <c r="A11909" s="62">
        <v>49181512</v>
      </c>
      <c r="B11909" s="63" t="s">
        <v>12557</v>
      </c>
    </row>
    <row r="11910" spans="1:2" x14ac:dyDescent="0.25">
      <c r="A11910" s="62">
        <v>49181513</v>
      </c>
      <c r="B11910" s="63" t="s">
        <v>12558</v>
      </c>
    </row>
    <row r="11911" spans="1:2" x14ac:dyDescent="0.25">
      <c r="A11911" s="62">
        <v>49181514</v>
      </c>
      <c r="B11911" s="63" t="s">
        <v>12559</v>
      </c>
    </row>
    <row r="11912" spans="1:2" x14ac:dyDescent="0.25">
      <c r="A11912" s="62">
        <v>49181515</v>
      </c>
      <c r="B11912" s="63" t="s">
        <v>12560</v>
      </c>
    </row>
    <row r="11913" spans="1:2" x14ac:dyDescent="0.25">
      <c r="A11913" s="62">
        <v>49181601</v>
      </c>
      <c r="B11913" s="63" t="s">
        <v>12561</v>
      </c>
    </row>
    <row r="11914" spans="1:2" x14ac:dyDescent="0.25">
      <c r="A11914" s="62">
        <v>49181602</v>
      </c>
      <c r="B11914" s="63" t="s">
        <v>12562</v>
      </c>
    </row>
    <row r="11915" spans="1:2" x14ac:dyDescent="0.25">
      <c r="A11915" s="62">
        <v>49181603</v>
      </c>
      <c r="B11915" s="63" t="s">
        <v>12563</v>
      </c>
    </row>
    <row r="11916" spans="1:2" x14ac:dyDescent="0.25">
      <c r="A11916" s="62">
        <v>49181604</v>
      </c>
      <c r="B11916" s="63" t="s">
        <v>12564</v>
      </c>
    </row>
    <row r="11917" spans="1:2" x14ac:dyDescent="0.25">
      <c r="A11917" s="62">
        <v>49181605</v>
      </c>
      <c r="B11917" s="63" t="s">
        <v>12565</v>
      </c>
    </row>
    <row r="11918" spans="1:2" x14ac:dyDescent="0.25">
      <c r="A11918" s="62">
        <v>49181606</v>
      </c>
      <c r="B11918" s="63" t="s">
        <v>12566</v>
      </c>
    </row>
    <row r="11919" spans="1:2" x14ac:dyDescent="0.25">
      <c r="A11919" s="62">
        <v>49181607</v>
      </c>
      <c r="B11919" s="63" t="s">
        <v>12567</v>
      </c>
    </row>
    <row r="11920" spans="1:2" x14ac:dyDescent="0.25">
      <c r="A11920" s="62">
        <v>49181608</v>
      </c>
      <c r="B11920" s="63" t="s">
        <v>12568</v>
      </c>
    </row>
    <row r="11921" spans="1:2" x14ac:dyDescent="0.25">
      <c r="A11921" s="62">
        <v>49181609</v>
      </c>
      <c r="B11921" s="63" t="s">
        <v>12569</v>
      </c>
    </row>
    <row r="11922" spans="1:2" x14ac:dyDescent="0.25">
      <c r="A11922" s="62">
        <v>49181610</v>
      </c>
      <c r="B11922" s="63" t="s">
        <v>12570</v>
      </c>
    </row>
    <row r="11923" spans="1:2" x14ac:dyDescent="0.25">
      <c r="A11923" s="62">
        <v>49181611</v>
      </c>
      <c r="B11923" s="63" t="s">
        <v>12571</v>
      </c>
    </row>
    <row r="11924" spans="1:2" x14ac:dyDescent="0.25">
      <c r="A11924" s="62">
        <v>49181612</v>
      </c>
      <c r="B11924" s="63" t="s">
        <v>12572</v>
      </c>
    </row>
    <row r="11925" spans="1:2" x14ac:dyDescent="0.25">
      <c r="A11925" s="62">
        <v>49201501</v>
      </c>
      <c r="B11925" s="63" t="s">
        <v>12573</v>
      </c>
    </row>
    <row r="11926" spans="1:2" x14ac:dyDescent="0.25">
      <c r="A11926" s="62">
        <v>49201502</v>
      </c>
      <c r="B11926" s="63" t="s">
        <v>12574</v>
      </c>
    </row>
    <row r="11927" spans="1:2" x14ac:dyDescent="0.25">
      <c r="A11927" s="62">
        <v>49201503</v>
      </c>
      <c r="B11927" s="63" t="s">
        <v>12575</v>
      </c>
    </row>
    <row r="11928" spans="1:2" x14ac:dyDescent="0.25">
      <c r="A11928" s="62">
        <v>49201504</v>
      </c>
      <c r="B11928" s="63" t="s">
        <v>12576</v>
      </c>
    </row>
    <row r="11929" spans="1:2" x14ac:dyDescent="0.25">
      <c r="A11929" s="62">
        <v>49201512</v>
      </c>
      <c r="B11929" s="63" t="s">
        <v>12577</v>
      </c>
    </row>
    <row r="11930" spans="1:2" x14ac:dyDescent="0.25">
      <c r="A11930" s="62">
        <v>49201513</v>
      </c>
      <c r="B11930" s="63" t="s">
        <v>12578</v>
      </c>
    </row>
    <row r="11931" spans="1:2" x14ac:dyDescent="0.25">
      <c r="A11931" s="62">
        <v>49201514</v>
      </c>
      <c r="B11931" s="63" t="s">
        <v>12579</v>
      </c>
    </row>
    <row r="11932" spans="1:2" x14ac:dyDescent="0.25">
      <c r="A11932" s="62">
        <v>49201515</v>
      </c>
      <c r="B11932" s="63" t="s">
        <v>12580</v>
      </c>
    </row>
    <row r="11933" spans="1:2" x14ac:dyDescent="0.25">
      <c r="A11933" s="62">
        <v>49201516</v>
      </c>
      <c r="B11933" s="63" t="s">
        <v>12581</v>
      </c>
    </row>
    <row r="11934" spans="1:2" x14ac:dyDescent="0.25">
      <c r="A11934" s="62">
        <v>49201601</v>
      </c>
      <c r="B11934" s="63" t="s">
        <v>12582</v>
      </c>
    </row>
    <row r="11935" spans="1:2" x14ac:dyDescent="0.25">
      <c r="A11935" s="62">
        <v>49201602</v>
      </c>
      <c r="B11935" s="63" t="s">
        <v>12583</v>
      </c>
    </row>
    <row r="11936" spans="1:2" x14ac:dyDescent="0.25">
      <c r="A11936" s="62">
        <v>49201603</v>
      </c>
      <c r="B11936" s="63" t="s">
        <v>12584</v>
      </c>
    </row>
    <row r="11937" spans="1:2" x14ac:dyDescent="0.25">
      <c r="A11937" s="62">
        <v>49201604</v>
      </c>
      <c r="B11937" s="63" t="s">
        <v>12585</v>
      </c>
    </row>
    <row r="11938" spans="1:2" x14ac:dyDescent="0.25">
      <c r="A11938" s="62">
        <v>49201605</v>
      </c>
      <c r="B11938" s="63" t="s">
        <v>12586</v>
      </c>
    </row>
    <row r="11939" spans="1:2" x14ac:dyDescent="0.25">
      <c r="A11939" s="62">
        <v>49201606</v>
      </c>
      <c r="B11939" s="63" t="s">
        <v>12587</v>
      </c>
    </row>
    <row r="11940" spans="1:2" x14ac:dyDescent="0.25">
      <c r="A11940" s="62">
        <v>49201607</v>
      </c>
      <c r="B11940" s="63" t="s">
        <v>12588</v>
      </c>
    </row>
    <row r="11941" spans="1:2" x14ac:dyDescent="0.25">
      <c r="A11941" s="62">
        <v>49201608</v>
      </c>
      <c r="B11941" s="63" t="s">
        <v>12589</v>
      </c>
    </row>
    <row r="11942" spans="1:2" x14ac:dyDescent="0.25">
      <c r="A11942" s="62">
        <v>49201609</v>
      </c>
      <c r="B11942" s="63" t="s">
        <v>12590</v>
      </c>
    </row>
    <row r="11943" spans="1:2" x14ac:dyDescent="0.25">
      <c r="A11943" s="62">
        <v>49201610</v>
      </c>
      <c r="B11943" s="63" t="s">
        <v>12591</v>
      </c>
    </row>
    <row r="11944" spans="1:2" x14ac:dyDescent="0.25">
      <c r="A11944" s="62">
        <v>49201611</v>
      </c>
      <c r="B11944" s="63" t="s">
        <v>12592</v>
      </c>
    </row>
    <row r="11945" spans="1:2" x14ac:dyDescent="0.25">
      <c r="A11945" s="62">
        <v>49211601</v>
      </c>
      <c r="B11945" s="63" t="s">
        <v>12593</v>
      </c>
    </row>
    <row r="11946" spans="1:2" x14ac:dyDescent="0.25">
      <c r="A11946" s="62">
        <v>49211602</v>
      </c>
      <c r="B11946" s="63" t="s">
        <v>12594</v>
      </c>
    </row>
    <row r="11947" spans="1:2" x14ac:dyDescent="0.25">
      <c r="A11947" s="62">
        <v>49211603</v>
      </c>
      <c r="B11947" s="63" t="s">
        <v>12595</v>
      </c>
    </row>
    <row r="11948" spans="1:2" x14ac:dyDescent="0.25">
      <c r="A11948" s="62">
        <v>49211604</v>
      </c>
      <c r="B11948" s="63" t="s">
        <v>12596</v>
      </c>
    </row>
    <row r="11949" spans="1:2" x14ac:dyDescent="0.25">
      <c r="A11949" s="62">
        <v>49211605</v>
      </c>
      <c r="B11949" s="63" t="s">
        <v>12597</v>
      </c>
    </row>
    <row r="11950" spans="1:2" x14ac:dyDescent="0.25">
      <c r="A11950" s="62">
        <v>49211606</v>
      </c>
      <c r="B11950" s="63" t="s">
        <v>12598</v>
      </c>
    </row>
    <row r="11951" spans="1:2" x14ac:dyDescent="0.25">
      <c r="A11951" s="62">
        <v>49211607</v>
      </c>
      <c r="B11951" s="63" t="s">
        <v>12599</v>
      </c>
    </row>
    <row r="11952" spans="1:2" x14ac:dyDescent="0.25">
      <c r="A11952" s="62">
        <v>49211608</v>
      </c>
      <c r="B11952" s="63" t="s">
        <v>12600</v>
      </c>
    </row>
    <row r="11953" spans="1:2" x14ac:dyDescent="0.25">
      <c r="A11953" s="62">
        <v>49211609</v>
      </c>
      <c r="B11953" s="63" t="s">
        <v>12601</v>
      </c>
    </row>
    <row r="11954" spans="1:2" x14ac:dyDescent="0.25">
      <c r="A11954" s="62">
        <v>49211701</v>
      </c>
      <c r="B11954" s="63" t="s">
        <v>12602</v>
      </c>
    </row>
    <row r="11955" spans="1:2" x14ac:dyDescent="0.25">
      <c r="A11955" s="62">
        <v>49211702</v>
      </c>
      <c r="B11955" s="63" t="s">
        <v>12603</v>
      </c>
    </row>
    <row r="11956" spans="1:2" x14ac:dyDescent="0.25">
      <c r="A11956" s="62">
        <v>49211703</v>
      </c>
      <c r="B11956" s="63" t="s">
        <v>12604</v>
      </c>
    </row>
    <row r="11957" spans="1:2" x14ac:dyDescent="0.25">
      <c r="A11957" s="62">
        <v>49211801</v>
      </c>
      <c r="B11957" s="63" t="s">
        <v>12605</v>
      </c>
    </row>
    <row r="11958" spans="1:2" x14ac:dyDescent="0.25">
      <c r="A11958" s="62">
        <v>49211802</v>
      </c>
      <c r="B11958" s="63" t="s">
        <v>12606</v>
      </c>
    </row>
    <row r="11959" spans="1:2" x14ac:dyDescent="0.25">
      <c r="A11959" s="62">
        <v>49211803</v>
      </c>
      <c r="B11959" s="63" t="s">
        <v>12607</v>
      </c>
    </row>
    <row r="11960" spans="1:2" x14ac:dyDescent="0.25">
      <c r="A11960" s="62">
        <v>49211804</v>
      </c>
      <c r="B11960" s="63" t="s">
        <v>12608</v>
      </c>
    </row>
    <row r="11961" spans="1:2" x14ac:dyDescent="0.25">
      <c r="A11961" s="62">
        <v>49211805</v>
      </c>
      <c r="B11961" s="63" t="s">
        <v>12609</v>
      </c>
    </row>
    <row r="11962" spans="1:2" x14ac:dyDescent="0.25">
      <c r="A11962" s="62">
        <v>49211806</v>
      </c>
      <c r="B11962" s="63" t="s">
        <v>12610</v>
      </c>
    </row>
    <row r="11963" spans="1:2" x14ac:dyDescent="0.25">
      <c r="A11963" s="62">
        <v>49211807</v>
      </c>
      <c r="B11963" s="63" t="s">
        <v>12611</v>
      </c>
    </row>
    <row r="11964" spans="1:2" x14ac:dyDescent="0.25">
      <c r="A11964" s="62">
        <v>49221501</v>
      </c>
      <c r="B11964" s="63" t="s">
        <v>12612</v>
      </c>
    </row>
    <row r="11965" spans="1:2" x14ac:dyDescent="0.25">
      <c r="A11965" s="62">
        <v>49221502</v>
      </c>
      <c r="B11965" s="63" t="s">
        <v>12613</v>
      </c>
    </row>
    <row r="11966" spans="1:2" x14ac:dyDescent="0.25">
      <c r="A11966" s="62">
        <v>49221503</v>
      </c>
      <c r="B11966" s="63" t="s">
        <v>12614</v>
      </c>
    </row>
    <row r="11967" spans="1:2" x14ac:dyDescent="0.25">
      <c r="A11967" s="62">
        <v>49221504</v>
      </c>
      <c r="B11967" s="63" t="s">
        <v>12615</v>
      </c>
    </row>
    <row r="11968" spans="1:2" x14ac:dyDescent="0.25">
      <c r="A11968" s="62">
        <v>49221505</v>
      </c>
      <c r="B11968" s="63" t="s">
        <v>12616</v>
      </c>
    </row>
    <row r="11969" spans="1:2" x14ac:dyDescent="0.25">
      <c r="A11969" s="62">
        <v>49221506</v>
      </c>
      <c r="B11969" s="63" t="s">
        <v>12617</v>
      </c>
    </row>
    <row r="11970" spans="1:2" x14ac:dyDescent="0.25">
      <c r="A11970" s="62">
        <v>49221507</v>
      </c>
      <c r="B11970" s="63" t="s">
        <v>12618</v>
      </c>
    </row>
    <row r="11971" spans="1:2" x14ac:dyDescent="0.25">
      <c r="A11971" s="62">
        <v>49221508</v>
      </c>
      <c r="B11971" s="63" t="s">
        <v>12619</v>
      </c>
    </row>
    <row r="11972" spans="1:2" x14ac:dyDescent="0.25">
      <c r="A11972" s="62">
        <v>49221509</v>
      </c>
      <c r="B11972" s="63" t="s">
        <v>12620</v>
      </c>
    </row>
    <row r="11973" spans="1:2" x14ac:dyDescent="0.25">
      <c r="A11973" s="62">
        <v>49221510</v>
      </c>
      <c r="B11973" s="63" t="s">
        <v>12621</v>
      </c>
    </row>
    <row r="11974" spans="1:2" x14ac:dyDescent="0.25">
      <c r="A11974" s="62">
        <v>49221511</v>
      </c>
      <c r="B11974" s="63" t="s">
        <v>12622</v>
      </c>
    </row>
    <row r="11975" spans="1:2" x14ac:dyDescent="0.25">
      <c r="A11975" s="62">
        <v>49241501</v>
      </c>
      <c r="B11975" s="63" t="s">
        <v>12623</v>
      </c>
    </row>
    <row r="11976" spans="1:2" x14ac:dyDescent="0.25">
      <c r="A11976" s="62">
        <v>49241502</v>
      </c>
      <c r="B11976" s="63" t="s">
        <v>12624</v>
      </c>
    </row>
    <row r="11977" spans="1:2" x14ac:dyDescent="0.25">
      <c r="A11977" s="62">
        <v>49241503</v>
      </c>
      <c r="B11977" s="63" t="s">
        <v>12625</v>
      </c>
    </row>
    <row r="11978" spans="1:2" x14ac:dyDescent="0.25">
      <c r="A11978" s="62">
        <v>49241504</v>
      </c>
      <c r="B11978" s="63" t="s">
        <v>12626</v>
      </c>
    </row>
    <row r="11979" spans="1:2" x14ac:dyDescent="0.25">
      <c r="A11979" s="62">
        <v>49241505</v>
      </c>
      <c r="B11979" s="63" t="s">
        <v>12627</v>
      </c>
    </row>
    <row r="11980" spans="1:2" x14ac:dyDescent="0.25">
      <c r="A11980" s="62">
        <v>49241506</v>
      </c>
      <c r="B11980" s="63" t="s">
        <v>12628</v>
      </c>
    </row>
    <row r="11981" spans="1:2" x14ac:dyDescent="0.25">
      <c r="A11981" s="62">
        <v>49241507</v>
      </c>
      <c r="B11981" s="63" t="s">
        <v>12629</v>
      </c>
    </row>
    <row r="11982" spans="1:2" x14ac:dyDescent="0.25">
      <c r="A11982" s="62">
        <v>49241508</v>
      </c>
      <c r="B11982" s="63" t="s">
        <v>12630</v>
      </c>
    </row>
    <row r="11983" spans="1:2" x14ac:dyDescent="0.25">
      <c r="A11983" s="62">
        <v>49241509</v>
      </c>
      <c r="B11983" s="63" t="s">
        <v>12631</v>
      </c>
    </row>
    <row r="11984" spans="1:2" x14ac:dyDescent="0.25">
      <c r="A11984" s="62">
        <v>49241510</v>
      </c>
      <c r="B11984" s="63" t="s">
        <v>12632</v>
      </c>
    </row>
    <row r="11985" spans="1:2" x14ac:dyDescent="0.25">
      <c r="A11985" s="62">
        <v>49241601</v>
      </c>
      <c r="B11985" s="63" t="s">
        <v>12633</v>
      </c>
    </row>
    <row r="11986" spans="1:2" x14ac:dyDescent="0.25">
      <c r="A11986" s="62">
        <v>49241602</v>
      </c>
      <c r="B11986" s="63" t="s">
        <v>12634</v>
      </c>
    </row>
    <row r="11987" spans="1:2" x14ac:dyDescent="0.25">
      <c r="A11987" s="62">
        <v>49241603</v>
      </c>
      <c r="B11987" s="63" t="s">
        <v>12635</v>
      </c>
    </row>
    <row r="11988" spans="1:2" x14ac:dyDescent="0.25">
      <c r="A11988" s="62">
        <v>49241604</v>
      </c>
      <c r="B11988" s="63" t="s">
        <v>12636</v>
      </c>
    </row>
    <row r="11989" spans="1:2" x14ac:dyDescent="0.25">
      <c r="A11989" s="62">
        <v>49241701</v>
      </c>
      <c r="B11989" s="63" t="s">
        <v>12637</v>
      </c>
    </row>
    <row r="11990" spans="1:2" x14ac:dyDescent="0.25">
      <c r="A11990" s="62">
        <v>49241702</v>
      </c>
      <c r="B11990" s="63" t="s">
        <v>12638</v>
      </c>
    </row>
    <row r="11991" spans="1:2" x14ac:dyDescent="0.25">
      <c r="A11991" s="62">
        <v>49241703</v>
      </c>
      <c r="B11991" s="63" t="s">
        <v>12639</v>
      </c>
    </row>
    <row r="11992" spans="1:2" x14ac:dyDescent="0.25">
      <c r="A11992" s="62">
        <v>49241704</v>
      </c>
      <c r="B11992" s="63" t="s">
        <v>12640</v>
      </c>
    </row>
    <row r="11993" spans="1:2" x14ac:dyDescent="0.25">
      <c r="A11993" s="62">
        <v>49241705</v>
      </c>
      <c r="B11993" s="63" t="s">
        <v>12641</v>
      </c>
    </row>
    <row r="11994" spans="1:2" x14ac:dyDescent="0.25">
      <c r="A11994" s="62">
        <v>49241706</v>
      </c>
      <c r="B11994" s="63" t="s">
        <v>12642</v>
      </c>
    </row>
    <row r="11995" spans="1:2" x14ac:dyDescent="0.25">
      <c r="A11995" s="62">
        <v>49241707</v>
      </c>
      <c r="B11995" s="63" t="s">
        <v>12643</v>
      </c>
    </row>
    <row r="11996" spans="1:2" x14ac:dyDescent="0.25">
      <c r="A11996" s="62">
        <v>49241708</v>
      </c>
      <c r="B11996" s="63" t="s">
        <v>12644</v>
      </c>
    </row>
    <row r="11997" spans="1:2" x14ac:dyDescent="0.25">
      <c r="A11997" s="62">
        <v>49241709</v>
      </c>
      <c r="B11997" s="63" t="s">
        <v>12645</v>
      </c>
    </row>
    <row r="11998" spans="1:2" x14ac:dyDescent="0.25">
      <c r="A11998" s="62">
        <v>50101538</v>
      </c>
      <c r="B11998" s="63" t="s">
        <v>12646</v>
      </c>
    </row>
    <row r="11999" spans="1:2" x14ac:dyDescent="0.25">
      <c r="A11999" s="62">
        <v>50101539</v>
      </c>
      <c r="B11999" s="63" t="s">
        <v>12647</v>
      </c>
    </row>
    <row r="12000" spans="1:2" x14ac:dyDescent="0.25">
      <c r="A12000" s="62">
        <v>50101540</v>
      </c>
      <c r="B12000" s="63" t="s">
        <v>12648</v>
      </c>
    </row>
    <row r="12001" spans="1:2" x14ac:dyDescent="0.25">
      <c r="A12001" s="62">
        <v>50101541</v>
      </c>
      <c r="B12001" s="63" t="s">
        <v>12649</v>
      </c>
    </row>
    <row r="12002" spans="1:2" x14ac:dyDescent="0.25">
      <c r="A12002" s="62">
        <v>50101542</v>
      </c>
      <c r="B12002" s="63" t="s">
        <v>12650</v>
      </c>
    </row>
    <row r="12003" spans="1:2" x14ac:dyDescent="0.25">
      <c r="A12003" s="62">
        <v>50101543</v>
      </c>
      <c r="B12003" s="63" t="s">
        <v>12651</v>
      </c>
    </row>
    <row r="12004" spans="1:2" x14ac:dyDescent="0.25">
      <c r="A12004" s="62">
        <v>50101544</v>
      </c>
      <c r="B12004" s="63" t="s">
        <v>12652</v>
      </c>
    </row>
    <row r="12005" spans="1:2" x14ac:dyDescent="0.25">
      <c r="A12005" s="62">
        <v>50101545</v>
      </c>
      <c r="B12005" s="63" t="s">
        <v>12653</v>
      </c>
    </row>
    <row r="12006" spans="1:2" x14ac:dyDescent="0.25">
      <c r="A12006" s="62">
        <v>50101634</v>
      </c>
      <c r="B12006" s="63" t="s">
        <v>12654</v>
      </c>
    </row>
    <row r="12007" spans="1:2" x14ac:dyDescent="0.25">
      <c r="A12007" s="62">
        <v>50101635</v>
      </c>
      <c r="B12007" s="63" t="s">
        <v>12655</v>
      </c>
    </row>
    <row r="12008" spans="1:2" x14ac:dyDescent="0.25">
      <c r="A12008" s="62">
        <v>50101636</v>
      </c>
      <c r="B12008" s="63" t="s">
        <v>12656</v>
      </c>
    </row>
    <row r="12009" spans="1:2" x14ac:dyDescent="0.25">
      <c r="A12009" s="62">
        <v>50101716</v>
      </c>
      <c r="B12009" s="63" t="s">
        <v>12657</v>
      </c>
    </row>
    <row r="12010" spans="1:2" x14ac:dyDescent="0.25">
      <c r="A12010" s="62">
        <v>50101717</v>
      </c>
      <c r="B12010" s="63" t="s">
        <v>12658</v>
      </c>
    </row>
    <row r="12011" spans="1:2" x14ac:dyDescent="0.25">
      <c r="A12011" s="62">
        <v>50111510</v>
      </c>
      <c r="B12011" s="63" t="s">
        <v>12659</v>
      </c>
    </row>
    <row r="12012" spans="1:2" x14ac:dyDescent="0.25">
      <c r="A12012" s="62">
        <v>50111511</v>
      </c>
      <c r="B12012" s="63" t="s">
        <v>12660</v>
      </c>
    </row>
    <row r="12013" spans="1:2" x14ac:dyDescent="0.25">
      <c r="A12013" s="62">
        <v>50111512</v>
      </c>
      <c r="B12013" s="63" t="s">
        <v>12661</v>
      </c>
    </row>
    <row r="12014" spans="1:2" x14ac:dyDescent="0.25">
      <c r="A12014" s="62">
        <v>50112001</v>
      </c>
      <c r="B12014" s="63" t="s">
        <v>12662</v>
      </c>
    </row>
    <row r="12015" spans="1:2" x14ac:dyDescent="0.25">
      <c r="A12015" s="62">
        <v>50112002</v>
      </c>
      <c r="B12015" s="63" t="s">
        <v>12663</v>
      </c>
    </row>
    <row r="12016" spans="1:2" x14ac:dyDescent="0.25">
      <c r="A12016" s="62">
        <v>50112003</v>
      </c>
      <c r="B12016" s="63" t="s">
        <v>12664</v>
      </c>
    </row>
    <row r="12017" spans="1:2" x14ac:dyDescent="0.25">
      <c r="A12017" s="62">
        <v>50121537</v>
      </c>
      <c r="B12017" s="63" t="s">
        <v>12665</v>
      </c>
    </row>
    <row r="12018" spans="1:2" x14ac:dyDescent="0.25">
      <c r="A12018" s="62">
        <v>50121538</v>
      </c>
      <c r="B12018" s="63" t="s">
        <v>12666</v>
      </c>
    </row>
    <row r="12019" spans="1:2" x14ac:dyDescent="0.25">
      <c r="A12019" s="62">
        <v>50121539</v>
      </c>
      <c r="B12019" s="63" t="s">
        <v>12667</v>
      </c>
    </row>
    <row r="12020" spans="1:2" x14ac:dyDescent="0.25">
      <c r="A12020" s="62">
        <v>50121611</v>
      </c>
      <c r="B12020" s="63" t="s">
        <v>12668</v>
      </c>
    </row>
    <row r="12021" spans="1:2" x14ac:dyDescent="0.25">
      <c r="A12021" s="62">
        <v>50121612</v>
      </c>
      <c r="B12021" s="63" t="s">
        <v>12669</v>
      </c>
    </row>
    <row r="12022" spans="1:2" x14ac:dyDescent="0.25">
      <c r="A12022" s="62">
        <v>50121613</v>
      </c>
      <c r="B12022" s="63" t="s">
        <v>12670</v>
      </c>
    </row>
    <row r="12023" spans="1:2" x14ac:dyDescent="0.25">
      <c r="A12023" s="62">
        <v>50121705</v>
      </c>
      <c r="B12023" s="63" t="s">
        <v>12671</v>
      </c>
    </row>
    <row r="12024" spans="1:2" x14ac:dyDescent="0.25">
      <c r="A12024" s="62">
        <v>50121706</v>
      </c>
      <c r="B12024" s="63" t="s">
        <v>12672</v>
      </c>
    </row>
    <row r="12025" spans="1:2" x14ac:dyDescent="0.25">
      <c r="A12025" s="62">
        <v>50121707</v>
      </c>
      <c r="B12025" s="63" t="s">
        <v>12673</v>
      </c>
    </row>
    <row r="12026" spans="1:2" x14ac:dyDescent="0.25">
      <c r="A12026" s="62">
        <v>50121802</v>
      </c>
      <c r="B12026" s="63" t="s">
        <v>12674</v>
      </c>
    </row>
    <row r="12027" spans="1:2" x14ac:dyDescent="0.25">
      <c r="A12027" s="62">
        <v>50121803</v>
      </c>
      <c r="B12027" s="63" t="s">
        <v>12675</v>
      </c>
    </row>
    <row r="12028" spans="1:2" x14ac:dyDescent="0.25">
      <c r="A12028" s="62">
        <v>50121804</v>
      </c>
      <c r="B12028" s="63" t="s">
        <v>12676</v>
      </c>
    </row>
    <row r="12029" spans="1:2" x14ac:dyDescent="0.25">
      <c r="A12029" s="62">
        <v>50131606</v>
      </c>
      <c r="B12029" s="63" t="s">
        <v>12677</v>
      </c>
    </row>
    <row r="12030" spans="1:2" x14ac:dyDescent="0.25">
      <c r="A12030" s="62">
        <v>50131607</v>
      </c>
      <c r="B12030" s="63" t="s">
        <v>12678</v>
      </c>
    </row>
    <row r="12031" spans="1:2" x14ac:dyDescent="0.25">
      <c r="A12031" s="62">
        <v>50131608</v>
      </c>
      <c r="B12031" s="63" t="s">
        <v>12679</v>
      </c>
    </row>
    <row r="12032" spans="1:2" x14ac:dyDescent="0.25">
      <c r="A12032" s="62">
        <v>50131609</v>
      </c>
      <c r="B12032" s="63" t="s">
        <v>12680</v>
      </c>
    </row>
    <row r="12033" spans="1:2" x14ac:dyDescent="0.25">
      <c r="A12033" s="62">
        <v>50131610</v>
      </c>
      <c r="B12033" s="63" t="s">
        <v>12681</v>
      </c>
    </row>
    <row r="12034" spans="1:2" x14ac:dyDescent="0.25">
      <c r="A12034" s="62">
        <v>50131611</v>
      </c>
      <c r="B12034" s="63" t="s">
        <v>12682</v>
      </c>
    </row>
    <row r="12035" spans="1:2" x14ac:dyDescent="0.25">
      <c r="A12035" s="62">
        <v>50131701</v>
      </c>
      <c r="B12035" s="63" t="s">
        <v>12683</v>
      </c>
    </row>
    <row r="12036" spans="1:2" x14ac:dyDescent="0.25">
      <c r="A12036" s="62">
        <v>50131702</v>
      </c>
      <c r="B12036" s="63" t="s">
        <v>12684</v>
      </c>
    </row>
    <row r="12037" spans="1:2" x14ac:dyDescent="0.25">
      <c r="A12037" s="62">
        <v>50131703</v>
      </c>
      <c r="B12037" s="63" t="s">
        <v>12685</v>
      </c>
    </row>
    <row r="12038" spans="1:2" x14ac:dyDescent="0.25">
      <c r="A12038" s="62">
        <v>50131801</v>
      </c>
      <c r="B12038" s="63" t="s">
        <v>12686</v>
      </c>
    </row>
    <row r="12039" spans="1:2" x14ac:dyDescent="0.25">
      <c r="A12039" s="62">
        <v>50131802</v>
      </c>
      <c r="B12039" s="63" t="s">
        <v>12687</v>
      </c>
    </row>
    <row r="12040" spans="1:2" x14ac:dyDescent="0.25">
      <c r="A12040" s="62">
        <v>50131803</v>
      </c>
      <c r="B12040" s="63" t="s">
        <v>12688</v>
      </c>
    </row>
    <row r="12041" spans="1:2" x14ac:dyDescent="0.25">
      <c r="A12041" s="62">
        <v>50151513</v>
      </c>
      <c r="B12041" s="63" t="s">
        <v>12689</v>
      </c>
    </row>
    <row r="12042" spans="1:2" x14ac:dyDescent="0.25">
      <c r="A12042" s="62">
        <v>50151514</v>
      </c>
      <c r="B12042" s="63" t="s">
        <v>12690</v>
      </c>
    </row>
    <row r="12043" spans="1:2" x14ac:dyDescent="0.25">
      <c r="A12043" s="62">
        <v>50151604</v>
      </c>
      <c r="B12043" s="63" t="s">
        <v>12691</v>
      </c>
    </row>
    <row r="12044" spans="1:2" x14ac:dyDescent="0.25">
      <c r="A12044" s="62">
        <v>50151605</v>
      </c>
      <c r="B12044" s="63" t="s">
        <v>12692</v>
      </c>
    </row>
    <row r="12045" spans="1:2" x14ac:dyDescent="0.25">
      <c r="A12045" s="62">
        <v>50161509</v>
      </c>
      <c r="B12045" s="63" t="s">
        <v>12693</v>
      </c>
    </row>
    <row r="12046" spans="1:2" x14ac:dyDescent="0.25">
      <c r="A12046" s="62">
        <v>50161510</v>
      </c>
      <c r="B12046" s="63" t="s">
        <v>12694</v>
      </c>
    </row>
    <row r="12047" spans="1:2" x14ac:dyDescent="0.25">
      <c r="A12047" s="62">
        <v>50161511</v>
      </c>
      <c r="B12047" s="63" t="s">
        <v>12695</v>
      </c>
    </row>
    <row r="12048" spans="1:2" x14ac:dyDescent="0.25">
      <c r="A12048" s="62">
        <v>50161512</v>
      </c>
      <c r="B12048" s="63" t="s">
        <v>12696</v>
      </c>
    </row>
    <row r="12049" spans="1:2" x14ac:dyDescent="0.25">
      <c r="A12049" s="62">
        <v>50161813</v>
      </c>
      <c r="B12049" s="63" t="s">
        <v>12697</v>
      </c>
    </row>
    <row r="12050" spans="1:2" x14ac:dyDescent="0.25">
      <c r="A12050" s="62">
        <v>50161814</v>
      </c>
      <c r="B12050" s="63" t="s">
        <v>12698</v>
      </c>
    </row>
    <row r="12051" spans="1:2" x14ac:dyDescent="0.25">
      <c r="A12051" s="62">
        <v>50161815</v>
      </c>
      <c r="B12051" s="63" t="s">
        <v>12699</v>
      </c>
    </row>
    <row r="12052" spans="1:2" x14ac:dyDescent="0.25">
      <c r="A12052" s="62">
        <v>50171548</v>
      </c>
      <c r="B12052" s="63" t="s">
        <v>12700</v>
      </c>
    </row>
    <row r="12053" spans="1:2" x14ac:dyDescent="0.25">
      <c r="A12053" s="62">
        <v>50171549</v>
      </c>
      <c r="B12053" s="63" t="s">
        <v>12701</v>
      </c>
    </row>
    <row r="12054" spans="1:2" x14ac:dyDescent="0.25">
      <c r="A12054" s="62">
        <v>50171550</v>
      </c>
      <c r="B12054" s="63" t="s">
        <v>12702</v>
      </c>
    </row>
    <row r="12055" spans="1:2" x14ac:dyDescent="0.25">
      <c r="A12055" s="62">
        <v>50171551</v>
      </c>
      <c r="B12055" s="63" t="s">
        <v>12703</v>
      </c>
    </row>
    <row r="12056" spans="1:2" x14ac:dyDescent="0.25">
      <c r="A12056" s="62">
        <v>50171552</v>
      </c>
      <c r="B12056" s="63" t="s">
        <v>12704</v>
      </c>
    </row>
    <row r="12057" spans="1:2" x14ac:dyDescent="0.25">
      <c r="A12057" s="62">
        <v>50171707</v>
      </c>
      <c r="B12057" s="63" t="s">
        <v>12705</v>
      </c>
    </row>
    <row r="12058" spans="1:2" x14ac:dyDescent="0.25">
      <c r="A12058" s="62">
        <v>50171708</v>
      </c>
      <c r="B12058" s="63" t="s">
        <v>12706</v>
      </c>
    </row>
    <row r="12059" spans="1:2" x14ac:dyDescent="0.25">
      <c r="A12059" s="62">
        <v>50171830</v>
      </c>
      <c r="B12059" s="63" t="s">
        <v>12707</v>
      </c>
    </row>
    <row r="12060" spans="1:2" x14ac:dyDescent="0.25">
      <c r="A12060" s="62">
        <v>50171831</v>
      </c>
      <c r="B12060" s="63" t="s">
        <v>12708</v>
      </c>
    </row>
    <row r="12061" spans="1:2" x14ac:dyDescent="0.25">
      <c r="A12061" s="62">
        <v>50171832</v>
      </c>
      <c r="B12061" s="63" t="s">
        <v>12709</v>
      </c>
    </row>
    <row r="12062" spans="1:2" x14ac:dyDescent="0.25">
      <c r="A12062" s="62">
        <v>50171833</v>
      </c>
      <c r="B12062" s="63" t="s">
        <v>12710</v>
      </c>
    </row>
    <row r="12063" spans="1:2" x14ac:dyDescent="0.25">
      <c r="A12063" s="62">
        <v>50171901</v>
      </c>
      <c r="B12063" s="63" t="s">
        <v>12711</v>
      </c>
    </row>
    <row r="12064" spans="1:2" x14ac:dyDescent="0.25">
      <c r="A12064" s="62">
        <v>50171902</v>
      </c>
      <c r="B12064" s="63" t="s">
        <v>12712</v>
      </c>
    </row>
    <row r="12065" spans="1:2" x14ac:dyDescent="0.25">
      <c r="A12065" s="62">
        <v>50171903</v>
      </c>
      <c r="B12065" s="63" t="s">
        <v>12713</v>
      </c>
    </row>
    <row r="12066" spans="1:2" x14ac:dyDescent="0.25">
      <c r="A12066" s="62">
        <v>50171904</v>
      </c>
      <c r="B12066" s="63" t="s">
        <v>12714</v>
      </c>
    </row>
    <row r="12067" spans="1:2" x14ac:dyDescent="0.25">
      <c r="A12067" s="62">
        <v>50181708</v>
      </c>
      <c r="B12067" s="63" t="s">
        <v>12715</v>
      </c>
    </row>
    <row r="12068" spans="1:2" x14ac:dyDescent="0.25">
      <c r="A12068" s="62">
        <v>50181709</v>
      </c>
      <c r="B12068" s="63" t="s">
        <v>12716</v>
      </c>
    </row>
    <row r="12069" spans="1:2" x14ac:dyDescent="0.25">
      <c r="A12069" s="62">
        <v>50181901</v>
      </c>
      <c r="B12069" s="63" t="s">
        <v>12717</v>
      </c>
    </row>
    <row r="12070" spans="1:2" x14ac:dyDescent="0.25">
      <c r="A12070" s="62">
        <v>50181902</v>
      </c>
      <c r="B12070" s="63" t="s">
        <v>12718</v>
      </c>
    </row>
    <row r="12071" spans="1:2" x14ac:dyDescent="0.25">
      <c r="A12071" s="62">
        <v>50181903</v>
      </c>
      <c r="B12071" s="63" t="s">
        <v>12719</v>
      </c>
    </row>
    <row r="12072" spans="1:2" x14ac:dyDescent="0.25">
      <c r="A12072" s="62">
        <v>50181904</v>
      </c>
      <c r="B12072" s="63" t="s">
        <v>12720</v>
      </c>
    </row>
    <row r="12073" spans="1:2" x14ac:dyDescent="0.25">
      <c r="A12073" s="62">
        <v>50181905</v>
      </c>
      <c r="B12073" s="63" t="s">
        <v>12721</v>
      </c>
    </row>
    <row r="12074" spans="1:2" x14ac:dyDescent="0.25">
      <c r="A12074" s="62">
        <v>50181906</v>
      </c>
      <c r="B12074" s="63" t="s">
        <v>12722</v>
      </c>
    </row>
    <row r="12075" spans="1:2" x14ac:dyDescent="0.25">
      <c r="A12075" s="62">
        <v>50181907</v>
      </c>
      <c r="B12075" s="63" t="s">
        <v>12723</v>
      </c>
    </row>
    <row r="12076" spans="1:2" x14ac:dyDescent="0.25">
      <c r="A12076" s="62">
        <v>50181908</v>
      </c>
      <c r="B12076" s="63" t="s">
        <v>12724</v>
      </c>
    </row>
    <row r="12077" spans="1:2" x14ac:dyDescent="0.25">
      <c r="A12077" s="62">
        <v>50181909</v>
      </c>
      <c r="B12077" s="63" t="s">
        <v>12725</v>
      </c>
    </row>
    <row r="12078" spans="1:2" x14ac:dyDescent="0.25">
      <c r="A12078" s="62">
        <v>50182001</v>
      </c>
      <c r="B12078" s="63" t="s">
        <v>12726</v>
      </c>
    </row>
    <row r="12079" spans="1:2" x14ac:dyDescent="0.25">
      <c r="A12079" s="62">
        <v>50182002</v>
      </c>
      <c r="B12079" s="63" t="s">
        <v>12727</v>
      </c>
    </row>
    <row r="12080" spans="1:2" x14ac:dyDescent="0.25">
      <c r="A12080" s="62">
        <v>50182003</v>
      </c>
      <c r="B12080" s="63" t="s">
        <v>12728</v>
      </c>
    </row>
    <row r="12081" spans="1:2" x14ac:dyDescent="0.25">
      <c r="A12081" s="62">
        <v>50182004</v>
      </c>
      <c r="B12081" s="63" t="s">
        <v>12729</v>
      </c>
    </row>
    <row r="12082" spans="1:2" x14ac:dyDescent="0.25">
      <c r="A12082" s="62">
        <v>50191505</v>
      </c>
      <c r="B12082" s="63" t="s">
        <v>12730</v>
      </c>
    </row>
    <row r="12083" spans="1:2" x14ac:dyDescent="0.25">
      <c r="A12083" s="62">
        <v>50191506</v>
      </c>
      <c r="B12083" s="63" t="s">
        <v>12731</v>
      </c>
    </row>
    <row r="12084" spans="1:2" x14ac:dyDescent="0.25">
      <c r="A12084" s="62">
        <v>50191507</v>
      </c>
      <c r="B12084" s="63" t="s">
        <v>12732</v>
      </c>
    </row>
    <row r="12085" spans="1:2" x14ac:dyDescent="0.25">
      <c r="A12085" s="62">
        <v>50192109</v>
      </c>
      <c r="B12085" s="63" t="s">
        <v>12733</v>
      </c>
    </row>
    <row r="12086" spans="1:2" x14ac:dyDescent="0.25">
      <c r="A12086" s="62">
        <v>50192110</v>
      </c>
      <c r="B12086" s="63" t="s">
        <v>12734</v>
      </c>
    </row>
    <row r="12087" spans="1:2" x14ac:dyDescent="0.25">
      <c r="A12087" s="62">
        <v>50192111</v>
      </c>
      <c r="B12087" s="63" t="s">
        <v>12735</v>
      </c>
    </row>
    <row r="12088" spans="1:2" x14ac:dyDescent="0.25">
      <c r="A12088" s="62">
        <v>50192112</v>
      </c>
      <c r="B12088" s="63" t="s">
        <v>12736</v>
      </c>
    </row>
    <row r="12089" spans="1:2" x14ac:dyDescent="0.25">
      <c r="A12089" s="62">
        <v>50192301</v>
      </c>
      <c r="B12089" s="63" t="s">
        <v>12737</v>
      </c>
    </row>
    <row r="12090" spans="1:2" x14ac:dyDescent="0.25">
      <c r="A12090" s="62">
        <v>50192302</v>
      </c>
      <c r="B12090" s="63" t="s">
        <v>12738</v>
      </c>
    </row>
    <row r="12091" spans="1:2" x14ac:dyDescent="0.25">
      <c r="A12091" s="62">
        <v>50192303</v>
      </c>
      <c r="B12091" s="63" t="s">
        <v>12739</v>
      </c>
    </row>
    <row r="12092" spans="1:2" x14ac:dyDescent="0.25">
      <c r="A12092" s="62">
        <v>50192304</v>
      </c>
      <c r="B12092" s="63" t="s">
        <v>12740</v>
      </c>
    </row>
    <row r="12093" spans="1:2" x14ac:dyDescent="0.25">
      <c r="A12093" s="62">
        <v>50192401</v>
      </c>
      <c r="B12093" s="63" t="s">
        <v>12741</v>
      </c>
    </row>
    <row r="12094" spans="1:2" x14ac:dyDescent="0.25">
      <c r="A12094" s="62">
        <v>50192402</v>
      </c>
      <c r="B12094" s="63" t="s">
        <v>12742</v>
      </c>
    </row>
    <row r="12095" spans="1:2" x14ac:dyDescent="0.25">
      <c r="A12095" s="62">
        <v>50192403</v>
      </c>
      <c r="B12095" s="63" t="s">
        <v>12743</v>
      </c>
    </row>
    <row r="12096" spans="1:2" x14ac:dyDescent="0.25">
      <c r="A12096" s="62">
        <v>50192404</v>
      </c>
      <c r="B12096" s="63" t="s">
        <v>12744</v>
      </c>
    </row>
    <row r="12097" spans="1:2" x14ac:dyDescent="0.25">
      <c r="A12097" s="62">
        <v>50192501</v>
      </c>
      <c r="B12097" s="63" t="s">
        <v>12745</v>
      </c>
    </row>
    <row r="12098" spans="1:2" x14ac:dyDescent="0.25">
      <c r="A12098" s="62">
        <v>50192502</v>
      </c>
      <c r="B12098" s="63" t="s">
        <v>12746</v>
      </c>
    </row>
    <row r="12099" spans="1:2" x14ac:dyDescent="0.25">
      <c r="A12099" s="62">
        <v>50192503</v>
      </c>
      <c r="B12099" s="63" t="s">
        <v>12747</v>
      </c>
    </row>
    <row r="12100" spans="1:2" x14ac:dyDescent="0.25">
      <c r="A12100" s="62">
        <v>50192504</v>
      </c>
      <c r="B12100" s="63" t="s">
        <v>12748</v>
      </c>
    </row>
    <row r="12101" spans="1:2" x14ac:dyDescent="0.25">
      <c r="A12101" s="62">
        <v>50192601</v>
      </c>
      <c r="B12101" s="63" t="s">
        <v>12749</v>
      </c>
    </row>
    <row r="12102" spans="1:2" x14ac:dyDescent="0.25">
      <c r="A12102" s="62">
        <v>50192602</v>
      </c>
      <c r="B12102" s="63" t="s">
        <v>12750</v>
      </c>
    </row>
    <row r="12103" spans="1:2" x14ac:dyDescent="0.25">
      <c r="A12103" s="62">
        <v>50192603</v>
      </c>
      <c r="B12103" s="63" t="s">
        <v>12751</v>
      </c>
    </row>
    <row r="12104" spans="1:2" x14ac:dyDescent="0.25">
      <c r="A12104" s="62">
        <v>50192701</v>
      </c>
      <c r="B12104" s="63" t="s">
        <v>12752</v>
      </c>
    </row>
    <row r="12105" spans="1:2" x14ac:dyDescent="0.25">
      <c r="A12105" s="62">
        <v>50192702</v>
      </c>
      <c r="B12105" s="63" t="s">
        <v>12753</v>
      </c>
    </row>
    <row r="12106" spans="1:2" x14ac:dyDescent="0.25">
      <c r="A12106" s="62">
        <v>50192703</v>
      </c>
      <c r="B12106" s="63" t="s">
        <v>12754</v>
      </c>
    </row>
    <row r="12107" spans="1:2" x14ac:dyDescent="0.25">
      <c r="A12107" s="62">
        <v>50192801</v>
      </c>
      <c r="B12107" s="63" t="s">
        <v>12755</v>
      </c>
    </row>
    <row r="12108" spans="1:2" x14ac:dyDescent="0.25">
      <c r="A12108" s="62">
        <v>50192802</v>
      </c>
      <c r="B12108" s="63" t="s">
        <v>12756</v>
      </c>
    </row>
    <row r="12109" spans="1:2" x14ac:dyDescent="0.25">
      <c r="A12109" s="62">
        <v>50192803</v>
      </c>
      <c r="B12109" s="63" t="s">
        <v>12757</v>
      </c>
    </row>
    <row r="12110" spans="1:2" x14ac:dyDescent="0.25">
      <c r="A12110" s="62">
        <v>50192901</v>
      </c>
      <c r="B12110" s="63" t="s">
        <v>12758</v>
      </c>
    </row>
    <row r="12111" spans="1:2" x14ac:dyDescent="0.25">
      <c r="A12111" s="62">
        <v>50192902</v>
      </c>
      <c r="B12111" s="63" t="s">
        <v>12759</v>
      </c>
    </row>
    <row r="12112" spans="1:2" x14ac:dyDescent="0.25">
      <c r="A12112" s="62">
        <v>50193001</v>
      </c>
      <c r="B12112" s="63" t="s">
        <v>12760</v>
      </c>
    </row>
    <row r="12113" spans="1:2" x14ac:dyDescent="0.25">
      <c r="A12113" s="62">
        <v>50193002</v>
      </c>
      <c r="B12113" s="63" t="s">
        <v>12761</v>
      </c>
    </row>
    <row r="12114" spans="1:2" x14ac:dyDescent="0.25">
      <c r="A12114" s="62">
        <v>50193101</v>
      </c>
      <c r="B12114" s="63" t="s">
        <v>12762</v>
      </c>
    </row>
    <row r="12115" spans="1:2" x14ac:dyDescent="0.25">
      <c r="A12115" s="62">
        <v>50193102</v>
      </c>
      <c r="B12115" s="63" t="s">
        <v>12763</v>
      </c>
    </row>
    <row r="12116" spans="1:2" x14ac:dyDescent="0.25">
      <c r="A12116" s="62">
        <v>50193103</v>
      </c>
      <c r="B12116" s="63" t="s">
        <v>12764</v>
      </c>
    </row>
    <row r="12117" spans="1:2" x14ac:dyDescent="0.25">
      <c r="A12117" s="62">
        <v>50193104</v>
      </c>
      <c r="B12117" s="63" t="s">
        <v>12765</v>
      </c>
    </row>
    <row r="12118" spans="1:2" x14ac:dyDescent="0.25">
      <c r="A12118" s="62">
        <v>50193105</v>
      </c>
      <c r="B12118" s="63" t="s">
        <v>12766</v>
      </c>
    </row>
    <row r="12119" spans="1:2" x14ac:dyDescent="0.25">
      <c r="A12119" s="62">
        <v>50193201</v>
      </c>
      <c r="B12119" s="63" t="s">
        <v>12767</v>
      </c>
    </row>
    <row r="12120" spans="1:2" x14ac:dyDescent="0.25">
      <c r="A12120" s="62">
        <v>50193202</v>
      </c>
      <c r="B12120" s="63" t="s">
        <v>12768</v>
      </c>
    </row>
    <row r="12121" spans="1:2" x14ac:dyDescent="0.25">
      <c r="A12121" s="62">
        <v>50193203</v>
      </c>
      <c r="B12121" s="63" t="s">
        <v>12769</v>
      </c>
    </row>
    <row r="12122" spans="1:2" x14ac:dyDescent="0.25">
      <c r="A12122" s="62">
        <v>50201706</v>
      </c>
      <c r="B12122" s="63" t="s">
        <v>12770</v>
      </c>
    </row>
    <row r="12123" spans="1:2" x14ac:dyDescent="0.25">
      <c r="A12123" s="62">
        <v>50201707</v>
      </c>
      <c r="B12123" s="63" t="s">
        <v>12771</v>
      </c>
    </row>
    <row r="12124" spans="1:2" x14ac:dyDescent="0.25">
      <c r="A12124" s="62">
        <v>50201708</v>
      </c>
      <c r="B12124" s="63" t="s">
        <v>12772</v>
      </c>
    </row>
    <row r="12125" spans="1:2" x14ac:dyDescent="0.25">
      <c r="A12125" s="62">
        <v>50201709</v>
      </c>
      <c r="B12125" s="63" t="s">
        <v>12773</v>
      </c>
    </row>
    <row r="12126" spans="1:2" x14ac:dyDescent="0.25">
      <c r="A12126" s="62">
        <v>50201710</v>
      </c>
      <c r="B12126" s="63" t="s">
        <v>12774</v>
      </c>
    </row>
    <row r="12127" spans="1:2" x14ac:dyDescent="0.25">
      <c r="A12127" s="62">
        <v>50201711</v>
      </c>
      <c r="B12127" s="63" t="s">
        <v>12775</v>
      </c>
    </row>
    <row r="12128" spans="1:2" x14ac:dyDescent="0.25">
      <c r="A12128" s="62">
        <v>50201712</v>
      </c>
      <c r="B12128" s="63" t="s">
        <v>12776</v>
      </c>
    </row>
    <row r="12129" spans="1:2" x14ac:dyDescent="0.25">
      <c r="A12129" s="62">
        <v>50201713</v>
      </c>
      <c r="B12129" s="63" t="s">
        <v>12777</v>
      </c>
    </row>
    <row r="12130" spans="1:2" x14ac:dyDescent="0.25">
      <c r="A12130" s="62">
        <v>50201714</v>
      </c>
      <c r="B12130" s="63" t="s">
        <v>12778</v>
      </c>
    </row>
    <row r="12131" spans="1:2" x14ac:dyDescent="0.25">
      <c r="A12131" s="62">
        <v>50202201</v>
      </c>
      <c r="B12131" s="63" t="s">
        <v>12779</v>
      </c>
    </row>
    <row r="12132" spans="1:2" x14ac:dyDescent="0.25">
      <c r="A12132" s="62">
        <v>50202202</v>
      </c>
      <c r="B12132" s="63" t="s">
        <v>12780</v>
      </c>
    </row>
    <row r="12133" spans="1:2" x14ac:dyDescent="0.25">
      <c r="A12133" s="62">
        <v>50202203</v>
      </c>
      <c r="B12133" s="63" t="s">
        <v>12781</v>
      </c>
    </row>
    <row r="12134" spans="1:2" x14ac:dyDescent="0.25">
      <c r="A12134" s="62">
        <v>50202204</v>
      </c>
      <c r="B12134" s="63" t="s">
        <v>12782</v>
      </c>
    </row>
    <row r="12135" spans="1:2" x14ac:dyDescent="0.25">
      <c r="A12135" s="62">
        <v>50202205</v>
      </c>
      <c r="B12135" s="63" t="s">
        <v>12783</v>
      </c>
    </row>
    <row r="12136" spans="1:2" x14ac:dyDescent="0.25">
      <c r="A12136" s="62">
        <v>50202206</v>
      </c>
      <c r="B12136" s="63" t="s">
        <v>12784</v>
      </c>
    </row>
    <row r="12137" spans="1:2" x14ac:dyDescent="0.25">
      <c r="A12137" s="62">
        <v>50202207</v>
      </c>
      <c r="B12137" s="63" t="s">
        <v>12785</v>
      </c>
    </row>
    <row r="12138" spans="1:2" x14ac:dyDescent="0.25">
      <c r="A12138" s="62">
        <v>50202301</v>
      </c>
      <c r="B12138" s="63" t="s">
        <v>12786</v>
      </c>
    </row>
    <row r="12139" spans="1:2" x14ac:dyDescent="0.25">
      <c r="A12139" s="62">
        <v>50202302</v>
      </c>
      <c r="B12139" s="63" t="s">
        <v>12787</v>
      </c>
    </row>
    <row r="12140" spans="1:2" x14ac:dyDescent="0.25">
      <c r="A12140" s="62">
        <v>50202303</v>
      </c>
      <c r="B12140" s="63" t="s">
        <v>12788</v>
      </c>
    </row>
    <row r="12141" spans="1:2" x14ac:dyDescent="0.25">
      <c r="A12141" s="62">
        <v>50202304</v>
      </c>
      <c r="B12141" s="63" t="s">
        <v>12789</v>
      </c>
    </row>
    <row r="12142" spans="1:2" x14ac:dyDescent="0.25">
      <c r="A12142" s="62">
        <v>50202305</v>
      </c>
      <c r="B12142" s="63" t="s">
        <v>12790</v>
      </c>
    </row>
    <row r="12143" spans="1:2" x14ac:dyDescent="0.25">
      <c r="A12143" s="62">
        <v>50202306</v>
      </c>
      <c r="B12143" s="63" t="s">
        <v>12791</v>
      </c>
    </row>
    <row r="12144" spans="1:2" x14ac:dyDescent="0.25">
      <c r="A12144" s="62">
        <v>50202307</v>
      </c>
      <c r="B12144" s="63" t="s">
        <v>12792</v>
      </c>
    </row>
    <row r="12145" spans="1:2" x14ac:dyDescent="0.25">
      <c r="A12145" s="62">
        <v>50202308</v>
      </c>
      <c r="B12145" s="63" t="s">
        <v>12793</v>
      </c>
    </row>
    <row r="12146" spans="1:2" x14ac:dyDescent="0.25">
      <c r="A12146" s="62">
        <v>50202309</v>
      </c>
      <c r="B12146" s="63" t="s">
        <v>12794</v>
      </c>
    </row>
    <row r="12147" spans="1:2" x14ac:dyDescent="0.25">
      <c r="A12147" s="62">
        <v>50202310</v>
      </c>
      <c r="B12147" s="63" t="s">
        <v>12795</v>
      </c>
    </row>
    <row r="12148" spans="1:2" x14ac:dyDescent="0.25">
      <c r="A12148" s="62">
        <v>50202311</v>
      </c>
      <c r="B12148" s="63" t="s">
        <v>12796</v>
      </c>
    </row>
    <row r="12149" spans="1:2" x14ac:dyDescent="0.25">
      <c r="A12149" s="62">
        <v>50211502</v>
      </c>
      <c r="B12149" s="63" t="s">
        <v>12797</v>
      </c>
    </row>
    <row r="12150" spans="1:2" x14ac:dyDescent="0.25">
      <c r="A12150" s="62">
        <v>50211503</v>
      </c>
      <c r="B12150" s="63" t="s">
        <v>12798</v>
      </c>
    </row>
    <row r="12151" spans="1:2" x14ac:dyDescent="0.25">
      <c r="A12151" s="62">
        <v>50211504</v>
      </c>
      <c r="B12151" s="63" t="s">
        <v>12799</v>
      </c>
    </row>
    <row r="12152" spans="1:2" x14ac:dyDescent="0.25">
      <c r="A12152" s="62">
        <v>50211505</v>
      </c>
      <c r="B12152" s="63" t="s">
        <v>12800</v>
      </c>
    </row>
    <row r="12153" spans="1:2" x14ac:dyDescent="0.25">
      <c r="A12153" s="62">
        <v>50211506</v>
      </c>
      <c r="B12153" s="63" t="s">
        <v>12801</v>
      </c>
    </row>
    <row r="12154" spans="1:2" x14ac:dyDescent="0.25">
      <c r="A12154" s="62">
        <v>50211607</v>
      </c>
      <c r="B12154" s="63" t="s">
        <v>12802</v>
      </c>
    </row>
    <row r="12155" spans="1:2" x14ac:dyDescent="0.25">
      <c r="A12155" s="62">
        <v>50211608</v>
      </c>
      <c r="B12155" s="63" t="s">
        <v>12803</v>
      </c>
    </row>
    <row r="12156" spans="1:2" x14ac:dyDescent="0.25">
      <c r="A12156" s="62">
        <v>50211609</v>
      </c>
      <c r="B12156" s="63" t="s">
        <v>12804</v>
      </c>
    </row>
    <row r="12157" spans="1:2" x14ac:dyDescent="0.25">
      <c r="A12157" s="62">
        <v>50211610</v>
      </c>
      <c r="B12157" s="63" t="s">
        <v>12805</v>
      </c>
    </row>
    <row r="12158" spans="1:2" x14ac:dyDescent="0.25">
      <c r="A12158" s="62">
        <v>50211611</v>
      </c>
      <c r="B12158" s="63" t="s">
        <v>12806</v>
      </c>
    </row>
    <row r="12159" spans="1:2" x14ac:dyDescent="0.25">
      <c r="A12159" s="62">
        <v>50211612</v>
      </c>
      <c r="B12159" s="63" t="s">
        <v>12807</v>
      </c>
    </row>
    <row r="12160" spans="1:2" x14ac:dyDescent="0.25">
      <c r="A12160" s="62">
        <v>50221001</v>
      </c>
      <c r="B12160" s="63" t="s">
        <v>12808</v>
      </c>
    </row>
    <row r="12161" spans="1:2" x14ac:dyDescent="0.25">
      <c r="A12161" s="62">
        <v>50221002</v>
      </c>
      <c r="B12161" s="63" t="s">
        <v>12809</v>
      </c>
    </row>
    <row r="12162" spans="1:2" x14ac:dyDescent="0.25">
      <c r="A12162" s="62">
        <v>50221101</v>
      </c>
      <c r="B12162" s="63" t="s">
        <v>12810</v>
      </c>
    </row>
    <row r="12163" spans="1:2" x14ac:dyDescent="0.25">
      <c r="A12163" s="62">
        <v>50221102</v>
      </c>
      <c r="B12163" s="63" t="s">
        <v>12811</v>
      </c>
    </row>
    <row r="12164" spans="1:2" x14ac:dyDescent="0.25">
      <c r="A12164" s="62">
        <v>50221201</v>
      </c>
      <c r="B12164" s="63" t="s">
        <v>12812</v>
      </c>
    </row>
    <row r="12165" spans="1:2" x14ac:dyDescent="0.25">
      <c r="A12165" s="62">
        <v>50221202</v>
      </c>
      <c r="B12165" s="63" t="s">
        <v>12813</v>
      </c>
    </row>
    <row r="12166" spans="1:2" x14ac:dyDescent="0.25">
      <c r="A12166" s="62">
        <v>51101503</v>
      </c>
      <c r="B12166" s="63" t="s">
        <v>12814</v>
      </c>
    </row>
    <row r="12167" spans="1:2" x14ac:dyDescent="0.25">
      <c r="A12167" s="62">
        <v>51101504</v>
      </c>
      <c r="B12167" s="63" t="s">
        <v>12815</v>
      </c>
    </row>
    <row r="12168" spans="1:2" x14ac:dyDescent="0.25">
      <c r="A12168" s="62">
        <v>51101507</v>
      </c>
      <c r="B12168" s="63" t="s">
        <v>12816</v>
      </c>
    </row>
    <row r="12169" spans="1:2" x14ac:dyDescent="0.25">
      <c r="A12169" s="62">
        <v>51101508</v>
      </c>
      <c r="B12169" s="63" t="s">
        <v>12817</v>
      </c>
    </row>
    <row r="12170" spans="1:2" x14ac:dyDescent="0.25">
      <c r="A12170" s="62">
        <v>51101509</v>
      </c>
      <c r="B12170" s="63" t="s">
        <v>12818</v>
      </c>
    </row>
    <row r="12171" spans="1:2" x14ac:dyDescent="0.25">
      <c r="A12171" s="62">
        <v>51101510</v>
      </c>
      <c r="B12171" s="63" t="s">
        <v>12819</v>
      </c>
    </row>
    <row r="12172" spans="1:2" x14ac:dyDescent="0.25">
      <c r="A12172" s="62">
        <v>51101511</v>
      </c>
      <c r="B12172" s="63" t="s">
        <v>12820</v>
      </c>
    </row>
    <row r="12173" spans="1:2" x14ac:dyDescent="0.25">
      <c r="A12173" s="62">
        <v>51101512</v>
      </c>
      <c r="B12173" s="63" t="s">
        <v>12821</v>
      </c>
    </row>
    <row r="12174" spans="1:2" x14ac:dyDescent="0.25">
      <c r="A12174" s="62">
        <v>51101513</v>
      </c>
      <c r="B12174" s="63" t="s">
        <v>12822</v>
      </c>
    </row>
    <row r="12175" spans="1:2" x14ac:dyDescent="0.25">
      <c r="A12175" s="62">
        <v>51101514</v>
      </c>
      <c r="B12175" s="63" t="s">
        <v>12823</v>
      </c>
    </row>
    <row r="12176" spans="1:2" x14ac:dyDescent="0.25">
      <c r="A12176" s="62">
        <v>51101515</v>
      </c>
      <c r="B12176" s="63" t="s">
        <v>12824</v>
      </c>
    </row>
    <row r="12177" spans="1:2" x14ac:dyDescent="0.25">
      <c r="A12177" s="62">
        <v>51101516</v>
      </c>
      <c r="B12177" s="63" t="s">
        <v>12825</v>
      </c>
    </row>
    <row r="12178" spans="1:2" x14ac:dyDescent="0.25">
      <c r="A12178" s="62">
        <v>51101518</v>
      </c>
      <c r="B12178" s="63" t="s">
        <v>12826</v>
      </c>
    </row>
    <row r="12179" spans="1:2" x14ac:dyDescent="0.25">
      <c r="A12179" s="62">
        <v>51101519</v>
      </c>
      <c r="B12179" s="63" t="s">
        <v>12827</v>
      </c>
    </row>
    <row r="12180" spans="1:2" x14ac:dyDescent="0.25">
      <c r="A12180" s="62">
        <v>51101521</v>
      </c>
      <c r="B12180" s="63" t="s">
        <v>12828</v>
      </c>
    </row>
    <row r="12181" spans="1:2" x14ac:dyDescent="0.25">
      <c r="A12181" s="62">
        <v>51101522</v>
      </c>
      <c r="B12181" s="63" t="s">
        <v>12829</v>
      </c>
    </row>
    <row r="12182" spans="1:2" x14ac:dyDescent="0.25">
      <c r="A12182" s="62">
        <v>51101523</v>
      </c>
      <c r="B12182" s="63" t="s">
        <v>12830</v>
      </c>
    </row>
    <row r="12183" spans="1:2" x14ac:dyDescent="0.25">
      <c r="A12183" s="62">
        <v>51101524</v>
      </c>
      <c r="B12183" s="63" t="s">
        <v>12831</v>
      </c>
    </row>
    <row r="12184" spans="1:2" x14ac:dyDescent="0.25">
      <c r="A12184" s="62">
        <v>51101525</v>
      </c>
      <c r="B12184" s="63" t="s">
        <v>12832</v>
      </c>
    </row>
    <row r="12185" spans="1:2" x14ac:dyDescent="0.25">
      <c r="A12185" s="62">
        <v>51101526</v>
      </c>
      <c r="B12185" s="63" t="s">
        <v>12833</v>
      </c>
    </row>
    <row r="12186" spans="1:2" x14ac:dyDescent="0.25">
      <c r="A12186" s="62">
        <v>51101527</v>
      </c>
      <c r="B12186" s="63" t="s">
        <v>12834</v>
      </c>
    </row>
    <row r="12187" spans="1:2" x14ac:dyDescent="0.25">
      <c r="A12187" s="62">
        <v>51101528</v>
      </c>
      <c r="B12187" s="63" t="s">
        <v>12835</v>
      </c>
    </row>
    <row r="12188" spans="1:2" x14ac:dyDescent="0.25">
      <c r="A12188" s="62">
        <v>51101530</v>
      </c>
      <c r="B12188" s="63" t="s">
        <v>12836</v>
      </c>
    </row>
    <row r="12189" spans="1:2" x14ac:dyDescent="0.25">
      <c r="A12189" s="62">
        <v>51101531</v>
      </c>
      <c r="B12189" s="63" t="s">
        <v>12837</v>
      </c>
    </row>
    <row r="12190" spans="1:2" x14ac:dyDescent="0.25">
      <c r="A12190" s="62">
        <v>51101532</v>
      </c>
      <c r="B12190" s="63" t="s">
        <v>12838</v>
      </c>
    </row>
    <row r="12191" spans="1:2" x14ac:dyDescent="0.25">
      <c r="A12191" s="62">
        <v>51101533</v>
      </c>
      <c r="B12191" s="63" t="s">
        <v>12839</v>
      </c>
    </row>
    <row r="12192" spans="1:2" x14ac:dyDescent="0.25">
      <c r="A12192" s="62">
        <v>51101534</v>
      </c>
      <c r="B12192" s="63" t="s">
        <v>12840</v>
      </c>
    </row>
    <row r="12193" spans="1:2" x14ac:dyDescent="0.25">
      <c r="A12193" s="62">
        <v>51101535</v>
      </c>
      <c r="B12193" s="63" t="s">
        <v>12841</v>
      </c>
    </row>
    <row r="12194" spans="1:2" x14ac:dyDescent="0.25">
      <c r="A12194" s="62">
        <v>51101536</v>
      </c>
      <c r="B12194" s="63" t="s">
        <v>12842</v>
      </c>
    </row>
    <row r="12195" spans="1:2" x14ac:dyDescent="0.25">
      <c r="A12195" s="62">
        <v>51101537</v>
      </c>
      <c r="B12195" s="63" t="s">
        <v>12843</v>
      </c>
    </row>
    <row r="12196" spans="1:2" x14ac:dyDescent="0.25">
      <c r="A12196" s="62">
        <v>51101538</v>
      </c>
      <c r="B12196" s="63" t="s">
        <v>12844</v>
      </c>
    </row>
    <row r="12197" spans="1:2" x14ac:dyDescent="0.25">
      <c r="A12197" s="62">
        <v>51101539</v>
      </c>
      <c r="B12197" s="63" t="s">
        <v>12845</v>
      </c>
    </row>
    <row r="12198" spans="1:2" x14ac:dyDescent="0.25">
      <c r="A12198" s="62">
        <v>51101540</v>
      </c>
      <c r="B12198" s="63" t="s">
        <v>12846</v>
      </c>
    </row>
    <row r="12199" spans="1:2" x14ac:dyDescent="0.25">
      <c r="A12199" s="62">
        <v>51101541</v>
      </c>
      <c r="B12199" s="63" t="s">
        <v>12847</v>
      </c>
    </row>
    <row r="12200" spans="1:2" x14ac:dyDescent="0.25">
      <c r="A12200" s="62">
        <v>51101542</v>
      </c>
      <c r="B12200" s="63" t="s">
        <v>12848</v>
      </c>
    </row>
    <row r="12201" spans="1:2" x14ac:dyDescent="0.25">
      <c r="A12201" s="62">
        <v>51101543</v>
      </c>
      <c r="B12201" s="63" t="s">
        <v>12849</v>
      </c>
    </row>
    <row r="12202" spans="1:2" x14ac:dyDescent="0.25">
      <c r="A12202" s="62">
        <v>51101544</v>
      </c>
      <c r="B12202" s="63" t="s">
        <v>12850</v>
      </c>
    </row>
    <row r="12203" spans="1:2" x14ac:dyDescent="0.25">
      <c r="A12203" s="62">
        <v>51101545</v>
      </c>
      <c r="B12203" s="63" t="s">
        <v>12851</v>
      </c>
    </row>
    <row r="12204" spans="1:2" x14ac:dyDescent="0.25">
      <c r="A12204" s="62">
        <v>51101546</v>
      </c>
      <c r="B12204" s="63" t="s">
        <v>12852</v>
      </c>
    </row>
    <row r="12205" spans="1:2" x14ac:dyDescent="0.25">
      <c r="A12205" s="62">
        <v>51101547</v>
      </c>
      <c r="B12205" s="63" t="s">
        <v>12853</v>
      </c>
    </row>
    <row r="12206" spans="1:2" x14ac:dyDescent="0.25">
      <c r="A12206" s="62">
        <v>51101548</v>
      </c>
      <c r="B12206" s="63" t="s">
        <v>12854</v>
      </c>
    </row>
    <row r="12207" spans="1:2" x14ac:dyDescent="0.25">
      <c r="A12207" s="62">
        <v>51101549</v>
      </c>
      <c r="B12207" s="63" t="s">
        <v>12855</v>
      </c>
    </row>
    <row r="12208" spans="1:2" x14ac:dyDescent="0.25">
      <c r="A12208" s="62">
        <v>51101550</v>
      </c>
      <c r="B12208" s="63" t="s">
        <v>12856</v>
      </c>
    </row>
    <row r="12209" spans="1:2" x14ac:dyDescent="0.25">
      <c r="A12209" s="62">
        <v>51101551</v>
      </c>
      <c r="B12209" s="63" t="s">
        <v>12857</v>
      </c>
    </row>
    <row r="12210" spans="1:2" x14ac:dyDescent="0.25">
      <c r="A12210" s="62">
        <v>51101552</v>
      </c>
      <c r="B12210" s="63" t="s">
        <v>12858</v>
      </c>
    </row>
    <row r="12211" spans="1:2" x14ac:dyDescent="0.25">
      <c r="A12211" s="62">
        <v>51101553</v>
      </c>
      <c r="B12211" s="63" t="s">
        <v>12859</v>
      </c>
    </row>
    <row r="12212" spans="1:2" x14ac:dyDescent="0.25">
      <c r="A12212" s="62">
        <v>51101554</v>
      </c>
      <c r="B12212" s="63" t="s">
        <v>12860</v>
      </c>
    </row>
    <row r="12213" spans="1:2" x14ac:dyDescent="0.25">
      <c r="A12213" s="62">
        <v>51101555</v>
      </c>
      <c r="B12213" s="63" t="s">
        <v>12861</v>
      </c>
    </row>
    <row r="12214" spans="1:2" x14ac:dyDescent="0.25">
      <c r="A12214" s="62">
        <v>51101556</v>
      </c>
      <c r="B12214" s="63" t="s">
        <v>12862</v>
      </c>
    </row>
    <row r="12215" spans="1:2" x14ac:dyDescent="0.25">
      <c r="A12215" s="62">
        <v>51101557</v>
      </c>
      <c r="B12215" s="63" t="s">
        <v>12863</v>
      </c>
    </row>
    <row r="12216" spans="1:2" x14ac:dyDescent="0.25">
      <c r="A12216" s="62">
        <v>51101558</v>
      </c>
      <c r="B12216" s="63" t="s">
        <v>12864</v>
      </c>
    </row>
    <row r="12217" spans="1:2" x14ac:dyDescent="0.25">
      <c r="A12217" s="62">
        <v>51101559</v>
      </c>
      <c r="B12217" s="63" t="s">
        <v>12865</v>
      </c>
    </row>
    <row r="12218" spans="1:2" x14ac:dyDescent="0.25">
      <c r="A12218" s="62">
        <v>51101560</v>
      </c>
      <c r="B12218" s="63" t="s">
        <v>12866</v>
      </c>
    </row>
    <row r="12219" spans="1:2" x14ac:dyDescent="0.25">
      <c r="A12219" s="62">
        <v>51101561</v>
      </c>
      <c r="B12219" s="63" t="s">
        <v>12867</v>
      </c>
    </row>
    <row r="12220" spans="1:2" x14ac:dyDescent="0.25">
      <c r="A12220" s="62">
        <v>51101562</v>
      </c>
      <c r="B12220" s="63" t="s">
        <v>12868</v>
      </c>
    </row>
    <row r="12221" spans="1:2" x14ac:dyDescent="0.25">
      <c r="A12221" s="62">
        <v>51101563</v>
      </c>
      <c r="B12221" s="63" t="s">
        <v>12869</v>
      </c>
    </row>
    <row r="12222" spans="1:2" x14ac:dyDescent="0.25">
      <c r="A12222" s="62">
        <v>51101564</v>
      </c>
      <c r="B12222" s="63" t="s">
        <v>12870</v>
      </c>
    </row>
    <row r="12223" spans="1:2" x14ac:dyDescent="0.25">
      <c r="A12223" s="62">
        <v>51101565</v>
      </c>
      <c r="B12223" s="63" t="s">
        <v>12871</v>
      </c>
    </row>
    <row r="12224" spans="1:2" x14ac:dyDescent="0.25">
      <c r="A12224" s="62">
        <v>51101566</v>
      </c>
      <c r="B12224" s="63" t="s">
        <v>12872</v>
      </c>
    </row>
    <row r="12225" spans="1:2" x14ac:dyDescent="0.25">
      <c r="A12225" s="62">
        <v>51101567</v>
      </c>
      <c r="B12225" s="63" t="s">
        <v>12873</v>
      </c>
    </row>
    <row r="12226" spans="1:2" x14ac:dyDescent="0.25">
      <c r="A12226" s="62">
        <v>51101568</v>
      </c>
      <c r="B12226" s="63" t="s">
        <v>12874</v>
      </c>
    </row>
    <row r="12227" spans="1:2" x14ac:dyDescent="0.25">
      <c r="A12227" s="62">
        <v>51101569</v>
      </c>
      <c r="B12227" s="63" t="s">
        <v>12875</v>
      </c>
    </row>
    <row r="12228" spans="1:2" x14ac:dyDescent="0.25">
      <c r="A12228" s="62">
        <v>51101570</v>
      </c>
      <c r="B12228" s="63" t="s">
        <v>12876</v>
      </c>
    </row>
    <row r="12229" spans="1:2" x14ac:dyDescent="0.25">
      <c r="A12229" s="62">
        <v>51101571</v>
      </c>
      <c r="B12229" s="63" t="s">
        <v>12877</v>
      </c>
    </row>
    <row r="12230" spans="1:2" x14ac:dyDescent="0.25">
      <c r="A12230" s="62">
        <v>51101572</v>
      </c>
      <c r="B12230" s="63" t="s">
        <v>12878</v>
      </c>
    </row>
    <row r="12231" spans="1:2" x14ac:dyDescent="0.25">
      <c r="A12231" s="62">
        <v>51101573</v>
      </c>
      <c r="B12231" s="63" t="s">
        <v>12879</v>
      </c>
    </row>
    <row r="12232" spans="1:2" x14ac:dyDescent="0.25">
      <c r="A12232" s="62">
        <v>51101574</v>
      </c>
      <c r="B12232" s="63" t="s">
        <v>12880</v>
      </c>
    </row>
    <row r="12233" spans="1:2" x14ac:dyDescent="0.25">
      <c r="A12233" s="62">
        <v>51101575</v>
      </c>
      <c r="B12233" s="63" t="s">
        <v>12881</v>
      </c>
    </row>
    <row r="12234" spans="1:2" x14ac:dyDescent="0.25">
      <c r="A12234" s="62">
        <v>51101576</v>
      </c>
      <c r="B12234" s="63" t="s">
        <v>12882</v>
      </c>
    </row>
    <row r="12235" spans="1:2" x14ac:dyDescent="0.25">
      <c r="A12235" s="62">
        <v>51101577</v>
      </c>
      <c r="B12235" s="63" t="s">
        <v>12883</v>
      </c>
    </row>
    <row r="12236" spans="1:2" x14ac:dyDescent="0.25">
      <c r="A12236" s="62">
        <v>51101578</v>
      </c>
      <c r="B12236" s="63" t="s">
        <v>12884</v>
      </c>
    </row>
    <row r="12237" spans="1:2" x14ac:dyDescent="0.25">
      <c r="A12237" s="62">
        <v>51101579</v>
      </c>
      <c r="B12237" s="63" t="s">
        <v>12885</v>
      </c>
    </row>
    <row r="12238" spans="1:2" x14ac:dyDescent="0.25">
      <c r="A12238" s="62">
        <v>51101580</v>
      </c>
      <c r="B12238" s="63" t="s">
        <v>12886</v>
      </c>
    </row>
    <row r="12239" spans="1:2" x14ac:dyDescent="0.25">
      <c r="A12239" s="62">
        <v>51101581</v>
      </c>
      <c r="B12239" s="63" t="s">
        <v>12887</v>
      </c>
    </row>
    <row r="12240" spans="1:2" x14ac:dyDescent="0.25">
      <c r="A12240" s="62">
        <v>51101582</v>
      </c>
      <c r="B12240" s="63" t="s">
        <v>12888</v>
      </c>
    </row>
    <row r="12241" spans="1:2" x14ac:dyDescent="0.25">
      <c r="A12241" s="62">
        <v>51101583</v>
      </c>
      <c r="B12241" s="63" t="s">
        <v>12889</v>
      </c>
    </row>
    <row r="12242" spans="1:2" x14ac:dyDescent="0.25">
      <c r="A12242" s="62">
        <v>51101584</v>
      </c>
      <c r="B12242" s="63" t="s">
        <v>12890</v>
      </c>
    </row>
    <row r="12243" spans="1:2" x14ac:dyDescent="0.25">
      <c r="A12243" s="62">
        <v>51101585</v>
      </c>
      <c r="B12243" s="63" t="s">
        <v>12891</v>
      </c>
    </row>
    <row r="12244" spans="1:2" x14ac:dyDescent="0.25">
      <c r="A12244" s="62">
        <v>51101586</v>
      </c>
      <c r="B12244" s="63" t="s">
        <v>12892</v>
      </c>
    </row>
    <row r="12245" spans="1:2" x14ac:dyDescent="0.25">
      <c r="A12245" s="62">
        <v>51101587</v>
      </c>
      <c r="B12245" s="63" t="s">
        <v>12893</v>
      </c>
    </row>
    <row r="12246" spans="1:2" x14ac:dyDescent="0.25">
      <c r="A12246" s="62">
        <v>51101588</v>
      </c>
      <c r="B12246" s="63" t="s">
        <v>12894</v>
      </c>
    </row>
    <row r="12247" spans="1:2" x14ac:dyDescent="0.25">
      <c r="A12247" s="62">
        <v>51101589</v>
      </c>
      <c r="B12247" s="63" t="s">
        <v>12895</v>
      </c>
    </row>
    <row r="12248" spans="1:2" x14ac:dyDescent="0.25">
      <c r="A12248" s="62">
        <v>51101590</v>
      </c>
      <c r="B12248" s="63" t="s">
        <v>12896</v>
      </c>
    </row>
    <row r="12249" spans="1:2" x14ac:dyDescent="0.25">
      <c r="A12249" s="62">
        <v>51101591</v>
      </c>
      <c r="B12249" s="63" t="s">
        <v>12897</v>
      </c>
    </row>
    <row r="12250" spans="1:2" x14ac:dyDescent="0.25">
      <c r="A12250" s="62">
        <v>51101592</v>
      </c>
      <c r="B12250" s="63" t="s">
        <v>12898</v>
      </c>
    </row>
    <row r="12251" spans="1:2" x14ac:dyDescent="0.25">
      <c r="A12251" s="62">
        <v>51101593</v>
      </c>
      <c r="B12251" s="63" t="s">
        <v>12899</v>
      </c>
    </row>
    <row r="12252" spans="1:2" x14ac:dyDescent="0.25">
      <c r="A12252" s="62">
        <v>51101594</v>
      </c>
      <c r="B12252" s="63" t="s">
        <v>12900</v>
      </c>
    </row>
    <row r="12253" spans="1:2" x14ac:dyDescent="0.25">
      <c r="A12253" s="62">
        <v>51101595</v>
      </c>
      <c r="B12253" s="63" t="s">
        <v>12901</v>
      </c>
    </row>
    <row r="12254" spans="1:2" x14ac:dyDescent="0.25">
      <c r="A12254" s="62">
        <v>51101596</v>
      </c>
      <c r="B12254" s="63" t="s">
        <v>12902</v>
      </c>
    </row>
    <row r="12255" spans="1:2" x14ac:dyDescent="0.25">
      <c r="A12255" s="62">
        <v>51101597</v>
      </c>
      <c r="B12255" s="63" t="s">
        <v>12903</v>
      </c>
    </row>
    <row r="12256" spans="1:2" x14ac:dyDescent="0.25">
      <c r="A12256" s="62">
        <v>51101598</v>
      </c>
      <c r="B12256" s="63" t="s">
        <v>12904</v>
      </c>
    </row>
    <row r="12257" spans="1:2" x14ac:dyDescent="0.25">
      <c r="A12257" s="62">
        <v>51101599</v>
      </c>
      <c r="B12257" s="63" t="s">
        <v>12905</v>
      </c>
    </row>
    <row r="12258" spans="1:2" x14ac:dyDescent="0.25">
      <c r="A12258" s="62">
        <v>51101601</v>
      </c>
      <c r="B12258" s="63" t="s">
        <v>12906</v>
      </c>
    </row>
    <row r="12259" spans="1:2" x14ac:dyDescent="0.25">
      <c r="A12259" s="62">
        <v>51101602</v>
      </c>
      <c r="B12259" s="63" t="s">
        <v>12907</v>
      </c>
    </row>
    <row r="12260" spans="1:2" x14ac:dyDescent="0.25">
      <c r="A12260" s="62">
        <v>51101603</v>
      </c>
      <c r="B12260" s="63" t="s">
        <v>12908</v>
      </c>
    </row>
    <row r="12261" spans="1:2" x14ac:dyDescent="0.25">
      <c r="A12261" s="62">
        <v>51101604</v>
      </c>
      <c r="B12261" s="63" t="s">
        <v>12909</v>
      </c>
    </row>
    <row r="12262" spans="1:2" x14ac:dyDescent="0.25">
      <c r="A12262" s="62">
        <v>51101606</v>
      </c>
      <c r="B12262" s="63" t="s">
        <v>12910</v>
      </c>
    </row>
    <row r="12263" spans="1:2" x14ac:dyDescent="0.25">
      <c r="A12263" s="62">
        <v>51101607</v>
      </c>
      <c r="B12263" s="63" t="s">
        <v>12911</v>
      </c>
    </row>
    <row r="12264" spans="1:2" x14ac:dyDescent="0.25">
      <c r="A12264" s="62">
        <v>51101610</v>
      </c>
      <c r="B12264" s="63" t="s">
        <v>12912</v>
      </c>
    </row>
    <row r="12265" spans="1:2" x14ac:dyDescent="0.25">
      <c r="A12265" s="62">
        <v>51101611</v>
      </c>
      <c r="B12265" s="63" t="s">
        <v>12913</v>
      </c>
    </row>
    <row r="12266" spans="1:2" x14ac:dyDescent="0.25">
      <c r="A12266" s="62">
        <v>51101612</v>
      </c>
      <c r="B12266" s="63" t="s">
        <v>12914</v>
      </c>
    </row>
    <row r="12267" spans="1:2" x14ac:dyDescent="0.25">
      <c r="A12267" s="62">
        <v>51101613</v>
      </c>
      <c r="B12267" s="63" t="s">
        <v>12915</v>
      </c>
    </row>
    <row r="12268" spans="1:2" x14ac:dyDescent="0.25">
      <c r="A12268" s="62">
        <v>51101614</v>
      </c>
      <c r="B12268" s="63" t="s">
        <v>12916</v>
      </c>
    </row>
    <row r="12269" spans="1:2" x14ac:dyDescent="0.25">
      <c r="A12269" s="62">
        <v>51101616</v>
      </c>
      <c r="B12269" s="63" t="s">
        <v>12917</v>
      </c>
    </row>
    <row r="12270" spans="1:2" x14ac:dyDescent="0.25">
      <c r="A12270" s="62">
        <v>51101617</v>
      </c>
      <c r="B12270" s="63" t="s">
        <v>12918</v>
      </c>
    </row>
    <row r="12271" spans="1:2" x14ac:dyDescent="0.25">
      <c r="A12271" s="62">
        <v>51101618</v>
      </c>
      <c r="B12271" s="63" t="s">
        <v>12919</v>
      </c>
    </row>
    <row r="12272" spans="1:2" x14ac:dyDescent="0.25">
      <c r="A12272" s="62">
        <v>51101619</v>
      </c>
      <c r="B12272" s="63" t="s">
        <v>12920</v>
      </c>
    </row>
    <row r="12273" spans="1:2" x14ac:dyDescent="0.25">
      <c r="A12273" s="62">
        <v>51101620</v>
      </c>
      <c r="B12273" s="63" t="s">
        <v>12921</v>
      </c>
    </row>
    <row r="12274" spans="1:2" x14ac:dyDescent="0.25">
      <c r="A12274" s="62">
        <v>51101624</v>
      </c>
      <c r="B12274" s="63" t="s">
        <v>12922</v>
      </c>
    </row>
    <row r="12275" spans="1:2" x14ac:dyDescent="0.25">
      <c r="A12275" s="62">
        <v>51101625</v>
      </c>
      <c r="B12275" s="63" t="s">
        <v>12923</v>
      </c>
    </row>
    <row r="12276" spans="1:2" x14ac:dyDescent="0.25">
      <c r="A12276" s="62">
        <v>51101629</v>
      </c>
      <c r="B12276" s="63" t="s">
        <v>12924</v>
      </c>
    </row>
    <row r="12277" spans="1:2" x14ac:dyDescent="0.25">
      <c r="A12277" s="62">
        <v>51101630</v>
      </c>
      <c r="B12277" s="63" t="s">
        <v>12925</v>
      </c>
    </row>
    <row r="12278" spans="1:2" x14ac:dyDescent="0.25">
      <c r="A12278" s="62">
        <v>51101701</v>
      </c>
      <c r="B12278" s="63" t="s">
        <v>12926</v>
      </c>
    </row>
    <row r="12279" spans="1:2" x14ac:dyDescent="0.25">
      <c r="A12279" s="62">
        <v>51101702</v>
      </c>
      <c r="B12279" s="63" t="s">
        <v>12927</v>
      </c>
    </row>
    <row r="12280" spans="1:2" x14ac:dyDescent="0.25">
      <c r="A12280" s="62">
        <v>51101703</v>
      </c>
      <c r="B12280" s="63" t="s">
        <v>12928</v>
      </c>
    </row>
    <row r="12281" spans="1:2" x14ac:dyDescent="0.25">
      <c r="A12281" s="62">
        <v>51101704</v>
      </c>
      <c r="B12281" s="63" t="s">
        <v>12929</v>
      </c>
    </row>
    <row r="12282" spans="1:2" x14ac:dyDescent="0.25">
      <c r="A12282" s="62">
        <v>51101705</v>
      </c>
      <c r="B12282" s="63" t="s">
        <v>12930</v>
      </c>
    </row>
    <row r="12283" spans="1:2" x14ac:dyDescent="0.25">
      <c r="A12283" s="62">
        <v>51101706</v>
      </c>
      <c r="B12283" s="63" t="s">
        <v>12931</v>
      </c>
    </row>
    <row r="12284" spans="1:2" x14ac:dyDescent="0.25">
      <c r="A12284" s="62">
        <v>51101707</v>
      </c>
      <c r="B12284" s="63" t="s">
        <v>12932</v>
      </c>
    </row>
    <row r="12285" spans="1:2" x14ac:dyDescent="0.25">
      <c r="A12285" s="62">
        <v>51101708</v>
      </c>
      <c r="B12285" s="63" t="s">
        <v>12933</v>
      </c>
    </row>
    <row r="12286" spans="1:2" x14ac:dyDescent="0.25">
      <c r="A12286" s="62">
        <v>51101709</v>
      </c>
      <c r="B12286" s="63" t="s">
        <v>12934</v>
      </c>
    </row>
    <row r="12287" spans="1:2" x14ac:dyDescent="0.25">
      <c r="A12287" s="62">
        <v>51101710</v>
      </c>
      <c r="B12287" s="63" t="s">
        <v>12935</v>
      </c>
    </row>
    <row r="12288" spans="1:2" x14ac:dyDescent="0.25">
      <c r="A12288" s="62">
        <v>51101711</v>
      </c>
      <c r="B12288" s="63" t="s">
        <v>12936</v>
      </c>
    </row>
    <row r="12289" spans="1:2" x14ac:dyDescent="0.25">
      <c r="A12289" s="62">
        <v>51101712</v>
      </c>
      <c r="B12289" s="63" t="s">
        <v>12937</v>
      </c>
    </row>
    <row r="12290" spans="1:2" x14ac:dyDescent="0.25">
      <c r="A12290" s="62">
        <v>51101713</v>
      </c>
      <c r="B12290" s="63" t="s">
        <v>12938</v>
      </c>
    </row>
    <row r="12291" spans="1:2" x14ac:dyDescent="0.25">
      <c r="A12291" s="62">
        <v>51101714</v>
      </c>
      <c r="B12291" s="63" t="s">
        <v>12939</v>
      </c>
    </row>
    <row r="12292" spans="1:2" x14ac:dyDescent="0.25">
      <c r="A12292" s="62">
        <v>51101715</v>
      </c>
      <c r="B12292" s="63" t="s">
        <v>12940</v>
      </c>
    </row>
    <row r="12293" spans="1:2" x14ac:dyDescent="0.25">
      <c r="A12293" s="62">
        <v>51101716</v>
      </c>
      <c r="B12293" s="63" t="s">
        <v>12941</v>
      </c>
    </row>
    <row r="12294" spans="1:2" x14ac:dyDescent="0.25">
      <c r="A12294" s="62">
        <v>51101717</v>
      </c>
      <c r="B12294" s="63" t="s">
        <v>12942</v>
      </c>
    </row>
    <row r="12295" spans="1:2" x14ac:dyDescent="0.25">
      <c r="A12295" s="62">
        <v>51101718</v>
      </c>
      <c r="B12295" s="63" t="s">
        <v>12943</v>
      </c>
    </row>
    <row r="12296" spans="1:2" x14ac:dyDescent="0.25">
      <c r="A12296" s="62">
        <v>51101719</v>
      </c>
      <c r="B12296" s="63" t="s">
        <v>12944</v>
      </c>
    </row>
    <row r="12297" spans="1:2" x14ac:dyDescent="0.25">
      <c r="A12297" s="62">
        <v>51101720</v>
      </c>
      <c r="B12297" s="63" t="s">
        <v>12945</v>
      </c>
    </row>
    <row r="12298" spans="1:2" x14ac:dyDescent="0.25">
      <c r="A12298" s="62">
        <v>51101801</v>
      </c>
      <c r="B12298" s="63" t="s">
        <v>12946</v>
      </c>
    </row>
    <row r="12299" spans="1:2" x14ac:dyDescent="0.25">
      <c r="A12299" s="62">
        <v>51101802</v>
      </c>
      <c r="B12299" s="63" t="s">
        <v>12947</v>
      </c>
    </row>
    <row r="12300" spans="1:2" x14ac:dyDescent="0.25">
      <c r="A12300" s="62">
        <v>51101803</v>
      </c>
      <c r="B12300" s="63" t="s">
        <v>12948</v>
      </c>
    </row>
    <row r="12301" spans="1:2" x14ac:dyDescent="0.25">
      <c r="A12301" s="62">
        <v>51101804</v>
      </c>
      <c r="B12301" s="63" t="s">
        <v>12949</v>
      </c>
    </row>
    <row r="12302" spans="1:2" x14ac:dyDescent="0.25">
      <c r="A12302" s="62">
        <v>51101805</v>
      </c>
      <c r="B12302" s="63" t="s">
        <v>12950</v>
      </c>
    </row>
    <row r="12303" spans="1:2" x14ac:dyDescent="0.25">
      <c r="A12303" s="62">
        <v>51101806</v>
      </c>
      <c r="B12303" s="63" t="s">
        <v>12951</v>
      </c>
    </row>
    <row r="12304" spans="1:2" x14ac:dyDescent="0.25">
      <c r="A12304" s="62">
        <v>51101807</v>
      </c>
      <c r="B12304" s="63" t="s">
        <v>12952</v>
      </c>
    </row>
    <row r="12305" spans="1:2" x14ac:dyDescent="0.25">
      <c r="A12305" s="62">
        <v>51101808</v>
      </c>
      <c r="B12305" s="63" t="s">
        <v>12953</v>
      </c>
    </row>
    <row r="12306" spans="1:2" x14ac:dyDescent="0.25">
      <c r="A12306" s="62">
        <v>51101809</v>
      </c>
      <c r="B12306" s="63" t="s">
        <v>12954</v>
      </c>
    </row>
    <row r="12307" spans="1:2" x14ac:dyDescent="0.25">
      <c r="A12307" s="62">
        <v>51101810</v>
      </c>
      <c r="B12307" s="63" t="s">
        <v>12955</v>
      </c>
    </row>
    <row r="12308" spans="1:2" x14ac:dyDescent="0.25">
      <c r="A12308" s="62">
        <v>51101811</v>
      </c>
      <c r="B12308" s="63" t="s">
        <v>12956</v>
      </c>
    </row>
    <row r="12309" spans="1:2" x14ac:dyDescent="0.25">
      <c r="A12309" s="62">
        <v>51101812</v>
      </c>
      <c r="B12309" s="63" t="s">
        <v>12957</v>
      </c>
    </row>
    <row r="12310" spans="1:2" x14ac:dyDescent="0.25">
      <c r="A12310" s="62">
        <v>51101813</v>
      </c>
      <c r="B12310" s="63" t="s">
        <v>12958</v>
      </c>
    </row>
    <row r="12311" spans="1:2" x14ac:dyDescent="0.25">
      <c r="A12311" s="62">
        <v>51101814</v>
      </c>
      <c r="B12311" s="63" t="s">
        <v>12959</v>
      </c>
    </row>
    <row r="12312" spans="1:2" x14ac:dyDescent="0.25">
      <c r="A12312" s="62">
        <v>51101815</v>
      </c>
      <c r="B12312" s="63" t="s">
        <v>12960</v>
      </c>
    </row>
    <row r="12313" spans="1:2" x14ac:dyDescent="0.25">
      <c r="A12313" s="62">
        <v>51101816</v>
      </c>
      <c r="B12313" s="63" t="s">
        <v>12961</v>
      </c>
    </row>
    <row r="12314" spans="1:2" x14ac:dyDescent="0.25">
      <c r="A12314" s="62">
        <v>51101817</v>
      </c>
      <c r="B12314" s="63" t="s">
        <v>12962</v>
      </c>
    </row>
    <row r="12315" spans="1:2" x14ac:dyDescent="0.25">
      <c r="A12315" s="62">
        <v>51101818</v>
      </c>
      <c r="B12315" s="63" t="s">
        <v>12963</v>
      </c>
    </row>
    <row r="12316" spans="1:2" x14ac:dyDescent="0.25">
      <c r="A12316" s="62">
        <v>51101819</v>
      </c>
      <c r="B12316" s="63" t="s">
        <v>12964</v>
      </c>
    </row>
    <row r="12317" spans="1:2" x14ac:dyDescent="0.25">
      <c r="A12317" s="62">
        <v>51101820</v>
      </c>
      <c r="B12317" s="63" t="s">
        <v>12965</v>
      </c>
    </row>
    <row r="12318" spans="1:2" x14ac:dyDescent="0.25">
      <c r="A12318" s="62">
        <v>51101821</v>
      </c>
      <c r="B12318" s="63" t="s">
        <v>12966</v>
      </c>
    </row>
    <row r="12319" spans="1:2" x14ac:dyDescent="0.25">
      <c r="A12319" s="62">
        <v>51101824</v>
      </c>
      <c r="B12319" s="63" t="s">
        <v>12967</v>
      </c>
    </row>
    <row r="12320" spans="1:2" x14ac:dyDescent="0.25">
      <c r="A12320" s="62">
        <v>51101825</v>
      </c>
      <c r="B12320" s="63" t="s">
        <v>12968</v>
      </c>
    </row>
    <row r="12321" spans="1:2" x14ac:dyDescent="0.25">
      <c r="A12321" s="62">
        <v>51101826</v>
      </c>
      <c r="B12321" s="63" t="s">
        <v>12969</v>
      </c>
    </row>
    <row r="12322" spans="1:2" x14ac:dyDescent="0.25">
      <c r="A12322" s="62">
        <v>51101827</v>
      </c>
      <c r="B12322" s="63" t="s">
        <v>12970</v>
      </c>
    </row>
    <row r="12323" spans="1:2" x14ac:dyDescent="0.25">
      <c r="A12323" s="62">
        <v>51101828</v>
      </c>
      <c r="B12323" s="63" t="s">
        <v>12971</v>
      </c>
    </row>
    <row r="12324" spans="1:2" x14ac:dyDescent="0.25">
      <c r="A12324" s="62">
        <v>51101829</v>
      </c>
      <c r="B12324" s="63" t="s">
        <v>12972</v>
      </c>
    </row>
    <row r="12325" spans="1:2" x14ac:dyDescent="0.25">
      <c r="A12325" s="62">
        <v>51101830</v>
      </c>
      <c r="B12325" s="63" t="s">
        <v>12973</v>
      </c>
    </row>
    <row r="12326" spans="1:2" x14ac:dyDescent="0.25">
      <c r="A12326" s="62">
        <v>51101831</v>
      </c>
      <c r="B12326" s="63" t="s">
        <v>12974</v>
      </c>
    </row>
    <row r="12327" spans="1:2" x14ac:dyDescent="0.25">
      <c r="A12327" s="62">
        <v>51101832</v>
      </c>
      <c r="B12327" s="63" t="s">
        <v>12975</v>
      </c>
    </row>
    <row r="12328" spans="1:2" x14ac:dyDescent="0.25">
      <c r="A12328" s="62">
        <v>51101834</v>
      </c>
      <c r="B12328" s="63" t="s">
        <v>12976</v>
      </c>
    </row>
    <row r="12329" spans="1:2" x14ac:dyDescent="0.25">
      <c r="A12329" s="62">
        <v>51101835</v>
      </c>
      <c r="B12329" s="63" t="s">
        <v>12977</v>
      </c>
    </row>
    <row r="12330" spans="1:2" x14ac:dyDescent="0.25">
      <c r="A12330" s="62">
        <v>51101836</v>
      </c>
      <c r="B12330" s="63" t="s">
        <v>12978</v>
      </c>
    </row>
    <row r="12331" spans="1:2" x14ac:dyDescent="0.25">
      <c r="A12331" s="62">
        <v>51101901</v>
      </c>
      <c r="B12331" s="63" t="s">
        <v>12979</v>
      </c>
    </row>
    <row r="12332" spans="1:2" x14ac:dyDescent="0.25">
      <c r="A12332" s="62">
        <v>51101902</v>
      </c>
      <c r="B12332" s="63" t="s">
        <v>12980</v>
      </c>
    </row>
    <row r="12333" spans="1:2" x14ac:dyDescent="0.25">
      <c r="A12333" s="62">
        <v>51101903</v>
      </c>
      <c r="B12333" s="63" t="s">
        <v>12981</v>
      </c>
    </row>
    <row r="12334" spans="1:2" x14ac:dyDescent="0.25">
      <c r="A12334" s="62">
        <v>51101904</v>
      </c>
      <c r="B12334" s="63" t="s">
        <v>12982</v>
      </c>
    </row>
    <row r="12335" spans="1:2" x14ac:dyDescent="0.25">
      <c r="A12335" s="62">
        <v>51101905</v>
      </c>
      <c r="B12335" s="63" t="s">
        <v>12983</v>
      </c>
    </row>
    <row r="12336" spans="1:2" x14ac:dyDescent="0.25">
      <c r="A12336" s="62">
        <v>51101906</v>
      </c>
      <c r="B12336" s="63" t="s">
        <v>12984</v>
      </c>
    </row>
    <row r="12337" spans="1:2" x14ac:dyDescent="0.25">
      <c r="A12337" s="62">
        <v>51101907</v>
      </c>
      <c r="B12337" s="63" t="s">
        <v>12985</v>
      </c>
    </row>
    <row r="12338" spans="1:2" x14ac:dyDescent="0.25">
      <c r="A12338" s="62">
        <v>51101908</v>
      </c>
      <c r="B12338" s="63" t="s">
        <v>12986</v>
      </c>
    </row>
    <row r="12339" spans="1:2" x14ac:dyDescent="0.25">
      <c r="A12339" s="62">
        <v>51101909</v>
      </c>
      <c r="B12339" s="63" t="s">
        <v>12987</v>
      </c>
    </row>
    <row r="12340" spans="1:2" x14ac:dyDescent="0.25">
      <c r="A12340" s="62">
        <v>51101910</v>
      </c>
      <c r="B12340" s="63" t="s">
        <v>12988</v>
      </c>
    </row>
    <row r="12341" spans="1:2" x14ac:dyDescent="0.25">
      <c r="A12341" s="62">
        <v>51101911</v>
      </c>
      <c r="B12341" s="63" t="s">
        <v>12989</v>
      </c>
    </row>
    <row r="12342" spans="1:2" x14ac:dyDescent="0.25">
      <c r="A12342" s="62">
        <v>51101912</v>
      </c>
      <c r="B12342" s="63" t="s">
        <v>12990</v>
      </c>
    </row>
    <row r="12343" spans="1:2" x14ac:dyDescent="0.25">
      <c r="A12343" s="62">
        <v>51102001</v>
      </c>
      <c r="B12343" s="63" t="s">
        <v>12991</v>
      </c>
    </row>
    <row r="12344" spans="1:2" x14ac:dyDescent="0.25">
      <c r="A12344" s="62">
        <v>51102002</v>
      </c>
      <c r="B12344" s="63" t="s">
        <v>12992</v>
      </c>
    </row>
    <row r="12345" spans="1:2" x14ac:dyDescent="0.25">
      <c r="A12345" s="62">
        <v>51102003</v>
      </c>
      <c r="B12345" s="63" t="s">
        <v>12993</v>
      </c>
    </row>
    <row r="12346" spans="1:2" x14ac:dyDescent="0.25">
      <c r="A12346" s="62">
        <v>51102004</v>
      </c>
      <c r="B12346" s="63" t="s">
        <v>12994</v>
      </c>
    </row>
    <row r="12347" spans="1:2" x14ac:dyDescent="0.25">
      <c r="A12347" s="62">
        <v>51102005</v>
      </c>
      <c r="B12347" s="63" t="s">
        <v>12995</v>
      </c>
    </row>
    <row r="12348" spans="1:2" x14ac:dyDescent="0.25">
      <c r="A12348" s="62">
        <v>51102006</v>
      </c>
      <c r="B12348" s="63" t="s">
        <v>12996</v>
      </c>
    </row>
    <row r="12349" spans="1:2" x14ac:dyDescent="0.25">
      <c r="A12349" s="62">
        <v>51102007</v>
      </c>
      <c r="B12349" s="63" t="s">
        <v>12997</v>
      </c>
    </row>
    <row r="12350" spans="1:2" x14ac:dyDescent="0.25">
      <c r="A12350" s="62">
        <v>51102008</v>
      </c>
      <c r="B12350" s="63" t="s">
        <v>12998</v>
      </c>
    </row>
    <row r="12351" spans="1:2" x14ac:dyDescent="0.25">
      <c r="A12351" s="62">
        <v>51102009</v>
      </c>
      <c r="B12351" s="63" t="s">
        <v>12999</v>
      </c>
    </row>
    <row r="12352" spans="1:2" x14ac:dyDescent="0.25">
      <c r="A12352" s="62">
        <v>51102101</v>
      </c>
      <c r="B12352" s="63" t="s">
        <v>13000</v>
      </c>
    </row>
    <row r="12353" spans="1:2" x14ac:dyDescent="0.25">
      <c r="A12353" s="62">
        <v>51102102</v>
      </c>
      <c r="B12353" s="63" t="s">
        <v>13001</v>
      </c>
    </row>
    <row r="12354" spans="1:2" x14ac:dyDescent="0.25">
      <c r="A12354" s="62">
        <v>51102201</v>
      </c>
      <c r="B12354" s="63" t="s">
        <v>13002</v>
      </c>
    </row>
    <row r="12355" spans="1:2" x14ac:dyDescent="0.25">
      <c r="A12355" s="62">
        <v>51102202</v>
      </c>
      <c r="B12355" s="63" t="s">
        <v>13003</v>
      </c>
    </row>
    <row r="12356" spans="1:2" x14ac:dyDescent="0.25">
      <c r="A12356" s="62">
        <v>51102203</v>
      </c>
      <c r="B12356" s="63" t="s">
        <v>13004</v>
      </c>
    </row>
    <row r="12357" spans="1:2" x14ac:dyDescent="0.25">
      <c r="A12357" s="62">
        <v>51102204</v>
      </c>
      <c r="B12357" s="63" t="s">
        <v>13005</v>
      </c>
    </row>
    <row r="12358" spans="1:2" x14ac:dyDescent="0.25">
      <c r="A12358" s="62">
        <v>51102205</v>
      </c>
      <c r="B12358" s="63" t="s">
        <v>13006</v>
      </c>
    </row>
    <row r="12359" spans="1:2" x14ac:dyDescent="0.25">
      <c r="A12359" s="62">
        <v>51102206</v>
      </c>
      <c r="B12359" s="63" t="s">
        <v>13007</v>
      </c>
    </row>
    <row r="12360" spans="1:2" x14ac:dyDescent="0.25">
      <c r="A12360" s="62">
        <v>51102207</v>
      </c>
      <c r="B12360" s="63" t="s">
        <v>13008</v>
      </c>
    </row>
    <row r="12361" spans="1:2" x14ac:dyDescent="0.25">
      <c r="A12361" s="62">
        <v>51102208</v>
      </c>
      <c r="B12361" s="63" t="s">
        <v>13009</v>
      </c>
    </row>
    <row r="12362" spans="1:2" x14ac:dyDescent="0.25">
      <c r="A12362" s="62">
        <v>51102209</v>
      </c>
      <c r="B12362" s="63" t="s">
        <v>13010</v>
      </c>
    </row>
    <row r="12363" spans="1:2" x14ac:dyDescent="0.25">
      <c r="A12363" s="62">
        <v>51102211</v>
      </c>
      <c r="B12363" s="63" t="s">
        <v>13011</v>
      </c>
    </row>
    <row r="12364" spans="1:2" x14ac:dyDescent="0.25">
      <c r="A12364" s="62">
        <v>51102212</v>
      </c>
      <c r="B12364" s="63" t="s">
        <v>13012</v>
      </c>
    </row>
    <row r="12365" spans="1:2" x14ac:dyDescent="0.25">
      <c r="A12365" s="62">
        <v>51102213</v>
      </c>
      <c r="B12365" s="63" t="s">
        <v>13013</v>
      </c>
    </row>
    <row r="12366" spans="1:2" x14ac:dyDescent="0.25">
      <c r="A12366" s="62">
        <v>51102301</v>
      </c>
      <c r="B12366" s="63" t="s">
        <v>13014</v>
      </c>
    </row>
    <row r="12367" spans="1:2" x14ac:dyDescent="0.25">
      <c r="A12367" s="62">
        <v>51102302</v>
      </c>
      <c r="B12367" s="63" t="s">
        <v>13015</v>
      </c>
    </row>
    <row r="12368" spans="1:2" x14ac:dyDescent="0.25">
      <c r="A12368" s="62">
        <v>51102304</v>
      </c>
      <c r="B12368" s="63" t="s">
        <v>13016</v>
      </c>
    </row>
    <row r="12369" spans="1:2" x14ac:dyDescent="0.25">
      <c r="A12369" s="62">
        <v>51102305</v>
      </c>
      <c r="B12369" s="63" t="s">
        <v>13017</v>
      </c>
    </row>
    <row r="12370" spans="1:2" x14ac:dyDescent="0.25">
      <c r="A12370" s="62">
        <v>51102306</v>
      </c>
      <c r="B12370" s="63" t="s">
        <v>13018</v>
      </c>
    </row>
    <row r="12371" spans="1:2" x14ac:dyDescent="0.25">
      <c r="A12371" s="62">
        <v>51102307</v>
      </c>
      <c r="B12371" s="63" t="s">
        <v>13019</v>
      </c>
    </row>
    <row r="12372" spans="1:2" x14ac:dyDescent="0.25">
      <c r="A12372" s="62">
        <v>51102308</v>
      </c>
      <c r="B12372" s="63" t="s">
        <v>13020</v>
      </c>
    </row>
    <row r="12373" spans="1:2" x14ac:dyDescent="0.25">
      <c r="A12373" s="62">
        <v>51102309</v>
      </c>
      <c r="B12373" s="63" t="s">
        <v>13021</v>
      </c>
    </row>
    <row r="12374" spans="1:2" x14ac:dyDescent="0.25">
      <c r="A12374" s="62">
        <v>51102310</v>
      </c>
      <c r="B12374" s="63" t="s">
        <v>13022</v>
      </c>
    </row>
    <row r="12375" spans="1:2" x14ac:dyDescent="0.25">
      <c r="A12375" s="62">
        <v>51102311</v>
      </c>
      <c r="B12375" s="63" t="s">
        <v>13023</v>
      </c>
    </row>
    <row r="12376" spans="1:2" x14ac:dyDescent="0.25">
      <c r="A12376" s="62">
        <v>51102312</v>
      </c>
      <c r="B12376" s="63" t="s">
        <v>13024</v>
      </c>
    </row>
    <row r="12377" spans="1:2" x14ac:dyDescent="0.25">
      <c r="A12377" s="62">
        <v>51102313</v>
      </c>
      <c r="B12377" s="63" t="s">
        <v>13025</v>
      </c>
    </row>
    <row r="12378" spans="1:2" x14ac:dyDescent="0.25">
      <c r="A12378" s="62">
        <v>51102314</v>
      </c>
      <c r="B12378" s="63" t="s">
        <v>13026</v>
      </c>
    </row>
    <row r="12379" spans="1:2" x14ac:dyDescent="0.25">
      <c r="A12379" s="62">
        <v>51102315</v>
      </c>
      <c r="B12379" s="63" t="s">
        <v>13027</v>
      </c>
    </row>
    <row r="12380" spans="1:2" x14ac:dyDescent="0.25">
      <c r="A12380" s="62">
        <v>51102316</v>
      </c>
      <c r="B12380" s="63" t="s">
        <v>13028</v>
      </c>
    </row>
    <row r="12381" spans="1:2" x14ac:dyDescent="0.25">
      <c r="A12381" s="62">
        <v>51102317</v>
      </c>
      <c r="B12381" s="63" t="s">
        <v>13029</v>
      </c>
    </row>
    <row r="12382" spans="1:2" x14ac:dyDescent="0.25">
      <c r="A12382" s="62">
        <v>51102318</v>
      </c>
      <c r="B12382" s="63" t="s">
        <v>13030</v>
      </c>
    </row>
    <row r="12383" spans="1:2" x14ac:dyDescent="0.25">
      <c r="A12383" s="62">
        <v>51102319</v>
      </c>
      <c r="B12383" s="63" t="s">
        <v>13031</v>
      </c>
    </row>
    <row r="12384" spans="1:2" x14ac:dyDescent="0.25">
      <c r="A12384" s="62">
        <v>51102320</v>
      </c>
      <c r="B12384" s="63" t="s">
        <v>13032</v>
      </c>
    </row>
    <row r="12385" spans="1:2" x14ac:dyDescent="0.25">
      <c r="A12385" s="62">
        <v>51102321</v>
      </c>
      <c r="B12385" s="63" t="s">
        <v>13033</v>
      </c>
    </row>
    <row r="12386" spans="1:2" x14ac:dyDescent="0.25">
      <c r="A12386" s="62">
        <v>51102322</v>
      </c>
      <c r="B12386" s="63" t="s">
        <v>13034</v>
      </c>
    </row>
    <row r="12387" spans="1:2" x14ac:dyDescent="0.25">
      <c r="A12387" s="62">
        <v>51102323</v>
      </c>
      <c r="B12387" s="63" t="s">
        <v>13035</v>
      </c>
    </row>
    <row r="12388" spans="1:2" x14ac:dyDescent="0.25">
      <c r="A12388" s="62">
        <v>51102324</v>
      </c>
      <c r="B12388" s="63" t="s">
        <v>13036</v>
      </c>
    </row>
    <row r="12389" spans="1:2" x14ac:dyDescent="0.25">
      <c r="A12389" s="62">
        <v>51102325</v>
      </c>
      <c r="B12389" s="63" t="s">
        <v>13037</v>
      </c>
    </row>
    <row r="12390" spans="1:2" x14ac:dyDescent="0.25">
      <c r="A12390" s="62">
        <v>51102326</v>
      </c>
      <c r="B12390" s="63" t="s">
        <v>13038</v>
      </c>
    </row>
    <row r="12391" spans="1:2" x14ac:dyDescent="0.25">
      <c r="A12391" s="62">
        <v>51102327</v>
      </c>
      <c r="B12391" s="63" t="s">
        <v>13039</v>
      </c>
    </row>
    <row r="12392" spans="1:2" x14ac:dyDescent="0.25">
      <c r="A12392" s="62">
        <v>51102328</v>
      </c>
      <c r="B12392" s="63" t="s">
        <v>13040</v>
      </c>
    </row>
    <row r="12393" spans="1:2" x14ac:dyDescent="0.25">
      <c r="A12393" s="62">
        <v>51102329</v>
      </c>
      <c r="B12393" s="63" t="s">
        <v>13041</v>
      </c>
    </row>
    <row r="12394" spans="1:2" x14ac:dyDescent="0.25">
      <c r="A12394" s="62">
        <v>51102330</v>
      </c>
      <c r="B12394" s="63" t="s">
        <v>13042</v>
      </c>
    </row>
    <row r="12395" spans="1:2" x14ac:dyDescent="0.25">
      <c r="A12395" s="62">
        <v>51102331</v>
      </c>
      <c r="B12395" s="63" t="s">
        <v>13043</v>
      </c>
    </row>
    <row r="12396" spans="1:2" x14ac:dyDescent="0.25">
      <c r="A12396" s="62">
        <v>51102332</v>
      </c>
      <c r="B12396" s="63" t="s">
        <v>13044</v>
      </c>
    </row>
    <row r="12397" spans="1:2" x14ac:dyDescent="0.25">
      <c r="A12397" s="62">
        <v>51102333</v>
      </c>
      <c r="B12397" s="63" t="s">
        <v>13045</v>
      </c>
    </row>
    <row r="12398" spans="1:2" x14ac:dyDescent="0.25">
      <c r="A12398" s="62">
        <v>51102334</v>
      </c>
      <c r="B12398" s="63" t="s">
        <v>13046</v>
      </c>
    </row>
    <row r="12399" spans="1:2" x14ac:dyDescent="0.25">
      <c r="A12399" s="62">
        <v>51102335</v>
      </c>
      <c r="B12399" s="63" t="s">
        <v>13047</v>
      </c>
    </row>
    <row r="12400" spans="1:2" x14ac:dyDescent="0.25">
      <c r="A12400" s="62">
        <v>51102336</v>
      </c>
      <c r="B12400" s="63" t="s">
        <v>13048</v>
      </c>
    </row>
    <row r="12401" spans="1:2" x14ac:dyDescent="0.25">
      <c r="A12401" s="62">
        <v>51102402</v>
      </c>
      <c r="B12401" s="63" t="s">
        <v>13049</v>
      </c>
    </row>
    <row r="12402" spans="1:2" x14ac:dyDescent="0.25">
      <c r="A12402" s="62">
        <v>51102501</v>
      </c>
      <c r="B12402" s="63" t="s">
        <v>13050</v>
      </c>
    </row>
    <row r="12403" spans="1:2" x14ac:dyDescent="0.25">
      <c r="A12403" s="62">
        <v>51102502</v>
      </c>
      <c r="B12403" s="63" t="s">
        <v>13051</v>
      </c>
    </row>
    <row r="12404" spans="1:2" x14ac:dyDescent="0.25">
      <c r="A12404" s="62">
        <v>51102503</v>
      </c>
      <c r="B12404" s="63" t="s">
        <v>13052</v>
      </c>
    </row>
    <row r="12405" spans="1:2" x14ac:dyDescent="0.25">
      <c r="A12405" s="62">
        <v>51102505</v>
      </c>
      <c r="B12405" s="63" t="s">
        <v>13053</v>
      </c>
    </row>
    <row r="12406" spans="1:2" x14ac:dyDescent="0.25">
      <c r="A12406" s="62">
        <v>51102506</v>
      </c>
      <c r="B12406" s="63" t="s">
        <v>13054</v>
      </c>
    </row>
    <row r="12407" spans="1:2" x14ac:dyDescent="0.25">
      <c r="A12407" s="62">
        <v>51102507</v>
      </c>
      <c r="B12407" s="63" t="s">
        <v>13055</v>
      </c>
    </row>
    <row r="12408" spans="1:2" x14ac:dyDescent="0.25">
      <c r="A12408" s="62">
        <v>51102601</v>
      </c>
      <c r="B12408" s="63" t="s">
        <v>13056</v>
      </c>
    </row>
    <row r="12409" spans="1:2" x14ac:dyDescent="0.25">
      <c r="A12409" s="62">
        <v>51102701</v>
      </c>
      <c r="B12409" s="63" t="s">
        <v>13057</v>
      </c>
    </row>
    <row r="12410" spans="1:2" x14ac:dyDescent="0.25">
      <c r="A12410" s="62">
        <v>51102702</v>
      </c>
      <c r="B12410" s="63" t="s">
        <v>13058</v>
      </c>
    </row>
    <row r="12411" spans="1:2" x14ac:dyDescent="0.25">
      <c r="A12411" s="62">
        <v>51102705</v>
      </c>
      <c r="B12411" s="63" t="s">
        <v>13059</v>
      </c>
    </row>
    <row r="12412" spans="1:2" x14ac:dyDescent="0.25">
      <c r="A12412" s="62">
        <v>51102706</v>
      </c>
      <c r="B12412" s="63" t="s">
        <v>13060</v>
      </c>
    </row>
    <row r="12413" spans="1:2" x14ac:dyDescent="0.25">
      <c r="A12413" s="62">
        <v>51102707</v>
      </c>
      <c r="B12413" s="63" t="s">
        <v>13061</v>
      </c>
    </row>
    <row r="12414" spans="1:2" x14ac:dyDescent="0.25">
      <c r="A12414" s="62">
        <v>51102708</v>
      </c>
      <c r="B12414" s="63" t="s">
        <v>13062</v>
      </c>
    </row>
    <row r="12415" spans="1:2" x14ac:dyDescent="0.25">
      <c r="A12415" s="62">
        <v>51102709</v>
      </c>
      <c r="B12415" s="63" t="s">
        <v>13063</v>
      </c>
    </row>
    <row r="12416" spans="1:2" x14ac:dyDescent="0.25">
      <c r="A12416" s="62">
        <v>51102710</v>
      </c>
      <c r="B12416" s="63" t="s">
        <v>13064</v>
      </c>
    </row>
    <row r="12417" spans="1:2" x14ac:dyDescent="0.25">
      <c r="A12417" s="62">
        <v>51102711</v>
      </c>
      <c r="B12417" s="63" t="s">
        <v>13065</v>
      </c>
    </row>
    <row r="12418" spans="1:2" x14ac:dyDescent="0.25">
      <c r="A12418" s="62">
        <v>51102712</v>
      </c>
      <c r="B12418" s="63" t="s">
        <v>13066</v>
      </c>
    </row>
    <row r="12419" spans="1:2" x14ac:dyDescent="0.25">
      <c r="A12419" s="62">
        <v>51102713</v>
      </c>
      <c r="B12419" s="63" t="s">
        <v>13067</v>
      </c>
    </row>
    <row r="12420" spans="1:2" x14ac:dyDescent="0.25">
      <c r="A12420" s="62">
        <v>51102714</v>
      </c>
      <c r="B12420" s="63" t="s">
        <v>13068</v>
      </c>
    </row>
    <row r="12421" spans="1:2" x14ac:dyDescent="0.25">
      <c r="A12421" s="62">
        <v>51102715</v>
      </c>
      <c r="B12421" s="63" t="s">
        <v>13069</v>
      </c>
    </row>
    <row r="12422" spans="1:2" x14ac:dyDescent="0.25">
      <c r="A12422" s="62">
        <v>51102717</v>
      </c>
      <c r="B12422" s="63" t="s">
        <v>13070</v>
      </c>
    </row>
    <row r="12423" spans="1:2" x14ac:dyDescent="0.25">
      <c r="A12423" s="62">
        <v>51102718</v>
      </c>
      <c r="B12423" s="63" t="s">
        <v>13071</v>
      </c>
    </row>
    <row r="12424" spans="1:2" x14ac:dyDescent="0.25">
      <c r="A12424" s="62">
        <v>51102719</v>
      </c>
      <c r="B12424" s="63" t="s">
        <v>13072</v>
      </c>
    </row>
    <row r="12425" spans="1:2" x14ac:dyDescent="0.25">
      <c r="A12425" s="62">
        <v>51102720</v>
      </c>
      <c r="B12425" s="63" t="s">
        <v>13073</v>
      </c>
    </row>
    <row r="12426" spans="1:2" x14ac:dyDescent="0.25">
      <c r="A12426" s="62">
        <v>51102721</v>
      </c>
      <c r="B12426" s="63" t="s">
        <v>13074</v>
      </c>
    </row>
    <row r="12427" spans="1:2" x14ac:dyDescent="0.25">
      <c r="A12427" s="62">
        <v>51102722</v>
      </c>
      <c r="B12427" s="63" t="s">
        <v>13075</v>
      </c>
    </row>
    <row r="12428" spans="1:2" x14ac:dyDescent="0.25">
      <c r="A12428" s="62">
        <v>51102723</v>
      </c>
      <c r="B12428" s="63" t="s">
        <v>13076</v>
      </c>
    </row>
    <row r="12429" spans="1:2" x14ac:dyDescent="0.25">
      <c r="A12429" s="62">
        <v>51102724</v>
      </c>
      <c r="B12429" s="63" t="s">
        <v>13077</v>
      </c>
    </row>
    <row r="12430" spans="1:2" x14ac:dyDescent="0.25">
      <c r="A12430" s="62">
        <v>51102725</v>
      </c>
      <c r="B12430" s="63" t="s">
        <v>13078</v>
      </c>
    </row>
    <row r="12431" spans="1:2" x14ac:dyDescent="0.25">
      <c r="A12431" s="62">
        <v>51102726</v>
      </c>
      <c r="B12431" s="63" t="s">
        <v>13079</v>
      </c>
    </row>
    <row r="12432" spans="1:2" x14ac:dyDescent="0.25">
      <c r="A12432" s="62">
        <v>51102727</v>
      </c>
      <c r="B12432" s="63" t="s">
        <v>13080</v>
      </c>
    </row>
    <row r="12433" spans="1:2" x14ac:dyDescent="0.25">
      <c r="A12433" s="62">
        <v>51102728</v>
      </c>
      <c r="B12433" s="63" t="s">
        <v>13081</v>
      </c>
    </row>
    <row r="12434" spans="1:2" x14ac:dyDescent="0.25">
      <c r="A12434" s="62">
        <v>51102729</v>
      </c>
      <c r="B12434" s="63" t="s">
        <v>13082</v>
      </c>
    </row>
    <row r="12435" spans="1:2" x14ac:dyDescent="0.25">
      <c r="A12435" s="62">
        <v>51102730</v>
      </c>
      <c r="B12435" s="63" t="s">
        <v>13083</v>
      </c>
    </row>
    <row r="12436" spans="1:2" x14ac:dyDescent="0.25">
      <c r="A12436" s="62">
        <v>51111501</v>
      </c>
      <c r="B12436" s="63" t="s">
        <v>13084</v>
      </c>
    </row>
    <row r="12437" spans="1:2" x14ac:dyDescent="0.25">
      <c r="A12437" s="62">
        <v>51111502</v>
      </c>
      <c r="B12437" s="63" t="s">
        <v>13085</v>
      </c>
    </row>
    <row r="12438" spans="1:2" x14ac:dyDescent="0.25">
      <c r="A12438" s="62">
        <v>51111503</v>
      </c>
      <c r="B12438" s="63" t="s">
        <v>13086</v>
      </c>
    </row>
    <row r="12439" spans="1:2" x14ac:dyDescent="0.25">
      <c r="A12439" s="62">
        <v>51111504</v>
      </c>
      <c r="B12439" s="63" t="s">
        <v>13087</v>
      </c>
    </row>
    <row r="12440" spans="1:2" x14ac:dyDescent="0.25">
      <c r="A12440" s="62">
        <v>51111505</v>
      </c>
      <c r="B12440" s="63" t="s">
        <v>13088</v>
      </c>
    </row>
    <row r="12441" spans="1:2" x14ac:dyDescent="0.25">
      <c r="A12441" s="62">
        <v>51111506</v>
      </c>
      <c r="B12441" s="63" t="s">
        <v>13089</v>
      </c>
    </row>
    <row r="12442" spans="1:2" x14ac:dyDescent="0.25">
      <c r="A12442" s="62">
        <v>51111507</v>
      </c>
      <c r="B12442" s="63" t="s">
        <v>13090</v>
      </c>
    </row>
    <row r="12443" spans="1:2" x14ac:dyDescent="0.25">
      <c r="A12443" s="62">
        <v>51111508</v>
      </c>
      <c r="B12443" s="63" t="s">
        <v>13091</v>
      </c>
    </row>
    <row r="12444" spans="1:2" x14ac:dyDescent="0.25">
      <c r="A12444" s="62">
        <v>51111509</v>
      </c>
      <c r="B12444" s="63" t="s">
        <v>13092</v>
      </c>
    </row>
    <row r="12445" spans="1:2" x14ac:dyDescent="0.25">
      <c r="A12445" s="62">
        <v>51111510</v>
      </c>
      <c r="B12445" s="63" t="s">
        <v>13093</v>
      </c>
    </row>
    <row r="12446" spans="1:2" x14ac:dyDescent="0.25">
      <c r="A12446" s="62">
        <v>51111511</v>
      </c>
      <c r="B12446" s="63" t="s">
        <v>13094</v>
      </c>
    </row>
    <row r="12447" spans="1:2" x14ac:dyDescent="0.25">
      <c r="A12447" s="62">
        <v>51111512</v>
      </c>
      <c r="B12447" s="63" t="s">
        <v>13095</v>
      </c>
    </row>
    <row r="12448" spans="1:2" x14ac:dyDescent="0.25">
      <c r="A12448" s="62">
        <v>51111513</v>
      </c>
      <c r="B12448" s="63" t="s">
        <v>13096</v>
      </c>
    </row>
    <row r="12449" spans="1:2" x14ac:dyDescent="0.25">
      <c r="A12449" s="62">
        <v>51111514</v>
      </c>
      <c r="B12449" s="63" t="s">
        <v>13097</v>
      </c>
    </row>
    <row r="12450" spans="1:2" x14ac:dyDescent="0.25">
      <c r="A12450" s="62">
        <v>51111515</v>
      </c>
      <c r="B12450" s="63" t="s">
        <v>13098</v>
      </c>
    </row>
    <row r="12451" spans="1:2" x14ac:dyDescent="0.25">
      <c r="A12451" s="62">
        <v>51111516</v>
      </c>
      <c r="B12451" s="63" t="s">
        <v>13099</v>
      </c>
    </row>
    <row r="12452" spans="1:2" x14ac:dyDescent="0.25">
      <c r="A12452" s="62">
        <v>51111517</v>
      </c>
      <c r="B12452" s="63" t="s">
        <v>13100</v>
      </c>
    </row>
    <row r="12453" spans="1:2" x14ac:dyDescent="0.25">
      <c r="A12453" s="62">
        <v>51111518</v>
      </c>
      <c r="B12453" s="63" t="s">
        <v>13101</v>
      </c>
    </row>
    <row r="12454" spans="1:2" x14ac:dyDescent="0.25">
      <c r="A12454" s="62">
        <v>51111519</v>
      </c>
      <c r="B12454" s="63" t="s">
        <v>13102</v>
      </c>
    </row>
    <row r="12455" spans="1:2" x14ac:dyDescent="0.25">
      <c r="A12455" s="62">
        <v>51111520</v>
      </c>
      <c r="B12455" s="63" t="s">
        <v>13103</v>
      </c>
    </row>
    <row r="12456" spans="1:2" x14ac:dyDescent="0.25">
      <c r="A12456" s="62">
        <v>51111521</v>
      </c>
      <c r="B12456" s="63" t="s">
        <v>13104</v>
      </c>
    </row>
    <row r="12457" spans="1:2" x14ac:dyDescent="0.25">
      <c r="A12457" s="62">
        <v>51111601</v>
      </c>
      <c r="B12457" s="63" t="s">
        <v>13105</v>
      </c>
    </row>
    <row r="12458" spans="1:2" x14ac:dyDescent="0.25">
      <c r="A12458" s="62">
        <v>51111602</v>
      </c>
      <c r="B12458" s="63" t="s">
        <v>13106</v>
      </c>
    </row>
    <row r="12459" spans="1:2" x14ac:dyDescent="0.25">
      <c r="A12459" s="62">
        <v>51111603</v>
      </c>
      <c r="B12459" s="63" t="s">
        <v>13107</v>
      </c>
    </row>
    <row r="12460" spans="1:2" x14ac:dyDescent="0.25">
      <c r="A12460" s="62">
        <v>51111604</v>
      </c>
      <c r="B12460" s="63" t="s">
        <v>13108</v>
      </c>
    </row>
    <row r="12461" spans="1:2" x14ac:dyDescent="0.25">
      <c r="A12461" s="62">
        <v>51111605</v>
      </c>
      <c r="B12461" s="63" t="s">
        <v>13109</v>
      </c>
    </row>
    <row r="12462" spans="1:2" x14ac:dyDescent="0.25">
      <c r="A12462" s="62">
        <v>51111606</v>
      </c>
      <c r="B12462" s="63" t="s">
        <v>13110</v>
      </c>
    </row>
    <row r="12463" spans="1:2" x14ac:dyDescent="0.25">
      <c r="A12463" s="62">
        <v>51111609</v>
      </c>
      <c r="B12463" s="63" t="s">
        <v>13111</v>
      </c>
    </row>
    <row r="12464" spans="1:2" x14ac:dyDescent="0.25">
      <c r="A12464" s="62">
        <v>51111610</v>
      </c>
      <c r="B12464" s="63" t="s">
        <v>13112</v>
      </c>
    </row>
    <row r="12465" spans="1:2" x14ac:dyDescent="0.25">
      <c r="A12465" s="62">
        <v>51111611</v>
      </c>
      <c r="B12465" s="63" t="s">
        <v>13113</v>
      </c>
    </row>
    <row r="12466" spans="1:2" x14ac:dyDescent="0.25">
      <c r="A12466" s="62">
        <v>51111612</v>
      </c>
      <c r="B12466" s="63" t="s">
        <v>13114</v>
      </c>
    </row>
    <row r="12467" spans="1:2" x14ac:dyDescent="0.25">
      <c r="A12467" s="62">
        <v>51111613</v>
      </c>
      <c r="B12467" s="63" t="s">
        <v>13115</v>
      </c>
    </row>
    <row r="12468" spans="1:2" x14ac:dyDescent="0.25">
      <c r="A12468" s="62">
        <v>51111614</v>
      </c>
      <c r="B12468" s="63" t="s">
        <v>13116</v>
      </c>
    </row>
    <row r="12469" spans="1:2" x14ac:dyDescent="0.25">
      <c r="A12469" s="62">
        <v>51111615</v>
      </c>
      <c r="B12469" s="63" t="s">
        <v>13117</v>
      </c>
    </row>
    <row r="12470" spans="1:2" x14ac:dyDescent="0.25">
      <c r="A12470" s="62">
        <v>51111616</v>
      </c>
      <c r="B12470" s="63" t="s">
        <v>13118</v>
      </c>
    </row>
    <row r="12471" spans="1:2" x14ac:dyDescent="0.25">
      <c r="A12471" s="62">
        <v>51111617</v>
      </c>
      <c r="B12471" s="63" t="s">
        <v>13119</v>
      </c>
    </row>
    <row r="12472" spans="1:2" x14ac:dyDescent="0.25">
      <c r="A12472" s="62">
        <v>51111618</v>
      </c>
      <c r="B12472" s="63" t="s">
        <v>13120</v>
      </c>
    </row>
    <row r="12473" spans="1:2" x14ac:dyDescent="0.25">
      <c r="A12473" s="62">
        <v>51111701</v>
      </c>
      <c r="B12473" s="63" t="s">
        <v>13121</v>
      </c>
    </row>
    <row r="12474" spans="1:2" x14ac:dyDescent="0.25">
      <c r="A12474" s="62">
        <v>51111702</v>
      </c>
      <c r="B12474" s="63" t="s">
        <v>13122</v>
      </c>
    </row>
    <row r="12475" spans="1:2" x14ac:dyDescent="0.25">
      <c r="A12475" s="62">
        <v>51111703</v>
      </c>
      <c r="B12475" s="63" t="s">
        <v>13123</v>
      </c>
    </row>
    <row r="12476" spans="1:2" x14ac:dyDescent="0.25">
      <c r="A12476" s="62">
        <v>51111704</v>
      </c>
      <c r="B12476" s="63" t="s">
        <v>13124</v>
      </c>
    </row>
    <row r="12477" spans="1:2" x14ac:dyDescent="0.25">
      <c r="A12477" s="62">
        <v>51111705</v>
      </c>
      <c r="B12477" s="63" t="s">
        <v>13125</v>
      </c>
    </row>
    <row r="12478" spans="1:2" x14ac:dyDescent="0.25">
      <c r="A12478" s="62">
        <v>51111706</v>
      </c>
      <c r="B12478" s="63" t="s">
        <v>13126</v>
      </c>
    </row>
    <row r="12479" spans="1:2" x14ac:dyDescent="0.25">
      <c r="A12479" s="62">
        <v>51111707</v>
      </c>
      <c r="B12479" s="63" t="s">
        <v>13127</v>
      </c>
    </row>
    <row r="12480" spans="1:2" x14ac:dyDescent="0.25">
      <c r="A12480" s="62">
        <v>51111708</v>
      </c>
      <c r="B12480" s="63" t="s">
        <v>13128</v>
      </c>
    </row>
    <row r="12481" spans="1:2" x14ac:dyDescent="0.25">
      <c r="A12481" s="62">
        <v>51111709</v>
      </c>
      <c r="B12481" s="63" t="s">
        <v>13129</v>
      </c>
    </row>
    <row r="12482" spans="1:2" x14ac:dyDescent="0.25">
      <c r="A12482" s="62">
        <v>51111710</v>
      </c>
      <c r="B12482" s="63" t="s">
        <v>13130</v>
      </c>
    </row>
    <row r="12483" spans="1:2" x14ac:dyDescent="0.25">
      <c r="A12483" s="62">
        <v>51111711</v>
      </c>
      <c r="B12483" s="63" t="s">
        <v>13131</v>
      </c>
    </row>
    <row r="12484" spans="1:2" x14ac:dyDescent="0.25">
      <c r="A12484" s="62">
        <v>51111712</v>
      </c>
      <c r="B12484" s="63" t="s">
        <v>13132</v>
      </c>
    </row>
    <row r="12485" spans="1:2" x14ac:dyDescent="0.25">
      <c r="A12485" s="62">
        <v>51111713</v>
      </c>
      <c r="B12485" s="63" t="s">
        <v>13133</v>
      </c>
    </row>
    <row r="12486" spans="1:2" x14ac:dyDescent="0.25">
      <c r="A12486" s="62">
        <v>51111714</v>
      </c>
      <c r="B12486" s="63" t="s">
        <v>13134</v>
      </c>
    </row>
    <row r="12487" spans="1:2" x14ac:dyDescent="0.25">
      <c r="A12487" s="62">
        <v>51111715</v>
      </c>
      <c r="B12487" s="63" t="s">
        <v>13135</v>
      </c>
    </row>
    <row r="12488" spans="1:2" x14ac:dyDescent="0.25">
      <c r="A12488" s="62">
        <v>51111716</v>
      </c>
      <c r="B12488" s="63" t="s">
        <v>13136</v>
      </c>
    </row>
    <row r="12489" spans="1:2" x14ac:dyDescent="0.25">
      <c r="A12489" s="62">
        <v>51111717</v>
      </c>
      <c r="B12489" s="63" t="s">
        <v>13137</v>
      </c>
    </row>
    <row r="12490" spans="1:2" x14ac:dyDescent="0.25">
      <c r="A12490" s="62">
        <v>51111718</v>
      </c>
      <c r="B12490" s="63" t="s">
        <v>13138</v>
      </c>
    </row>
    <row r="12491" spans="1:2" x14ac:dyDescent="0.25">
      <c r="A12491" s="62">
        <v>51111719</v>
      </c>
      <c r="B12491" s="63" t="s">
        <v>13139</v>
      </c>
    </row>
    <row r="12492" spans="1:2" x14ac:dyDescent="0.25">
      <c r="A12492" s="62">
        <v>51111801</v>
      </c>
      <c r="B12492" s="63" t="s">
        <v>13140</v>
      </c>
    </row>
    <row r="12493" spans="1:2" x14ac:dyDescent="0.25">
      <c r="A12493" s="62">
        <v>51111802</v>
      </c>
      <c r="B12493" s="63" t="s">
        <v>13141</v>
      </c>
    </row>
    <row r="12494" spans="1:2" x14ac:dyDescent="0.25">
      <c r="A12494" s="62">
        <v>51111803</v>
      </c>
      <c r="B12494" s="63" t="s">
        <v>13142</v>
      </c>
    </row>
    <row r="12495" spans="1:2" x14ac:dyDescent="0.25">
      <c r="A12495" s="62">
        <v>51111804</v>
      </c>
      <c r="B12495" s="63" t="s">
        <v>13143</v>
      </c>
    </row>
    <row r="12496" spans="1:2" x14ac:dyDescent="0.25">
      <c r="A12496" s="62">
        <v>51111805</v>
      </c>
      <c r="B12496" s="63" t="s">
        <v>13144</v>
      </c>
    </row>
    <row r="12497" spans="1:2" x14ac:dyDescent="0.25">
      <c r="A12497" s="62">
        <v>51111806</v>
      </c>
      <c r="B12497" s="63" t="s">
        <v>13145</v>
      </c>
    </row>
    <row r="12498" spans="1:2" x14ac:dyDescent="0.25">
      <c r="A12498" s="62">
        <v>51111807</v>
      </c>
      <c r="B12498" s="63" t="s">
        <v>13146</v>
      </c>
    </row>
    <row r="12499" spans="1:2" x14ac:dyDescent="0.25">
      <c r="A12499" s="62">
        <v>51111808</v>
      </c>
      <c r="B12499" s="63" t="s">
        <v>13147</v>
      </c>
    </row>
    <row r="12500" spans="1:2" x14ac:dyDescent="0.25">
      <c r="A12500" s="62">
        <v>51111809</v>
      </c>
      <c r="B12500" s="63" t="s">
        <v>13148</v>
      </c>
    </row>
    <row r="12501" spans="1:2" x14ac:dyDescent="0.25">
      <c r="A12501" s="62">
        <v>51111810</v>
      </c>
      <c r="B12501" s="63" t="s">
        <v>13149</v>
      </c>
    </row>
    <row r="12502" spans="1:2" x14ac:dyDescent="0.25">
      <c r="A12502" s="62">
        <v>51111811</v>
      </c>
      <c r="B12502" s="63" t="s">
        <v>13150</v>
      </c>
    </row>
    <row r="12503" spans="1:2" x14ac:dyDescent="0.25">
      <c r="A12503" s="62">
        <v>51111812</v>
      </c>
      <c r="B12503" s="63" t="s">
        <v>13151</v>
      </c>
    </row>
    <row r="12504" spans="1:2" x14ac:dyDescent="0.25">
      <c r="A12504" s="62">
        <v>51111813</v>
      </c>
      <c r="B12504" s="63" t="s">
        <v>13129</v>
      </c>
    </row>
    <row r="12505" spans="1:2" x14ac:dyDescent="0.25">
      <c r="A12505" s="62">
        <v>51111814</v>
      </c>
      <c r="B12505" s="63" t="s">
        <v>13152</v>
      </c>
    </row>
    <row r="12506" spans="1:2" x14ac:dyDescent="0.25">
      <c r="A12506" s="62">
        <v>51111815</v>
      </c>
      <c r="B12506" s="63" t="s">
        <v>13153</v>
      </c>
    </row>
    <row r="12507" spans="1:2" x14ac:dyDescent="0.25">
      <c r="A12507" s="62">
        <v>51111816</v>
      </c>
      <c r="B12507" s="63" t="s">
        <v>13154</v>
      </c>
    </row>
    <row r="12508" spans="1:2" x14ac:dyDescent="0.25">
      <c r="A12508" s="62">
        <v>51111817</v>
      </c>
      <c r="B12508" s="63" t="s">
        <v>13155</v>
      </c>
    </row>
    <row r="12509" spans="1:2" x14ac:dyDescent="0.25">
      <c r="A12509" s="62">
        <v>51111818</v>
      </c>
      <c r="B12509" s="63" t="s">
        <v>13156</v>
      </c>
    </row>
    <row r="12510" spans="1:2" x14ac:dyDescent="0.25">
      <c r="A12510" s="62">
        <v>51111819</v>
      </c>
      <c r="B12510" s="63" t="s">
        <v>13157</v>
      </c>
    </row>
    <row r="12511" spans="1:2" x14ac:dyDescent="0.25">
      <c r="A12511" s="62">
        <v>51111820</v>
      </c>
      <c r="B12511" s="63" t="s">
        <v>13158</v>
      </c>
    </row>
    <row r="12512" spans="1:2" x14ac:dyDescent="0.25">
      <c r="A12512" s="62">
        <v>51111821</v>
      </c>
      <c r="B12512" s="63" t="s">
        <v>13159</v>
      </c>
    </row>
    <row r="12513" spans="1:2" x14ac:dyDescent="0.25">
      <c r="A12513" s="62">
        <v>51111901</v>
      </c>
      <c r="B12513" s="63" t="s">
        <v>13160</v>
      </c>
    </row>
    <row r="12514" spans="1:2" x14ac:dyDescent="0.25">
      <c r="A12514" s="62">
        <v>51111902</v>
      </c>
      <c r="B12514" s="63" t="s">
        <v>13161</v>
      </c>
    </row>
    <row r="12515" spans="1:2" x14ac:dyDescent="0.25">
      <c r="A12515" s="62">
        <v>51111904</v>
      </c>
      <c r="B12515" s="63" t="s">
        <v>13162</v>
      </c>
    </row>
    <row r="12516" spans="1:2" x14ac:dyDescent="0.25">
      <c r="A12516" s="62">
        <v>51111905</v>
      </c>
      <c r="B12516" s="63" t="s">
        <v>13163</v>
      </c>
    </row>
    <row r="12517" spans="1:2" x14ac:dyDescent="0.25">
      <c r="A12517" s="62">
        <v>51111906</v>
      </c>
      <c r="B12517" s="63" t="s">
        <v>13164</v>
      </c>
    </row>
    <row r="12518" spans="1:2" x14ac:dyDescent="0.25">
      <c r="A12518" s="62">
        <v>51111907</v>
      </c>
      <c r="B12518" s="63" t="s">
        <v>13165</v>
      </c>
    </row>
    <row r="12519" spans="1:2" x14ac:dyDescent="0.25">
      <c r="A12519" s="62">
        <v>51121501</v>
      </c>
      <c r="B12519" s="63" t="s">
        <v>13166</v>
      </c>
    </row>
    <row r="12520" spans="1:2" x14ac:dyDescent="0.25">
      <c r="A12520" s="62">
        <v>51121502</v>
      </c>
      <c r="B12520" s="63" t="s">
        <v>13167</v>
      </c>
    </row>
    <row r="12521" spans="1:2" x14ac:dyDescent="0.25">
      <c r="A12521" s="62">
        <v>51121503</v>
      </c>
      <c r="B12521" s="63" t="s">
        <v>13168</v>
      </c>
    </row>
    <row r="12522" spans="1:2" x14ac:dyDescent="0.25">
      <c r="A12522" s="62">
        <v>51121504</v>
      </c>
      <c r="B12522" s="63" t="s">
        <v>13169</v>
      </c>
    </row>
    <row r="12523" spans="1:2" x14ac:dyDescent="0.25">
      <c r="A12523" s="62">
        <v>51121506</v>
      </c>
      <c r="B12523" s="63" t="s">
        <v>13170</v>
      </c>
    </row>
    <row r="12524" spans="1:2" x14ac:dyDescent="0.25">
      <c r="A12524" s="62">
        <v>51121507</v>
      </c>
      <c r="B12524" s="63" t="s">
        <v>13171</v>
      </c>
    </row>
    <row r="12525" spans="1:2" x14ac:dyDescent="0.25">
      <c r="A12525" s="62">
        <v>51121509</v>
      </c>
      <c r="B12525" s="63" t="s">
        <v>13172</v>
      </c>
    </row>
    <row r="12526" spans="1:2" x14ac:dyDescent="0.25">
      <c r="A12526" s="62">
        <v>51121510</v>
      </c>
      <c r="B12526" s="63" t="s">
        <v>13173</v>
      </c>
    </row>
    <row r="12527" spans="1:2" x14ac:dyDescent="0.25">
      <c r="A12527" s="62">
        <v>51121511</v>
      </c>
      <c r="B12527" s="63" t="s">
        <v>13174</v>
      </c>
    </row>
    <row r="12528" spans="1:2" x14ac:dyDescent="0.25">
      <c r="A12528" s="62">
        <v>51121512</v>
      </c>
      <c r="B12528" s="63" t="s">
        <v>13175</v>
      </c>
    </row>
    <row r="12529" spans="1:2" x14ac:dyDescent="0.25">
      <c r="A12529" s="62">
        <v>51121513</v>
      </c>
      <c r="B12529" s="63" t="s">
        <v>13176</v>
      </c>
    </row>
    <row r="12530" spans="1:2" x14ac:dyDescent="0.25">
      <c r="A12530" s="62">
        <v>51121514</v>
      </c>
      <c r="B12530" s="63" t="s">
        <v>13177</v>
      </c>
    </row>
    <row r="12531" spans="1:2" x14ac:dyDescent="0.25">
      <c r="A12531" s="62">
        <v>51121515</v>
      </c>
      <c r="B12531" s="63" t="s">
        <v>13178</v>
      </c>
    </row>
    <row r="12532" spans="1:2" x14ac:dyDescent="0.25">
      <c r="A12532" s="62">
        <v>51121516</v>
      </c>
      <c r="B12532" s="63" t="s">
        <v>13179</v>
      </c>
    </row>
    <row r="12533" spans="1:2" x14ac:dyDescent="0.25">
      <c r="A12533" s="62">
        <v>51121517</v>
      </c>
      <c r="B12533" s="63" t="s">
        <v>13180</v>
      </c>
    </row>
    <row r="12534" spans="1:2" x14ac:dyDescent="0.25">
      <c r="A12534" s="62">
        <v>51121518</v>
      </c>
      <c r="B12534" s="63" t="s">
        <v>13181</v>
      </c>
    </row>
    <row r="12535" spans="1:2" x14ac:dyDescent="0.25">
      <c r="A12535" s="62">
        <v>51121519</v>
      </c>
      <c r="B12535" s="63" t="s">
        <v>13182</v>
      </c>
    </row>
    <row r="12536" spans="1:2" x14ac:dyDescent="0.25">
      <c r="A12536" s="62">
        <v>51121520</v>
      </c>
      <c r="B12536" s="63" t="s">
        <v>13183</v>
      </c>
    </row>
    <row r="12537" spans="1:2" x14ac:dyDescent="0.25">
      <c r="A12537" s="62">
        <v>51121521</v>
      </c>
      <c r="B12537" s="63" t="s">
        <v>13184</v>
      </c>
    </row>
    <row r="12538" spans="1:2" x14ac:dyDescent="0.25">
      <c r="A12538" s="62">
        <v>51121522</v>
      </c>
      <c r="B12538" s="63" t="s">
        <v>13185</v>
      </c>
    </row>
    <row r="12539" spans="1:2" x14ac:dyDescent="0.25">
      <c r="A12539" s="62">
        <v>51121523</v>
      </c>
      <c r="B12539" s="63" t="s">
        <v>13186</v>
      </c>
    </row>
    <row r="12540" spans="1:2" x14ac:dyDescent="0.25">
      <c r="A12540" s="62">
        <v>51121601</v>
      </c>
      <c r="B12540" s="63" t="s">
        <v>13187</v>
      </c>
    </row>
    <row r="12541" spans="1:2" x14ac:dyDescent="0.25">
      <c r="A12541" s="62">
        <v>51121602</v>
      </c>
      <c r="B12541" s="63" t="s">
        <v>13188</v>
      </c>
    </row>
    <row r="12542" spans="1:2" x14ac:dyDescent="0.25">
      <c r="A12542" s="62">
        <v>51121603</v>
      </c>
      <c r="B12542" s="63" t="s">
        <v>13189</v>
      </c>
    </row>
    <row r="12543" spans="1:2" x14ac:dyDescent="0.25">
      <c r="A12543" s="62">
        <v>51121604</v>
      </c>
      <c r="B12543" s="63" t="s">
        <v>13190</v>
      </c>
    </row>
    <row r="12544" spans="1:2" x14ac:dyDescent="0.25">
      <c r="A12544" s="62">
        <v>51121607</v>
      </c>
      <c r="B12544" s="63" t="s">
        <v>13191</v>
      </c>
    </row>
    <row r="12545" spans="1:2" x14ac:dyDescent="0.25">
      <c r="A12545" s="62">
        <v>51121608</v>
      </c>
      <c r="B12545" s="63" t="s">
        <v>13192</v>
      </c>
    </row>
    <row r="12546" spans="1:2" x14ac:dyDescent="0.25">
      <c r="A12546" s="62">
        <v>51121609</v>
      </c>
      <c r="B12546" s="63" t="s">
        <v>13193</v>
      </c>
    </row>
    <row r="12547" spans="1:2" x14ac:dyDescent="0.25">
      <c r="A12547" s="62">
        <v>51121610</v>
      </c>
      <c r="B12547" s="63" t="s">
        <v>13194</v>
      </c>
    </row>
    <row r="12548" spans="1:2" x14ac:dyDescent="0.25">
      <c r="A12548" s="62">
        <v>51121611</v>
      </c>
      <c r="B12548" s="63" t="s">
        <v>13195</v>
      </c>
    </row>
    <row r="12549" spans="1:2" x14ac:dyDescent="0.25">
      <c r="A12549" s="62">
        <v>51121614</v>
      </c>
      <c r="B12549" s="63" t="s">
        <v>13196</v>
      </c>
    </row>
    <row r="12550" spans="1:2" x14ac:dyDescent="0.25">
      <c r="A12550" s="62">
        <v>51121615</v>
      </c>
      <c r="B12550" s="63" t="s">
        <v>13197</v>
      </c>
    </row>
    <row r="12551" spans="1:2" x14ac:dyDescent="0.25">
      <c r="A12551" s="62">
        <v>51121616</v>
      </c>
      <c r="B12551" s="63" t="s">
        <v>13198</v>
      </c>
    </row>
    <row r="12552" spans="1:2" x14ac:dyDescent="0.25">
      <c r="A12552" s="62">
        <v>51121701</v>
      </c>
      <c r="B12552" s="63" t="s">
        <v>13199</v>
      </c>
    </row>
    <row r="12553" spans="1:2" x14ac:dyDescent="0.25">
      <c r="A12553" s="62">
        <v>51121702</v>
      </c>
      <c r="B12553" s="63" t="s">
        <v>13200</v>
      </c>
    </row>
    <row r="12554" spans="1:2" x14ac:dyDescent="0.25">
      <c r="A12554" s="62">
        <v>51121703</v>
      </c>
      <c r="B12554" s="63" t="s">
        <v>13201</v>
      </c>
    </row>
    <row r="12555" spans="1:2" x14ac:dyDescent="0.25">
      <c r="A12555" s="62">
        <v>51121704</v>
      </c>
      <c r="B12555" s="63" t="s">
        <v>13202</v>
      </c>
    </row>
    <row r="12556" spans="1:2" x14ac:dyDescent="0.25">
      <c r="A12556" s="62">
        <v>51121705</v>
      </c>
      <c r="B12556" s="63" t="s">
        <v>13203</v>
      </c>
    </row>
    <row r="12557" spans="1:2" x14ac:dyDescent="0.25">
      <c r="A12557" s="62">
        <v>51121706</v>
      </c>
      <c r="B12557" s="63" t="s">
        <v>13204</v>
      </c>
    </row>
    <row r="12558" spans="1:2" x14ac:dyDescent="0.25">
      <c r="A12558" s="62">
        <v>51121707</v>
      </c>
      <c r="B12558" s="63" t="s">
        <v>13205</v>
      </c>
    </row>
    <row r="12559" spans="1:2" x14ac:dyDescent="0.25">
      <c r="A12559" s="62">
        <v>51121708</v>
      </c>
      <c r="B12559" s="63" t="s">
        <v>13206</v>
      </c>
    </row>
    <row r="12560" spans="1:2" x14ac:dyDescent="0.25">
      <c r="A12560" s="62">
        <v>51121709</v>
      </c>
      <c r="B12560" s="63" t="s">
        <v>13207</v>
      </c>
    </row>
    <row r="12561" spans="1:2" x14ac:dyDescent="0.25">
      <c r="A12561" s="62">
        <v>51121710</v>
      </c>
      <c r="B12561" s="63" t="s">
        <v>13208</v>
      </c>
    </row>
    <row r="12562" spans="1:2" x14ac:dyDescent="0.25">
      <c r="A12562" s="62">
        <v>51121711</v>
      </c>
      <c r="B12562" s="63" t="s">
        <v>13209</v>
      </c>
    </row>
    <row r="12563" spans="1:2" x14ac:dyDescent="0.25">
      <c r="A12563" s="62">
        <v>51121713</v>
      </c>
      <c r="B12563" s="63" t="s">
        <v>13210</v>
      </c>
    </row>
    <row r="12564" spans="1:2" x14ac:dyDescent="0.25">
      <c r="A12564" s="62">
        <v>51121714</v>
      </c>
      <c r="B12564" s="63" t="s">
        <v>13211</v>
      </c>
    </row>
    <row r="12565" spans="1:2" x14ac:dyDescent="0.25">
      <c r="A12565" s="62">
        <v>51121715</v>
      </c>
      <c r="B12565" s="63" t="s">
        <v>13212</v>
      </c>
    </row>
    <row r="12566" spans="1:2" x14ac:dyDescent="0.25">
      <c r="A12566" s="62">
        <v>51121716</v>
      </c>
      <c r="B12566" s="63" t="s">
        <v>13213</v>
      </c>
    </row>
    <row r="12567" spans="1:2" x14ac:dyDescent="0.25">
      <c r="A12567" s="62">
        <v>51121717</v>
      </c>
      <c r="B12567" s="63" t="s">
        <v>13214</v>
      </c>
    </row>
    <row r="12568" spans="1:2" x14ac:dyDescent="0.25">
      <c r="A12568" s="62">
        <v>51121718</v>
      </c>
      <c r="B12568" s="63" t="s">
        <v>13215</v>
      </c>
    </row>
    <row r="12569" spans="1:2" x14ac:dyDescent="0.25">
      <c r="A12569" s="62">
        <v>51121721</v>
      </c>
      <c r="B12569" s="63" t="s">
        <v>13216</v>
      </c>
    </row>
    <row r="12570" spans="1:2" x14ac:dyDescent="0.25">
      <c r="A12570" s="62">
        <v>51121722</v>
      </c>
      <c r="B12570" s="63" t="s">
        <v>13217</v>
      </c>
    </row>
    <row r="12571" spans="1:2" x14ac:dyDescent="0.25">
      <c r="A12571" s="62">
        <v>51121724</v>
      </c>
      <c r="B12571" s="63" t="s">
        <v>13218</v>
      </c>
    </row>
    <row r="12572" spans="1:2" x14ac:dyDescent="0.25">
      <c r="A12572" s="62">
        <v>51121725</v>
      </c>
      <c r="B12572" s="63" t="s">
        <v>13219</v>
      </c>
    </row>
    <row r="12573" spans="1:2" x14ac:dyDescent="0.25">
      <c r="A12573" s="62">
        <v>51121726</v>
      </c>
      <c r="B12573" s="63" t="s">
        <v>13220</v>
      </c>
    </row>
    <row r="12574" spans="1:2" x14ac:dyDescent="0.25">
      <c r="A12574" s="62">
        <v>51121727</v>
      </c>
      <c r="B12574" s="63" t="s">
        <v>13221</v>
      </c>
    </row>
    <row r="12575" spans="1:2" x14ac:dyDescent="0.25">
      <c r="A12575" s="62">
        <v>51121728</v>
      </c>
      <c r="B12575" s="63" t="s">
        <v>13222</v>
      </c>
    </row>
    <row r="12576" spans="1:2" x14ac:dyDescent="0.25">
      <c r="A12576" s="62">
        <v>51121729</v>
      </c>
      <c r="B12576" s="63" t="s">
        <v>13223</v>
      </c>
    </row>
    <row r="12577" spans="1:2" x14ac:dyDescent="0.25">
      <c r="A12577" s="62">
        <v>51121730</v>
      </c>
      <c r="B12577" s="63" t="s">
        <v>13224</v>
      </c>
    </row>
    <row r="12578" spans="1:2" x14ac:dyDescent="0.25">
      <c r="A12578" s="62">
        <v>51121731</v>
      </c>
      <c r="B12578" s="63" t="s">
        <v>13225</v>
      </c>
    </row>
    <row r="12579" spans="1:2" x14ac:dyDescent="0.25">
      <c r="A12579" s="62">
        <v>51121732</v>
      </c>
      <c r="B12579" s="63" t="s">
        <v>13226</v>
      </c>
    </row>
    <row r="12580" spans="1:2" x14ac:dyDescent="0.25">
      <c r="A12580" s="62">
        <v>51121733</v>
      </c>
      <c r="B12580" s="63" t="s">
        <v>13227</v>
      </c>
    </row>
    <row r="12581" spans="1:2" x14ac:dyDescent="0.25">
      <c r="A12581" s="62">
        <v>51121734</v>
      </c>
      <c r="B12581" s="63" t="s">
        <v>13228</v>
      </c>
    </row>
    <row r="12582" spans="1:2" x14ac:dyDescent="0.25">
      <c r="A12582" s="62">
        <v>51121735</v>
      </c>
      <c r="B12582" s="63" t="s">
        <v>13229</v>
      </c>
    </row>
    <row r="12583" spans="1:2" x14ac:dyDescent="0.25">
      <c r="A12583" s="62">
        <v>51121737</v>
      </c>
      <c r="B12583" s="63" t="s">
        <v>13230</v>
      </c>
    </row>
    <row r="12584" spans="1:2" x14ac:dyDescent="0.25">
      <c r="A12584" s="62">
        <v>51121738</v>
      </c>
      <c r="B12584" s="63" t="s">
        <v>13231</v>
      </c>
    </row>
    <row r="12585" spans="1:2" x14ac:dyDescent="0.25">
      <c r="A12585" s="62">
        <v>51121739</v>
      </c>
      <c r="B12585" s="63" t="s">
        <v>13232</v>
      </c>
    </row>
    <row r="12586" spans="1:2" x14ac:dyDescent="0.25">
      <c r="A12586" s="62">
        <v>51121740</v>
      </c>
      <c r="B12586" s="63" t="s">
        <v>13233</v>
      </c>
    </row>
    <row r="12587" spans="1:2" x14ac:dyDescent="0.25">
      <c r="A12587" s="62">
        <v>51121741</v>
      </c>
      <c r="B12587" s="63" t="s">
        <v>13234</v>
      </c>
    </row>
    <row r="12588" spans="1:2" x14ac:dyDescent="0.25">
      <c r="A12588" s="62">
        <v>51121742</v>
      </c>
      <c r="B12588" s="63" t="s">
        <v>13235</v>
      </c>
    </row>
    <row r="12589" spans="1:2" x14ac:dyDescent="0.25">
      <c r="A12589" s="62">
        <v>51121743</v>
      </c>
      <c r="B12589" s="63" t="s">
        <v>13236</v>
      </c>
    </row>
    <row r="12590" spans="1:2" x14ac:dyDescent="0.25">
      <c r="A12590" s="62">
        <v>51121744</v>
      </c>
      <c r="B12590" s="63" t="s">
        <v>13237</v>
      </c>
    </row>
    <row r="12591" spans="1:2" x14ac:dyDescent="0.25">
      <c r="A12591" s="62">
        <v>51121745</v>
      </c>
      <c r="B12591" s="63" t="s">
        <v>13238</v>
      </c>
    </row>
    <row r="12592" spans="1:2" x14ac:dyDescent="0.25">
      <c r="A12592" s="62">
        <v>51121746</v>
      </c>
      <c r="B12592" s="63" t="s">
        <v>13239</v>
      </c>
    </row>
    <row r="12593" spans="1:2" x14ac:dyDescent="0.25">
      <c r="A12593" s="62">
        <v>51121747</v>
      </c>
      <c r="B12593" s="63" t="s">
        <v>13240</v>
      </c>
    </row>
    <row r="12594" spans="1:2" x14ac:dyDescent="0.25">
      <c r="A12594" s="62">
        <v>51121748</v>
      </c>
      <c r="B12594" s="63" t="s">
        <v>13241</v>
      </c>
    </row>
    <row r="12595" spans="1:2" x14ac:dyDescent="0.25">
      <c r="A12595" s="62">
        <v>51121749</v>
      </c>
      <c r="B12595" s="63" t="s">
        <v>13242</v>
      </c>
    </row>
    <row r="12596" spans="1:2" x14ac:dyDescent="0.25">
      <c r="A12596" s="62">
        <v>51121750</v>
      </c>
      <c r="B12596" s="63" t="s">
        <v>13243</v>
      </c>
    </row>
    <row r="12597" spans="1:2" x14ac:dyDescent="0.25">
      <c r="A12597" s="62">
        <v>51121751</v>
      </c>
      <c r="B12597" s="63" t="s">
        <v>13244</v>
      </c>
    </row>
    <row r="12598" spans="1:2" x14ac:dyDescent="0.25">
      <c r="A12598" s="62">
        <v>51121752</v>
      </c>
      <c r="B12598" s="63" t="s">
        <v>13245</v>
      </c>
    </row>
    <row r="12599" spans="1:2" x14ac:dyDescent="0.25">
      <c r="A12599" s="62">
        <v>51121753</v>
      </c>
      <c r="B12599" s="63" t="s">
        <v>13246</v>
      </c>
    </row>
    <row r="12600" spans="1:2" x14ac:dyDescent="0.25">
      <c r="A12600" s="62">
        <v>51121754</v>
      </c>
      <c r="B12600" s="63" t="s">
        <v>13247</v>
      </c>
    </row>
    <row r="12601" spans="1:2" x14ac:dyDescent="0.25">
      <c r="A12601" s="62">
        <v>51121755</v>
      </c>
      <c r="B12601" s="63" t="s">
        <v>13248</v>
      </c>
    </row>
    <row r="12602" spans="1:2" x14ac:dyDescent="0.25">
      <c r="A12602" s="62">
        <v>51121756</v>
      </c>
      <c r="B12602" s="63" t="s">
        <v>13249</v>
      </c>
    </row>
    <row r="12603" spans="1:2" x14ac:dyDescent="0.25">
      <c r="A12603" s="62">
        <v>51121757</v>
      </c>
      <c r="B12603" s="63" t="s">
        <v>13250</v>
      </c>
    </row>
    <row r="12604" spans="1:2" x14ac:dyDescent="0.25">
      <c r="A12604" s="62">
        <v>51121758</v>
      </c>
      <c r="B12604" s="63" t="s">
        <v>13251</v>
      </c>
    </row>
    <row r="12605" spans="1:2" x14ac:dyDescent="0.25">
      <c r="A12605" s="62">
        <v>51121759</v>
      </c>
      <c r="B12605" s="63" t="s">
        <v>13252</v>
      </c>
    </row>
    <row r="12606" spans="1:2" x14ac:dyDescent="0.25">
      <c r="A12606" s="62">
        <v>51121760</v>
      </c>
      <c r="B12606" s="63" t="s">
        <v>13253</v>
      </c>
    </row>
    <row r="12607" spans="1:2" x14ac:dyDescent="0.25">
      <c r="A12607" s="62">
        <v>51121761</v>
      </c>
      <c r="B12607" s="63" t="s">
        <v>13254</v>
      </c>
    </row>
    <row r="12608" spans="1:2" x14ac:dyDescent="0.25">
      <c r="A12608" s="62">
        <v>51121762</v>
      </c>
      <c r="B12608" s="63" t="s">
        <v>13255</v>
      </c>
    </row>
    <row r="12609" spans="1:2" x14ac:dyDescent="0.25">
      <c r="A12609" s="62">
        <v>51121763</v>
      </c>
      <c r="B12609" s="63" t="s">
        <v>13256</v>
      </c>
    </row>
    <row r="12610" spans="1:2" x14ac:dyDescent="0.25">
      <c r="A12610" s="62">
        <v>51121764</v>
      </c>
      <c r="B12610" s="63" t="s">
        <v>13257</v>
      </c>
    </row>
    <row r="12611" spans="1:2" x14ac:dyDescent="0.25">
      <c r="A12611" s="62">
        <v>51121765</v>
      </c>
      <c r="B12611" s="63" t="s">
        <v>13258</v>
      </c>
    </row>
    <row r="12612" spans="1:2" x14ac:dyDescent="0.25">
      <c r="A12612" s="62">
        <v>51121801</v>
      </c>
      <c r="B12612" s="63" t="s">
        <v>13259</v>
      </c>
    </row>
    <row r="12613" spans="1:2" x14ac:dyDescent="0.25">
      <c r="A12613" s="62">
        <v>51121802</v>
      </c>
      <c r="B12613" s="63" t="s">
        <v>13260</v>
      </c>
    </row>
    <row r="12614" spans="1:2" x14ac:dyDescent="0.25">
      <c r="A12614" s="62">
        <v>51121803</v>
      </c>
      <c r="B12614" s="63" t="s">
        <v>13261</v>
      </c>
    </row>
    <row r="12615" spans="1:2" x14ac:dyDescent="0.25">
      <c r="A12615" s="62">
        <v>51121804</v>
      </c>
      <c r="B12615" s="63" t="s">
        <v>13262</v>
      </c>
    </row>
    <row r="12616" spans="1:2" x14ac:dyDescent="0.25">
      <c r="A12616" s="62">
        <v>51121805</v>
      </c>
      <c r="B12616" s="63" t="s">
        <v>13263</v>
      </c>
    </row>
    <row r="12617" spans="1:2" x14ac:dyDescent="0.25">
      <c r="A12617" s="62">
        <v>51121806</v>
      </c>
      <c r="B12617" s="63" t="s">
        <v>13264</v>
      </c>
    </row>
    <row r="12618" spans="1:2" x14ac:dyDescent="0.25">
      <c r="A12618" s="62">
        <v>51121807</v>
      </c>
      <c r="B12618" s="63" t="s">
        <v>13265</v>
      </c>
    </row>
    <row r="12619" spans="1:2" x14ac:dyDescent="0.25">
      <c r="A12619" s="62">
        <v>51121808</v>
      </c>
      <c r="B12619" s="63" t="s">
        <v>13266</v>
      </c>
    </row>
    <row r="12620" spans="1:2" x14ac:dyDescent="0.25">
      <c r="A12620" s="62">
        <v>51121809</v>
      </c>
      <c r="B12620" s="63" t="s">
        <v>13267</v>
      </c>
    </row>
    <row r="12621" spans="1:2" x14ac:dyDescent="0.25">
      <c r="A12621" s="62">
        <v>51121810</v>
      </c>
      <c r="B12621" s="63" t="s">
        <v>13268</v>
      </c>
    </row>
    <row r="12622" spans="1:2" x14ac:dyDescent="0.25">
      <c r="A12622" s="62">
        <v>51121811</v>
      </c>
      <c r="B12622" s="63" t="s">
        <v>13269</v>
      </c>
    </row>
    <row r="12623" spans="1:2" x14ac:dyDescent="0.25">
      <c r="A12623" s="62">
        <v>51121812</v>
      </c>
      <c r="B12623" s="63" t="s">
        <v>13270</v>
      </c>
    </row>
    <row r="12624" spans="1:2" x14ac:dyDescent="0.25">
      <c r="A12624" s="62">
        <v>51121813</v>
      </c>
      <c r="B12624" s="63" t="s">
        <v>13271</v>
      </c>
    </row>
    <row r="12625" spans="1:2" x14ac:dyDescent="0.25">
      <c r="A12625" s="62">
        <v>51121814</v>
      </c>
      <c r="B12625" s="63" t="s">
        <v>13272</v>
      </c>
    </row>
    <row r="12626" spans="1:2" x14ac:dyDescent="0.25">
      <c r="A12626" s="62">
        <v>51121815</v>
      </c>
      <c r="B12626" s="63" t="s">
        <v>13273</v>
      </c>
    </row>
    <row r="12627" spans="1:2" x14ac:dyDescent="0.25">
      <c r="A12627" s="62">
        <v>51121816</v>
      </c>
      <c r="B12627" s="63" t="s">
        <v>13274</v>
      </c>
    </row>
    <row r="12628" spans="1:2" x14ac:dyDescent="0.25">
      <c r="A12628" s="62">
        <v>51121817</v>
      </c>
      <c r="B12628" s="63" t="s">
        <v>13275</v>
      </c>
    </row>
    <row r="12629" spans="1:2" x14ac:dyDescent="0.25">
      <c r="A12629" s="62">
        <v>51121818</v>
      </c>
      <c r="B12629" s="63" t="s">
        <v>13276</v>
      </c>
    </row>
    <row r="12630" spans="1:2" x14ac:dyDescent="0.25">
      <c r="A12630" s="62">
        <v>51121819</v>
      </c>
      <c r="B12630" s="63" t="s">
        <v>13277</v>
      </c>
    </row>
    <row r="12631" spans="1:2" x14ac:dyDescent="0.25">
      <c r="A12631" s="62">
        <v>51121820</v>
      </c>
      <c r="B12631" s="63" t="s">
        <v>13278</v>
      </c>
    </row>
    <row r="12632" spans="1:2" x14ac:dyDescent="0.25">
      <c r="A12632" s="62">
        <v>51121901</v>
      </c>
      <c r="B12632" s="63" t="s">
        <v>13279</v>
      </c>
    </row>
    <row r="12633" spans="1:2" x14ac:dyDescent="0.25">
      <c r="A12633" s="62">
        <v>51121902</v>
      </c>
      <c r="B12633" s="63" t="s">
        <v>13280</v>
      </c>
    </row>
    <row r="12634" spans="1:2" x14ac:dyDescent="0.25">
      <c r="A12634" s="62">
        <v>51121903</v>
      </c>
      <c r="B12634" s="63" t="s">
        <v>13281</v>
      </c>
    </row>
    <row r="12635" spans="1:2" x14ac:dyDescent="0.25">
      <c r="A12635" s="62">
        <v>51121904</v>
      </c>
      <c r="B12635" s="63" t="s">
        <v>13282</v>
      </c>
    </row>
    <row r="12636" spans="1:2" x14ac:dyDescent="0.25">
      <c r="A12636" s="62">
        <v>51121905</v>
      </c>
      <c r="B12636" s="63" t="s">
        <v>13283</v>
      </c>
    </row>
    <row r="12637" spans="1:2" x14ac:dyDescent="0.25">
      <c r="A12637" s="62">
        <v>51121906</v>
      </c>
      <c r="B12637" s="63" t="s">
        <v>13284</v>
      </c>
    </row>
    <row r="12638" spans="1:2" x14ac:dyDescent="0.25">
      <c r="A12638" s="62">
        <v>51121907</v>
      </c>
      <c r="B12638" s="63" t="s">
        <v>13285</v>
      </c>
    </row>
    <row r="12639" spans="1:2" x14ac:dyDescent="0.25">
      <c r="A12639" s="62">
        <v>51121908</v>
      </c>
      <c r="B12639" s="63" t="s">
        <v>13286</v>
      </c>
    </row>
    <row r="12640" spans="1:2" x14ac:dyDescent="0.25">
      <c r="A12640" s="62">
        <v>51122101</v>
      </c>
      <c r="B12640" s="63" t="s">
        <v>13287</v>
      </c>
    </row>
    <row r="12641" spans="1:2" x14ac:dyDescent="0.25">
      <c r="A12641" s="62">
        <v>51122102</v>
      </c>
      <c r="B12641" s="63" t="s">
        <v>13288</v>
      </c>
    </row>
    <row r="12642" spans="1:2" x14ac:dyDescent="0.25">
      <c r="A12642" s="62">
        <v>51122103</v>
      </c>
      <c r="B12642" s="63" t="s">
        <v>13289</v>
      </c>
    </row>
    <row r="12643" spans="1:2" x14ac:dyDescent="0.25">
      <c r="A12643" s="62">
        <v>51122104</v>
      </c>
      <c r="B12643" s="63" t="s">
        <v>13290</v>
      </c>
    </row>
    <row r="12644" spans="1:2" x14ac:dyDescent="0.25">
      <c r="A12644" s="62">
        <v>51122105</v>
      </c>
      <c r="B12644" s="63" t="s">
        <v>13291</v>
      </c>
    </row>
    <row r="12645" spans="1:2" x14ac:dyDescent="0.25">
      <c r="A12645" s="62">
        <v>51122107</v>
      </c>
      <c r="B12645" s="63" t="s">
        <v>13292</v>
      </c>
    </row>
    <row r="12646" spans="1:2" x14ac:dyDescent="0.25">
      <c r="A12646" s="62">
        <v>51122108</v>
      </c>
      <c r="B12646" s="63" t="s">
        <v>13293</v>
      </c>
    </row>
    <row r="12647" spans="1:2" x14ac:dyDescent="0.25">
      <c r="A12647" s="62">
        <v>51122109</v>
      </c>
      <c r="B12647" s="63" t="s">
        <v>13294</v>
      </c>
    </row>
    <row r="12648" spans="1:2" x14ac:dyDescent="0.25">
      <c r="A12648" s="62">
        <v>51122110</v>
      </c>
      <c r="B12648" s="63" t="s">
        <v>13295</v>
      </c>
    </row>
    <row r="12649" spans="1:2" x14ac:dyDescent="0.25">
      <c r="A12649" s="62">
        <v>51122111</v>
      </c>
      <c r="B12649" s="63" t="s">
        <v>13296</v>
      </c>
    </row>
    <row r="12650" spans="1:2" x14ac:dyDescent="0.25">
      <c r="A12650" s="62">
        <v>51122112</v>
      </c>
      <c r="B12650" s="63" t="s">
        <v>13297</v>
      </c>
    </row>
    <row r="12651" spans="1:2" x14ac:dyDescent="0.25">
      <c r="A12651" s="62">
        <v>51122201</v>
      </c>
      <c r="B12651" s="63" t="s">
        <v>13298</v>
      </c>
    </row>
    <row r="12652" spans="1:2" x14ac:dyDescent="0.25">
      <c r="A12652" s="62">
        <v>51122301</v>
      </c>
      <c r="B12652" s="63" t="s">
        <v>13299</v>
      </c>
    </row>
    <row r="12653" spans="1:2" x14ac:dyDescent="0.25">
      <c r="A12653" s="62">
        <v>51131501</v>
      </c>
      <c r="B12653" s="63" t="s">
        <v>13300</v>
      </c>
    </row>
    <row r="12654" spans="1:2" x14ac:dyDescent="0.25">
      <c r="A12654" s="62">
        <v>51131502</v>
      </c>
      <c r="B12654" s="63" t="s">
        <v>13301</v>
      </c>
    </row>
    <row r="12655" spans="1:2" x14ac:dyDescent="0.25">
      <c r="A12655" s="62">
        <v>51131503</v>
      </c>
      <c r="B12655" s="63" t="s">
        <v>13302</v>
      </c>
    </row>
    <row r="12656" spans="1:2" x14ac:dyDescent="0.25">
      <c r="A12656" s="62">
        <v>51131504</v>
      </c>
      <c r="B12656" s="63" t="s">
        <v>13303</v>
      </c>
    </row>
    <row r="12657" spans="1:2" x14ac:dyDescent="0.25">
      <c r="A12657" s="62">
        <v>51131505</v>
      </c>
      <c r="B12657" s="63" t="s">
        <v>13304</v>
      </c>
    </row>
    <row r="12658" spans="1:2" x14ac:dyDescent="0.25">
      <c r="A12658" s="62">
        <v>51131506</v>
      </c>
      <c r="B12658" s="63" t="s">
        <v>13305</v>
      </c>
    </row>
    <row r="12659" spans="1:2" x14ac:dyDescent="0.25">
      <c r="A12659" s="62">
        <v>51131507</v>
      </c>
      <c r="B12659" s="63" t="s">
        <v>13306</v>
      </c>
    </row>
    <row r="12660" spans="1:2" x14ac:dyDescent="0.25">
      <c r="A12660" s="62">
        <v>51131508</v>
      </c>
      <c r="B12660" s="63" t="s">
        <v>13307</v>
      </c>
    </row>
    <row r="12661" spans="1:2" x14ac:dyDescent="0.25">
      <c r="A12661" s="62">
        <v>51131509</v>
      </c>
      <c r="B12661" s="63" t="s">
        <v>13308</v>
      </c>
    </row>
    <row r="12662" spans="1:2" x14ac:dyDescent="0.25">
      <c r="A12662" s="62">
        <v>51131510</v>
      </c>
      <c r="B12662" s="63" t="s">
        <v>13309</v>
      </c>
    </row>
    <row r="12663" spans="1:2" x14ac:dyDescent="0.25">
      <c r="A12663" s="62">
        <v>51131511</v>
      </c>
      <c r="B12663" s="63" t="s">
        <v>13310</v>
      </c>
    </row>
    <row r="12664" spans="1:2" x14ac:dyDescent="0.25">
      <c r="A12664" s="62">
        <v>51131512</v>
      </c>
      <c r="B12664" s="63" t="s">
        <v>13311</v>
      </c>
    </row>
    <row r="12665" spans="1:2" x14ac:dyDescent="0.25">
      <c r="A12665" s="62">
        <v>51131513</v>
      </c>
      <c r="B12665" s="63" t="s">
        <v>13312</v>
      </c>
    </row>
    <row r="12666" spans="1:2" x14ac:dyDescent="0.25">
      <c r="A12666" s="62">
        <v>51131514</v>
      </c>
      <c r="B12666" s="63" t="s">
        <v>13313</v>
      </c>
    </row>
    <row r="12667" spans="1:2" x14ac:dyDescent="0.25">
      <c r="A12667" s="62">
        <v>51131515</v>
      </c>
      <c r="B12667" s="63" t="s">
        <v>13314</v>
      </c>
    </row>
    <row r="12668" spans="1:2" x14ac:dyDescent="0.25">
      <c r="A12668" s="62">
        <v>51131516</v>
      </c>
      <c r="B12668" s="63" t="s">
        <v>13315</v>
      </c>
    </row>
    <row r="12669" spans="1:2" x14ac:dyDescent="0.25">
      <c r="A12669" s="62">
        <v>51131601</v>
      </c>
      <c r="B12669" s="63" t="s">
        <v>13316</v>
      </c>
    </row>
    <row r="12670" spans="1:2" x14ac:dyDescent="0.25">
      <c r="A12670" s="62">
        <v>51131602</v>
      </c>
      <c r="B12670" s="63" t="s">
        <v>13317</v>
      </c>
    </row>
    <row r="12671" spans="1:2" x14ac:dyDescent="0.25">
      <c r="A12671" s="62">
        <v>51131603</v>
      </c>
      <c r="B12671" s="63" t="s">
        <v>13318</v>
      </c>
    </row>
    <row r="12672" spans="1:2" x14ac:dyDescent="0.25">
      <c r="A12672" s="62">
        <v>51131604</v>
      </c>
      <c r="B12672" s="63" t="s">
        <v>13319</v>
      </c>
    </row>
    <row r="12673" spans="1:2" x14ac:dyDescent="0.25">
      <c r="A12673" s="62">
        <v>51131605</v>
      </c>
      <c r="B12673" s="63" t="s">
        <v>13320</v>
      </c>
    </row>
    <row r="12674" spans="1:2" x14ac:dyDescent="0.25">
      <c r="A12674" s="62">
        <v>51131606</v>
      </c>
      <c r="B12674" s="63" t="s">
        <v>13321</v>
      </c>
    </row>
    <row r="12675" spans="1:2" x14ac:dyDescent="0.25">
      <c r="A12675" s="62">
        <v>51131607</v>
      </c>
      <c r="B12675" s="63" t="s">
        <v>13322</v>
      </c>
    </row>
    <row r="12676" spans="1:2" x14ac:dyDescent="0.25">
      <c r="A12676" s="62">
        <v>51131608</v>
      </c>
      <c r="B12676" s="63" t="s">
        <v>13323</v>
      </c>
    </row>
    <row r="12677" spans="1:2" x14ac:dyDescent="0.25">
      <c r="A12677" s="62">
        <v>51131609</v>
      </c>
      <c r="B12677" s="63" t="s">
        <v>13324</v>
      </c>
    </row>
    <row r="12678" spans="1:2" x14ac:dyDescent="0.25">
      <c r="A12678" s="62">
        <v>51131610</v>
      </c>
      <c r="B12678" s="63" t="s">
        <v>13325</v>
      </c>
    </row>
    <row r="12679" spans="1:2" x14ac:dyDescent="0.25">
      <c r="A12679" s="62">
        <v>51131611</v>
      </c>
      <c r="B12679" s="63" t="s">
        <v>13326</v>
      </c>
    </row>
    <row r="12680" spans="1:2" x14ac:dyDescent="0.25">
      <c r="A12680" s="62">
        <v>51131612</v>
      </c>
      <c r="B12680" s="63" t="s">
        <v>13327</v>
      </c>
    </row>
    <row r="12681" spans="1:2" x14ac:dyDescent="0.25">
      <c r="A12681" s="62">
        <v>51131613</v>
      </c>
      <c r="B12681" s="63" t="s">
        <v>13328</v>
      </c>
    </row>
    <row r="12682" spans="1:2" x14ac:dyDescent="0.25">
      <c r="A12682" s="62">
        <v>51131614</v>
      </c>
      <c r="B12682" s="63" t="s">
        <v>13329</v>
      </c>
    </row>
    <row r="12683" spans="1:2" x14ac:dyDescent="0.25">
      <c r="A12683" s="62">
        <v>51131615</v>
      </c>
      <c r="B12683" s="63" t="s">
        <v>13330</v>
      </c>
    </row>
    <row r="12684" spans="1:2" x14ac:dyDescent="0.25">
      <c r="A12684" s="62">
        <v>51131616</v>
      </c>
      <c r="B12684" s="63" t="s">
        <v>13331</v>
      </c>
    </row>
    <row r="12685" spans="1:2" x14ac:dyDescent="0.25">
      <c r="A12685" s="62">
        <v>51131617</v>
      </c>
      <c r="B12685" s="63" t="s">
        <v>13332</v>
      </c>
    </row>
    <row r="12686" spans="1:2" x14ac:dyDescent="0.25">
      <c r="A12686" s="62">
        <v>51131701</v>
      </c>
      <c r="B12686" s="63" t="s">
        <v>13333</v>
      </c>
    </row>
    <row r="12687" spans="1:2" x14ac:dyDescent="0.25">
      <c r="A12687" s="62">
        <v>51131702</v>
      </c>
      <c r="B12687" s="63" t="s">
        <v>13334</v>
      </c>
    </row>
    <row r="12688" spans="1:2" x14ac:dyDescent="0.25">
      <c r="A12688" s="62">
        <v>51131703</v>
      </c>
      <c r="B12688" s="63" t="s">
        <v>13335</v>
      </c>
    </row>
    <row r="12689" spans="1:2" x14ac:dyDescent="0.25">
      <c r="A12689" s="62">
        <v>51131704</v>
      </c>
      <c r="B12689" s="63" t="s">
        <v>13336</v>
      </c>
    </row>
    <row r="12690" spans="1:2" x14ac:dyDescent="0.25">
      <c r="A12690" s="62">
        <v>51131705</v>
      </c>
      <c r="B12690" s="63" t="s">
        <v>13337</v>
      </c>
    </row>
    <row r="12691" spans="1:2" x14ac:dyDescent="0.25">
      <c r="A12691" s="62">
        <v>51131706</v>
      </c>
      <c r="B12691" s="63" t="s">
        <v>13338</v>
      </c>
    </row>
    <row r="12692" spans="1:2" x14ac:dyDescent="0.25">
      <c r="A12692" s="62">
        <v>51131707</v>
      </c>
      <c r="B12692" s="63" t="s">
        <v>13339</v>
      </c>
    </row>
    <row r="12693" spans="1:2" x14ac:dyDescent="0.25">
      <c r="A12693" s="62">
        <v>51131708</v>
      </c>
      <c r="B12693" s="63" t="s">
        <v>13340</v>
      </c>
    </row>
    <row r="12694" spans="1:2" x14ac:dyDescent="0.25">
      <c r="A12694" s="62">
        <v>51131709</v>
      </c>
      <c r="B12694" s="63" t="s">
        <v>13341</v>
      </c>
    </row>
    <row r="12695" spans="1:2" x14ac:dyDescent="0.25">
      <c r="A12695" s="62">
        <v>51131710</v>
      </c>
      <c r="B12695" s="63" t="s">
        <v>13342</v>
      </c>
    </row>
    <row r="12696" spans="1:2" x14ac:dyDescent="0.25">
      <c r="A12696" s="62">
        <v>51131711</v>
      </c>
      <c r="B12696" s="63" t="s">
        <v>13343</v>
      </c>
    </row>
    <row r="12697" spans="1:2" x14ac:dyDescent="0.25">
      <c r="A12697" s="62">
        <v>51131712</v>
      </c>
      <c r="B12697" s="63" t="s">
        <v>13344</v>
      </c>
    </row>
    <row r="12698" spans="1:2" x14ac:dyDescent="0.25">
      <c r="A12698" s="62">
        <v>51131713</v>
      </c>
      <c r="B12698" s="63" t="s">
        <v>13345</v>
      </c>
    </row>
    <row r="12699" spans="1:2" x14ac:dyDescent="0.25">
      <c r="A12699" s="62">
        <v>51131714</v>
      </c>
      <c r="B12699" s="63" t="s">
        <v>13346</v>
      </c>
    </row>
    <row r="12700" spans="1:2" x14ac:dyDescent="0.25">
      <c r="A12700" s="62">
        <v>51131715</v>
      </c>
      <c r="B12700" s="63" t="s">
        <v>13347</v>
      </c>
    </row>
    <row r="12701" spans="1:2" x14ac:dyDescent="0.25">
      <c r="A12701" s="62">
        <v>51131716</v>
      </c>
      <c r="B12701" s="63" t="s">
        <v>13348</v>
      </c>
    </row>
    <row r="12702" spans="1:2" x14ac:dyDescent="0.25">
      <c r="A12702" s="62">
        <v>51131801</v>
      </c>
      <c r="B12702" s="63" t="s">
        <v>13349</v>
      </c>
    </row>
    <row r="12703" spans="1:2" x14ac:dyDescent="0.25">
      <c r="A12703" s="62">
        <v>51131802</v>
      </c>
      <c r="B12703" s="63" t="s">
        <v>13350</v>
      </c>
    </row>
    <row r="12704" spans="1:2" x14ac:dyDescent="0.25">
      <c r="A12704" s="62">
        <v>51131803</v>
      </c>
      <c r="B12704" s="63" t="s">
        <v>13351</v>
      </c>
    </row>
    <row r="12705" spans="1:2" x14ac:dyDescent="0.25">
      <c r="A12705" s="62">
        <v>51131804</v>
      </c>
      <c r="B12705" s="63" t="s">
        <v>13352</v>
      </c>
    </row>
    <row r="12706" spans="1:2" x14ac:dyDescent="0.25">
      <c r="A12706" s="62">
        <v>51131805</v>
      </c>
      <c r="B12706" s="63" t="s">
        <v>13353</v>
      </c>
    </row>
    <row r="12707" spans="1:2" x14ac:dyDescent="0.25">
      <c r="A12707" s="62">
        <v>51131806</v>
      </c>
      <c r="B12707" s="63" t="s">
        <v>13354</v>
      </c>
    </row>
    <row r="12708" spans="1:2" x14ac:dyDescent="0.25">
      <c r="A12708" s="62">
        <v>51131807</v>
      </c>
      <c r="B12708" s="63" t="s">
        <v>13355</v>
      </c>
    </row>
    <row r="12709" spans="1:2" x14ac:dyDescent="0.25">
      <c r="A12709" s="62">
        <v>51131808</v>
      </c>
      <c r="B12709" s="63" t="s">
        <v>13356</v>
      </c>
    </row>
    <row r="12710" spans="1:2" x14ac:dyDescent="0.25">
      <c r="A12710" s="62">
        <v>51131809</v>
      </c>
      <c r="B12710" s="63" t="s">
        <v>13357</v>
      </c>
    </row>
    <row r="12711" spans="1:2" x14ac:dyDescent="0.25">
      <c r="A12711" s="62">
        <v>51131901</v>
      </c>
      <c r="B12711" s="63" t="s">
        <v>13358</v>
      </c>
    </row>
    <row r="12712" spans="1:2" x14ac:dyDescent="0.25">
      <c r="A12712" s="62">
        <v>51131903</v>
      </c>
      <c r="B12712" s="63" t="s">
        <v>13359</v>
      </c>
    </row>
    <row r="12713" spans="1:2" x14ac:dyDescent="0.25">
      <c r="A12713" s="62">
        <v>51131904</v>
      </c>
      <c r="B12713" s="63" t="s">
        <v>13360</v>
      </c>
    </row>
    <row r="12714" spans="1:2" x14ac:dyDescent="0.25">
      <c r="A12714" s="62">
        <v>51131905</v>
      </c>
      <c r="B12714" s="63" t="s">
        <v>13361</v>
      </c>
    </row>
    <row r="12715" spans="1:2" x14ac:dyDescent="0.25">
      <c r="A12715" s="62">
        <v>51131906</v>
      </c>
      <c r="B12715" s="63" t="s">
        <v>13362</v>
      </c>
    </row>
    <row r="12716" spans="1:2" x14ac:dyDescent="0.25">
      <c r="A12716" s="62">
        <v>51131907</v>
      </c>
      <c r="B12716" s="63" t="s">
        <v>13363</v>
      </c>
    </row>
    <row r="12717" spans="1:2" x14ac:dyDescent="0.25">
      <c r="A12717" s="62">
        <v>51131908</v>
      </c>
      <c r="B12717" s="63" t="s">
        <v>13364</v>
      </c>
    </row>
    <row r="12718" spans="1:2" x14ac:dyDescent="0.25">
      <c r="A12718" s="62">
        <v>51131909</v>
      </c>
      <c r="B12718" s="63" t="s">
        <v>13365</v>
      </c>
    </row>
    <row r="12719" spans="1:2" x14ac:dyDescent="0.25">
      <c r="A12719" s="62">
        <v>51131910</v>
      </c>
      <c r="B12719" s="63" t="s">
        <v>13366</v>
      </c>
    </row>
    <row r="12720" spans="1:2" x14ac:dyDescent="0.25">
      <c r="A12720" s="62">
        <v>51132001</v>
      </c>
      <c r="B12720" s="63" t="s">
        <v>13367</v>
      </c>
    </row>
    <row r="12721" spans="1:2" x14ac:dyDescent="0.25">
      <c r="A12721" s="62">
        <v>51141501</v>
      </c>
      <c r="B12721" s="63" t="s">
        <v>13368</v>
      </c>
    </row>
    <row r="12722" spans="1:2" x14ac:dyDescent="0.25">
      <c r="A12722" s="62">
        <v>51141502</v>
      </c>
      <c r="B12722" s="63" t="s">
        <v>13369</v>
      </c>
    </row>
    <row r="12723" spans="1:2" x14ac:dyDescent="0.25">
      <c r="A12723" s="62">
        <v>51141503</v>
      </c>
      <c r="B12723" s="63" t="s">
        <v>13370</v>
      </c>
    </row>
    <row r="12724" spans="1:2" x14ac:dyDescent="0.25">
      <c r="A12724" s="62">
        <v>51141504</v>
      </c>
      <c r="B12724" s="63" t="s">
        <v>13371</v>
      </c>
    </row>
    <row r="12725" spans="1:2" x14ac:dyDescent="0.25">
      <c r="A12725" s="62">
        <v>51141505</v>
      </c>
      <c r="B12725" s="63" t="s">
        <v>13372</v>
      </c>
    </row>
    <row r="12726" spans="1:2" x14ac:dyDescent="0.25">
      <c r="A12726" s="62">
        <v>51141506</v>
      </c>
      <c r="B12726" s="63" t="s">
        <v>13373</v>
      </c>
    </row>
    <row r="12727" spans="1:2" x14ac:dyDescent="0.25">
      <c r="A12727" s="62">
        <v>51141507</v>
      </c>
      <c r="B12727" s="63" t="s">
        <v>13374</v>
      </c>
    </row>
    <row r="12728" spans="1:2" x14ac:dyDescent="0.25">
      <c r="A12728" s="62">
        <v>51141508</v>
      </c>
      <c r="B12728" s="63" t="s">
        <v>13375</v>
      </c>
    </row>
    <row r="12729" spans="1:2" x14ac:dyDescent="0.25">
      <c r="A12729" s="62">
        <v>51141509</v>
      </c>
      <c r="B12729" s="63" t="s">
        <v>13376</v>
      </c>
    </row>
    <row r="12730" spans="1:2" x14ac:dyDescent="0.25">
      <c r="A12730" s="62">
        <v>51141510</v>
      </c>
      <c r="B12730" s="63" t="s">
        <v>13377</v>
      </c>
    </row>
    <row r="12731" spans="1:2" x14ac:dyDescent="0.25">
      <c r="A12731" s="62">
        <v>51141511</v>
      </c>
      <c r="B12731" s="63" t="s">
        <v>13378</v>
      </c>
    </row>
    <row r="12732" spans="1:2" x14ac:dyDescent="0.25">
      <c r="A12732" s="62">
        <v>51141512</v>
      </c>
      <c r="B12732" s="63" t="s">
        <v>13379</v>
      </c>
    </row>
    <row r="12733" spans="1:2" x14ac:dyDescent="0.25">
      <c r="A12733" s="62">
        <v>51141513</v>
      </c>
      <c r="B12733" s="63" t="s">
        <v>13380</v>
      </c>
    </row>
    <row r="12734" spans="1:2" x14ac:dyDescent="0.25">
      <c r="A12734" s="62">
        <v>51141514</v>
      </c>
      <c r="B12734" s="63" t="s">
        <v>13381</v>
      </c>
    </row>
    <row r="12735" spans="1:2" x14ac:dyDescent="0.25">
      <c r="A12735" s="62">
        <v>51141515</v>
      </c>
      <c r="B12735" s="63" t="s">
        <v>13382</v>
      </c>
    </row>
    <row r="12736" spans="1:2" x14ac:dyDescent="0.25">
      <c r="A12736" s="62">
        <v>51141516</v>
      </c>
      <c r="B12736" s="63" t="s">
        <v>13383</v>
      </c>
    </row>
    <row r="12737" spans="1:2" x14ac:dyDescent="0.25">
      <c r="A12737" s="62">
        <v>51141517</v>
      </c>
      <c r="B12737" s="63" t="s">
        <v>13384</v>
      </c>
    </row>
    <row r="12738" spans="1:2" x14ac:dyDescent="0.25">
      <c r="A12738" s="62">
        <v>51141518</v>
      </c>
      <c r="B12738" s="63" t="s">
        <v>13385</v>
      </c>
    </row>
    <row r="12739" spans="1:2" x14ac:dyDescent="0.25">
      <c r="A12739" s="62">
        <v>51141519</v>
      </c>
      <c r="B12739" s="63" t="s">
        <v>13386</v>
      </c>
    </row>
    <row r="12740" spans="1:2" x14ac:dyDescent="0.25">
      <c r="A12740" s="62">
        <v>51141520</v>
      </c>
      <c r="B12740" s="63" t="s">
        <v>13387</v>
      </c>
    </row>
    <row r="12741" spans="1:2" x14ac:dyDescent="0.25">
      <c r="A12741" s="62">
        <v>51141521</v>
      </c>
      <c r="B12741" s="63" t="s">
        <v>13388</v>
      </c>
    </row>
    <row r="12742" spans="1:2" x14ac:dyDescent="0.25">
      <c r="A12742" s="62">
        <v>51141522</v>
      </c>
      <c r="B12742" s="63" t="s">
        <v>13389</v>
      </c>
    </row>
    <row r="12743" spans="1:2" x14ac:dyDescent="0.25">
      <c r="A12743" s="62">
        <v>51141523</v>
      </c>
      <c r="B12743" s="63" t="s">
        <v>13390</v>
      </c>
    </row>
    <row r="12744" spans="1:2" x14ac:dyDescent="0.25">
      <c r="A12744" s="62">
        <v>51141524</v>
      </c>
      <c r="B12744" s="63" t="s">
        <v>13391</v>
      </c>
    </row>
    <row r="12745" spans="1:2" x14ac:dyDescent="0.25">
      <c r="A12745" s="62">
        <v>51141525</v>
      </c>
      <c r="B12745" s="63" t="s">
        <v>13392</v>
      </c>
    </row>
    <row r="12746" spans="1:2" x14ac:dyDescent="0.25">
      <c r="A12746" s="62">
        <v>51141526</v>
      </c>
      <c r="B12746" s="63" t="s">
        <v>13393</v>
      </c>
    </row>
    <row r="12747" spans="1:2" x14ac:dyDescent="0.25">
      <c r="A12747" s="62">
        <v>51141527</v>
      </c>
      <c r="B12747" s="63" t="s">
        <v>13394</v>
      </c>
    </row>
    <row r="12748" spans="1:2" x14ac:dyDescent="0.25">
      <c r="A12748" s="62">
        <v>51141528</v>
      </c>
      <c r="B12748" s="63" t="s">
        <v>13395</v>
      </c>
    </row>
    <row r="12749" spans="1:2" x14ac:dyDescent="0.25">
      <c r="A12749" s="62">
        <v>51141529</v>
      </c>
      <c r="B12749" s="63" t="s">
        <v>13396</v>
      </c>
    </row>
    <row r="12750" spans="1:2" x14ac:dyDescent="0.25">
      <c r="A12750" s="62">
        <v>51141530</v>
      </c>
      <c r="B12750" s="63" t="s">
        <v>13397</v>
      </c>
    </row>
    <row r="12751" spans="1:2" x14ac:dyDescent="0.25">
      <c r="A12751" s="62">
        <v>51141531</v>
      </c>
      <c r="B12751" s="63" t="s">
        <v>13398</v>
      </c>
    </row>
    <row r="12752" spans="1:2" x14ac:dyDescent="0.25">
      <c r="A12752" s="62">
        <v>51141532</v>
      </c>
      <c r="B12752" s="63" t="s">
        <v>13399</v>
      </c>
    </row>
    <row r="12753" spans="1:2" x14ac:dyDescent="0.25">
      <c r="A12753" s="62">
        <v>51141533</v>
      </c>
      <c r="B12753" s="63" t="s">
        <v>13400</v>
      </c>
    </row>
    <row r="12754" spans="1:2" x14ac:dyDescent="0.25">
      <c r="A12754" s="62">
        <v>51141601</v>
      </c>
      <c r="B12754" s="63" t="s">
        <v>13401</v>
      </c>
    </row>
    <row r="12755" spans="1:2" x14ac:dyDescent="0.25">
      <c r="A12755" s="62">
        <v>51141602</v>
      </c>
      <c r="B12755" s="63" t="s">
        <v>13402</v>
      </c>
    </row>
    <row r="12756" spans="1:2" x14ac:dyDescent="0.25">
      <c r="A12756" s="62">
        <v>51141603</v>
      </c>
      <c r="B12756" s="63" t="s">
        <v>13403</v>
      </c>
    </row>
    <row r="12757" spans="1:2" x14ac:dyDescent="0.25">
      <c r="A12757" s="62">
        <v>51141604</v>
      </c>
      <c r="B12757" s="63" t="s">
        <v>13404</v>
      </c>
    </row>
    <row r="12758" spans="1:2" x14ac:dyDescent="0.25">
      <c r="A12758" s="62">
        <v>51141605</v>
      </c>
      <c r="B12758" s="63" t="s">
        <v>13405</v>
      </c>
    </row>
    <row r="12759" spans="1:2" x14ac:dyDescent="0.25">
      <c r="A12759" s="62">
        <v>51141606</v>
      </c>
      <c r="B12759" s="63" t="s">
        <v>13406</v>
      </c>
    </row>
    <row r="12760" spans="1:2" x14ac:dyDescent="0.25">
      <c r="A12760" s="62">
        <v>51141607</v>
      </c>
      <c r="B12760" s="63" t="s">
        <v>13407</v>
      </c>
    </row>
    <row r="12761" spans="1:2" x14ac:dyDescent="0.25">
      <c r="A12761" s="62">
        <v>51141608</v>
      </c>
      <c r="B12761" s="63" t="s">
        <v>13408</v>
      </c>
    </row>
    <row r="12762" spans="1:2" x14ac:dyDescent="0.25">
      <c r="A12762" s="62">
        <v>51141609</v>
      </c>
      <c r="B12762" s="63" t="s">
        <v>13409</v>
      </c>
    </row>
    <row r="12763" spans="1:2" x14ac:dyDescent="0.25">
      <c r="A12763" s="62">
        <v>51141610</v>
      </c>
      <c r="B12763" s="63" t="s">
        <v>13410</v>
      </c>
    </row>
    <row r="12764" spans="1:2" x14ac:dyDescent="0.25">
      <c r="A12764" s="62">
        <v>51141611</v>
      </c>
      <c r="B12764" s="63" t="s">
        <v>13411</v>
      </c>
    </row>
    <row r="12765" spans="1:2" x14ac:dyDescent="0.25">
      <c r="A12765" s="62">
        <v>51141612</v>
      </c>
      <c r="B12765" s="63" t="s">
        <v>13412</v>
      </c>
    </row>
    <row r="12766" spans="1:2" x14ac:dyDescent="0.25">
      <c r="A12766" s="62">
        <v>51141613</v>
      </c>
      <c r="B12766" s="63" t="s">
        <v>13413</v>
      </c>
    </row>
    <row r="12767" spans="1:2" x14ac:dyDescent="0.25">
      <c r="A12767" s="62">
        <v>51141614</v>
      </c>
      <c r="B12767" s="63" t="s">
        <v>13414</v>
      </c>
    </row>
    <row r="12768" spans="1:2" x14ac:dyDescent="0.25">
      <c r="A12768" s="62">
        <v>51141615</v>
      </c>
      <c r="B12768" s="63" t="s">
        <v>13415</v>
      </c>
    </row>
    <row r="12769" spans="1:2" x14ac:dyDescent="0.25">
      <c r="A12769" s="62">
        <v>51141616</v>
      </c>
      <c r="B12769" s="63" t="s">
        <v>13416</v>
      </c>
    </row>
    <row r="12770" spans="1:2" x14ac:dyDescent="0.25">
      <c r="A12770" s="62">
        <v>51141617</v>
      </c>
      <c r="B12770" s="63" t="s">
        <v>13417</v>
      </c>
    </row>
    <row r="12771" spans="1:2" x14ac:dyDescent="0.25">
      <c r="A12771" s="62">
        <v>51141618</v>
      </c>
      <c r="B12771" s="63" t="s">
        <v>13418</v>
      </c>
    </row>
    <row r="12772" spans="1:2" x14ac:dyDescent="0.25">
      <c r="A12772" s="62">
        <v>51141619</v>
      </c>
      <c r="B12772" s="63" t="s">
        <v>13419</v>
      </c>
    </row>
    <row r="12773" spans="1:2" x14ac:dyDescent="0.25">
      <c r="A12773" s="62">
        <v>51141620</v>
      </c>
      <c r="B12773" s="63" t="s">
        <v>13420</v>
      </c>
    </row>
    <row r="12774" spans="1:2" x14ac:dyDescent="0.25">
      <c r="A12774" s="62">
        <v>51141621</v>
      </c>
      <c r="B12774" s="63" t="s">
        <v>13421</v>
      </c>
    </row>
    <row r="12775" spans="1:2" x14ac:dyDescent="0.25">
      <c r="A12775" s="62">
        <v>51141622</v>
      </c>
      <c r="B12775" s="63" t="s">
        <v>13422</v>
      </c>
    </row>
    <row r="12776" spans="1:2" x14ac:dyDescent="0.25">
      <c r="A12776" s="62">
        <v>51141623</v>
      </c>
      <c r="B12776" s="63" t="s">
        <v>13423</v>
      </c>
    </row>
    <row r="12777" spans="1:2" x14ac:dyDescent="0.25">
      <c r="A12777" s="62">
        <v>51141624</v>
      </c>
      <c r="B12777" s="63" t="s">
        <v>13424</v>
      </c>
    </row>
    <row r="12778" spans="1:2" x14ac:dyDescent="0.25">
      <c r="A12778" s="62">
        <v>51141625</v>
      </c>
      <c r="B12778" s="63" t="s">
        <v>13425</v>
      </c>
    </row>
    <row r="12779" spans="1:2" x14ac:dyDescent="0.25">
      <c r="A12779" s="62">
        <v>51141626</v>
      </c>
      <c r="B12779" s="63" t="s">
        <v>13426</v>
      </c>
    </row>
    <row r="12780" spans="1:2" x14ac:dyDescent="0.25">
      <c r="A12780" s="62">
        <v>51141627</v>
      </c>
      <c r="B12780" s="63" t="s">
        <v>13427</v>
      </c>
    </row>
    <row r="12781" spans="1:2" x14ac:dyDescent="0.25">
      <c r="A12781" s="62">
        <v>51141628</v>
      </c>
      <c r="B12781" s="63" t="s">
        <v>13428</v>
      </c>
    </row>
    <row r="12782" spans="1:2" x14ac:dyDescent="0.25">
      <c r="A12782" s="62">
        <v>51141629</v>
      </c>
      <c r="B12782" s="63" t="s">
        <v>13429</v>
      </c>
    </row>
    <row r="12783" spans="1:2" x14ac:dyDescent="0.25">
      <c r="A12783" s="62">
        <v>51141630</v>
      </c>
      <c r="B12783" s="63" t="s">
        <v>13430</v>
      </c>
    </row>
    <row r="12784" spans="1:2" x14ac:dyDescent="0.25">
      <c r="A12784" s="62">
        <v>51141631</v>
      </c>
      <c r="B12784" s="63" t="s">
        <v>13431</v>
      </c>
    </row>
    <row r="12785" spans="1:2" x14ac:dyDescent="0.25">
      <c r="A12785" s="62">
        <v>51141632</v>
      </c>
      <c r="B12785" s="63" t="s">
        <v>13432</v>
      </c>
    </row>
    <row r="12786" spans="1:2" x14ac:dyDescent="0.25">
      <c r="A12786" s="62">
        <v>51141633</v>
      </c>
      <c r="B12786" s="63" t="s">
        <v>13433</v>
      </c>
    </row>
    <row r="12787" spans="1:2" x14ac:dyDescent="0.25">
      <c r="A12787" s="62">
        <v>51141701</v>
      </c>
      <c r="B12787" s="63" t="s">
        <v>13434</v>
      </c>
    </row>
    <row r="12788" spans="1:2" x14ac:dyDescent="0.25">
      <c r="A12788" s="62">
        <v>51141702</v>
      </c>
      <c r="B12788" s="63" t="s">
        <v>13435</v>
      </c>
    </row>
    <row r="12789" spans="1:2" x14ac:dyDescent="0.25">
      <c r="A12789" s="62">
        <v>51141703</v>
      </c>
      <c r="B12789" s="63" t="s">
        <v>13436</v>
      </c>
    </row>
    <row r="12790" spans="1:2" x14ac:dyDescent="0.25">
      <c r="A12790" s="62">
        <v>51141704</v>
      </c>
      <c r="B12790" s="63" t="s">
        <v>13437</v>
      </c>
    </row>
    <row r="12791" spans="1:2" x14ac:dyDescent="0.25">
      <c r="A12791" s="62">
        <v>51141705</v>
      </c>
      <c r="B12791" s="63" t="s">
        <v>13438</v>
      </c>
    </row>
    <row r="12792" spans="1:2" x14ac:dyDescent="0.25">
      <c r="A12792" s="62">
        <v>51141706</v>
      </c>
      <c r="B12792" s="63" t="s">
        <v>13439</v>
      </c>
    </row>
    <row r="12793" spans="1:2" x14ac:dyDescent="0.25">
      <c r="A12793" s="62">
        <v>51141707</v>
      </c>
      <c r="B12793" s="63" t="s">
        <v>13440</v>
      </c>
    </row>
    <row r="12794" spans="1:2" x14ac:dyDescent="0.25">
      <c r="A12794" s="62">
        <v>51141708</v>
      </c>
      <c r="B12794" s="63" t="s">
        <v>13441</v>
      </c>
    </row>
    <row r="12795" spans="1:2" x14ac:dyDescent="0.25">
      <c r="A12795" s="62">
        <v>51141709</v>
      </c>
      <c r="B12795" s="63" t="s">
        <v>13442</v>
      </c>
    </row>
    <row r="12796" spans="1:2" x14ac:dyDescent="0.25">
      <c r="A12796" s="62">
        <v>51141710</v>
      </c>
      <c r="B12796" s="63" t="s">
        <v>13443</v>
      </c>
    </row>
    <row r="12797" spans="1:2" x14ac:dyDescent="0.25">
      <c r="A12797" s="62">
        <v>51141711</v>
      </c>
      <c r="B12797" s="63" t="s">
        <v>13444</v>
      </c>
    </row>
    <row r="12798" spans="1:2" x14ac:dyDescent="0.25">
      <c r="A12798" s="62">
        <v>51141712</v>
      </c>
      <c r="B12798" s="63" t="s">
        <v>13445</v>
      </c>
    </row>
    <row r="12799" spans="1:2" x14ac:dyDescent="0.25">
      <c r="A12799" s="62">
        <v>51141713</v>
      </c>
      <c r="B12799" s="63" t="s">
        <v>13446</v>
      </c>
    </row>
    <row r="12800" spans="1:2" x14ac:dyDescent="0.25">
      <c r="A12800" s="62">
        <v>51141714</v>
      </c>
      <c r="B12800" s="63" t="s">
        <v>13447</v>
      </c>
    </row>
    <row r="12801" spans="1:2" x14ac:dyDescent="0.25">
      <c r="A12801" s="62">
        <v>51141715</v>
      </c>
      <c r="B12801" s="63" t="s">
        <v>13448</v>
      </c>
    </row>
    <row r="12802" spans="1:2" x14ac:dyDescent="0.25">
      <c r="A12802" s="62">
        <v>51141716</v>
      </c>
      <c r="B12802" s="63" t="s">
        <v>13449</v>
      </c>
    </row>
    <row r="12803" spans="1:2" x14ac:dyDescent="0.25">
      <c r="A12803" s="62">
        <v>51141717</v>
      </c>
      <c r="B12803" s="63" t="s">
        <v>13450</v>
      </c>
    </row>
    <row r="12804" spans="1:2" x14ac:dyDescent="0.25">
      <c r="A12804" s="62">
        <v>51141718</v>
      </c>
      <c r="B12804" s="63" t="s">
        <v>13451</v>
      </c>
    </row>
    <row r="12805" spans="1:2" x14ac:dyDescent="0.25">
      <c r="A12805" s="62">
        <v>51141719</v>
      </c>
      <c r="B12805" s="63" t="s">
        <v>13452</v>
      </c>
    </row>
    <row r="12806" spans="1:2" x14ac:dyDescent="0.25">
      <c r="A12806" s="62">
        <v>51141720</v>
      </c>
      <c r="B12806" s="63" t="s">
        <v>13453</v>
      </c>
    </row>
    <row r="12807" spans="1:2" x14ac:dyDescent="0.25">
      <c r="A12807" s="62">
        <v>51141721</v>
      </c>
      <c r="B12807" s="63" t="s">
        <v>13454</v>
      </c>
    </row>
    <row r="12808" spans="1:2" x14ac:dyDescent="0.25">
      <c r="A12808" s="62">
        <v>51141722</v>
      </c>
      <c r="B12808" s="63" t="s">
        <v>13455</v>
      </c>
    </row>
    <row r="12809" spans="1:2" x14ac:dyDescent="0.25">
      <c r="A12809" s="62">
        <v>51141723</v>
      </c>
      <c r="B12809" s="63" t="s">
        <v>13456</v>
      </c>
    </row>
    <row r="12810" spans="1:2" x14ac:dyDescent="0.25">
      <c r="A12810" s="62">
        <v>51141724</v>
      </c>
      <c r="B12810" s="63" t="s">
        <v>13457</v>
      </c>
    </row>
    <row r="12811" spans="1:2" x14ac:dyDescent="0.25">
      <c r="A12811" s="62">
        <v>51141725</v>
      </c>
      <c r="B12811" s="63" t="s">
        <v>13458</v>
      </c>
    </row>
    <row r="12812" spans="1:2" x14ac:dyDescent="0.25">
      <c r="A12812" s="62">
        <v>51141726</v>
      </c>
      <c r="B12812" s="63" t="s">
        <v>13459</v>
      </c>
    </row>
    <row r="12813" spans="1:2" x14ac:dyDescent="0.25">
      <c r="A12813" s="62">
        <v>51141727</v>
      </c>
      <c r="B12813" s="63" t="s">
        <v>13460</v>
      </c>
    </row>
    <row r="12814" spans="1:2" x14ac:dyDescent="0.25">
      <c r="A12814" s="62">
        <v>51141728</v>
      </c>
      <c r="B12814" s="63" t="s">
        <v>13461</v>
      </c>
    </row>
    <row r="12815" spans="1:2" x14ac:dyDescent="0.25">
      <c r="A12815" s="62">
        <v>51141729</v>
      </c>
      <c r="B12815" s="63" t="s">
        <v>13462</v>
      </c>
    </row>
    <row r="12816" spans="1:2" x14ac:dyDescent="0.25">
      <c r="A12816" s="62">
        <v>51141801</v>
      </c>
      <c r="B12816" s="63" t="s">
        <v>13463</v>
      </c>
    </row>
    <row r="12817" spans="1:2" x14ac:dyDescent="0.25">
      <c r="A12817" s="62">
        <v>51141802</v>
      </c>
      <c r="B12817" s="63" t="s">
        <v>13464</v>
      </c>
    </row>
    <row r="12818" spans="1:2" x14ac:dyDescent="0.25">
      <c r="A12818" s="62">
        <v>51141803</v>
      </c>
      <c r="B12818" s="63" t="s">
        <v>13465</v>
      </c>
    </row>
    <row r="12819" spans="1:2" x14ac:dyDescent="0.25">
      <c r="A12819" s="62">
        <v>51141804</v>
      </c>
      <c r="B12819" s="63" t="s">
        <v>13466</v>
      </c>
    </row>
    <row r="12820" spans="1:2" x14ac:dyDescent="0.25">
      <c r="A12820" s="62">
        <v>51141805</v>
      </c>
      <c r="B12820" s="63" t="s">
        <v>13467</v>
      </c>
    </row>
    <row r="12821" spans="1:2" x14ac:dyDescent="0.25">
      <c r="A12821" s="62">
        <v>51141806</v>
      </c>
      <c r="B12821" s="63" t="s">
        <v>13468</v>
      </c>
    </row>
    <row r="12822" spans="1:2" x14ac:dyDescent="0.25">
      <c r="A12822" s="62">
        <v>51141807</v>
      </c>
      <c r="B12822" s="63" t="s">
        <v>13469</v>
      </c>
    </row>
    <row r="12823" spans="1:2" x14ac:dyDescent="0.25">
      <c r="A12823" s="62">
        <v>51141808</v>
      </c>
      <c r="B12823" s="63" t="s">
        <v>13470</v>
      </c>
    </row>
    <row r="12824" spans="1:2" x14ac:dyDescent="0.25">
      <c r="A12824" s="62">
        <v>51141809</v>
      </c>
      <c r="B12824" s="63" t="s">
        <v>13471</v>
      </c>
    </row>
    <row r="12825" spans="1:2" x14ac:dyDescent="0.25">
      <c r="A12825" s="62">
        <v>51141810</v>
      </c>
      <c r="B12825" s="63" t="s">
        <v>13472</v>
      </c>
    </row>
    <row r="12826" spans="1:2" x14ac:dyDescent="0.25">
      <c r="A12826" s="62">
        <v>51141811</v>
      </c>
      <c r="B12826" s="63" t="s">
        <v>13473</v>
      </c>
    </row>
    <row r="12827" spans="1:2" x14ac:dyDescent="0.25">
      <c r="A12827" s="62">
        <v>51141812</v>
      </c>
      <c r="B12827" s="63" t="s">
        <v>13474</v>
      </c>
    </row>
    <row r="12828" spans="1:2" x14ac:dyDescent="0.25">
      <c r="A12828" s="62">
        <v>51141813</v>
      </c>
      <c r="B12828" s="63" t="s">
        <v>13475</v>
      </c>
    </row>
    <row r="12829" spans="1:2" x14ac:dyDescent="0.25">
      <c r="A12829" s="62">
        <v>51141814</v>
      </c>
      <c r="B12829" s="63" t="s">
        <v>13476</v>
      </c>
    </row>
    <row r="12830" spans="1:2" x14ac:dyDescent="0.25">
      <c r="A12830" s="62">
        <v>51141815</v>
      </c>
      <c r="B12830" s="63" t="s">
        <v>13477</v>
      </c>
    </row>
    <row r="12831" spans="1:2" x14ac:dyDescent="0.25">
      <c r="A12831" s="62">
        <v>51141816</v>
      </c>
      <c r="B12831" s="63" t="s">
        <v>13478</v>
      </c>
    </row>
    <row r="12832" spans="1:2" x14ac:dyDescent="0.25">
      <c r="A12832" s="62">
        <v>51141817</v>
      </c>
      <c r="B12832" s="63" t="s">
        <v>13479</v>
      </c>
    </row>
    <row r="12833" spans="1:2" x14ac:dyDescent="0.25">
      <c r="A12833" s="62">
        <v>51141818</v>
      </c>
      <c r="B12833" s="63" t="s">
        <v>13480</v>
      </c>
    </row>
    <row r="12834" spans="1:2" x14ac:dyDescent="0.25">
      <c r="A12834" s="62">
        <v>51141819</v>
      </c>
      <c r="B12834" s="63" t="s">
        <v>13481</v>
      </c>
    </row>
    <row r="12835" spans="1:2" x14ac:dyDescent="0.25">
      <c r="A12835" s="62">
        <v>51141820</v>
      </c>
      <c r="B12835" s="63" t="s">
        <v>13482</v>
      </c>
    </row>
    <row r="12836" spans="1:2" x14ac:dyDescent="0.25">
      <c r="A12836" s="62">
        <v>51141821</v>
      </c>
      <c r="B12836" s="63" t="s">
        <v>13483</v>
      </c>
    </row>
    <row r="12837" spans="1:2" x14ac:dyDescent="0.25">
      <c r="A12837" s="62">
        <v>51141822</v>
      </c>
      <c r="B12837" s="63" t="s">
        <v>13484</v>
      </c>
    </row>
    <row r="12838" spans="1:2" x14ac:dyDescent="0.25">
      <c r="A12838" s="62">
        <v>51141903</v>
      </c>
      <c r="B12838" s="63" t="s">
        <v>13485</v>
      </c>
    </row>
    <row r="12839" spans="1:2" x14ac:dyDescent="0.25">
      <c r="A12839" s="62">
        <v>51141904</v>
      </c>
      <c r="B12839" s="63" t="s">
        <v>13486</v>
      </c>
    </row>
    <row r="12840" spans="1:2" x14ac:dyDescent="0.25">
      <c r="A12840" s="62">
        <v>51141907</v>
      </c>
      <c r="B12840" s="63" t="s">
        <v>13487</v>
      </c>
    </row>
    <row r="12841" spans="1:2" x14ac:dyDescent="0.25">
      <c r="A12841" s="62">
        <v>51141908</v>
      </c>
      <c r="B12841" s="63" t="s">
        <v>13488</v>
      </c>
    </row>
    <row r="12842" spans="1:2" x14ac:dyDescent="0.25">
      <c r="A12842" s="62">
        <v>51141910</v>
      </c>
      <c r="B12842" s="63" t="s">
        <v>13489</v>
      </c>
    </row>
    <row r="12843" spans="1:2" x14ac:dyDescent="0.25">
      <c r="A12843" s="62">
        <v>51141911</v>
      </c>
      <c r="B12843" s="63" t="s">
        <v>13490</v>
      </c>
    </row>
    <row r="12844" spans="1:2" x14ac:dyDescent="0.25">
      <c r="A12844" s="62">
        <v>51141912</v>
      </c>
      <c r="B12844" s="63" t="s">
        <v>13491</v>
      </c>
    </row>
    <row r="12845" spans="1:2" x14ac:dyDescent="0.25">
      <c r="A12845" s="62">
        <v>51141913</v>
      </c>
      <c r="B12845" s="63" t="s">
        <v>13492</v>
      </c>
    </row>
    <row r="12846" spans="1:2" x14ac:dyDescent="0.25">
      <c r="A12846" s="62">
        <v>51141914</v>
      </c>
      <c r="B12846" s="63" t="s">
        <v>13493</v>
      </c>
    </row>
    <row r="12847" spans="1:2" x14ac:dyDescent="0.25">
      <c r="A12847" s="62">
        <v>51141915</v>
      </c>
      <c r="B12847" s="63" t="s">
        <v>13494</v>
      </c>
    </row>
    <row r="12848" spans="1:2" x14ac:dyDescent="0.25">
      <c r="A12848" s="62">
        <v>51141916</v>
      </c>
      <c r="B12848" s="63" t="s">
        <v>13495</v>
      </c>
    </row>
    <row r="12849" spans="1:2" x14ac:dyDescent="0.25">
      <c r="A12849" s="62">
        <v>51141917</v>
      </c>
      <c r="B12849" s="63" t="s">
        <v>13496</v>
      </c>
    </row>
    <row r="12850" spans="1:2" x14ac:dyDescent="0.25">
      <c r="A12850" s="62">
        <v>51141918</v>
      </c>
      <c r="B12850" s="63" t="s">
        <v>13497</v>
      </c>
    </row>
    <row r="12851" spans="1:2" x14ac:dyDescent="0.25">
      <c r="A12851" s="62">
        <v>51141919</v>
      </c>
      <c r="B12851" s="63" t="s">
        <v>13498</v>
      </c>
    </row>
    <row r="12852" spans="1:2" x14ac:dyDescent="0.25">
      <c r="A12852" s="62">
        <v>51141920</v>
      </c>
      <c r="B12852" s="63" t="s">
        <v>13499</v>
      </c>
    </row>
    <row r="12853" spans="1:2" x14ac:dyDescent="0.25">
      <c r="A12853" s="62">
        <v>51141921</v>
      </c>
      <c r="B12853" s="63" t="s">
        <v>13500</v>
      </c>
    </row>
    <row r="12854" spans="1:2" x14ac:dyDescent="0.25">
      <c r="A12854" s="62">
        <v>51141922</v>
      </c>
      <c r="B12854" s="63" t="s">
        <v>13501</v>
      </c>
    </row>
    <row r="12855" spans="1:2" x14ac:dyDescent="0.25">
      <c r="A12855" s="62">
        <v>51142001</v>
      </c>
      <c r="B12855" s="63" t="s">
        <v>13502</v>
      </c>
    </row>
    <row r="12856" spans="1:2" x14ac:dyDescent="0.25">
      <c r="A12856" s="62">
        <v>51142002</v>
      </c>
      <c r="B12856" s="63" t="s">
        <v>13503</v>
      </c>
    </row>
    <row r="12857" spans="1:2" x14ac:dyDescent="0.25">
      <c r="A12857" s="62">
        <v>51142003</v>
      </c>
      <c r="B12857" s="63" t="s">
        <v>13504</v>
      </c>
    </row>
    <row r="12858" spans="1:2" x14ac:dyDescent="0.25">
      <c r="A12858" s="62">
        <v>51142004</v>
      </c>
      <c r="B12858" s="63" t="s">
        <v>13505</v>
      </c>
    </row>
    <row r="12859" spans="1:2" x14ac:dyDescent="0.25">
      <c r="A12859" s="62">
        <v>51142005</v>
      </c>
      <c r="B12859" s="63" t="s">
        <v>13506</v>
      </c>
    </row>
    <row r="12860" spans="1:2" x14ac:dyDescent="0.25">
      <c r="A12860" s="62">
        <v>51142006</v>
      </c>
      <c r="B12860" s="63" t="s">
        <v>13507</v>
      </c>
    </row>
    <row r="12861" spans="1:2" x14ac:dyDescent="0.25">
      <c r="A12861" s="62">
        <v>51142009</v>
      </c>
      <c r="B12861" s="63" t="s">
        <v>13508</v>
      </c>
    </row>
    <row r="12862" spans="1:2" x14ac:dyDescent="0.25">
      <c r="A12862" s="62">
        <v>51142010</v>
      </c>
      <c r="B12862" s="63" t="s">
        <v>13509</v>
      </c>
    </row>
    <row r="12863" spans="1:2" x14ac:dyDescent="0.25">
      <c r="A12863" s="62">
        <v>51142011</v>
      </c>
      <c r="B12863" s="63" t="s">
        <v>13510</v>
      </c>
    </row>
    <row r="12864" spans="1:2" x14ac:dyDescent="0.25">
      <c r="A12864" s="62">
        <v>51142012</v>
      </c>
      <c r="B12864" s="63" t="s">
        <v>13511</v>
      </c>
    </row>
    <row r="12865" spans="1:2" x14ac:dyDescent="0.25">
      <c r="A12865" s="62">
        <v>51142013</v>
      </c>
      <c r="B12865" s="63" t="s">
        <v>13512</v>
      </c>
    </row>
    <row r="12866" spans="1:2" x14ac:dyDescent="0.25">
      <c r="A12866" s="62">
        <v>51142014</v>
      </c>
      <c r="B12866" s="63" t="s">
        <v>13513</v>
      </c>
    </row>
    <row r="12867" spans="1:2" x14ac:dyDescent="0.25">
      <c r="A12867" s="62">
        <v>51142015</v>
      </c>
      <c r="B12867" s="63" t="s">
        <v>13514</v>
      </c>
    </row>
    <row r="12868" spans="1:2" x14ac:dyDescent="0.25">
      <c r="A12868" s="62">
        <v>51142016</v>
      </c>
      <c r="B12868" s="63" t="s">
        <v>13515</v>
      </c>
    </row>
    <row r="12869" spans="1:2" x14ac:dyDescent="0.25">
      <c r="A12869" s="62">
        <v>51142017</v>
      </c>
      <c r="B12869" s="63" t="s">
        <v>13516</v>
      </c>
    </row>
    <row r="12870" spans="1:2" x14ac:dyDescent="0.25">
      <c r="A12870" s="62">
        <v>51142018</v>
      </c>
      <c r="B12870" s="63" t="s">
        <v>13517</v>
      </c>
    </row>
    <row r="12871" spans="1:2" x14ac:dyDescent="0.25">
      <c r="A12871" s="62">
        <v>51142101</v>
      </c>
      <c r="B12871" s="63" t="s">
        <v>13518</v>
      </c>
    </row>
    <row r="12872" spans="1:2" x14ac:dyDescent="0.25">
      <c r="A12872" s="62">
        <v>51142102</v>
      </c>
      <c r="B12872" s="63" t="s">
        <v>13519</v>
      </c>
    </row>
    <row r="12873" spans="1:2" x14ac:dyDescent="0.25">
      <c r="A12873" s="62">
        <v>51142103</v>
      </c>
      <c r="B12873" s="63" t="s">
        <v>13520</v>
      </c>
    </row>
    <row r="12874" spans="1:2" x14ac:dyDescent="0.25">
      <c r="A12874" s="62">
        <v>51142104</v>
      </c>
      <c r="B12874" s="63" t="s">
        <v>13521</v>
      </c>
    </row>
    <row r="12875" spans="1:2" x14ac:dyDescent="0.25">
      <c r="A12875" s="62">
        <v>51142105</v>
      </c>
      <c r="B12875" s="63" t="s">
        <v>13522</v>
      </c>
    </row>
    <row r="12876" spans="1:2" x14ac:dyDescent="0.25">
      <c r="A12876" s="62">
        <v>51142106</v>
      </c>
      <c r="B12876" s="63" t="s">
        <v>13523</v>
      </c>
    </row>
    <row r="12877" spans="1:2" x14ac:dyDescent="0.25">
      <c r="A12877" s="62">
        <v>51142107</v>
      </c>
      <c r="B12877" s="63" t="s">
        <v>13524</v>
      </c>
    </row>
    <row r="12878" spans="1:2" x14ac:dyDescent="0.25">
      <c r="A12878" s="62">
        <v>51142108</v>
      </c>
      <c r="B12878" s="63" t="s">
        <v>13525</v>
      </c>
    </row>
    <row r="12879" spans="1:2" x14ac:dyDescent="0.25">
      <c r="A12879" s="62">
        <v>51142109</v>
      </c>
      <c r="B12879" s="63" t="s">
        <v>13526</v>
      </c>
    </row>
    <row r="12880" spans="1:2" x14ac:dyDescent="0.25">
      <c r="A12880" s="62">
        <v>51142110</v>
      </c>
      <c r="B12880" s="63" t="s">
        <v>13527</v>
      </c>
    </row>
    <row r="12881" spans="1:2" x14ac:dyDescent="0.25">
      <c r="A12881" s="62">
        <v>51142111</v>
      </c>
      <c r="B12881" s="63" t="s">
        <v>13528</v>
      </c>
    </row>
    <row r="12882" spans="1:2" x14ac:dyDescent="0.25">
      <c r="A12882" s="62">
        <v>51142112</v>
      </c>
      <c r="B12882" s="63" t="s">
        <v>13529</v>
      </c>
    </row>
    <row r="12883" spans="1:2" x14ac:dyDescent="0.25">
      <c r="A12883" s="62">
        <v>51142113</v>
      </c>
      <c r="B12883" s="63" t="s">
        <v>13530</v>
      </c>
    </row>
    <row r="12884" spans="1:2" x14ac:dyDescent="0.25">
      <c r="A12884" s="62">
        <v>51142114</v>
      </c>
      <c r="B12884" s="63" t="s">
        <v>13531</v>
      </c>
    </row>
    <row r="12885" spans="1:2" x14ac:dyDescent="0.25">
      <c r="A12885" s="62">
        <v>51142116</v>
      </c>
      <c r="B12885" s="63" t="s">
        <v>13532</v>
      </c>
    </row>
    <row r="12886" spans="1:2" x14ac:dyDescent="0.25">
      <c r="A12886" s="62">
        <v>51142117</v>
      </c>
      <c r="B12886" s="63" t="s">
        <v>13533</v>
      </c>
    </row>
    <row r="12887" spans="1:2" x14ac:dyDescent="0.25">
      <c r="A12887" s="62">
        <v>51142118</v>
      </c>
      <c r="B12887" s="63" t="s">
        <v>13534</v>
      </c>
    </row>
    <row r="12888" spans="1:2" x14ac:dyDescent="0.25">
      <c r="A12888" s="62">
        <v>51142119</v>
      </c>
      <c r="B12888" s="63" t="s">
        <v>13535</v>
      </c>
    </row>
    <row r="12889" spans="1:2" x14ac:dyDescent="0.25">
      <c r="A12889" s="62">
        <v>51142120</v>
      </c>
      <c r="B12889" s="63" t="s">
        <v>13536</v>
      </c>
    </row>
    <row r="12890" spans="1:2" x14ac:dyDescent="0.25">
      <c r="A12890" s="62">
        <v>51142121</v>
      </c>
      <c r="B12890" s="63" t="s">
        <v>13537</v>
      </c>
    </row>
    <row r="12891" spans="1:2" x14ac:dyDescent="0.25">
      <c r="A12891" s="62">
        <v>51142122</v>
      </c>
      <c r="B12891" s="63" t="s">
        <v>13538</v>
      </c>
    </row>
    <row r="12892" spans="1:2" x14ac:dyDescent="0.25">
      <c r="A12892" s="62">
        <v>51142123</v>
      </c>
      <c r="B12892" s="63" t="s">
        <v>13539</v>
      </c>
    </row>
    <row r="12893" spans="1:2" x14ac:dyDescent="0.25">
      <c r="A12893" s="62">
        <v>51142124</v>
      </c>
      <c r="B12893" s="63" t="s">
        <v>13540</v>
      </c>
    </row>
    <row r="12894" spans="1:2" x14ac:dyDescent="0.25">
      <c r="A12894" s="62">
        <v>51142125</v>
      </c>
      <c r="B12894" s="63" t="s">
        <v>13541</v>
      </c>
    </row>
    <row r="12895" spans="1:2" x14ac:dyDescent="0.25">
      <c r="A12895" s="62">
        <v>51142126</v>
      </c>
      <c r="B12895" s="63" t="s">
        <v>13542</v>
      </c>
    </row>
    <row r="12896" spans="1:2" x14ac:dyDescent="0.25">
      <c r="A12896" s="62">
        <v>51142127</v>
      </c>
      <c r="B12896" s="63" t="s">
        <v>13543</v>
      </c>
    </row>
    <row r="12897" spans="1:2" x14ac:dyDescent="0.25">
      <c r="A12897" s="62">
        <v>51142128</v>
      </c>
      <c r="B12897" s="63" t="s">
        <v>13544</v>
      </c>
    </row>
    <row r="12898" spans="1:2" x14ac:dyDescent="0.25">
      <c r="A12898" s="62">
        <v>51142129</v>
      </c>
      <c r="B12898" s="63" t="s">
        <v>13545</v>
      </c>
    </row>
    <row r="12899" spans="1:2" x14ac:dyDescent="0.25">
      <c r="A12899" s="62">
        <v>51142130</v>
      </c>
      <c r="B12899" s="63" t="s">
        <v>13546</v>
      </c>
    </row>
    <row r="12900" spans="1:2" x14ac:dyDescent="0.25">
      <c r="A12900" s="62">
        <v>51142131</v>
      </c>
      <c r="B12900" s="63" t="s">
        <v>13547</v>
      </c>
    </row>
    <row r="12901" spans="1:2" x14ac:dyDescent="0.25">
      <c r="A12901" s="62">
        <v>51142132</v>
      </c>
      <c r="B12901" s="63" t="s">
        <v>13548</v>
      </c>
    </row>
    <row r="12902" spans="1:2" x14ac:dyDescent="0.25">
      <c r="A12902" s="62">
        <v>51142133</v>
      </c>
      <c r="B12902" s="63" t="s">
        <v>13549</v>
      </c>
    </row>
    <row r="12903" spans="1:2" x14ac:dyDescent="0.25">
      <c r="A12903" s="62">
        <v>51142134</v>
      </c>
      <c r="B12903" s="63" t="s">
        <v>13550</v>
      </c>
    </row>
    <row r="12904" spans="1:2" x14ac:dyDescent="0.25">
      <c r="A12904" s="62">
        <v>51142135</v>
      </c>
      <c r="B12904" s="63" t="s">
        <v>13551</v>
      </c>
    </row>
    <row r="12905" spans="1:2" x14ac:dyDescent="0.25">
      <c r="A12905" s="62">
        <v>51142136</v>
      </c>
      <c r="B12905" s="63" t="s">
        <v>13552</v>
      </c>
    </row>
    <row r="12906" spans="1:2" x14ac:dyDescent="0.25">
      <c r="A12906" s="62">
        <v>51142137</v>
      </c>
      <c r="B12906" s="63" t="s">
        <v>13553</v>
      </c>
    </row>
    <row r="12907" spans="1:2" x14ac:dyDescent="0.25">
      <c r="A12907" s="62">
        <v>51142138</v>
      </c>
      <c r="B12907" s="63" t="s">
        <v>13554</v>
      </c>
    </row>
    <row r="12908" spans="1:2" x14ac:dyDescent="0.25">
      <c r="A12908" s="62">
        <v>51142139</v>
      </c>
      <c r="B12908" s="63" t="s">
        <v>13555</v>
      </c>
    </row>
    <row r="12909" spans="1:2" x14ac:dyDescent="0.25">
      <c r="A12909" s="62">
        <v>51142140</v>
      </c>
      <c r="B12909" s="63" t="s">
        <v>13556</v>
      </c>
    </row>
    <row r="12910" spans="1:2" x14ac:dyDescent="0.25">
      <c r="A12910" s="62">
        <v>51142141</v>
      </c>
      <c r="B12910" s="63" t="s">
        <v>13557</v>
      </c>
    </row>
    <row r="12911" spans="1:2" x14ac:dyDescent="0.25">
      <c r="A12911" s="62">
        <v>51142142</v>
      </c>
      <c r="B12911" s="63" t="s">
        <v>13558</v>
      </c>
    </row>
    <row r="12912" spans="1:2" x14ac:dyDescent="0.25">
      <c r="A12912" s="62">
        <v>51142143</v>
      </c>
      <c r="B12912" s="63" t="s">
        <v>13559</v>
      </c>
    </row>
    <row r="12913" spans="1:2" x14ac:dyDescent="0.25">
      <c r="A12913" s="62">
        <v>51142144</v>
      </c>
      <c r="B12913" s="63" t="s">
        <v>13560</v>
      </c>
    </row>
    <row r="12914" spans="1:2" x14ac:dyDescent="0.25">
      <c r="A12914" s="62">
        <v>51142145</v>
      </c>
      <c r="B12914" s="63" t="s">
        <v>13561</v>
      </c>
    </row>
    <row r="12915" spans="1:2" x14ac:dyDescent="0.25">
      <c r="A12915" s="62">
        <v>51142146</v>
      </c>
      <c r="B12915" s="63" t="s">
        <v>13562</v>
      </c>
    </row>
    <row r="12916" spans="1:2" x14ac:dyDescent="0.25">
      <c r="A12916" s="62">
        <v>51142147</v>
      </c>
      <c r="B12916" s="63" t="s">
        <v>13563</v>
      </c>
    </row>
    <row r="12917" spans="1:2" x14ac:dyDescent="0.25">
      <c r="A12917" s="62">
        <v>51142148</v>
      </c>
      <c r="B12917" s="63" t="s">
        <v>13564</v>
      </c>
    </row>
    <row r="12918" spans="1:2" x14ac:dyDescent="0.25">
      <c r="A12918" s="62">
        <v>51142149</v>
      </c>
      <c r="B12918" s="63" t="s">
        <v>13565</v>
      </c>
    </row>
    <row r="12919" spans="1:2" x14ac:dyDescent="0.25">
      <c r="A12919" s="62">
        <v>51142201</v>
      </c>
      <c r="B12919" s="63" t="s">
        <v>13566</v>
      </c>
    </row>
    <row r="12920" spans="1:2" x14ac:dyDescent="0.25">
      <c r="A12920" s="62">
        <v>51142202</v>
      </c>
      <c r="B12920" s="63" t="s">
        <v>13567</v>
      </c>
    </row>
    <row r="12921" spans="1:2" x14ac:dyDescent="0.25">
      <c r="A12921" s="62">
        <v>51142203</v>
      </c>
      <c r="B12921" s="63" t="s">
        <v>13568</v>
      </c>
    </row>
    <row r="12922" spans="1:2" x14ac:dyDescent="0.25">
      <c r="A12922" s="62">
        <v>51142205</v>
      </c>
      <c r="B12922" s="63" t="s">
        <v>13569</v>
      </c>
    </row>
    <row r="12923" spans="1:2" x14ac:dyDescent="0.25">
      <c r="A12923" s="62">
        <v>51142206</v>
      </c>
      <c r="B12923" s="63" t="s">
        <v>13570</v>
      </c>
    </row>
    <row r="12924" spans="1:2" x14ac:dyDescent="0.25">
      <c r="A12924" s="62">
        <v>51142207</v>
      </c>
      <c r="B12924" s="63" t="s">
        <v>13571</v>
      </c>
    </row>
    <row r="12925" spans="1:2" x14ac:dyDescent="0.25">
      <c r="A12925" s="62">
        <v>51142208</v>
      </c>
      <c r="B12925" s="63" t="s">
        <v>13572</v>
      </c>
    </row>
    <row r="12926" spans="1:2" x14ac:dyDescent="0.25">
      <c r="A12926" s="62">
        <v>51142209</v>
      </c>
      <c r="B12926" s="63" t="s">
        <v>13573</v>
      </c>
    </row>
    <row r="12927" spans="1:2" x14ac:dyDescent="0.25">
      <c r="A12927" s="62">
        <v>51142210</v>
      </c>
      <c r="B12927" s="63" t="s">
        <v>13574</v>
      </c>
    </row>
    <row r="12928" spans="1:2" x14ac:dyDescent="0.25">
      <c r="A12928" s="62">
        <v>51142211</v>
      </c>
      <c r="B12928" s="63" t="s">
        <v>13575</v>
      </c>
    </row>
    <row r="12929" spans="1:2" x14ac:dyDescent="0.25">
      <c r="A12929" s="62">
        <v>51142212</v>
      </c>
      <c r="B12929" s="63" t="s">
        <v>13576</v>
      </c>
    </row>
    <row r="12930" spans="1:2" x14ac:dyDescent="0.25">
      <c r="A12930" s="62">
        <v>51142213</v>
      </c>
      <c r="B12930" s="63" t="s">
        <v>13577</v>
      </c>
    </row>
    <row r="12931" spans="1:2" x14ac:dyDescent="0.25">
      <c r="A12931" s="62">
        <v>51142214</v>
      </c>
      <c r="B12931" s="63" t="s">
        <v>13578</v>
      </c>
    </row>
    <row r="12932" spans="1:2" x14ac:dyDescent="0.25">
      <c r="A12932" s="62">
        <v>51142215</v>
      </c>
      <c r="B12932" s="63" t="s">
        <v>13579</v>
      </c>
    </row>
    <row r="12933" spans="1:2" x14ac:dyDescent="0.25">
      <c r="A12933" s="62">
        <v>51142216</v>
      </c>
      <c r="B12933" s="63" t="s">
        <v>13580</v>
      </c>
    </row>
    <row r="12934" spans="1:2" x14ac:dyDescent="0.25">
      <c r="A12934" s="62">
        <v>51142217</v>
      </c>
      <c r="B12934" s="63" t="s">
        <v>13581</v>
      </c>
    </row>
    <row r="12935" spans="1:2" x14ac:dyDescent="0.25">
      <c r="A12935" s="62">
        <v>51142218</v>
      </c>
      <c r="B12935" s="63" t="s">
        <v>13582</v>
      </c>
    </row>
    <row r="12936" spans="1:2" x14ac:dyDescent="0.25">
      <c r="A12936" s="62">
        <v>51142219</v>
      </c>
      <c r="B12936" s="63" t="s">
        <v>13583</v>
      </c>
    </row>
    <row r="12937" spans="1:2" x14ac:dyDescent="0.25">
      <c r="A12937" s="62">
        <v>51142220</v>
      </c>
      <c r="B12937" s="63" t="s">
        <v>13584</v>
      </c>
    </row>
    <row r="12938" spans="1:2" x14ac:dyDescent="0.25">
      <c r="A12938" s="62">
        <v>51142221</v>
      </c>
      <c r="B12938" s="63" t="s">
        <v>13585</v>
      </c>
    </row>
    <row r="12939" spans="1:2" x14ac:dyDescent="0.25">
      <c r="A12939" s="62">
        <v>51142222</v>
      </c>
      <c r="B12939" s="63" t="s">
        <v>13586</v>
      </c>
    </row>
    <row r="12940" spans="1:2" x14ac:dyDescent="0.25">
      <c r="A12940" s="62">
        <v>51142223</v>
      </c>
      <c r="B12940" s="63" t="s">
        <v>13587</v>
      </c>
    </row>
    <row r="12941" spans="1:2" x14ac:dyDescent="0.25">
      <c r="A12941" s="62">
        <v>51142224</v>
      </c>
      <c r="B12941" s="63" t="s">
        <v>13588</v>
      </c>
    </row>
    <row r="12942" spans="1:2" x14ac:dyDescent="0.25">
      <c r="A12942" s="62">
        <v>51142225</v>
      </c>
      <c r="B12942" s="63" t="s">
        <v>13589</v>
      </c>
    </row>
    <row r="12943" spans="1:2" x14ac:dyDescent="0.25">
      <c r="A12943" s="62">
        <v>51142226</v>
      </c>
      <c r="B12943" s="63" t="s">
        <v>13590</v>
      </c>
    </row>
    <row r="12944" spans="1:2" x14ac:dyDescent="0.25">
      <c r="A12944" s="62">
        <v>51142227</v>
      </c>
      <c r="B12944" s="63" t="s">
        <v>13591</v>
      </c>
    </row>
    <row r="12945" spans="1:2" x14ac:dyDescent="0.25">
      <c r="A12945" s="62">
        <v>51142228</v>
      </c>
      <c r="B12945" s="63" t="s">
        <v>13592</v>
      </c>
    </row>
    <row r="12946" spans="1:2" x14ac:dyDescent="0.25">
      <c r="A12946" s="62">
        <v>51142229</v>
      </c>
      <c r="B12946" s="63" t="s">
        <v>13593</v>
      </c>
    </row>
    <row r="12947" spans="1:2" x14ac:dyDescent="0.25">
      <c r="A12947" s="62">
        <v>51142230</v>
      </c>
      <c r="B12947" s="63" t="s">
        <v>13594</v>
      </c>
    </row>
    <row r="12948" spans="1:2" x14ac:dyDescent="0.25">
      <c r="A12948" s="62">
        <v>51142231</v>
      </c>
      <c r="B12948" s="63" t="s">
        <v>13595</v>
      </c>
    </row>
    <row r="12949" spans="1:2" x14ac:dyDescent="0.25">
      <c r="A12949" s="62">
        <v>51142232</v>
      </c>
      <c r="B12949" s="63" t="s">
        <v>13596</v>
      </c>
    </row>
    <row r="12950" spans="1:2" x14ac:dyDescent="0.25">
      <c r="A12950" s="62">
        <v>51142233</v>
      </c>
      <c r="B12950" s="63" t="s">
        <v>13597</v>
      </c>
    </row>
    <row r="12951" spans="1:2" x14ac:dyDescent="0.25">
      <c r="A12951" s="62">
        <v>51142234</v>
      </c>
      <c r="B12951" s="63" t="s">
        <v>13598</v>
      </c>
    </row>
    <row r="12952" spans="1:2" x14ac:dyDescent="0.25">
      <c r="A12952" s="62">
        <v>51142235</v>
      </c>
      <c r="B12952" s="63" t="s">
        <v>13599</v>
      </c>
    </row>
    <row r="12953" spans="1:2" x14ac:dyDescent="0.25">
      <c r="A12953" s="62">
        <v>51142236</v>
      </c>
      <c r="B12953" s="63" t="s">
        <v>13600</v>
      </c>
    </row>
    <row r="12954" spans="1:2" x14ac:dyDescent="0.25">
      <c r="A12954" s="62">
        <v>51142237</v>
      </c>
      <c r="B12954" s="63" t="s">
        <v>13601</v>
      </c>
    </row>
    <row r="12955" spans="1:2" x14ac:dyDescent="0.25">
      <c r="A12955" s="62">
        <v>51142301</v>
      </c>
      <c r="B12955" s="63" t="s">
        <v>13602</v>
      </c>
    </row>
    <row r="12956" spans="1:2" x14ac:dyDescent="0.25">
      <c r="A12956" s="62">
        <v>51142302</v>
      </c>
      <c r="B12956" s="63" t="s">
        <v>13603</v>
      </c>
    </row>
    <row r="12957" spans="1:2" x14ac:dyDescent="0.25">
      <c r="A12957" s="62">
        <v>51142303</v>
      </c>
      <c r="B12957" s="63" t="s">
        <v>13604</v>
      </c>
    </row>
    <row r="12958" spans="1:2" x14ac:dyDescent="0.25">
      <c r="A12958" s="62">
        <v>51142304</v>
      </c>
      <c r="B12958" s="63" t="s">
        <v>13605</v>
      </c>
    </row>
    <row r="12959" spans="1:2" x14ac:dyDescent="0.25">
      <c r="A12959" s="62">
        <v>51142305</v>
      </c>
      <c r="B12959" s="63" t="s">
        <v>13606</v>
      </c>
    </row>
    <row r="12960" spans="1:2" x14ac:dyDescent="0.25">
      <c r="A12960" s="62">
        <v>51142401</v>
      </c>
      <c r="B12960" s="63" t="s">
        <v>13607</v>
      </c>
    </row>
    <row r="12961" spans="1:2" x14ac:dyDescent="0.25">
      <c r="A12961" s="62">
        <v>51142402</v>
      </c>
      <c r="B12961" s="63" t="s">
        <v>13608</v>
      </c>
    </row>
    <row r="12962" spans="1:2" x14ac:dyDescent="0.25">
      <c r="A12962" s="62">
        <v>51142403</v>
      </c>
      <c r="B12962" s="63" t="s">
        <v>13609</v>
      </c>
    </row>
    <row r="12963" spans="1:2" x14ac:dyDescent="0.25">
      <c r="A12963" s="62">
        <v>51142404</v>
      </c>
      <c r="B12963" s="63" t="s">
        <v>13610</v>
      </c>
    </row>
    <row r="12964" spans="1:2" x14ac:dyDescent="0.25">
      <c r="A12964" s="62">
        <v>51142405</v>
      </c>
      <c r="B12964" s="63" t="s">
        <v>13611</v>
      </c>
    </row>
    <row r="12965" spans="1:2" x14ac:dyDescent="0.25">
      <c r="A12965" s="62">
        <v>51142406</v>
      </c>
      <c r="B12965" s="63" t="s">
        <v>13612</v>
      </c>
    </row>
    <row r="12966" spans="1:2" x14ac:dyDescent="0.25">
      <c r="A12966" s="62">
        <v>51142407</v>
      </c>
      <c r="B12966" s="63" t="s">
        <v>13613</v>
      </c>
    </row>
    <row r="12967" spans="1:2" x14ac:dyDescent="0.25">
      <c r="A12967" s="62">
        <v>51142408</v>
      </c>
      <c r="B12967" s="63" t="s">
        <v>13614</v>
      </c>
    </row>
    <row r="12968" spans="1:2" x14ac:dyDescent="0.25">
      <c r="A12968" s="62">
        <v>51142409</v>
      </c>
      <c r="B12968" s="63" t="s">
        <v>13615</v>
      </c>
    </row>
    <row r="12969" spans="1:2" x14ac:dyDescent="0.25">
      <c r="A12969" s="62">
        <v>51142410</v>
      </c>
      <c r="B12969" s="63" t="s">
        <v>13616</v>
      </c>
    </row>
    <row r="12970" spans="1:2" x14ac:dyDescent="0.25">
      <c r="A12970" s="62">
        <v>51142411</v>
      </c>
      <c r="B12970" s="63" t="s">
        <v>13617</v>
      </c>
    </row>
    <row r="12971" spans="1:2" x14ac:dyDescent="0.25">
      <c r="A12971" s="62">
        <v>51142412</v>
      </c>
      <c r="B12971" s="63" t="s">
        <v>13618</v>
      </c>
    </row>
    <row r="12972" spans="1:2" x14ac:dyDescent="0.25">
      <c r="A12972" s="62">
        <v>51142413</v>
      </c>
      <c r="B12972" s="63" t="s">
        <v>13619</v>
      </c>
    </row>
    <row r="12973" spans="1:2" x14ac:dyDescent="0.25">
      <c r="A12973" s="62">
        <v>51142414</v>
      </c>
      <c r="B12973" s="63" t="s">
        <v>13620</v>
      </c>
    </row>
    <row r="12974" spans="1:2" x14ac:dyDescent="0.25">
      <c r="A12974" s="62">
        <v>51142501</v>
      </c>
      <c r="B12974" s="63" t="s">
        <v>13621</v>
      </c>
    </row>
    <row r="12975" spans="1:2" x14ac:dyDescent="0.25">
      <c r="A12975" s="62">
        <v>51142502</v>
      </c>
      <c r="B12975" s="63" t="s">
        <v>13622</v>
      </c>
    </row>
    <row r="12976" spans="1:2" x14ac:dyDescent="0.25">
      <c r="A12976" s="62">
        <v>51142503</v>
      </c>
      <c r="B12976" s="63" t="s">
        <v>13623</v>
      </c>
    </row>
    <row r="12977" spans="1:2" x14ac:dyDescent="0.25">
      <c r="A12977" s="62">
        <v>51142504</v>
      </c>
      <c r="B12977" s="63" t="s">
        <v>13624</v>
      </c>
    </row>
    <row r="12978" spans="1:2" x14ac:dyDescent="0.25">
      <c r="A12978" s="62">
        <v>51142505</v>
      </c>
      <c r="B12978" s="63" t="s">
        <v>13625</v>
      </c>
    </row>
    <row r="12979" spans="1:2" x14ac:dyDescent="0.25">
      <c r="A12979" s="62">
        <v>51142506</v>
      </c>
      <c r="B12979" s="63" t="s">
        <v>13626</v>
      </c>
    </row>
    <row r="12980" spans="1:2" x14ac:dyDescent="0.25">
      <c r="A12980" s="62">
        <v>51142507</v>
      </c>
      <c r="B12980" s="63" t="s">
        <v>13627</v>
      </c>
    </row>
    <row r="12981" spans="1:2" x14ac:dyDescent="0.25">
      <c r="A12981" s="62">
        <v>51142508</v>
      </c>
      <c r="B12981" s="63" t="s">
        <v>13628</v>
      </c>
    </row>
    <row r="12982" spans="1:2" x14ac:dyDescent="0.25">
      <c r="A12982" s="62">
        <v>51142509</v>
      </c>
      <c r="B12982" s="63" t="s">
        <v>13629</v>
      </c>
    </row>
    <row r="12983" spans="1:2" x14ac:dyDescent="0.25">
      <c r="A12983" s="62">
        <v>51142510</v>
      </c>
      <c r="B12983" s="63" t="s">
        <v>13630</v>
      </c>
    </row>
    <row r="12984" spans="1:2" x14ac:dyDescent="0.25">
      <c r="A12984" s="62">
        <v>51142601</v>
      </c>
      <c r="B12984" s="63" t="s">
        <v>13631</v>
      </c>
    </row>
    <row r="12985" spans="1:2" x14ac:dyDescent="0.25">
      <c r="A12985" s="62">
        <v>51142602</v>
      </c>
      <c r="B12985" s="63" t="s">
        <v>13632</v>
      </c>
    </row>
    <row r="12986" spans="1:2" x14ac:dyDescent="0.25">
      <c r="A12986" s="62">
        <v>51142603</v>
      </c>
      <c r="B12986" s="63" t="s">
        <v>13633</v>
      </c>
    </row>
    <row r="12987" spans="1:2" x14ac:dyDescent="0.25">
      <c r="A12987" s="62">
        <v>51142604</v>
      </c>
      <c r="B12987" s="63" t="s">
        <v>13634</v>
      </c>
    </row>
    <row r="12988" spans="1:2" x14ac:dyDescent="0.25">
      <c r="A12988" s="62">
        <v>51142605</v>
      </c>
      <c r="B12988" s="63" t="s">
        <v>13635</v>
      </c>
    </row>
    <row r="12989" spans="1:2" x14ac:dyDescent="0.25">
      <c r="A12989" s="62">
        <v>51142606</v>
      </c>
      <c r="B12989" s="63" t="s">
        <v>13636</v>
      </c>
    </row>
    <row r="12990" spans="1:2" x14ac:dyDescent="0.25">
      <c r="A12990" s="62">
        <v>51142607</v>
      </c>
      <c r="B12990" s="63" t="s">
        <v>13637</v>
      </c>
    </row>
    <row r="12991" spans="1:2" x14ac:dyDescent="0.25">
      <c r="A12991" s="62">
        <v>51142608</v>
      </c>
      <c r="B12991" s="63" t="s">
        <v>13638</v>
      </c>
    </row>
    <row r="12992" spans="1:2" x14ac:dyDescent="0.25">
      <c r="A12992" s="62">
        <v>51142609</v>
      </c>
      <c r="B12992" s="63" t="s">
        <v>13639</v>
      </c>
    </row>
    <row r="12993" spans="1:2" x14ac:dyDescent="0.25">
      <c r="A12993" s="62">
        <v>51142610</v>
      </c>
      <c r="B12993" s="63" t="s">
        <v>13640</v>
      </c>
    </row>
    <row r="12994" spans="1:2" x14ac:dyDescent="0.25">
      <c r="A12994" s="62">
        <v>51142611</v>
      </c>
      <c r="B12994" s="63" t="s">
        <v>13641</v>
      </c>
    </row>
    <row r="12995" spans="1:2" x14ac:dyDescent="0.25">
      <c r="A12995" s="62">
        <v>51142612</v>
      </c>
      <c r="B12995" s="63" t="s">
        <v>13642</v>
      </c>
    </row>
    <row r="12996" spans="1:2" x14ac:dyDescent="0.25">
      <c r="A12996" s="62">
        <v>51142613</v>
      </c>
      <c r="B12996" s="63" t="s">
        <v>13643</v>
      </c>
    </row>
    <row r="12997" spans="1:2" x14ac:dyDescent="0.25">
      <c r="A12997" s="62">
        <v>51142614</v>
      </c>
      <c r="B12997" s="63" t="s">
        <v>13644</v>
      </c>
    </row>
    <row r="12998" spans="1:2" x14ac:dyDescent="0.25">
      <c r="A12998" s="62">
        <v>51142615</v>
      </c>
      <c r="B12998" s="63" t="s">
        <v>13645</v>
      </c>
    </row>
    <row r="12999" spans="1:2" x14ac:dyDescent="0.25">
      <c r="A12999" s="62">
        <v>51142616</v>
      </c>
      <c r="B12999" s="63" t="s">
        <v>13646</v>
      </c>
    </row>
    <row r="13000" spans="1:2" x14ac:dyDescent="0.25">
      <c r="A13000" s="62">
        <v>51142617</v>
      </c>
      <c r="B13000" s="63" t="s">
        <v>13647</v>
      </c>
    </row>
    <row r="13001" spans="1:2" x14ac:dyDescent="0.25">
      <c r="A13001" s="62">
        <v>51142618</v>
      </c>
      <c r="B13001" s="63" t="s">
        <v>13648</v>
      </c>
    </row>
    <row r="13002" spans="1:2" x14ac:dyDescent="0.25">
      <c r="A13002" s="62">
        <v>51142619</v>
      </c>
      <c r="B13002" s="63" t="s">
        <v>13649</v>
      </c>
    </row>
    <row r="13003" spans="1:2" x14ac:dyDescent="0.25">
      <c r="A13003" s="62">
        <v>51142701</v>
      </c>
      <c r="B13003" s="63" t="s">
        <v>13650</v>
      </c>
    </row>
    <row r="13004" spans="1:2" x14ac:dyDescent="0.25">
      <c r="A13004" s="62">
        <v>51142702</v>
      </c>
      <c r="B13004" s="63" t="s">
        <v>13651</v>
      </c>
    </row>
    <row r="13005" spans="1:2" x14ac:dyDescent="0.25">
      <c r="A13005" s="62">
        <v>51142801</v>
      </c>
      <c r="B13005" s="63" t="s">
        <v>13652</v>
      </c>
    </row>
    <row r="13006" spans="1:2" x14ac:dyDescent="0.25">
      <c r="A13006" s="62">
        <v>51142901</v>
      </c>
      <c r="B13006" s="63" t="s">
        <v>13653</v>
      </c>
    </row>
    <row r="13007" spans="1:2" x14ac:dyDescent="0.25">
      <c r="A13007" s="62">
        <v>51142902</v>
      </c>
      <c r="B13007" s="63" t="s">
        <v>13654</v>
      </c>
    </row>
    <row r="13008" spans="1:2" x14ac:dyDescent="0.25">
      <c r="A13008" s="62">
        <v>51142903</v>
      </c>
      <c r="B13008" s="63" t="s">
        <v>13655</v>
      </c>
    </row>
    <row r="13009" spans="1:2" x14ac:dyDescent="0.25">
      <c r="A13009" s="62">
        <v>51142904</v>
      </c>
      <c r="B13009" s="63" t="s">
        <v>13656</v>
      </c>
    </row>
    <row r="13010" spans="1:2" x14ac:dyDescent="0.25">
      <c r="A13010" s="62">
        <v>51142905</v>
      </c>
      <c r="B13010" s="63" t="s">
        <v>13657</v>
      </c>
    </row>
    <row r="13011" spans="1:2" x14ac:dyDescent="0.25">
      <c r="A13011" s="62">
        <v>51142906</v>
      </c>
      <c r="B13011" s="63" t="s">
        <v>13658</v>
      </c>
    </row>
    <row r="13012" spans="1:2" x14ac:dyDescent="0.25">
      <c r="A13012" s="62">
        <v>51142907</v>
      </c>
      <c r="B13012" s="63" t="s">
        <v>13659</v>
      </c>
    </row>
    <row r="13013" spans="1:2" x14ac:dyDescent="0.25">
      <c r="A13013" s="62">
        <v>51142908</v>
      </c>
      <c r="B13013" s="63" t="s">
        <v>13660</v>
      </c>
    </row>
    <row r="13014" spans="1:2" x14ac:dyDescent="0.25">
      <c r="A13014" s="62">
        <v>51142909</v>
      </c>
      <c r="B13014" s="63" t="s">
        <v>13661</v>
      </c>
    </row>
    <row r="13015" spans="1:2" x14ac:dyDescent="0.25">
      <c r="A13015" s="62">
        <v>51142910</v>
      </c>
      <c r="B13015" s="63" t="s">
        <v>13662</v>
      </c>
    </row>
    <row r="13016" spans="1:2" x14ac:dyDescent="0.25">
      <c r="A13016" s="62">
        <v>51142911</v>
      </c>
      <c r="B13016" s="63" t="s">
        <v>13663</v>
      </c>
    </row>
    <row r="13017" spans="1:2" x14ac:dyDescent="0.25">
      <c r="A13017" s="62">
        <v>51142912</v>
      </c>
      <c r="B13017" s="63" t="s">
        <v>13664</v>
      </c>
    </row>
    <row r="13018" spans="1:2" x14ac:dyDescent="0.25">
      <c r="A13018" s="62">
        <v>51142913</v>
      </c>
      <c r="B13018" s="63" t="s">
        <v>13665</v>
      </c>
    </row>
    <row r="13019" spans="1:2" x14ac:dyDescent="0.25">
      <c r="A13019" s="62">
        <v>51142914</v>
      </c>
      <c r="B13019" s="63" t="s">
        <v>13666</v>
      </c>
    </row>
    <row r="13020" spans="1:2" x14ac:dyDescent="0.25">
      <c r="A13020" s="62">
        <v>51142915</v>
      </c>
      <c r="B13020" s="63" t="s">
        <v>13667</v>
      </c>
    </row>
    <row r="13021" spans="1:2" x14ac:dyDescent="0.25">
      <c r="A13021" s="62">
        <v>51142916</v>
      </c>
      <c r="B13021" s="63" t="s">
        <v>13668</v>
      </c>
    </row>
    <row r="13022" spans="1:2" x14ac:dyDescent="0.25">
      <c r="A13022" s="62">
        <v>51142917</v>
      </c>
      <c r="B13022" s="63" t="s">
        <v>13669</v>
      </c>
    </row>
    <row r="13023" spans="1:2" x14ac:dyDescent="0.25">
      <c r="A13023" s="62">
        <v>51142918</v>
      </c>
      <c r="B13023" s="63" t="s">
        <v>13670</v>
      </c>
    </row>
    <row r="13024" spans="1:2" x14ac:dyDescent="0.25">
      <c r="A13024" s="62">
        <v>51142919</v>
      </c>
      <c r="B13024" s="63" t="s">
        <v>13671</v>
      </c>
    </row>
    <row r="13025" spans="1:2" x14ac:dyDescent="0.25">
      <c r="A13025" s="62">
        <v>51142920</v>
      </c>
      <c r="B13025" s="63" t="s">
        <v>13672</v>
      </c>
    </row>
    <row r="13026" spans="1:2" x14ac:dyDescent="0.25">
      <c r="A13026" s="62">
        <v>51142921</v>
      </c>
      <c r="B13026" s="63" t="s">
        <v>13673</v>
      </c>
    </row>
    <row r="13027" spans="1:2" x14ac:dyDescent="0.25">
      <c r="A13027" s="62">
        <v>51142922</v>
      </c>
      <c r="B13027" s="63" t="s">
        <v>13674</v>
      </c>
    </row>
    <row r="13028" spans="1:2" x14ac:dyDescent="0.25">
      <c r="A13028" s="62">
        <v>51142923</v>
      </c>
      <c r="B13028" s="63" t="s">
        <v>13675</v>
      </c>
    </row>
    <row r="13029" spans="1:2" x14ac:dyDescent="0.25">
      <c r="A13029" s="62">
        <v>51142924</v>
      </c>
      <c r="B13029" s="63" t="s">
        <v>13676</v>
      </c>
    </row>
    <row r="13030" spans="1:2" x14ac:dyDescent="0.25">
      <c r="A13030" s="62">
        <v>51142925</v>
      </c>
      <c r="B13030" s="63" t="s">
        <v>13677</v>
      </c>
    </row>
    <row r="13031" spans="1:2" x14ac:dyDescent="0.25">
      <c r="A13031" s="62">
        <v>51142926</v>
      </c>
      <c r="B13031" s="63" t="s">
        <v>13678</v>
      </c>
    </row>
    <row r="13032" spans="1:2" x14ac:dyDescent="0.25">
      <c r="A13032" s="62">
        <v>51142927</v>
      </c>
      <c r="B13032" s="63" t="s">
        <v>13679</v>
      </c>
    </row>
    <row r="13033" spans="1:2" x14ac:dyDescent="0.25">
      <c r="A13033" s="62">
        <v>51142928</v>
      </c>
      <c r="B13033" s="63" t="s">
        <v>13680</v>
      </c>
    </row>
    <row r="13034" spans="1:2" x14ac:dyDescent="0.25">
      <c r="A13034" s="62">
        <v>51142929</v>
      </c>
      <c r="B13034" s="63" t="s">
        <v>13681</v>
      </c>
    </row>
    <row r="13035" spans="1:2" x14ac:dyDescent="0.25">
      <c r="A13035" s="62">
        <v>51142930</v>
      </c>
      <c r="B13035" s="63" t="s">
        <v>13682</v>
      </c>
    </row>
    <row r="13036" spans="1:2" x14ac:dyDescent="0.25">
      <c r="A13036" s="62">
        <v>51142931</v>
      </c>
      <c r="B13036" s="63" t="s">
        <v>13683</v>
      </c>
    </row>
    <row r="13037" spans="1:2" x14ac:dyDescent="0.25">
      <c r="A13037" s="62">
        <v>51142932</v>
      </c>
      <c r="B13037" s="63" t="s">
        <v>13684</v>
      </c>
    </row>
    <row r="13038" spans="1:2" x14ac:dyDescent="0.25">
      <c r="A13038" s="62">
        <v>51142933</v>
      </c>
      <c r="B13038" s="63" t="s">
        <v>13685</v>
      </c>
    </row>
    <row r="13039" spans="1:2" x14ac:dyDescent="0.25">
      <c r="A13039" s="62">
        <v>51142934</v>
      </c>
      <c r="B13039" s="63" t="s">
        <v>13686</v>
      </c>
    </row>
    <row r="13040" spans="1:2" x14ac:dyDescent="0.25">
      <c r="A13040" s="62">
        <v>51142935</v>
      </c>
      <c r="B13040" s="63" t="s">
        <v>13687</v>
      </c>
    </row>
    <row r="13041" spans="1:2" x14ac:dyDescent="0.25">
      <c r="A13041" s="62">
        <v>51142936</v>
      </c>
      <c r="B13041" s="63" t="s">
        <v>13688</v>
      </c>
    </row>
    <row r="13042" spans="1:2" x14ac:dyDescent="0.25">
      <c r="A13042" s="62">
        <v>51142937</v>
      </c>
      <c r="B13042" s="63" t="s">
        <v>13689</v>
      </c>
    </row>
    <row r="13043" spans="1:2" x14ac:dyDescent="0.25">
      <c r="A13043" s="62">
        <v>51142938</v>
      </c>
      <c r="B13043" s="63" t="s">
        <v>13690</v>
      </c>
    </row>
    <row r="13044" spans="1:2" x14ac:dyDescent="0.25">
      <c r="A13044" s="62">
        <v>51142939</v>
      </c>
      <c r="B13044" s="63" t="s">
        <v>13691</v>
      </c>
    </row>
    <row r="13045" spans="1:2" x14ac:dyDescent="0.25">
      <c r="A13045" s="62">
        <v>51142940</v>
      </c>
      <c r="B13045" s="63" t="s">
        <v>13692</v>
      </c>
    </row>
    <row r="13046" spans="1:2" x14ac:dyDescent="0.25">
      <c r="A13046" s="62">
        <v>51142941</v>
      </c>
      <c r="B13046" s="63" t="s">
        <v>13693</v>
      </c>
    </row>
    <row r="13047" spans="1:2" x14ac:dyDescent="0.25">
      <c r="A13047" s="62">
        <v>51142942</v>
      </c>
      <c r="B13047" s="63" t="s">
        <v>13694</v>
      </c>
    </row>
    <row r="13048" spans="1:2" x14ac:dyDescent="0.25">
      <c r="A13048" s="62">
        <v>51142943</v>
      </c>
      <c r="B13048" s="63" t="s">
        <v>13695</v>
      </c>
    </row>
    <row r="13049" spans="1:2" x14ac:dyDescent="0.25">
      <c r="A13049" s="62">
        <v>51142944</v>
      </c>
      <c r="B13049" s="63" t="s">
        <v>13696</v>
      </c>
    </row>
    <row r="13050" spans="1:2" x14ac:dyDescent="0.25">
      <c r="A13050" s="62">
        <v>51142945</v>
      </c>
      <c r="B13050" s="63" t="s">
        <v>13697</v>
      </c>
    </row>
    <row r="13051" spans="1:2" x14ac:dyDescent="0.25">
      <c r="A13051" s="62">
        <v>51142946</v>
      </c>
      <c r="B13051" s="63" t="s">
        <v>13698</v>
      </c>
    </row>
    <row r="13052" spans="1:2" x14ac:dyDescent="0.25">
      <c r="A13052" s="62">
        <v>51142947</v>
      </c>
      <c r="B13052" s="63" t="s">
        <v>13699</v>
      </c>
    </row>
    <row r="13053" spans="1:2" x14ac:dyDescent="0.25">
      <c r="A13053" s="62">
        <v>51151501</v>
      </c>
      <c r="B13053" s="63" t="s">
        <v>13700</v>
      </c>
    </row>
    <row r="13054" spans="1:2" x14ac:dyDescent="0.25">
      <c r="A13054" s="62">
        <v>51151502</v>
      </c>
      <c r="B13054" s="63" t="s">
        <v>13701</v>
      </c>
    </row>
    <row r="13055" spans="1:2" x14ac:dyDescent="0.25">
      <c r="A13055" s="62">
        <v>51151503</v>
      </c>
      <c r="B13055" s="63" t="s">
        <v>13702</v>
      </c>
    </row>
    <row r="13056" spans="1:2" x14ac:dyDescent="0.25">
      <c r="A13056" s="62">
        <v>51151504</v>
      </c>
      <c r="B13056" s="63" t="s">
        <v>13703</v>
      </c>
    </row>
    <row r="13057" spans="1:2" x14ac:dyDescent="0.25">
      <c r="A13057" s="62">
        <v>51151505</v>
      </c>
      <c r="B13057" s="63" t="s">
        <v>13704</v>
      </c>
    </row>
    <row r="13058" spans="1:2" x14ac:dyDescent="0.25">
      <c r="A13058" s="62">
        <v>51151506</v>
      </c>
      <c r="B13058" s="63" t="s">
        <v>13705</v>
      </c>
    </row>
    <row r="13059" spans="1:2" x14ac:dyDescent="0.25">
      <c r="A13059" s="62">
        <v>51151507</v>
      </c>
      <c r="B13059" s="63" t="s">
        <v>13706</v>
      </c>
    </row>
    <row r="13060" spans="1:2" x14ac:dyDescent="0.25">
      <c r="A13060" s="62">
        <v>51151508</v>
      </c>
      <c r="B13060" s="63" t="s">
        <v>13707</v>
      </c>
    </row>
    <row r="13061" spans="1:2" x14ac:dyDescent="0.25">
      <c r="A13061" s="62">
        <v>51151509</v>
      </c>
      <c r="B13061" s="63" t="s">
        <v>13708</v>
      </c>
    </row>
    <row r="13062" spans="1:2" x14ac:dyDescent="0.25">
      <c r="A13062" s="62">
        <v>51151510</v>
      </c>
      <c r="B13062" s="63" t="s">
        <v>13709</v>
      </c>
    </row>
    <row r="13063" spans="1:2" x14ac:dyDescent="0.25">
      <c r="A13063" s="62">
        <v>51151511</v>
      </c>
      <c r="B13063" s="63" t="s">
        <v>13710</v>
      </c>
    </row>
    <row r="13064" spans="1:2" x14ac:dyDescent="0.25">
      <c r="A13064" s="62">
        <v>51151512</v>
      </c>
      <c r="B13064" s="63" t="s">
        <v>13711</v>
      </c>
    </row>
    <row r="13065" spans="1:2" x14ac:dyDescent="0.25">
      <c r="A13065" s="62">
        <v>51151513</v>
      </c>
      <c r="B13065" s="63" t="s">
        <v>13712</v>
      </c>
    </row>
    <row r="13066" spans="1:2" x14ac:dyDescent="0.25">
      <c r="A13066" s="62">
        <v>51151514</v>
      </c>
      <c r="B13066" s="63" t="s">
        <v>13713</v>
      </c>
    </row>
    <row r="13067" spans="1:2" x14ac:dyDescent="0.25">
      <c r="A13067" s="62">
        <v>51151515</v>
      </c>
      <c r="B13067" s="63" t="s">
        <v>13714</v>
      </c>
    </row>
    <row r="13068" spans="1:2" x14ac:dyDescent="0.25">
      <c r="A13068" s="62">
        <v>51151516</v>
      </c>
      <c r="B13068" s="63" t="s">
        <v>13715</v>
      </c>
    </row>
    <row r="13069" spans="1:2" x14ac:dyDescent="0.25">
      <c r="A13069" s="62">
        <v>51151517</v>
      </c>
      <c r="B13069" s="63" t="s">
        <v>13716</v>
      </c>
    </row>
    <row r="13070" spans="1:2" x14ac:dyDescent="0.25">
      <c r="A13070" s="62">
        <v>51151518</v>
      </c>
      <c r="B13070" s="63" t="s">
        <v>13717</v>
      </c>
    </row>
    <row r="13071" spans="1:2" x14ac:dyDescent="0.25">
      <c r="A13071" s="62">
        <v>51151601</v>
      </c>
      <c r="B13071" s="63" t="s">
        <v>13718</v>
      </c>
    </row>
    <row r="13072" spans="1:2" x14ac:dyDescent="0.25">
      <c r="A13072" s="62">
        <v>51151602</v>
      </c>
      <c r="B13072" s="63" t="s">
        <v>13719</v>
      </c>
    </row>
    <row r="13073" spans="1:2" x14ac:dyDescent="0.25">
      <c r="A13073" s="62">
        <v>51151603</v>
      </c>
      <c r="B13073" s="63" t="s">
        <v>13720</v>
      </c>
    </row>
    <row r="13074" spans="1:2" x14ac:dyDescent="0.25">
      <c r="A13074" s="62">
        <v>51151604</v>
      </c>
      <c r="B13074" s="63" t="s">
        <v>13721</v>
      </c>
    </row>
    <row r="13075" spans="1:2" x14ac:dyDescent="0.25">
      <c r="A13075" s="62">
        <v>51151605</v>
      </c>
      <c r="B13075" s="63" t="s">
        <v>13722</v>
      </c>
    </row>
    <row r="13076" spans="1:2" x14ac:dyDescent="0.25">
      <c r="A13076" s="62">
        <v>51151606</v>
      </c>
      <c r="B13076" s="63" t="s">
        <v>13723</v>
      </c>
    </row>
    <row r="13077" spans="1:2" x14ac:dyDescent="0.25">
      <c r="A13077" s="62">
        <v>51151607</v>
      </c>
      <c r="B13077" s="63" t="s">
        <v>13724</v>
      </c>
    </row>
    <row r="13078" spans="1:2" x14ac:dyDescent="0.25">
      <c r="A13078" s="62">
        <v>51151608</v>
      </c>
      <c r="B13078" s="63" t="s">
        <v>13725</v>
      </c>
    </row>
    <row r="13079" spans="1:2" x14ac:dyDescent="0.25">
      <c r="A13079" s="62">
        <v>51151609</v>
      </c>
      <c r="B13079" s="63" t="s">
        <v>13726</v>
      </c>
    </row>
    <row r="13080" spans="1:2" x14ac:dyDescent="0.25">
      <c r="A13080" s="62">
        <v>51151610</v>
      </c>
      <c r="B13080" s="63" t="s">
        <v>13727</v>
      </c>
    </row>
    <row r="13081" spans="1:2" x14ac:dyDescent="0.25">
      <c r="A13081" s="62">
        <v>51151611</v>
      </c>
      <c r="B13081" s="63" t="s">
        <v>13728</v>
      </c>
    </row>
    <row r="13082" spans="1:2" x14ac:dyDescent="0.25">
      <c r="A13082" s="62">
        <v>51151612</v>
      </c>
      <c r="B13082" s="63" t="s">
        <v>13729</v>
      </c>
    </row>
    <row r="13083" spans="1:2" x14ac:dyDescent="0.25">
      <c r="A13083" s="62">
        <v>51151613</v>
      </c>
      <c r="B13083" s="63" t="s">
        <v>13730</v>
      </c>
    </row>
    <row r="13084" spans="1:2" x14ac:dyDescent="0.25">
      <c r="A13084" s="62">
        <v>51151614</v>
      </c>
      <c r="B13084" s="63" t="s">
        <v>13731</v>
      </c>
    </row>
    <row r="13085" spans="1:2" x14ac:dyDescent="0.25">
      <c r="A13085" s="62">
        <v>51151615</v>
      </c>
      <c r="B13085" s="63" t="s">
        <v>13732</v>
      </c>
    </row>
    <row r="13086" spans="1:2" x14ac:dyDescent="0.25">
      <c r="A13086" s="62">
        <v>51151616</v>
      </c>
      <c r="B13086" s="63" t="s">
        <v>13733</v>
      </c>
    </row>
    <row r="13087" spans="1:2" x14ac:dyDescent="0.25">
      <c r="A13087" s="62">
        <v>51151701</v>
      </c>
      <c r="B13087" s="63" t="s">
        <v>13734</v>
      </c>
    </row>
    <row r="13088" spans="1:2" x14ac:dyDescent="0.25">
      <c r="A13088" s="62">
        <v>51151702</v>
      </c>
      <c r="B13088" s="63" t="s">
        <v>13735</v>
      </c>
    </row>
    <row r="13089" spans="1:2" x14ac:dyDescent="0.25">
      <c r="A13089" s="62">
        <v>51151703</v>
      </c>
      <c r="B13089" s="63" t="s">
        <v>13736</v>
      </c>
    </row>
    <row r="13090" spans="1:2" x14ac:dyDescent="0.25">
      <c r="A13090" s="62">
        <v>51151704</v>
      </c>
      <c r="B13090" s="63" t="s">
        <v>13737</v>
      </c>
    </row>
    <row r="13091" spans="1:2" x14ac:dyDescent="0.25">
      <c r="A13091" s="62">
        <v>51151705</v>
      </c>
      <c r="B13091" s="63" t="s">
        <v>13738</v>
      </c>
    </row>
    <row r="13092" spans="1:2" x14ac:dyDescent="0.25">
      <c r="A13092" s="62">
        <v>51151706</v>
      </c>
      <c r="B13092" s="63" t="s">
        <v>13739</v>
      </c>
    </row>
    <row r="13093" spans="1:2" x14ac:dyDescent="0.25">
      <c r="A13093" s="62">
        <v>51151707</v>
      </c>
      <c r="B13093" s="63" t="s">
        <v>13740</v>
      </c>
    </row>
    <row r="13094" spans="1:2" x14ac:dyDescent="0.25">
      <c r="A13094" s="62">
        <v>51151708</v>
      </c>
      <c r="B13094" s="63" t="s">
        <v>13741</v>
      </c>
    </row>
    <row r="13095" spans="1:2" x14ac:dyDescent="0.25">
      <c r="A13095" s="62">
        <v>51151709</v>
      </c>
      <c r="B13095" s="63" t="s">
        <v>13742</v>
      </c>
    </row>
    <row r="13096" spans="1:2" x14ac:dyDescent="0.25">
      <c r="A13096" s="62">
        <v>51151710</v>
      </c>
      <c r="B13096" s="63" t="s">
        <v>13743</v>
      </c>
    </row>
    <row r="13097" spans="1:2" x14ac:dyDescent="0.25">
      <c r="A13097" s="62">
        <v>51151711</v>
      </c>
      <c r="B13097" s="63" t="s">
        <v>13744</v>
      </c>
    </row>
    <row r="13098" spans="1:2" x14ac:dyDescent="0.25">
      <c r="A13098" s="62">
        <v>51151712</v>
      </c>
      <c r="B13098" s="63" t="s">
        <v>13745</v>
      </c>
    </row>
    <row r="13099" spans="1:2" x14ac:dyDescent="0.25">
      <c r="A13099" s="62">
        <v>51151713</v>
      </c>
      <c r="B13099" s="63" t="s">
        <v>13746</v>
      </c>
    </row>
    <row r="13100" spans="1:2" x14ac:dyDescent="0.25">
      <c r="A13100" s="62">
        <v>51151714</v>
      </c>
      <c r="B13100" s="63" t="s">
        <v>13747</v>
      </c>
    </row>
    <row r="13101" spans="1:2" x14ac:dyDescent="0.25">
      <c r="A13101" s="62">
        <v>51151715</v>
      </c>
      <c r="B13101" s="63" t="s">
        <v>13748</v>
      </c>
    </row>
    <row r="13102" spans="1:2" x14ac:dyDescent="0.25">
      <c r="A13102" s="62">
        <v>51151716</v>
      </c>
      <c r="B13102" s="63" t="s">
        <v>13749</v>
      </c>
    </row>
    <row r="13103" spans="1:2" x14ac:dyDescent="0.25">
      <c r="A13103" s="62">
        <v>51151717</v>
      </c>
      <c r="B13103" s="63" t="s">
        <v>13750</v>
      </c>
    </row>
    <row r="13104" spans="1:2" x14ac:dyDescent="0.25">
      <c r="A13104" s="62">
        <v>51151718</v>
      </c>
      <c r="B13104" s="63" t="s">
        <v>13751</v>
      </c>
    </row>
    <row r="13105" spans="1:2" x14ac:dyDescent="0.25">
      <c r="A13105" s="62">
        <v>51151719</v>
      </c>
      <c r="B13105" s="63" t="s">
        <v>13752</v>
      </c>
    </row>
    <row r="13106" spans="1:2" x14ac:dyDescent="0.25">
      <c r="A13106" s="62">
        <v>51151720</v>
      </c>
      <c r="B13106" s="63" t="s">
        <v>13753</v>
      </c>
    </row>
    <row r="13107" spans="1:2" x14ac:dyDescent="0.25">
      <c r="A13107" s="62">
        <v>51151721</v>
      </c>
      <c r="B13107" s="63" t="s">
        <v>13754</v>
      </c>
    </row>
    <row r="13108" spans="1:2" x14ac:dyDescent="0.25">
      <c r="A13108" s="62">
        <v>51151722</v>
      </c>
      <c r="B13108" s="63" t="s">
        <v>13755</v>
      </c>
    </row>
    <row r="13109" spans="1:2" x14ac:dyDescent="0.25">
      <c r="A13109" s="62">
        <v>51151723</v>
      </c>
      <c r="B13109" s="63" t="s">
        <v>13756</v>
      </c>
    </row>
    <row r="13110" spans="1:2" x14ac:dyDescent="0.25">
      <c r="A13110" s="62">
        <v>51151724</v>
      </c>
      <c r="B13110" s="63" t="s">
        <v>13757</v>
      </c>
    </row>
    <row r="13111" spans="1:2" x14ac:dyDescent="0.25">
      <c r="A13111" s="62">
        <v>51151725</v>
      </c>
      <c r="B13111" s="63" t="s">
        <v>13758</v>
      </c>
    </row>
    <row r="13112" spans="1:2" x14ac:dyDescent="0.25">
      <c r="A13112" s="62">
        <v>51151726</v>
      </c>
      <c r="B13112" s="63" t="s">
        <v>13759</v>
      </c>
    </row>
    <row r="13113" spans="1:2" x14ac:dyDescent="0.25">
      <c r="A13113" s="62">
        <v>51151727</v>
      </c>
      <c r="B13113" s="63" t="s">
        <v>13760</v>
      </c>
    </row>
    <row r="13114" spans="1:2" x14ac:dyDescent="0.25">
      <c r="A13114" s="62">
        <v>51151728</v>
      </c>
      <c r="B13114" s="63" t="s">
        <v>13761</v>
      </c>
    </row>
    <row r="13115" spans="1:2" x14ac:dyDescent="0.25">
      <c r="A13115" s="62">
        <v>51151729</v>
      </c>
      <c r="B13115" s="63" t="s">
        <v>13762</v>
      </c>
    </row>
    <row r="13116" spans="1:2" x14ac:dyDescent="0.25">
      <c r="A13116" s="62">
        <v>51151730</v>
      </c>
      <c r="B13116" s="63" t="s">
        <v>13763</v>
      </c>
    </row>
    <row r="13117" spans="1:2" x14ac:dyDescent="0.25">
      <c r="A13117" s="62">
        <v>51151731</v>
      </c>
      <c r="B13117" s="63" t="s">
        <v>13764</v>
      </c>
    </row>
    <row r="13118" spans="1:2" x14ac:dyDescent="0.25">
      <c r="A13118" s="62">
        <v>51151732</v>
      </c>
      <c r="B13118" s="63" t="s">
        <v>13765</v>
      </c>
    </row>
    <row r="13119" spans="1:2" x14ac:dyDescent="0.25">
      <c r="A13119" s="62">
        <v>51151733</v>
      </c>
      <c r="B13119" s="63" t="s">
        <v>13766</v>
      </c>
    </row>
    <row r="13120" spans="1:2" x14ac:dyDescent="0.25">
      <c r="A13120" s="62">
        <v>51151734</v>
      </c>
      <c r="B13120" s="63" t="s">
        <v>13767</v>
      </c>
    </row>
    <row r="13121" spans="1:2" x14ac:dyDescent="0.25">
      <c r="A13121" s="62">
        <v>51151735</v>
      </c>
      <c r="B13121" s="63" t="s">
        <v>13768</v>
      </c>
    </row>
    <row r="13122" spans="1:2" x14ac:dyDescent="0.25">
      <c r="A13122" s="62">
        <v>51151736</v>
      </c>
      <c r="B13122" s="63" t="s">
        <v>13769</v>
      </c>
    </row>
    <row r="13123" spans="1:2" x14ac:dyDescent="0.25">
      <c r="A13123" s="62">
        <v>51151737</v>
      </c>
      <c r="B13123" s="63" t="s">
        <v>13770</v>
      </c>
    </row>
    <row r="13124" spans="1:2" x14ac:dyDescent="0.25">
      <c r="A13124" s="62">
        <v>51151738</v>
      </c>
      <c r="B13124" s="63" t="s">
        <v>13771</v>
      </c>
    </row>
    <row r="13125" spans="1:2" x14ac:dyDescent="0.25">
      <c r="A13125" s="62">
        <v>51151739</v>
      </c>
      <c r="B13125" s="63" t="s">
        <v>13772</v>
      </c>
    </row>
    <row r="13126" spans="1:2" x14ac:dyDescent="0.25">
      <c r="A13126" s="62">
        <v>51151740</v>
      </c>
      <c r="B13126" s="63" t="s">
        <v>13773</v>
      </c>
    </row>
    <row r="13127" spans="1:2" x14ac:dyDescent="0.25">
      <c r="A13127" s="62">
        <v>51151741</v>
      </c>
      <c r="B13127" s="63" t="s">
        <v>13774</v>
      </c>
    </row>
    <row r="13128" spans="1:2" x14ac:dyDescent="0.25">
      <c r="A13128" s="62">
        <v>51151742</v>
      </c>
      <c r="B13128" s="63" t="s">
        <v>13775</v>
      </c>
    </row>
    <row r="13129" spans="1:2" x14ac:dyDescent="0.25">
      <c r="A13129" s="62">
        <v>51151743</v>
      </c>
      <c r="B13129" s="63" t="s">
        <v>13776</v>
      </c>
    </row>
    <row r="13130" spans="1:2" x14ac:dyDescent="0.25">
      <c r="A13130" s="62">
        <v>51151744</v>
      </c>
      <c r="B13130" s="63" t="s">
        <v>13777</v>
      </c>
    </row>
    <row r="13131" spans="1:2" x14ac:dyDescent="0.25">
      <c r="A13131" s="62">
        <v>51151745</v>
      </c>
      <c r="B13131" s="63" t="s">
        <v>13778</v>
      </c>
    </row>
    <row r="13132" spans="1:2" x14ac:dyDescent="0.25">
      <c r="A13132" s="62">
        <v>51151746</v>
      </c>
      <c r="B13132" s="63" t="s">
        <v>13779</v>
      </c>
    </row>
    <row r="13133" spans="1:2" x14ac:dyDescent="0.25">
      <c r="A13133" s="62">
        <v>51151747</v>
      </c>
      <c r="B13133" s="63" t="s">
        <v>13780</v>
      </c>
    </row>
    <row r="13134" spans="1:2" x14ac:dyDescent="0.25">
      <c r="A13134" s="62">
        <v>51151748</v>
      </c>
      <c r="B13134" s="63" t="s">
        <v>13781</v>
      </c>
    </row>
    <row r="13135" spans="1:2" x14ac:dyDescent="0.25">
      <c r="A13135" s="62">
        <v>51151749</v>
      </c>
      <c r="B13135" s="63" t="s">
        <v>13782</v>
      </c>
    </row>
    <row r="13136" spans="1:2" x14ac:dyDescent="0.25">
      <c r="A13136" s="62">
        <v>51151801</v>
      </c>
      <c r="B13136" s="63" t="s">
        <v>13783</v>
      </c>
    </row>
    <row r="13137" spans="1:2" x14ac:dyDescent="0.25">
      <c r="A13137" s="62">
        <v>51151802</v>
      </c>
      <c r="B13137" s="63" t="s">
        <v>13784</v>
      </c>
    </row>
    <row r="13138" spans="1:2" x14ac:dyDescent="0.25">
      <c r="A13138" s="62">
        <v>51151803</v>
      </c>
      <c r="B13138" s="63" t="s">
        <v>13785</v>
      </c>
    </row>
    <row r="13139" spans="1:2" x14ac:dyDescent="0.25">
      <c r="A13139" s="62">
        <v>51151804</v>
      </c>
      <c r="B13139" s="63" t="s">
        <v>13786</v>
      </c>
    </row>
    <row r="13140" spans="1:2" x14ac:dyDescent="0.25">
      <c r="A13140" s="62">
        <v>51151805</v>
      </c>
      <c r="B13140" s="63" t="s">
        <v>13787</v>
      </c>
    </row>
    <row r="13141" spans="1:2" x14ac:dyDescent="0.25">
      <c r="A13141" s="62">
        <v>51151810</v>
      </c>
      <c r="B13141" s="63" t="s">
        <v>13788</v>
      </c>
    </row>
    <row r="13142" spans="1:2" x14ac:dyDescent="0.25">
      <c r="A13142" s="62">
        <v>51151811</v>
      </c>
      <c r="B13142" s="63" t="s">
        <v>13789</v>
      </c>
    </row>
    <row r="13143" spans="1:2" x14ac:dyDescent="0.25">
      <c r="A13143" s="62">
        <v>51151812</v>
      </c>
      <c r="B13143" s="63" t="s">
        <v>13790</v>
      </c>
    </row>
    <row r="13144" spans="1:2" x14ac:dyDescent="0.25">
      <c r="A13144" s="62">
        <v>51151813</v>
      </c>
      <c r="B13144" s="63" t="s">
        <v>13791</v>
      </c>
    </row>
    <row r="13145" spans="1:2" x14ac:dyDescent="0.25">
      <c r="A13145" s="62">
        <v>51151814</v>
      </c>
      <c r="B13145" s="63" t="s">
        <v>13792</v>
      </c>
    </row>
    <row r="13146" spans="1:2" x14ac:dyDescent="0.25">
      <c r="A13146" s="62">
        <v>51151815</v>
      </c>
      <c r="B13146" s="63" t="s">
        <v>13793</v>
      </c>
    </row>
    <row r="13147" spans="1:2" x14ac:dyDescent="0.25">
      <c r="A13147" s="62">
        <v>51151816</v>
      </c>
      <c r="B13147" s="63" t="s">
        <v>13794</v>
      </c>
    </row>
    <row r="13148" spans="1:2" x14ac:dyDescent="0.25">
      <c r="A13148" s="62">
        <v>51151817</v>
      </c>
      <c r="B13148" s="63" t="s">
        <v>13795</v>
      </c>
    </row>
    <row r="13149" spans="1:2" x14ac:dyDescent="0.25">
      <c r="A13149" s="62">
        <v>51151818</v>
      </c>
      <c r="B13149" s="63" t="s">
        <v>13796</v>
      </c>
    </row>
    <row r="13150" spans="1:2" x14ac:dyDescent="0.25">
      <c r="A13150" s="62">
        <v>51151819</v>
      </c>
      <c r="B13150" s="63" t="s">
        <v>13797</v>
      </c>
    </row>
    <row r="13151" spans="1:2" x14ac:dyDescent="0.25">
      <c r="A13151" s="62">
        <v>51151820</v>
      </c>
      <c r="B13151" s="63" t="s">
        <v>13798</v>
      </c>
    </row>
    <row r="13152" spans="1:2" x14ac:dyDescent="0.25">
      <c r="A13152" s="62">
        <v>51151821</v>
      </c>
      <c r="B13152" s="63" t="s">
        <v>13799</v>
      </c>
    </row>
    <row r="13153" spans="1:2" x14ac:dyDescent="0.25">
      <c r="A13153" s="62">
        <v>51151822</v>
      </c>
      <c r="B13153" s="63" t="s">
        <v>13800</v>
      </c>
    </row>
    <row r="13154" spans="1:2" x14ac:dyDescent="0.25">
      <c r="A13154" s="62">
        <v>51151823</v>
      </c>
      <c r="B13154" s="63" t="s">
        <v>13801</v>
      </c>
    </row>
    <row r="13155" spans="1:2" x14ac:dyDescent="0.25">
      <c r="A13155" s="62">
        <v>51151824</v>
      </c>
      <c r="B13155" s="63" t="s">
        <v>13802</v>
      </c>
    </row>
    <row r="13156" spans="1:2" x14ac:dyDescent="0.25">
      <c r="A13156" s="62">
        <v>51151825</v>
      </c>
      <c r="B13156" s="63" t="s">
        <v>13803</v>
      </c>
    </row>
    <row r="13157" spans="1:2" x14ac:dyDescent="0.25">
      <c r="A13157" s="62">
        <v>51151901</v>
      </c>
      <c r="B13157" s="63" t="s">
        <v>13804</v>
      </c>
    </row>
    <row r="13158" spans="1:2" x14ac:dyDescent="0.25">
      <c r="A13158" s="62">
        <v>51151902</v>
      </c>
      <c r="B13158" s="63" t="s">
        <v>13805</v>
      </c>
    </row>
    <row r="13159" spans="1:2" x14ac:dyDescent="0.25">
      <c r="A13159" s="62">
        <v>51151903</v>
      </c>
      <c r="B13159" s="63" t="s">
        <v>13806</v>
      </c>
    </row>
    <row r="13160" spans="1:2" x14ac:dyDescent="0.25">
      <c r="A13160" s="62">
        <v>51151904</v>
      </c>
      <c r="B13160" s="63" t="s">
        <v>13807</v>
      </c>
    </row>
    <row r="13161" spans="1:2" x14ac:dyDescent="0.25">
      <c r="A13161" s="62">
        <v>51151905</v>
      </c>
      <c r="B13161" s="63" t="s">
        <v>13808</v>
      </c>
    </row>
    <row r="13162" spans="1:2" x14ac:dyDescent="0.25">
      <c r="A13162" s="62">
        <v>51151906</v>
      </c>
      <c r="B13162" s="63" t="s">
        <v>13809</v>
      </c>
    </row>
    <row r="13163" spans="1:2" x14ac:dyDescent="0.25">
      <c r="A13163" s="62">
        <v>51151907</v>
      </c>
      <c r="B13163" s="63" t="s">
        <v>13810</v>
      </c>
    </row>
    <row r="13164" spans="1:2" x14ac:dyDescent="0.25">
      <c r="A13164" s="62">
        <v>51151908</v>
      </c>
      <c r="B13164" s="63" t="s">
        <v>13811</v>
      </c>
    </row>
    <row r="13165" spans="1:2" x14ac:dyDescent="0.25">
      <c r="A13165" s="62">
        <v>51151910</v>
      </c>
      <c r="B13165" s="63" t="s">
        <v>13812</v>
      </c>
    </row>
    <row r="13166" spans="1:2" x14ac:dyDescent="0.25">
      <c r="A13166" s="62">
        <v>51151911</v>
      </c>
      <c r="B13166" s="63" t="s">
        <v>13813</v>
      </c>
    </row>
    <row r="13167" spans="1:2" x14ac:dyDescent="0.25">
      <c r="A13167" s="62">
        <v>51151912</v>
      </c>
      <c r="B13167" s="63" t="s">
        <v>13814</v>
      </c>
    </row>
    <row r="13168" spans="1:2" x14ac:dyDescent="0.25">
      <c r="A13168" s="62">
        <v>51151913</v>
      </c>
      <c r="B13168" s="63" t="s">
        <v>13815</v>
      </c>
    </row>
    <row r="13169" spans="1:2" x14ac:dyDescent="0.25">
      <c r="A13169" s="62">
        <v>51151914</v>
      </c>
      <c r="B13169" s="63" t="s">
        <v>13816</v>
      </c>
    </row>
    <row r="13170" spans="1:2" x14ac:dyDescent="0.25">
      <c r="A13170" s="62">
        <v>51151915</v>
      </c>
      <c r="B13170" s="63" t="s">
        <v>13817</v>
      </c>
    </row>
    <row r="13171" spans="1:2" x14ac:dyDescent="0.25">
      <c r="A13171" s="62">
        <v>51151916</v>
      </c>
      <c r="B13171" s="63" t="s">
        <v>13818</v>
      </c>
    </row>
    <row r="13172" spans="1:2" x14ac:dyDescent="0.25">
      <c r="A13172" s="62">
        <v>51151917</v>
      </c>
      <c r="B13172" s="63" t="s">
        <v>13819</v>
      </c>
    </row>
    <row r="13173" spans="1:2" x14ac:dyDescent="0.25">
      <c r="A13173" s="62">
        <v>51152001</v>
      </c>
      <c r="B13173" s="63" t="s">
        <v>13820</v>
      </c>
    </row>
    <row r="13174" spans="1:2" x14ac:dyDescent="0.25">
      <c r="A13174" s="62">
        <v>51152002</v>
      </c>
      <c r="B13174" s="63" t="s">
        <v>13821</v>
      </c>
    </row>
    <row r="13175" spans="1:2" x14ac:dyDescent="0.25">
      <c r="A13175" s="62">
        <v>51152003</v>
      </c>
      <c r="B13175" s="63" t="s">
        <v>13822</v>
      </c>
    </row>
    <row r="13176" spans="1:2" x14ac:dyDescent="0.25">
      <c r="A13176" s="62">
        <v>51152004</v>
      </c>
      <c r="B13176" s="63" t="s">
        <v>13823</v>
      </c>
    </row>
    <row r="13177" spans="1:2" x14ac:dyDescent="0.25">
      <c r="A13177" s="62">
        <v>51152005</v>
      </c>
      <c r="B13177" s="63" t="s">
        <v>13824</v>
      </c>
    </row>
    <row r="13178" spans="1:2" x14ac:dyDescent="0.25">
      <c r="A13178" s="62">
        <v>51152006</v>
      </c>
      <c r="B13178" s="63" t="s">
        <v>13825</v>
      </c>
    </row>
    <row r="13179" spans="1:2" x14ac:dyDescent="0.25">
      <c r="A13179" s="62">
        <v>51152007</v>
      </c>
      <c r="B13179" s="63" t="s">
        <v>13826</v>
      </c>
    </row>
    <row r="13180" spans="1:2" x14ac:dyDescent="0.25">
      <c r="A13180" s="62">
        <v>51152008</v>
      </c>
      <c r="B13180" s="63" t="s">
        <v>13827</v>
      </c>
    </row>
    <row r="13181" spans="1:2" x14ac:dyDescent="0.25">
      <c r="A13181" s="62">
        <v>51152009</v>
      </c>
      <c r="B13181" s="63" t="s">
        <v>13828</v>
      </c>
    </row>
    <row r="13182" spans="1:2" x14ac:dyDescent="0.25">
      <c r="A13182" s="62">
        <v>51152010</v>
      </c>
      <c r="B13182" s="63" t="s">
        <v>13829</v>
      </c>
    </row>
    <row r="13183" spans="1:2" x14ac:dyDescent="0.25">
      <c r="A13183" s="62">
        <v>51152011</v>
      </c>
      <c r="B13183" s="63" t="s">
        <v>13830</v>
      </c>
    </row>
    <row r="13184" spans="1:2" x14ac:dyDescent="0.25">
      <c r="A13184" s="62">
        <v>51152012</v>
      </c>
      <c r="B13184" s="63" t="s">
        <v>13831</v>
      </c>
    </row>
    <row r="13185" spans="1:2" x14ac:dyDescent="0.25">
      <c r="A13185" s="62">
        <v>51161501</v>
      </c>
      <c r="B13185" s="63" t="s">
        <v>13832</v>
      </c>
    </row>
    <row r="13186" spans="1:2" x14ac:dyDescent="0.25">
      <c r="A13186" s="62">
        <v>51161502</v>
      </c>
      <c r="B13186" s="63" t="s">
        <v>13833</v>
      </c>
    </row>
    <row r="13187" spans="1:2" x14ac:dyDescent="0.25">
      <c r="A13187" s="62">
        <v>51161503</v>
      </c>
      <c r="B13187" s="63" t="s">
        <v>13834</v>
      </c>
    </row>
    <row r="13188" spans="1:2" x14ac:dyDescent="0.25">
      <c r="A13188" s="62">
        <v>51161504</v>
      </c>
      <c r="B13188" s="63" t="s">
        <v>13835</v>
      </c>
    </row>
    <row r="13189" spans="1:2" x14ac:dyDescent="0.25">
      <c r="A13189" s="62">
        <v>51161505</v>
      </c>
      <c r="B13189" s="63" t="s">
        <v>13836</v>
      </c>
    </row>
    <row r="13190" spans="1:2" x14ac:dyDescent="0.25">
      <c r="A13190" s="62">
        <v>51161506</v>
      </c>
      <c r="B13190" s="63" t="s">
        <v>13837</v>
      </c>
    </row>
    <row r="13191" spans="1:2" x14ac:dyDescent="0.25">
      <c r="A13191" s="62">
        <v>51161507</v>
      </c>
      <c r="B13191" s="63" t="s">
        <v>13838</v>
      </c>
    </row>
    <row r="13192" spans="1:2" x14ac:dyDescent="0.25">
      <c r="A13192" s="62">
        <v>51161508</v>
      </c>
      <c r="B13192" s="63" t="s">
        <v>13839</v>
      </c>
    </row>
    <row r="13193" spans="1:2" x14ac:dyDescent="0.25">
      <c r="A13193" s="62">
        <v>51161510</v>
      </c>
      <c r="B13193" s="63" t="s">
        <v>13836</v>
      </c>
    </row>
    <row r="13194" spans="1:2" x14ac:dyDescent="0.25">
      <c r="A13194" s="62">
        <v>51161511</v>
      </c>
      <c r="B13194" s="63" t="s">
        <v>13840</v>
      </c>
    </row>
    <row r="13195" spans="1:2" x14ac:dyDescent="0.25">
      <c r="A13195" s="62">
        <v>51161513</v>
      </c>
      <c r="B13195" s="63" t="s">
        <v>13841</v>
      </c>
    </row>
    <row r="13196" spans="1:2" x14ac:dyDescent="0.25">
      <c r="A13196" s="62">
        <v>51161514</v>
      </c>
      <c r="B13196" s="63" t="s">
        <v>13842</v>
      </c>
    </row>
    <row r="13197" spans="1:2" x14ac:dyDescent="0.25">
      <c r="A13197" s="62">
        <v>51161515</v>
      </c>
      <c r="B13197" s="63" t="s">
        <v>13843</v>
      </c>
    </row>
    <row r="13198" spans="1:2" x14ac:dyDescent="0.25">
      <c r="A13198" s="62">
        <v>51161516</v>
      </c>
      <c r="B13198" s="63" t="s">
        <v>13844</v>
      </c>
    </row>
    <row r="13199" spans="1:2" x14ac:dyDescent="0.25">
      <c r="A13199" s="62">
        <v>51161517</v>
      </c>
      <c r="B13199" s="63" t="s">
        <v>13845</v>
      </c>
    </row>
    <row r="13200" spans="1:2" x14ac:dyDescent="0.25">
      <c r="A13200" s="62">
        <v>51161601</v>
      </c>
      <c r="B13200" s="63" t="s">
        <v>13846</v>
      </c>
    </row>
    <row r="13201" spans="1:2" x14ac:dyDescent="0.25">
      <c r="A13201" s="62">
        <v>51161602</v>
      </c>
      <c r="B13201" s="63" t="s">
        <v>13847</v>
      </c>
    </row>
    <row r="13202" spans="1:2" x14ac:dyDescent="0.25">
      <c r="A13202" s="62">
        <v>51161603</v>
      </c>
      <c r="B13202" s="63" t="s">
        <v>13848</v>
      </c>
    </row>
    <row r="13203" spans="1:2" x14ac:dyDescent="0.25">
      <c r="A13203" s="62">
        <v>51161605</v>
      </c>
      <c r="B13203" s="63" t="s">
        <v>13849</v>
      </c>
    </row>
    <row r="13204" spans="1:2" x14ac:dyDescent="0.25">
      <c r="A13204" s="62">
        <v>51161606</v>
      </c>
      <c r="B13204" s="63" t="s">
        <v>13850</v>
      </c>
    </row>
    <row r="13205" spans="1:2" x14ac:dyDescent="0.25">
      <c r="A13205" s="62">
        <v>51161607</v>
      </c>
      <c r="B13205" s="63" t="s">
        <v>13851</v>
      </c>
    </row>
    <row r="13206" spans="1:2" x14ac:dyDescent="0.25">
      <c r="A13206" s="62">
        <v>51161608</v>
      </c>
      <c r="B13206" s="63" t="s">
        <v>13852</v>
      </c>
    </row>
    <row r="13207" spans="1:2" x14ac:dyDescent="0.25">
      <c r="A13207" s="62">
        <v>51161609</v>
      </c>
      <c r="B13207" s="63" t="s">
        <v>13853</v>
      </c>
    </row>
    <row r="13208" spans="1:2" x14ac:dyDescent="0.25">
      <c r="A13208" s="62">
        <v>51161610</v>
      </c>
      <c r="B13208" s="63" t="s">
        <v>13854</v>
      </c>
    </row>
    <row r="13209" spans="1:2" x14ac:dyDescent="0.25">
      <c r="A13209" s="62">
        <v>51161611</v>
      </c>
      <c r="B13209" s="63" t="s">
        <v>13855</v>
      </c>
    </row>
    <row r="13210" spans="1:2" x14ac:dyDescent="0.25">
      <c r="A13210" s="62">
        <v>51161612</v>
      </c>
      <c r="B13210" s="63" t="s">
        <v>13856</v>
      </c>
    </row>
    <row r="13211" spans="1:2" x14ac:dyDescent="0.25">
      <c r="A13211" s="62">
        <v>51161613</v>
      </c>
      <c r="B13211" s="63" t="s">
        <v>13857</v>
      </c>
    </row>
    <row r="13212" spans="1:2" x14ac:dyDescent="0.25">
      <c r="A13212" s="62">
        <v>51161614</v>
      </c>
      <c r="B13212" s="63" t="s">
        <v>13858</v>
      </c>
    </row>
    <row r="13213" spans="1:2" x14ac:dyDescent="0.25">
      <c r="A13213" s="62">
        <v>51161615</v>
      </c>
      <c r="B13213" s="63" t="s">
        <v>13859</v>
      </c>
    </row>
    <row r="13214" spans="1:2" x14ac:dyDescent="0.25">
      <c r="A13214" s="62">
        <v>51161616</v>
      </c>
      <c r="B13214" s="63" t="s">
        <v>13860</v>
      </c>
    </row>
    <row r="13215" spans="1:2" x14ac:dyDescent="0.25">
      <c r="A13215" s="62">
        <v>51161617</v>
      </c>
      <c r="B13215" s="63" t="s">
        <v>13861</v>
      </c>
    </row>
    <row r="13216" spans="1:2" x14ac:dyDescent="0.25">
      <c r="A13216" s="62">
        <v>51161618</v>
      </c>
      <c r="B13216" s="63" t="s">
        <v>13862</v>
      </c>
    </row>
    <row r="13217" spans="1:2" x14ac:dyDescent="0.25">
      <c r="A13217" s="62">
        <v>51161619</v>
      </c>
      <c r="B13217" s="63" t="s">
        <v>13863</v>
      </c>
    </row>
    <row r="13218" spans="1:2" x14ac:dyDescent="0.25">
      <c r="A13218" s="62">
        <v>51161620</v>
      </c>
      <c r="B13218" s="63" t="s">
        <v>13864</v>
      </c>
    </row>
    <row r="13219" spans="1:2" x14ac:dyDescent="0.25">
      <c r="A13219" s="62">
        <v>51161621</v>
      </c>
      <c r="B13219" s="63" t="s">
        <v>13865</v>
      </c>
    </row>
    <row r="13220" spans="1:2" x14ac:dyDescent="0.25">
      <c r="A13220" s="62">
        <v>51161622</v>
      </c>
      <c r="B13220" s="63" t="s">
        <v>13840</v>
      </c>
    </row>
    <row r="13221" spans="1:2" x14ac:dyDescent="0.25">
      <c r="A13221" s="62">
        <v>51161623</v>
      </c>
      <c r="B13221" s="63" t="s">
        <v>13866</v>
      </c>
    </row>
    <row r="13222" spans="1:2" x14ac:dyDescent="0.25">
      <c r="A13222" s="62">
        <v>51161624</v>
      </c>
      <c r="B13222" s="63" t="s">
        <v>13867</v>
      </c>
    </row>
    <row r="13223" spans="1:2" x14ac:dyDescent="0.25">
      <c r="A13223" s="62">
        <v>51161625</v>
      </c>
      <c r="B13223" s="63" t="s">
        <v>13868</v>
      </c>
    </row>
    <row r="13224" spans="1:2" x14ac:dyDescent="0.25">
      <c r="A13224" s="62">
        <v>51161626</v>
      </c>
      <c r="B13224" s="63" t="s">
        <v>13869</v>
      </c>
    </row>
    <row r="13225" spans="1:2" x14ac:dyDescent="0.25">
      <c r="A13225" s="62">
        <v>51161627</v>
      </c>
      <c r="B13225" s="63" t="s">
        <v>13870</v>
      </c>
    </row>
    <row r="13226" spans="1:2" x14ac:dyDescent="0.25">
      <c r="A13226" s="62">
        <v>51161628</v>
      </c>
      <c r="B13226" s="63" t="s">
        <v>13871</v>
      </c>
    </row>
    <row r="13227" spans="1:2" x14ac:dyDescent="0.25">
      <c r="A13227" s="62">
        <v>51161629</v>
      </c>
      <c r="B13227" s="63" t="s">
        <v>13872</v>
      </c>
    </row>
    <row r="13228" spans="1:2" x14ac:dyDescent="0.25">
      <c r="A13228" s="62">
        <v>51161630</v>
      </c>
      <c r="B13228" s="63" t="s">
        <v>13873</v>
      </c>
    </row>
    <row r="13229" spans="1:2" x14ac:dyDescent="0.25">
      <c r="A13229" s="62">
        <v>51161631</v>
      </c>
      <c r="B13229" s="63" t="s">
        <v>13874</v>
      </c>
    </row>
    <row r="13230" spans="1:2" x14ac:dyDescent="0.25">
      <c r="A13230" s="62">
        <v>51161632</v>
      </c>
      <c r="B13230" s="63" t="s">
        <v>13875</v>
      </c>
    </row>
    <row r="13231" spans="1:2" x14ac:dyDescent="0.25">
      <c r="A13231" s="62">
        <v>51161633</v>
      </c>
      <c r="B13231" s="63" t="s">
        <v>13876</v>
      </c>
    </row>
    <row r="13232" spans="1:2" x14ac:dyDescent="0.25">
      <c r="A13232" s="62">
        <v>51161634</v>
      </c>
      <c r="B13232" s="63" t="s">
        <v>13877</v>
      </c>
    </row>
    <row r="13233" spans="1:2" x14ac:dyDescent="0.25">
      <c r="A13233" s="62">
        <v>51161635</v>
      </c>
      <c r="B13233" s="63" t="s">
        <v>13878</v>
      </c>
    </row>
    <row r="13234" spans="1:2" x14ac:dyDescent="0.25">
      <c r="A13234" s="62">
        <v>51161636</v>
      </c>
      <c r="B13234" s="63" t="s">
        <v>13879</v>
      </c>
    </row>
    <row r="13235" spans="1:2" x14ac:dyDescent="0.25">
      <c r="A13235" s="62">
        <v>51161637</v>
      </c>
      <c r="B13235" s="63" t="s">
        <v>13880</v>
      </c>
    </row>
    <row r="13236" spans="1:2" x14ac:dyDescent="0.25">
      <c r="A13236" s="62">
        <v>51161638</v>
      </c>
      <c r="B13236" s="63" t="s">
        <v>13881</v>
      </c>
    </row>
    <row r="13237" spans="1:2" x14ac:dyDescent="0.25">
      <c r="A13237" s="62">
        <v>51161639</v>
      </c>
      <c r="B13237" s="63" t="s">
        <v>13882</v>
      </c>
    </row>
    <row r="13238" spans="1:2" x14ac:dyDescent="0.25">
      <c r="A13238" s="62">
        <v>51161640</v>
      </c>
      <c r="B13238" s="63" t="s">
        <v>13883</v>
      </c>
    </row>
    <row r="13239" spans="1:2" x14ac:dyDescent="0.25">
      <c r="A13239" s="62">
        <v>51161646</v>
      </c>
      <c r="B13239" s="63" t="s">
        <v>13884</v>
      </c>
    </row>
    <row r="13240" spans="1:2" x14ac:dyDescent="0.25">
      <c r="A13240" s="62">
        <v>51161647</v>
      </c>
      <c r="B13240" s="63" t="s">
        <v>13885</v>
      </c>
    </row>
    <row r="13241" spans="1:2" x14ac:dyDescent="0.25">
      <c r="A13241" s="62">
        <v>51161648</v>
      </c>
      <c r="B13241" s="63" t="s">
        <v>13886</v>
      </c>
    </row>
    <row r="13242" spans="1:2" x14ac:dyDescent="0.25">
      <c r="A13242" s="62">
        <v>51161649</v>
      </c>
      <c r="B13242" s="63" t="s">
        <v>13887</v>
      </c>
    </row>
    <row r="13243" spans="1:2" x14ac:dyDescent="0.25">
      <c r="A13243" s="62">
        <v>51161650</v>
      </c>
      <c r="B13243" s="63" t="s">
        <v>13888</v>
      </c>
    </row>
    <row r="13244" spans="1:2" x14ac:dyDescent="0.25">
      <c r="A13244" s="62">
        <v>51161651</v>
      </c>
      <c r="B13244" s="63" t="s">
        <v>13889</v>
      </c>
    </row>
    <row r="13245" spans="1:2" x14ac:dyDescent="0.25">
      <c r="A13245" s="62">
        <v>51161701</v>
      </c>
      <c r="B13245" s="63" t="s">
        <v>13890</v>
      </c>
    </row>
    <row r="13246" spans="1:2" x14ac:dyDescent="0.25">
      <c r="A13246" s="62">
        <v>51161702</v>
      </c>
      <c r="B13246" s="63" t="s">
        <v>13891</v>
      </c>
    </row>
    <row r="13247" spans="1:2" x14ac:dyDescent="0.25">
      <c r="A13247" s="62">
        <v>51161703</v>
      </c>
      <c r="B13247" s="63" t="s">
        <v>13892</v>
      </c>
    </row>
    <row r="13248" spans="1:2" x14ac:dyDescent="0.25">
      <c r="A13248" s="62">
        <v>51161704</v>
      </c>
      <c r="B13248" s="63" t="s">
        <v>13893</v>
      </c>
    </row>
    <row r="13249" spans="1:2" x14ac:dyDescent="0.25">
      <c r="A13249" s="62">
        <v>51161705</v>
      </c>
      <c r="B13249" s="63" t="s">
        <v>13894</v>
      </c>
    </row>
    <row r="13250" spans="1:2" x14ac:dyDescent="0.25">
      <c r="A13250" s="62">
        <v>51161706</v>
      </c>
      <c r="B13250" s="63" t="s">
        <v>13895</v>
      </c>
    </row>
    <row r="13251" spans="1:2" x14ac:dyDescent="0.25">
      <c r="A13251" s="62">
        <v>51161707</v>
      </c>
      <c r="B13251" s="63" t="s">
        <v>13896</v>
      </c>
    </row>
    <row r="13252" spans="1:2" x14ac:dyDescent="0.25">
      <c r="A13252" s="62">
        <v>51161708</v>
      </c>
      <c r="B13252" s="63" t="s">
        <v>13897</v>
      </c>
    </row>
    <row r="13253" spans="1:2" x14ac:dyDescent="0.25">
      <c r="A13253" s="62">
        <v>51161709</v>
      </c>
      <c r="B13253" s="63" t="s">
        <v>13898</v>
      </c>
    </row>
    <row r="13254" spans="1:2" x14ac:dyDescent="0.25">
      <c r="A13254" s="62">
        <v>51161710</v>
      </c>
      <c r="B13254" s="63" t="s">
        <v>13899</v>
      </c>
    </row>
    <row r="13255" spans="1:2" x14ac:dyDescent="0.25">
      <c r="A13255" s="62">
        <v>51161801</v>
      </c>
      <c r="B13255" s="63" t="s">
        <v>13900</v>
      </c>
    </row>
    <row r="13256" spans="1:2" x14ac:dyDescent="0.25">
      <c r="A13256" s="62">
        <v>51161802</v>
      </c>
      <c r="B13256" s="63" t="s">
        <v>13901</v>
      </c>
    </row>
    <row r="13257" spans="1:2" x14ac:dyDescent="0.25">
      <c r="A13257" s="62">
        <v>51161803</v>
      </c>
      <c r="B13257" s="63" t="s">
        <v>13902</v>
      </c>
    </row>
    <row r="13258" spans="1:2" x14ac:dyDescent="0.25">
      <c r="A13258" s="62">
        <v>51161805</v>
      </c>
      <c r="B13258" s="63" t="s">
        <v>13903</v>
      </c>
    </row>
    <row r="13259" spans="1:2" x14ac:dyDescent="0.25">
      <c r="A13259" s="62">
        <v>51161806</v>
      </c>
      <c r="B13259" s="63" t="s">
        <v>13904</v>
      </c>
    </row>
    <row r="13260" spans="1:2" x14ac:dyDescent="0.25">
      <c r="A13260" s="62">
        <v>51161808</v>
      </c>
      <c r="B13260" s="63" t="s">
        <v>13905</v>
      </c>
    </row>
    <row r="13261" spans="1:2" x14ac:dyDescent="0.25">
      <c r="A13261" s="62">
        <v>51161809</v>
      </c>
      <c r="B13261" s="63" t="s">
        <v>13906</v>
      </c>
    </row>
    <row r="13262" spans="1:2" x14ac:dyDescent="0.25">
      <c r="A13262" s="62">
        <v>51161810</v>
      </c>
      <c r="B13262" s="63" t="s">
        <v>13907</v>
      </c>
    </row>
    <row r="13263" spans="1:2" x14ac:dyDescent="0.25">
      <c r="A13263" s="62">
        <v>51161811</v>
      </c>
      <c r="B13263" s="63" t="s">
        <v>13908</v>
      </c>
    </row>
    <row r="13264" spans="1:2" x14ac:dyDescent="0.25">
      <c r="A13264" s="62">
        <v>51161812</v>
      </c>
      <c r="B13264" s="63" t="s">
        <v>13909</v>
      </c>
    </row>
    <row r="13265" spans="1:2" x14ac:dyDescent="0.25">
      <c r="A13265" s="62">
        <v>51161813</v>
      </c>
      <c r="B13265" s="63" t="s">
        <v>13910</v>
      </c>
    </row>
    <row r="13266" spans="1:2" x14ac:dyDescent="0.25">
      <c r="A13266" s="62">
        <v>51161814</v>
      </c>
      <c r="B13266" s="63" t="s">
        <v>13911</v>
      </c>
    </row>
    <row r="13267" spans="1:2" x14ac:dyDescent="0.25">
      <c r="A13267" s="62">
        <v>51161815</v>
      </c>
      <c r="B13267" s="63" t="s">
        <v>13912</v>
      </c>
    </row>
    <row r="13268" spans="1:2" x14ac:dyDescent="0.25">
      <c r="A13268" s="62">
        <v>51161817</v>
      </c>
      <c r="B13268" s="63" t="s">
        <v>13913</v>
      </c>
    </row>
    <row r="13269" spans="1:2" x14ac:dyDescent="0.25">
      <c r="A13269" s="62">
        <v>51161818</v>
      </c>
      <c r="B13269" s="63" t="s">
        <v>13914</v>
      </c>
    </row>
    <row r="13270" spans="1:2" x14ac:dyDescent="0.25">
      <c r="A13270" s="62">
        <v>51161819</v>
      </c>
      <c r="B13270" s="63" t="s">
        <v>13915</v>
      </c>
    </row>
    <row r="13271" spans="1:2" x14ac:dyDescent="0.25">
      <c r="A13271" s="62">
        <v>51161820</v>
      </c>
      <c r="B13271" s="63" t="s">
        <v>13916</v>
      </c>
    </row>
    <row r="13272" spans="1:2" x14ac:dyDescent="0.25">
      <c r="A13272" s="62">
        <v>51161901</v>
      </c>
      <c r="B13272" s="63" t="s">
        <v>13917</v>
      </c>
    </row>
    <row r="13273" spans="1:2" x14ac:dyDescent="0.25">
      <c r="A13273" s="62">
        <v>51161903</v>
      </c>
      <c r="B13273" s="63" t="s">
        <v>13918</v>
      </c>
    </row>
    <row r="13274" spans="1:2" x14ac:dyDescent="0.25">
      <c r="A13274" s="62">
        <v>51171501</v>
      </c>
      <c r="B13274" s="63" t="s">
        <v>13919</v>
      </c>
    </row>
    <row r="13275" spans="1:2" x14ac:dyDescent="0.25">
      <c r="A13275" s="62">
        <v>51171502</v>
      </c>
      <c r="B13275" s="63" t="s">
        <v>13920</v>
      </c>
    </row>
    <row r="13276" spans="1:2" x14ac:dyDescent="0.25">
      <c r="A13276" s="62">
        <v>51171503</v>
      </c>
      <c r="B13276" s="63" t="s">
        <v>13921</v>
      </c>
    </row>
    <row r="13277" spans="1:2" x14ac:dyDescent="0.25">
      <c r="A13277" s="62">
        <v>51171504</v>
      </c>
      <c r="B13277" s="63" t="s">
        <v>13922</v>
      </c>
    </row>
    <row r="13278" spans="1:2" x14ac:dyDescent="0.25">
      <c r="A13278" s="62">
        <v>51171505</v>
      </c>
      <c r="B13278" s="63" t="s">
        <v>13923</v>
      </c>
    </row>
    <row r="13279" spans="1:2" x14ac:dyDescent="0.25">
      <c r="A13279" s="62">
        <v>51171507</v>
      </c>
      <c r="B13279" s="63" t="s">
        <v>13924</v>
      </c>
    </row>
    <row r="13280" spans="1:2" x14ac:dyDescent="0.25">
      <c r="A13280" s="62">
        <v>51171508</v>
      </c>
      <c r="B13280" s="63" t="s">
        <v>13925</v>
      </c>
    </row>
    <row r="13281" spans="1:2" x14ac:dyDescent="0.25">
      <c r="A13281" s="62">
        <v>51171509</v>
      </c>
      <c r="B13281" s="63" t="s">
        <v>13926</v>
      </c>
    </row>
    <row r="13282" spans="1:2" x14ac:dyDescent="0.25">
      <c r="A13282" s="62">
        <v>51171510</v>
      </c>
      <c r="B13282" s="63" t="s">
        <v>13927</v>
      </c>
    </row>
    <row r="13283" spans="1:2" x14ac:dyDescent="0.25">
      <c r="A13283" s="62">
        <v>51171511</v>
      </c>
      <c r="B13283" s="63" t="s">
        <v>13928</v>
      </c>
    </row>
    <row r="13284" spans="1:2" x14ac:dyDescent="0.25">
      <c r="A13284" s="62">
        <v>51171513</v>
      </c>
      <c r="B13284" s="63" t="s">
        <v>13929</v>
      </c>
    </row>
    <row r="13285" spans="1:2" x14ac:dyDescent="0.25">
      <c r="A13285" s="62">
        <v>51171601</v>
      </c>
      <c r="B13285" s="63" t="s">
        <v>13930</v>
      </c>
    </row>
    <row r="13286" spans="1:2" x14ac:dyDescent="0.25">
      <c r="A13286" s="62">
        <v>51171602</v>
      </c>
      <c r="B13286" s="63" t="s">
        <v>13931</v>
      </c>
    </row>
    <row r="13287" spans="1:2" x14ac:dyDescent="0.25">
      <c r="A13287" s="62">
        <v>51171603</v>
      </c>
      <c r="B13287" s="63" t="s">
        <v>13932</v>
      </c>
    </row>
    <row r="13288" spans="1:2" x14ac:dyDescent="0.25">
      <c r="A13288" s="62">
        <v>51171604</v>
      </c>
      <c r="B13288" s="63" t="s">
        <v>13933</v>
      </c>
    </row>
    <row r="13289" spans="1:2" x14ac:dyDescent="0.25">
      <c r="A13289" s="62">
        <v>51171605</v>
      </c>
      <c r="B13289" s="63" t="s">
        <v>13934</v>
      </c>
    </row>
    <row r="13290" spans="1:2" x14ac:dyDescent="0.25">
      <c r="A13290" s="62">
        <v>51171606</v>
      </c>
      <c r="B13290" s="63" t="s">
        <v>13935</v>
      </c>
    </row>
    <row r="13291" spans="1:2" x14ac:dyDescent="0.25">
      <c r="A13291" s="62">
        <v>51171607</v>
      </c>
      <c r="B13291" s="63" t="s">
        <v>13936</v>
      </c>
    </row>
    <row r="13292" spans="1:2" x14ac:dyDescent="0.25">
      <c r="A13292" s="62">
        <v>51171608</v>
      </c>
      <c r="B13292" s="63" t="s">
        <v>13937</v>
      </c>
    </row>
    <row r="13293" spans="1:2" x14ac:dyDescent="0.25">
      <c r="A13293" s="62">
        <v>51171609</v>
      </c>
      <c r="B13293" s="63" t="s">
        <v>13938</v>
      </c>
    </row>
    <row r="13294" spans="1:2" x14ac:dyDescent="0.25">
      <c r="A13294" s="62">
        <v>51171610</v>
      </c>
      <c r="B13294" s="63" t="s">
        <v>13939</v>
      </c>
    </row>
    <row r="13295" spans="1:2" x14ac:dyDescent="0.25">
      <c r="A13295" s="62">
        <v>51171611</v>
      </c>
      <c r="B13295" s="63" t="s">
        <v>13940</v>
      </c>
    </row>
    <row r="13296" spans="1:2" x14ac:dyDescent="0.25">
      <c r="A13296" s="62">
        <v>51171612</v>
      </c>
      <c r="B13296" s="63" t="s">
        <v>13941</v>
      </c>
    </row>
    <row r="13297" spans="1:2" x14ac:dyDescent="0.25">
      <c r="A13297" s="62">
        <v>51171613</v>
      </c>
      <c r="B13297" s="63" t="s">
        <v>13942</v>
      </c>
    </row>
    <row r="13298" spans="1:2" x14ac:dyDescent="0.25">
      <c r="A13298" s="62">
        <v>51171614</v>
      </c>
      <c r="B13298" s="63" t="s">
        <v>13943</v>
      </c>
    </row>
    <row r="13299" spans="1:2" x14ac:dyDescent="0.25">
      <c r="A13299" s="62">
        <v>51171615</v>
      </c>
      <c r="B13299" s="63" t="s">
        <v>13944</v>
      </c>
    </row>
    <row r="13300" spans="1:2" x14ac:dyDescent="0.25">
      <c r="A13300" s="62">
        <v>51171616</v>
      </c>
      <c r="B13300" s="63" t="s">
        <v>13945</v>
      </c>
    </row>
    <row r="13301" spans="1:2" x14ac:dyDescent="0.25">
      <c r="A13301" s="62">
        <v>51171617</v>
      </c>
      <c r="B13301" s="63" t="s">
        <v>13946</v>
      </c>
    </row>
    <row r="13302" spans="1:2" x14ac:dyDescent="0.25">
      <c r="A13302" s="62">
        <v>51171618</v>
      </c>
      <c r="B13302" s="63" t="s">
        <v>13947</v>
      </c>
    </row>
    <row r="13303" spans="1:2" x14ac:dyDescent="0.25">
      <c r="A13303" s="62">
        <v>51171619</v>
      </c>
      <c r="B13303" s="63" t="s">
        <v>13948</v>
      </c>
    </row>
    <row r="13304" spans="1:2" x14ac:dyDescent="0.25">
      <c r="A13304" s="62">
        <v>51171620</v>
      </c>
      <c r="B13304" s="63" t="s">
        <v>13949</v>
      </c>
    </row>
    <row r="13305" spans="1:2" x14ac:dyDescent="0.25">
      <c r="A13305" s="62">
        <v>51171621</v>
      </c>
      <c r="B13305" s="63" t="s">
        <v>13950</v>
      </c>
    </row>
    <row r="13306" spans="1:2" x14ac:dyDescent="0.25">
      <c r="A13306" s="62">
        <v>51171622</v>
      </c>
      <c r="B13306" s="63" t="s">
        <v>13951</v>
      </c>
    </row>
    <row r="13307" spans="1:2" x14ac:dyDescent="0.25">
      <c r="A13307" s="62">
        <v>51171623</v>
      </c>
      <c r="B13307" s="63" t="s">
        <v>13952</v>
      </c>
    </row>
    <row r="13308" spans="1:2" x14ac:dyDescent="0.25">
      <c r="A13308" s="62">
        <v>51171624</v>
      </c>
      <c r="B13308" s="63" t="s">
        <v>13953</v>
      </c>
    </row>
    <row r="13309" spans="1:2" x14ac:dyDescent="0.25">
      <c r="A13309" s="62">
        <v>51171626</v>
      </c>
      <c r="B13309" s="63" t="s">
        <v>13954</v>
      </c>
    </row>
    <row r="13310" spans="1:2" x14ac:dyDescent="0.25">
      <c r="A13310" s="62">
        <v>51171627</v>
      </c>
      <c r="B13310" s="63" t="s">
        <v>13955</v>
      </c>
    </row>
    <row r="13311" spans="1:2" x14ac:dyDescent="0.25">
      <c r="A13311" s="62">
        <v>51171628</v>
      </c>
      <c r="B13311" s="63" t="s">
        <v>13956</v>
      </c>
    </row>
    <row r="13312" spans="1:2" x14ac:dyDescent="0.25">
      <c r="A13312" s="62">
        <v>51171629</v>
      </c>
      <c r="B13312" s="63" t="s">
        <v>13957</v>
      </c>
    </row>
    <row r="13313" spans="1:2" x14ac:dyDescent="0.25">
      <c r="A13313" s="62">
        <v>51171630</v>
      </c>
      <c r="B13313" s="63" t="s">
        <v>13958</v>
      </c>
    </row>
    <row r="13314" spans="1:2" x14ac:dyDescent="0.25">
      <c r="A13314" s="62">
        <v>51171631</v>
      </c>
      <c r="B13314" s="63" t="s">
        <v>13959</v>
      </c>
    </row>
    <row r="13315" spans="1:2" x14ac:dyDescent="0.25">
      <c r="A13315" s="62">
        <v>51171632</v>
      </c>
      <c r="B13315" s="63" t="s">
        <v>13960</v>
      </c>
    </row>
    <row r="13316" spans="1:2" x14ac:dyDescent="0.25">
      <c r="A13316" s="62">
        <v>51171701</v>
      </c>
      <c r="B13316" s="63" t="s">
        <v>13961</v>
      </c>
    </row>
    <row r="13317" spans="1:2" x14ac:dyDescent="0.25">
      <c r="A13317" s="62">
        <v>51171702</v>
      </c>
      <c r="B13317" s="63" t="s">
        <v>13962</v>
      </c>
    </row>
    <row r="13318" spans="1:2" x14ac:dyDescent="0.25">
      <c r="A13318" s="62">
        <v>51171703</v>
      </c>
      <c r="B13318" s="63" t="s">
        <v>13963</v>
      </c>
    </row>
    <row r="13319" spans="1:2" x14ac:dyDescent="0.25">
      <c r="A13319" s="62">
        <v>51171704</v>
      </c>
      <c r="B13319" s="63" t="s">
        <v>13964</v>
      </c>
    </row>
    <row r="13320" spans="1:2" x14ac:dyDescent="0.25">
      <c r="A13320" s="62">
        <v>51171706</v>
      </c>
      <c r="B13320" s="63" t="s">
        <v>13965</v>
      </c>
    </row>
    <row r="13321" spans="1:2" x14ac:dyDescent="0.25">
      <c r="A13321" s="62">
        <v>51171707</v>
      </c>
      <c r="B13321" s="63" t="s">
        <v>13966</v>
      </c>
    </row>
    <row r="13322" spans="1:2" x14ac:dyDescent="0.25">
      <c r="A13322" s="62">
        <v>51171708</v>
      </c>
      <c r="B13322" s="63" t="s">
        <v>13967</v>
      </c>
    </row>
    <row r="13323" spans="1:2" x14ac:dyDescent="0.25">
      <c r="A13323" s="62">
        <v>51171709</v>
      </c>
      <c r="B13323" s="63" t="s">
        <v>13968</v>
      </c>
    </row>
    <row r="13324" spans="1:2" x14ac:dyDescent="0.25">
      <c r="A13324" s="62">
        <v>51171710</v>
      </c>
      <c r="B13324" s="63" t="s">
        <v>13969</v>
      </c>
    </row>
    <row r="13325" spans="1:2" x14ac:dyDescent="0.25">
      <c r="A13325" s="62">
        <v>51171711</v>
      </c>
      <c r="B13325" s="63" t="s">
        <v>13970</v>
      </c>
    </row>
    <row r="13326" spans="1:2" x14ac:dyDescent="0.25">
      <c r="A13326" s="62">
        <v>51171712</v>
      </c>
      <c r="B13326" s="63" t="s">
        <v>13971</v>
      </c>
    </row>
    <row r="13327" spans="1:2" x14ac:dyDescent="0.25">
      <c r="A13327" s="62">
        <v>51171801</v>
      </c>
      <c r="B13327" s="63" t="s">
        <v>13972</v>
      </c>
    </row>
    <row r="13328" spans="1:2" x14ac:dyDescent="0.25">
      <c r="A13328" s="62">
        <v>51171802</v>
      </c>
      <c r="B13328" s="63" t="s">
        <v>13973</v>
      </c>
    </row>
    <row r="13329" spans="1:2" x14ac:dyDescent="0.25">
      <c r="A13329" s="62">
        <v>51171803</v>
      </c>
      <c r="B13329" s="63" t="s">
        <v>13974</v>
      </c>
    </row>
    <row r="13330" spans="1:2" x14ac:dyDescent="0.25">
      <c r="A13330" s="62">
        <v>51171804</v>
      </c>
      <c r="B13330" s="63" t="s">
        <v>13975</v>
      </c>
    </row>
    <row r="13331" spans="1:2" x14ac:dyDescent="0.25">
      <c r="A13331" s="62">
        <v>51171805</v>
      </c>
      <c r="B13331" s="63" t="s">
        <v>13976</v>
      </c>
    </row>
    <row r="13332" spans="1:2" x14ac:dyDescent="0.25">
      <c r="A13332" s="62">
        <v>51171806</v>
      </c>
      <c r="B13332" s="63" t="s">
        <v>13977</v>
      </c>
    </row>
    <row r="13333" spans="1:2" x14ac:dyDescent="0.25">
      <c r="A13333" s="62">
        <v>51171807</v>
      </c>
      <c r="B13333" s="63" t="s">
        <v>13978</v>
      </c>
    </row>
    <row r="13334" spans="1:2" x14ac:dyDescent="0.25">
      <c r="A13334" s="62">
        <v>51171808</v>
      </c>
      <c r="B13334" s="63" t="s">
        <v>13979</v>
      </c>
    </row>
    <row r="13335" spans="1:2" x14ac:dyDescent="0.25">
      <c r="A13335" s="62">
        <v>51171809</v>
      </c>
      <c r="B13335" s="63" t="s">
        <v>13980</v>
      </c>
    </row>
    <row r="13336" spans="1:2" x14ac:dyDescent="0.25">
      <c r="A13336" s="62">
        <v>51171811</v>
      </c>
      <c r="B13336" s="63" t="s">
        <v>13981</v>
      </c>
    </row>
    <row r="13337" spans="1:2" x14ac:dyDescent="0.25">
      <c r="A13337" s="62">
        <v>51171812</v>
      </c>
      <c r="B13337" s="63" t="s">
        <v>13982</v>
      </c>
    </row>
    <row r="13338" spans="1:2" x14ac:dyDescent="0.25">
      <c r="A13338" s="62">
        <v>51171813</v>
      </c>
      <c r="B13338" s="63" t="s">
        <v>13983</v>
      </c>
    </row>
    <row r="13339" spans="1:2" x14ac:dyDescent="0.25">
      <c r="A13339" s="62">
        <v>51171814</v>
      </c>
      <c r="B13339" s="63" t="s">
        <v>13984</v>
      </c>
    </row>
    <row r="13340" spans="1:2" x14ac:dyDescent="0.25">
      <c r="A13340" s="62">
        <v>51171815</v>
      </c>
      <c r="B13340" s="63" t="s">
        <v>13985</v>
      </c>
    </row>
    <row r="13341" spans="1:2" x14ac:dyDescent="0.25">
      <c r="A13341" s="62">
        <v>51171816</v>
      </c>
      <c r="B13341" s="63" t="s">
        <v>13986</v>
      </c>
    </row>
    <row r="13342" spans="1:2" x14ac:dyDescent="0.25">
      <c r="A13342" s="62">
        <v>51171817</v>
      </c>
      <c r="B13342" s="63" t="s">
        <v>13987</v>
      </c>
    </row>
    <row r="13343" spans="1:2" x14ac:dyDescent="0.25">
      <c r="A13343" s="62">
        <v>51171818</v>
      </c>
      <c r="B13343" s="63" t="s">
        <v>13988</v>
      </c>
    </row>
    <row r="13344" spans="1:2" x14ac:dyDescent="0.25">
      <c r="A13344" s="62">
        <v>51171819</v>
      </c>
      <c r="B13344" s="63" t="s">
        <v>13989</v>
      </c>
    </row>
    <row r="13345" spans="1:2" x14ac:dyDescent="0.25">
      <c r="A13345" s="62">
        <v>51171820</v>
      </c>
      <c r="B13345" s="63" t="s">
        <v>13990</v>
      </c>
    </row>
    <row r="13346" spans="1:2" x14ac:dyDescent="0.25">
      <c r="A13346" s="62">
        <v>51171821</v>
      </c>
      <c r="B13346" s="63" t="s">
        <v>13991</v>
      </c>
    </row>
    <row r="13347" spans="1:2" x14ac:dyDescent="0.25">
      <c r="A13347" s="62">
        <v>51171822</v>
      </c>
      <c r="B13347" s="63" t="s">
        <v>13992</v>
      </c>
    </row>
    <row r="13348" spans="1:2" x14ac:dyDescent="0.25">
      <c r="A13348" s="62">
        <v>51171901</v>
      </c>
      <c r="B13348" s="63" t="s">
        <v>13993</v>
      </c>
    </row>
    <row r="13349" spans="1:2" x14ac:dyDescent="0.25">
      <c r="A13349" s="62">
        <v>51171902</v>
      </c>
      <c r="B13349" s="63" t="s">
        <v>13994</v>
      </c>
    </row>
    <row r="13350" spans="1:2" x14ac:dyDescent="0.25">
      <c r="A13350" s="62">
        <v>51171903</v>
      </c>
      <c r="B13350" s="63" t="s">
        <v>13995</v>
      </c>
    </row>
    <row r="13351" spans="1:2" x14ac:dyDescent="0.25">
      <c r="A13351" s="62">
        <v>51171904</v>
      </c>
      <c r="B13351" s="63" t="s">
        <v>13996</v>
      </c>
    </row>
    <row r="13352" spans="1:2" x14ac:dyDescent="0.25">
      <c r="A13352" s="62">
        <v>51171905</v>
      </c>
      <c r="B13352" s="63" t="s">
        <v>13997</v>
      </c>
    </row>
    <row r="13353" spans="1:2" x14ac:dyDescent="0.25">
      <c r="A13353" s="62">
        <v>51171906</v>
      </c>
      <c r="B13353" s="63" t="s">
        <v>13998</v>
      </c>
    </row>
    <row r="13354" spans="1:2" x14ac:dyDescent="0.25">
      <c r="A13354" s="62">
        <v>51171907</v>
      </c>
      <c r="B13354" s="63" t="s">
        <v>13999</v>
      </c>
    </row>
    <row r="13355" spans="1:2" x14ac:dyDescent="0.25">
      <c r="A13355" s="62">
        <v>51171908</v>
      </c>
      <c r="B13355" s="63" t="s">
        <v>14000</v>
      </c>
    </row>
    <row r="13356" spans="1:2" x14ac:dyDescent="0.25">
      <c r="A13356" s="62">
        <v>51171909</v>
      </c>
      <c r="B13356" s="63" t="s">
        <v>14001</v>
      </c>
    </row>
    <row r="13357" spans="1:2" x14ac:dyDescent="0.25">
      <c r="A13357" s="62">
        <v>51171910</v>
      </c>
      <c r="B13357" s="63" t="s">
        <v>14002</v>
      </c>
    </row>
    <row r="13358" spans="1:2" x14ac:dyDescent="0.25">
      <c r="A13358" s="62">
        <v>51171911</v>
      </c>
      <c r="B13358" s="63" t="s">
        <v>14003</v>
      </c>
    </row>
    <row r="13359" spans="1:2" x14ac:dyDescent="0.25">
      <c r="A13359" s="62">
        <v>51171912</v>
      </c>
      <c r="B13359" s="63" t="s">
        <v>14004</v>
      </c>
    </row>
    <row r="13360" spans="1:2" x14ac:dyDescent="0.25">
      <c r="A13360" s="62">
        <v>51171913</v>
      </c>
      <c r="B13360" s="63" t="s">
        <v>14005</v>
      </c>
    </row>
    <row r="13361" spans="1:2" x14ac:dyDescent="0.25">
      <c r="A13361" s="62">
        <v>51171914</v>
      </c>
      <c r="B13361" s="63" t="s">
        <v>14006</v>
      </c>
    </row>
    <row r="13362" spans="1:2" x14ac:dyDescent="0.25">
      <c r="A13362" s="62">
        <v>51171915</v>
      </c>
      <c r="B13362" s="63" t="s">
        <v>14007</v>
      </c>
    </row>
    <row r="13363" spans="1:2" x14ac:dyDescent="0.25">
      <c r="A13363" s="62">
        <v>51171916</v>
      </c>
      <c r="B13363" s="63" t="s">
        <v>14008</v>
      </c>
    </row>
    <row r="13364" spans="1:2" x14ac:dyDescent="0.25">
      <c r="A13364" s="62">
        <v>51171917</v>
      </c>
      <c r="B13364" s="63" t="s">
        <v>14009</v>
      </c>
    </row>
    <row r="13365" spans="1:2" x14ac:dyDescent="0.25">
      <c r="A13365" s="62">
        <v>51171918</v>
      </c>
      <c r="B13365" s="63" t="s">
        <v>14010</v>
      </c>
    </row>
    <row r="13366" spans="1:2" x14ac:dyDescent="0.25">
      <c r="A13366" s="62">
        <v>51172001</v>
      </c>
      <c r="B13366" s="63" t="s">
        <v>14011</v>
      </c>
    </row>
    <row r="13367" spans="1:2" x14ac:dyDescent="0.25">
      <c r="A13367" s="62">
        <v>51172002</v>
      </c>
      <c r="B13367" s="63" t="s">
        <v>14012</v>
      </c>
    </row>
    <row r="13368" spans="1:2" x14ac:dyDescent="0.25">
      <c r="A13368" s="62">
        <v>51172003</v>
      </c>
      <c r="B13368" s="63" t="s">
        <v>14013</v>
      </c>
    </row>
    <row r="13369" spans="1:2" x14ac:dyDescent="0.25">
      <c r="A13369" s="62">
        <v>51172004</v>
      </c>
      <c r="B13369" s="63" t="s">
        <v>14014</v>
      </c>
    </row>
    <row r="13370" spans="1:2" x14ac:dyDescent="0.25">
      <c r="A13370" s="62">
        <v>51172101</v>
      </c>
      <c r="B13370" s="63" t="s">
        <v>14015</v>
      </c>
    </row>
    <row r="13371" spans="1:2" x14ac:dyDescent="0.25">
      <c r="A13371" s="62">
        <v>51172102</v>
      </c>
      <c r="B13371" s="63" t="s">
        <v>14016</v>
      </c>
    </row>
    <row r="13372" spans="1:2" x14ac:dyDescent="0.25">
      <c r="A13372" s="62">
        <v>51172103</v>
      </c>
      <c r="B13372" s="63" t="s">
        <v>14017</v>
      </c>
    </row>
    <row r="13373" spans="1:2" x14ac:dyDescent="0.25">
      <c r="A13373" s="62">
        <v>51172105</v>
      </c>
      <c r="B13373" s="63" t="s">
        <v>14018</v>
      </c>
    </row>
    <row r="13374" spans="1:2" x14ac:dyDescent="0.25">
      <c r="A13374" s="62">
        <v>51172106</v>
      </c>
      <c r="B13374" s="63" t="s">
        <v>14019</v>
      </c>
    </row>
    <row r="13375" spans="1:2" x14ac:dyDescent="0.25">
      <c r="A13375" s="62">
        <v>51172107</v>
      </c>
      <c r="B13375" s="63" t="s">
        <v>14020</v>
      </c>
    </row>
    <row r="13376" spans="1:2" x14ac:dyDescent="0.25">
      <c r="A13376" s="62">
        <v>51172108</v>
      </c>
      <c r="B13376" s="63" t="s">
        <v>14021</v>
      </c>
    </row>
    <row r="13377" spans="1:2" x14ac:dyDescent="0.25">
      <c r="A13377" s="62">
        <v>51172109</v>
      </c>
      <c r="B13377" s="63" t="s">
        <v>14022</v>
      </c>
    </row>
    <row r="13378" spans="1:2" x14ac:dyDescent="0.25">
      <c r="A13378" s="62">
        <v>51172110</v>
      </c>
      <c r="B13378" s="63" t="s">
        <v>14023</v>
      </c>
    </row>
    <row r="13379" spans="1:2" x14ac:dyDescent="0.25">
      <c r="A13379" s="62">
        <v>51172111</v>
      </c>
      <c r="B13379" s="63" t="s">
        <v>14024</v>
      </c>
    </row>
    <row r="13380" spans="1:2" x14ac:dyDescent="0.25">
      <c r="A13380" s="62">
        <v>51181501</v>
      </c>
      <c r="B13380" s="63" t="s">
        <v>14025</v>
      </c>
    </row>
    <row r="13381" spans="1:2" x14ac:dyDescent="0.25">
      <c r="A13381" s="62">
        <v>51181502</v>
      </c>
      <c r="B13381" s="63" t="s">
        <v>14026</v>
      </c>
    </row>
    <row r="13382" spans="1:2" x14ac:dyDescent="0.25">
      <c r="A13382" s="62">
        <v>51181503</v>
      </c>
      <c r="B13382" s="63" t="s">
        <v>14027</v>
      </c>
    </row>
    <row r="13383" spans="1:2" x14ac:dyDescent="0.25">
      <c r="A13383" s="62">
        <v>51181504</v>
      </c>
      <c r="B13383" s="63" t="s">
        <v>14028</v>
      </c>
    </row>
    <row r="13384" spans="1:2" x14ac:dyDescent="0.25">
      <c r="A13384" s="62">
        <v>51181505</v>
      </c>
      <c r="B13384" s="63" t="s">
        <v>14029</v>
      </c>
    </row>
    <row r="13385" spans="1:2" x14ac:dyDescent="0.25">
      <c r="A13385" s="62">
        <v>51181506</v>
      </c>
      <c r="B13385" s="63" t="s">
        <v>14030</v>
      </c>
    </row>
    <row r="13386" spans="1:2" x14ac:dyDescent="0.25">
      <c r="A13386" s="62">
        <v>51181508</v>
      </c>
      <c r="B13386" s="63" t="s">
        <v>14031</v>
      </c>
    </row>
    <row r="13387" spans="1:2" x14ac:dyDescent="0.25">
      <c r="A13387" s="62">
        <v>51181509</v>
      </c>
      <c r="B13387" s="63" t="s">
        <v>14032</v>
      </c>
    </row>
    <row r="13388" spans="1:2" x14ac:dyDescent="0.25">
      <c r="A13388" s="62">
        <v>51181510</v>
      </c>
      <c r="B13388" s="63" t="s">
        <v>14033</v>
      </c>
    </row>
    <row r="13389" spans="1:2" x14ac:dyDescent="0.25">
      <c r="A13389" s="62">
        <v>51181511</v>
      </c>
      <c r="B13389" s="63" t="s">
        <v>14034</v>
      </c>
    </row>
    <row r="13390" spans="1:2" x14ac:dyDescent="0.25">
      <c r="A13390" s="62">
        <v>51181513</v>
      </c>
      <c r="B13390" s="63" t="s">
        <v>14035</v>
      </c>
    </row>
    <row r="13391" spans="1:2" x14ac:dyDescent="0.25">
      <c r="A13391" s="62">
        <v>51181514</v>
      </c>
      <c r="B13391" s="63" t="s">
        <v>14036</v>
      </c>
    </row>
    <row r="13392" spans="1:2" x14ac:dyDescent="0.25">
      <c r="A13392" s="62">
        <v>51181515</v>
      </c>
      <c r="B13392" s="63" t="s">
        <v>14037</v>
      </c>
    </row>
    <row r="13393" spans="1:2" x14ac:dyDescent="0.25">
      <c r="A13393" s="62">
        <v>51181516</v>
      </c>
      <c r="B13393" s="63" t="s">
        <v>14038</v>
      </c>
    </row>
    <row r="13394" spans="1:2" x14ac:dyDescent="0.25">
      <c r="A13394" s="62">
        <v>51181517</v>
      </c>
      <c r="B13394" s="63" t="s">
        <v>14039</v>
      </c>
    </row>
    <row r="13395" spans="1:2" x14ac:dyDescent="0.25">
      <c r="A13395" s="62">
        <v>51181519</v>
      </c>
      <c r="B13395" s="63" t="s">
        <v>14040</v>
      </c>
    </row>
    <row r="13396" spans="1:2" x14ac:dyDescent="0.25">
      <c r="A13396" s="62">
        <v>51181520</v>
      </c>
      <c r="B13396" s="63" t="s">
        <v>14041</v>
      </c>
    </row>
    <row r="13397" spans="1:2" x14ac:dyDescent="0.25">
      <c r="A13397" s="62">
        <v>51181521</v>
      </c>
      <c r="B13397" s="63" t="s">
        <v>14042</v>
      </c>
    </row>
    <row r="13398" spans="1:2" x14ac:dyDescent="0.25">
      <c r="A13398" s="62">
        <v>51181522</v>
      </c>
      <c r="B13398" s="63" t="s">
        <v>14043</v>
      </c>
    </row>
    <row r="13399" spans="1:2" x14ac:dyDescent="0.25">
      <c r="A13399" s="62">
        <v>51181523</v>
      </c>
      <c r="B13399" s="63" t="s">
        <v>14044</v>
      </c>
    </row>
    <row r="13400" spans="1:2" x14ac:dyDescent="0.25">
      <c r="A13400" s="62">
        <v>51181524</v>
      </c>
      <c r="B13400" s="63" t="s">
        <v>14045</v>
      </c>
    </row>
    <row r="13401" spans="1:2" x14ac:dyDescent="0.25">
      <c r="A13401" s="62">
        <v>51181601</v>
      </c>
      <c r="B13401" s="63" t="s">
        <v>14046</v>
      </c>
    </row>
    <row r="13402" spans="1:2" x14ac:dyDescent="0.25">
      <c r="A13402" s="62">
        <v>51181602</v>
      </c>
      <c r="B13402" s="63" t="s">
        <v>14047</v>
      </c>
    </row>
    <row r="13403" spans="1:2" x14ac:dyDescent="0.25">
      <c r="A13403" s="62">
        <v>51181603</v>
      </c>
      <c r="B13403" s="63" t="s">
        <v>14048</v>
      </c>
    </row>
    <row r="13404" spans="1:2" x14ac:dyDescent="0.25">
      <c r="A13404" s="62">
        <v>51181604</v>
      </c>
      <c r="B13404" s="63" t="s">
        <v>14049</v>
      </c>
    </row>
    <row r="13405" spans="1:2" x14ac:dyDescent="0.25">
      <c r="A13405" s="62">
        <v>51181605</v>
      </c>
      <c r="B13405" s="63" t="s">
        <v>14050</v>
      </c>
    </row>
    <row r="13406" spans="1:2" x14ac:dyDescent="0.25">
      <c r="A13406" s="62">
        <v>51181606</v>
      </c>
      <c r="B13406" s="63" t="s">
        <v>14051</v>
      </c>
    </row>
    <row r="13407" spans="1:2" x14ac:dyDescent="0.25">
      <c r="A13407" s="62">
        <v>51181607</v>
      </c>
      <c r="B13407" s="63" t="s">
        <v>14052</v>
      </c>
    </row>
    <row r="13408" spans="1:2" x14ac:dyDescent="0.25">
      <c r="A13408" s="62">
        <v>51181608</v>
      </c>
      <c r="B13408" s="63" t="s">
        <v>14053</v>
      </c>
    </row>
    <row r="13409" spans="1:2" x14ac:dyDescent="0.25">
      <c r="A13409" s="62">
        <v>51181609</v>
      </c>
      <c r="B13409" s="63" t="s">
        <v>14054</v>
      </c>
    </row>
    <row r="13410" spans="1:2" x14ac:dyDescent="0.25">
      <c r="A13410" s="62">
        <v>51181701</v>
      </c>
      <c r="B13410" s="63" t="s">
        <v>14055</v>
      </c>
    </row>
    <row r="13411" spans="1:2" x14ac:dyDescent="0.25">
      <c r="A13411" s="62">
        <v>51181702</v>
      </c>
      <c r="B13411" s="63" t="s">
        <v>14056</v>
      </c>
    </row>
    <row r="13412" spans="1:2" x14ac:dyDescent="0.25">
      <c r="A13412" s="62">
        <v>51181703</v>
      </c>
      <c r="B13412" s="63" t="s">
        <v>14057</v>
      </c>
    </row>
    <row r="13413" spans="1:2" x14ac:dyDescent="0.25">
      <c r="A13413" s="62">
        <v>51181704</v>
      </c>
      <c r="B13413" s="63" t="s">
        <v>14058</v>
      </c>
    </row>
    <row r="13414" spans="1:2" x14ac:dyDescent="0.25">
      <c r="A13414" s="62">
        <v>51181705</v>
      </c>
      <c r="B13414" s="63" t="s">
        <v>14059</v>
      </c>
    </row>
    <row r="13415" spans="1:2" x14ac:dyDescent="0.25">
      <c r="A13415" s="62">
        <v>51181706</v>
      </c>
      <c r="B13415" s="63" t="s">
        <v>14060</v>
      </c>
    </row>
    <row r="13416" spans="1:2" x14ac:dyDescent="0.25">
      <c r="A13416" s="62">
        <v>51181707</v>
      </c>
      <c r="B13416" s="63" t="s">
        <v>14061</v>
      </c>
    </row>
    <row r="13417" spans="1:2" x14ac:dyDescent="0.25">
      <c r="A13417" s="62">
        <v>51181708</v>
      </c>
      <c r="B13417" s="63" t="s">
        <v>14062</v>
      </c>
    </row>
    <row r="13418" spans="1:2" x14ac:dyDescent="0.25">
      <c r="A13418" s="62">
        <v>51181709</v>
      </c>
      <c r="B13418" s="63" t="s">
        <v>14063</v>
      </c>
    </row>
    <row r="13419" spans="1:2" x14ac:dyDescent="0.25">
      <c r="A13419" s="62">
        <v>51181710</v>
      </c>
      <c r="B13419" s="63" t="s">
        <v>14064</v>
      </c>
    </row>
    <row r="13420" spans="1:2" x14ac:dyDescent="0.25">
      <c r="A13420" s="62">
        <v>51181711</v>
      </c>
      <c r="B13420" s="63" t="s">
        <v>14065</v>
      </c>
    </row>
    <row r="13421" spans="1:2" x14ac:dyDescent="0.25">
      <c r="A13421" s="62">
        <v>51181712</v>
      </c>
      <c r="B13421" s="63" t="s">
        <v>14066</v>
      </c>
    </row>
    <row r="13422" spans="1:2" x14ac:dyDescent="0.25">
      <c r="A13422" s="62">
        <v>51181713</v>
      </c>
      <c r="B13422" s="63" t="s">
        <v>14067</v>
      </c>
    </row>
    <row r="13423" spans="1:2" x14ac:dyDescent="0.25">
      <c r="A13423" s="62">
        <v>51181714</v>
      </c>
      <c r="B13423" s="63" t="s">
        <v>14068</v>
      </c>
    </row>
    <row r="13424" spans="1:2" x14ac:dyDescent="0.25">
      <c r="A13424" s="62">
        <v>51181715</v>
      </c>
      <c r="B13424" s="63" t="s">
        <v>14069</v>
      </c>
    </row>
    <row r="13425" spans="1:2" x14ac:dyDescent="0.25">
      <c r="A13425" s="62">
        <v>51181716</v>
      </c>
      <c r="B13425" s="63" t="s">
        <v>14070</v>
      </c>
    </row>
    <row r="13426" spans="1:2" x14ac:dyDescent="0.25">
      <c r="A13426" s="62">
        <v>51181717</v>
      </c>
      <c r="B13426" s="63" t="s">
        <v>14071</v>
      </c>
    </row>
    <row r="13427" spans="1:2" x14ac:dyDescent="0.25">
      <c r="A13427" s="62">
        <v>51181718</v>
      </c>
      <c r="B13427" s="63" t="s">
        <v>14072</v>
      </c>
    </row>
    <row r="13428" spans="1:2" x14ac:dyDescent="0.25">
      <c r="A13428" s="62">
        <v>51181719</v>
      </c>
      <c r="B13428" s="63" t="s">
        <v>14073</v>
      </c>
    </row>
    <row r="13429" spans="1:2" x14ac:dyDescent="0.25">
      <c r="A13429" s="62">
        <v>51181720</v>
      </c>
      <c r="B13429" s="63" t="s">
        <v>14074</v>
      </c>
    </row>
    <row r="13430" spans="1:2" x14ac:dyDescent="0.25">
      <c r="A13430" s="62">
        <v>51181721</v>
      </c>
      <c r="B13430" s="63" t="s">
        <v>14075</v>
      </c>
    </row>
    <row r="13431" spans="1:2" x14ac:dyDescent="0.25">
      <c r="A13431" s="62">
        <v>51181722</v>
      </c>
      <c r="B13431" s="63" t="s">
        <v>14076</v>
      </c>
    </row>
    <row r="13432" spans="1:2" x14ac:dyDescent="0.25">
      <c r="A13432" s="62">
        <v>51181723</v>
      </c>
      <c r="B13432" s="63" t="s">
        <v>14077</v>
      </c>
    </row>
    <row r="13433" spans="1:2" x14ac:dyDescent="0.25">
      <c r="A13433" s="62">
        <v>51181724</v>
      </c>
      <c r="B13433" s="63" t="s">
        <v>14078</v>
      </c>
    </row>
    <row r="13434" spans="1:2" x14ac:dyDescent="0.25">
      <c r="A13434" s="62">
        <v>51181725</v>
      </c>
      <c r="B13434" s="63" t="s">
        <v>14079</v>
      </c>
    </row>
    <row r="13435" spans="1:2" x14ac:dyDescent="0.25">
      <c r="A13435" s="62">
        <v>51181726</v>
      </c>
      <c r="B13435" s="63" t="s">
        <v>14080</v>
      </c>
    </row>
    <row r="13436" spans="1:2" x14ac:dyDescent="0.25">
      <c r="A13436" s="62">
        <v>51181727</v>
      </c>
      <c r="B13436" s="63" t="s">
        <v>14081</v>
      </c>
    </row>
    <row r="13437" spans="1:2" x14ac:dyDescent="0.25">
      <c r="A13437" s="62">
        <v>51181728</v>
      </c>
      <c r="B13437" s="63" t="s">
        <v>14082</v>
      </c>
    </row>
    <row r="13438" spans="1:2" x14ac:dyDescent="0.25">
      <c r="A13438" s="62">
        <v>51181729</v>
      </c>
      <c r="B13438" s="63" t="s">
        <v>14083</v>
      </c>
    </row>
    <row r="13439" spans="1:2" x14ac:dyDescent="0.25">
      <c r="A13439" s="62">
        <v>51181730</v>
      </c>
      <c r="B13439" s="63" t="s">
        <v>14084</v>
      </c>
    </row>
    <row r="13440" spans="1:2" x14ac:dyDescent="0.25">
      <c r="A13440" s="62">
        <v>51181731</v>
      </c>
      <c r="B13440" s="63" t="s">
        <v>14085</v>
      </c>
    </row>
    <row r="13441" spans="1:2" x14ac:dyDescent="0.25">
      <c r="A13441" s="62">
        <v>51181732</v>
      </c>
      <c r="B13441" s="63" t="s">
        <v>14086</v>
      </c>
    </row>
    <row r="13442" spans="1:2" x14ac:dyDescent="0.25">
      <c r="A13442" s="62">
        <v>51181733</v>
      </c>
      <c r="B13442" s="63" t="s">
        <v>14087</v>
      </c>
    </row>
    <row r="13443" spans="1:2" x14ac:dyDescent="0.25">
      <c r="A13443" s="62">
        <v>51181734</v>
      </c>
      <c r="B13443" s="63" t="s">
        <v>14088</v>
      </c>
    </row>
    <row r="13444" spans="1:2" x14ac:dyDescent="0.25">
      <c r="A13444" s="62">
        <v>51181735</v>
      </c>
      <c r="B13444" s="63" t="s">
        <v>14089</v>
      </c>
    </row>
    <row r="13445" spans="1:2" x14ac:dyDescent="0.25">
      <c r="A13445" s="62">
        <v>51181736</v>
      </c>
      <c r="B13445" s="63" t="s">
        <v>14090</v>
      </c>
    </row>
    <row r="13446" spans="1:2" x14ac:dyDescent="0.25">
      <c r="A13446" s="62">
        <v>51181737</v>
      </c>
      <c r="B13446" s="63" t="s">
        <v>14091</v>
      </c>
    </row>
    <row r="13447" spans="1:2" x14ac:dyDescent="0.25">
      <c r="A13447" s="62">
        <v>51181738</v>
      </c>
      <c r="B13447" s="63" t="s">
        <v>14092</v>
      </c>
    </row>
    <row r="13448" spans="1:2" x14ac:dyDescent="0.25">
      <c r="A13448" s="62">
        <v>51181739</v>
      </c>
      <c r="B13448" s="63" t="s">
        <v>14093</v>
      </c>
    </row>
    <row r="13449" spans="1:2" x14ac:dyDescent="0.25">
      <c r="A13449" s="62">
        <v>51181740</v>
      </c>
      <c r="B13449" s="63" t="s">
        <v>14094</v>
      </c>
    </row>
    <row r="13450" spans="1:2" x14ac:dyDescent="0.25">
      <c r="A13450" s="62">
        <v>51181741</v>
      </c>
      <c r="B13450" s="63" t="s">
        <v>14095</v>
      </c>
    </row>
    <row r="13451" spans="1:2" x14ac:dyDescent="0.25">
      <c r="A13451" s="62">
        <v>51181742</v>
      </c>
      <c r="B13451" s="63" t="s">
        <v>14096</v>
      </c>
    </row>
    <row r="13452" spans="1:2" x14ac:dyDescent="0.25">
      <c r="A13452" s="62">
        <v>51181743</v>
      </c>
      <c r="B13452" s="63" t="s">
        <v>14097</v>
      </c>
    </row>
    <row r="13453" spans="1:2" x14ac:dyDescent="0.25">
      <c r="A13453" s="62">
        <v>51181744</v>
      </c>
      <c r="B13453" s="63" t="s">
        <v>14098</v>
      </c>
    </row>
    <row r="13454" spans="1:2" x14ac:dyDescent="0.25">
      <c r="A13454" s="62">
        <v>51181745</v>
      </c>
      <c r="B13454" s="63" t="s">
        <v>14099</v>
      </c>
    </row>
    <row r="13455" spans="1:2" x14ac:dyDescent="0.25">
      <c r="A13455" s="62">
        <v>51181746</v>
      </c>
      <c r="B13455" s="63" t="s">
        <v>14100</v>
      </c>
    </row>
    <row r="13456" spans="1:2" x14ac:dyDescent="0.25">
      <c r="A13456" s="62">
        <v>51181747</v>
      </c>
      <c r="B13456" s="63" t="s">
        <v>14101</v>
      </c>
    </row>
    <row r="13457" spans="1:2" x14ac:dyDescent="0.25">
      <c r="A13457" s="62">
        <v>51181748</v>
      </c>
      <c r="B13457" s="63" t="s">
        <v>14102</v>
      </c>
    </row>
    <row r="13458" spans="1:2" x14ac:dyDescent="0.25">
      <c r="A13458" s="62">
        <v>51181749</v>
      </c>
      <c r="B13458" s="63" t="s">
        <v>14103</v>
      </c>
    </row>
    <row r="13459" spans="1:2" x14ac:dyDescent="0.25">
      <c r="A13459" s="62">
        <v>51181750</v>
      </c>
      <c r="B13459" s="63" t="s">
        <v>14104</v>
      </c>
    </row>
    <row r="13460" spans="1:2" x14ac:dyDescent="0.25">
      <c r="A13460" s="62">
        <v>51181751</v>
      </c>
      <c r="B13460" s="63" t="s">
        <v>14105</v>
      </c>
    </row>
    <row r="13461" spans="1:2" x14ac:dyDescent="0.25">
      <c r="A13461" s="62">
        <v>51181752</v>
      </c>
      <c r="B13461" s="63" t="s">
        <v>14106</v>
      </c>
    </row>
    <row r="13462" spans="1:2" x14ac:dyDescent="0.25">
      <c r="A13462" s="62">
        <v>51181753</v>
      </c>
      <c r="B13462" s="63" t="s">
        <v>14107</v>
      </c>
    </row>
    <row r="13463" spans="1:2" x14ac:dyDescent="0.25">
      <c r="A13463" s="62">
        <v>51181754</v>
      </c>
      <c r="B13463" s="63" t="s">
        <v>14108</v>
      </c>
    </row>
    <row r="13464" spans="1:2" x14ac:dyDescent="0.25">
      <c r="A13464" s="62">
        <v>51181755</v>
      </c>
      <c r="B13464" s="63" t="s">
        <v>14109</v>
      </c>
    </row>
    <row r="13465" spans="1:2" x14ac:dyDescent="0.25">
      <c r="A13465" s="62">
        <v>51181801</v>
      </c>
      <c r="B13465" s="63" t="s">
        <v>14110</v>
      </c>
    </row>
    <row r="13466" spans="1:2" x14ac:dyDescent="0.25">
      <c r="A13466" s="62">
        <v>51181802</v>
      </c>
      <c r="B13466" s="63" t="s">
        <v>14111</v>
      </c>
    </row>
    <row r="13467" spans="1:2" x14ac:dyDescent="0.25">
      <c r="A13467" s="62">
        <v>51181803</v>
      </c>
      <c r="B13467" s="63" t="s">
        <v>14112</v>
      </c>
    </row>
    <row r="13468" spans="1:2" x14ac:dyDescent="0.25">
      <c r="A13468" s="62">
        <v>51181804</v>
      </c>
      <c r="B13468" s="63" t="s">
        <v>14113</v>
      </c>
    </row>
    <row r="13469" spans="1:2" x14ac:dyDescent="0.25">
      <c r="A13469" s="62">
        <v>51181805</v>
      </c>
      <c r="B13469" s="63" t="s">
        <v>14114</v>
      </c>
    </row>
    <row r="13470" spans="1:2" x14ac:dyDescent="0.25">
      <c r="A13470" s="62">
        <v>51181806</v>
      </c>
      <c r="B13470" s="63" t="s">
        <v>14115</v>
      </c>
    </row>
    <row r="13471" spans="1:2" x14ac:dyDescent="0.25">
      <c r="A13471" s="62">
        <v>51181807</v>
      </c>
      <c r="B13471" s="63" t="s">
        <v>14116</v>
      </c>
    </row>
    <row r="13472" spans="1:2" x14ac:dyDescent="0.25">
      <c r="A13472" s="62">
        <v>51181808</v>
      </c>
      <c r="B13472" s="63" t="s">
        <v>14117</v>
      </c>
    </row>
    <row r="13473" spans="1:2" x14ac:dyDescent="0.25">
      <c r="A13473" s="62">
        <v>51181810</v>
      </c>
      <c r="B13473" s="63" t="s">
        <v>14118</v>
      </c>
    </row>
    <row r="13474" spans="1:2" x14ac:dyDescent="0.25">
      <c r="A13474" s="62">
        <v>51181811</v>
      </c>
      <c r="B13474" s="63" t="s">
        <v>14119</v>
      </c>
    </row>
    <row r="13475" spans="1:2" x14ac:dyDescent="0.25">
      <c r="A13475" s="62">
        <v>51181812</v>
      </c>
      <c r="B13475" s="63" t="s">
        <v>14120</v>
      </c>
    </row>
    <row r="13476" spans="1:2" x14ac:dyDescent="0.25">
      <c r="A13476" s="62">
        <v>51181813</v>
      </c>
      <c r="B13476" s="63" t="s">
        <v>14121</v>
      </c>
    </row>
    <row r="13477" spans="1:2" x14ac:dyDescent="0.25">
      <c r="A13477" s="62">
        <v>51181814</v>
      </c>
      <c r="B13477" s="63" t="s">
        <v>14122</v>
      </c>
    </row>
    <row r="13478" spans="1:2" x14ac:dyDescent="0.25">
      <c r="A13478" s="62">
        <v>51181815</v>
      </c>
      <c r="B13478" s="63" t="s">
        <v>14123</v>
      </c>
    </row>
    <row r="13479" spans="1:2" x14ac:dyDescent="0.25">
      <c r="A13479" s="62">
        <v>51181816</v>
      </c>
      <c r="B13479" s="63" t="s">
        <v>14124</v>
      </c>
    </row>
    <row r="13480" spans="1:2" x14ac:dyDescent="0.25">
      <c r="A13480" s="62">
        <v>51181817</v>
      </c>
      <c r="B13480" s="63" t="s">
        <v>14125</v>
      </c>
    </row>
    <row r="13481" spans="1:2" x14ac:dyDescent="0.25">
      <c r="A13481" s="62">
        <v>51181818</v>
      </c>
      <c r="B13481" s="63" t="s">
        <v>14126</v>
      </c>
    </row>
    <row r="13482" spans="1:2" x14ac:dyDescent="0.25">
      <c r="A13482" s="62">
        <v>51181819</v>
      </c>
      <c r="B13482" s="63" t="s">
        <v>14127</v>
      </c>
    </row>
    <row r="13483" spans="1:2" x14ac:dyDescent="0.25">
      <c r="A13483" s="62">
        <v>51181820</v>
      </c>
      <c r="B13483" s="63" t="s">
        <v>14128</v>
      </c>
    </row>
    <row r="13484" spans="1:2" x14ac:dyDescent="0.25">
      <c r="A13484" s="62">
        <v>51181821</v>
      </c>
      <c r="B13484" s="63" t="s">
        <v>14129</v>
      </c>
    </row>
    <row r="13485" spans="1:2" x14ac:dyDescent="0.25">
      <c r="A13485" s="62">
        <v>51181822</v>
      </c>
      <c r="B13485" s="63" t="s">
        <v>14130</v>
      </c>
    </row>
    <row r="13486" spans="1:2" x14ac:dyDescent="0.25">
      <c r="A13486" s="62">
        <v>51181823</v>
      </c>
      <c r="B13486" s="63" t="s">
        <v>14131</v>
      </c>
    </row>
    <row r="13487" spans="1:2" x14ac:dyDescent="0.25">
      <c r="A13487" s="62">
        <v>51181824</v>
      </c>
      <c r="B13487" s="63" t="s">
        <v>14132</v>
      </c>
    </row>
    <row r="13488" spans="1:2" x14ac:dyDescent="0.25">
      <c r="A13488" s="62">
        <v>51181825</v>
      </c>
      <c r="B13488" s="63" t="s">
        <v>14133</v>
      </c>
    </row>
    <row r="13489" spans="1:2" x14ac:dyDescent="0.25">
      <c r="A13489" s="62">
        <v>51181826</v>
      </c>
      <c r="B13489" s="63" t="s">
        <v>14134</v>
      </c>
    </row>
    <row r="13490" spans="1:2" x14ac:dyDescent="0.25">
      <c r="A13490" s="62">
        <v>51181827</v>
      </c>
      <c r="B13490" s="63" t="s">
        <v>14135</v>
      </c>
    </row>
    <row r="13491" spans="1:2" x14ac:dyDescent="0.25">
      <c r="A13491" s="62">
        <v>51181828</v>
      </c>
      <c r="B13491" s="63" t="s">
        <v>14136</v>
      </c>
    </row>
    <row r="13492" spans="1:2" x14ac:dyDescent="0.25">
      <c r="A13492" s="62">
        <v>51181829</v>
      </c>
      <c r="B13492" s="63" t="s">
        <v>14137</v>
      </c>
    </row>
    <row r="13493" spans="1:2" x14ac:dyDescent="0.25">
      <c r="A13493" s="62">
        <v>51181830</v>
      </c>
      <c r="B13493" s="63" t="s">
        <v>14138</v>
      </c>
    </row>
    <row r="13494" spans="1:2" x14ac:dyDescent="0.25">
      <c r="A13494" s="62">
        <v>51181831</v>
      </c>
      <c r="B13494" s="63" t="s">
        <v>14139</v>
      </c>
    </row>
    <row r="13495" spans="1:2" x14ac:dyDescent="0.25">
      <c r="A13495" s="62">
        <v>51181832</v>
      </c>
      <c r="B13495" s="63" t="s">
        <v>14140</v>
      </c>
    </row>
    <row r="13496" spans="1:2" x14ac:dyDescent="0.25">
      <c r="A13496" s="62">
        <v>51181833</v>
      </c>
      <c r="B13496" s="63" t="s">
        <v>14141</v>
      </c>
    </row>
    <row r="13497" spans="1:2" x14ac:dyDescent="0.25">
      <c r="A13497" s="62">
        <v>51181834</v>
      </c>
      <c r="B13497" s="63" t="s">
        <v>14142</v>
      </c>
    </row>
    <row r="13498" spans="1:2" x14ac:dyDescent="0.25">
      <c r="A13498" s="62">
        <v>51181901</v>
      </c>
      <c r="B13498" s="63" t="s">
        <v>14143</v>
      </c>
    </row>
    <row r="13499" spans="1:2" x14ac:dyDescent="0.25">
      <c r="A13499" s="62">
        <v>51181902</v>
      </c>
      <c r="B13499" s="63" t="s">
        <v>14144</v>
      </c>
    </row>
    <row r="13500" spans="1:2" x14ac:dyDescent="0.25">
      <c r="A13500" s="62">
        <v>51181903</v>
      </c>
      <c r="B13500" s="63" t="s">
        <v>14145</v>
      </c>
    </row>
    <row r="13501" spans="1:2" x14ac:dyDescent="0.25">
      <c r="A13501" s="62">
        <v>51181904</v>
      </c>
      <c r="B13501" s="63" t="s">
        <v>14146</v>
      </c>
    </row>
    <row r="13502" spans="1:2" x14ac:dyDescent="0.25">
      <c r="A13502" s="62">
        <v>51181905</v>
      </c>
      <c r="B13502" s="63" t="s">
        <v>14147</v>
      </c>
    </row>
    <row r="13503" spans="1:2" x14ac:dyDescent="0.25">
      <c r="A13503" s="62">
        <v>51181906</v>
      </c>
      <c r="B13503" s="63" t="s">
        <v>14148</v>
      </c>
    </row>
    <row r="13504" spans="1:2" x14ac:dyDescent="0.25">
      <c r="A13504" s="62">
        <v>51181908</v>
      </c>
      <c r="B13504" s="63" t="s">
        <v>14149</v>
      </c>
    </row>
    <row r="13505" spans="1:2" x14ac:dyDescent="0.25">
      <c r="A13505" s="62">
        <v>51181911</v>
      </c>
      <c r="B13505" s="63" t="s">
        <v>14150</v>
      </c>
    </row>
    <row r="13506" spans="1:2" x14ac:dyDescent="0.25">
      <c r="A13506" s="62">
        <v>51181912</v>
      </c>
      <c r="B13506" s="63" t="s">
        <v>14151</v>
      </c>
    </row>
    <row r="13507" spans="1:2" x14ac:dyDescent="0.25">
      <c r="A13507" s="62">
        <v>51181913</v>
      </c>
      <c r="B13507" s="63" t="s">
        <v>14152</v>
      </c>
    </row>
    <row r="13508" spans="1:2" x14ac:dyDescent="0.25">
      <c r="A13508" s="62">
        <v>51182001</v>
      </c>
      <c r="B13508" s="63" t="s">
        <v>14153</v>
      </c>
    </row>
    <row r="13509" spans="1:2" x14ac:dyDescent="0.25">
      <c r="A13509" s="62">
        <v>51182002</v>
      </c>
      <c r="B13509" s="63" t="s">
        <v>14154</v>
      </c>
    </row>
    <row r="13510" spans="1:2" x14ac:dyDescent="0.25">
      <c r="A13510" s="62">
        <v>51182003</v>
      </c>
      <c r="B13510" s="63" t="s">
        <v>14155</v>
      </c>
    </row>
    <row r="13511" spans="1:2" x14ac:dyDescent="0.25">
      <c r="A13511" s="62">
        <v>51182004</v>
      </c>
      <c r="B13511" s="63" t="s">
        <v>14156</v>
      </c>
    </row>
    <row r="13512" spans="1:2" x14ac:dyDescent="0.25">
      <c r="A13512" s="62">
        <v>51182005</v>
      </c>
      <c r="B13512" s="63" t="s">
        <v>14157</v>
      </c>
    </row>
    <row r="13513" spans="1:2" x14ac:dyDescent="0.25">
      <c r="A13513" s="62">
        <v>51182006</v>
      </c>
      <c r="B13513" s="63" t="s">
        <v>14158</v>
      </c>
    </row>
    <row r="13514" spans="1:2" x14ac:dyDescent="0.25">
      <c r="A13514" s="62">
        <v>51182007</v>
      </c>
      <c r="B13514" s="63" t="s">
        <v>14159</v>
      </c>
    </row>
    <row r="13515" spans="1:2" x14ac:dyDescent="0.25">
      <c r="A13515" s="62">
        <v>51182008</v>
      </c>
      <c r="B13515" s="63" t="s">
        <v>14160</v>
      </c>
    </row>
    <row r="13516" spans="1:2" x14ac:dyDescent="0.25">
      <c r="A13516" s="62">
        <v>51182009</v>
      </c>
      <c r="B13516" s="63" t="s">
        <v>14161</v>
      </c>
    </row>
    <row r="13517" spans="1:2" x14ac:dyDescent="0.25">
      <c r="A13517" s="62">
        <v>51182010</v>
      </c>
      <c r="B13517" s="63" t="s">
        <v>14162</v>
      </c>
    </row>
    <row r="13518" spans="1:2" x14ac:dyDescent="0.25">
      <c r="A13518" s="62">
        <v>51182011</v>
      </c>
      <c r="B13518" s="63" t="s">
        <v>14163</v>
      </c>
    </row>
    <row r="13519" spans="1:2" x14ac:dyDescent="0.25">
      <c r="A13519" s="62">
        <v>51182012</v>
      </c>
      <c r="B13519" s="63" t="s">
        <v>14164</v>
      </c>
    </row>
    <row r="13520" spans="1:2" x14ac:dyDescent="0.25">
      <c r="A13520" s="62">
        <v>51182013</v>
      </c>
      <c r="B13520" s="63" t="s">
        <v>14165</v>
      </c>
    </row>
    <row r="13521" spans="1:2" x14ac:dyDescent="0.25">
      <c r="A13521" s="62">
        <v>51182014</v>
      </c>
      <c r="B13521" s="63" t="s">
        <v>14166</v>
      </c>
    </row>
    <row r="13522" spans="1:2" x14ac:dyDescent="0.25">
      <c r="A13522" s="62">
        <v>51182101</v>
      </c>
      <c r="B13522" s="63" t="s">
        <v>14167</v>
      </c>
    </row>
    <row r="13523" spans="1:2" x14ac:dyDescent="0.25">
      <c r="A13523" s="62">
        <v>51182102</v>
      </c>
      <c r="B13523" s="63" t="s">
        <v>14168</v>
      </c>
    </row>
    <row r="13524" spans="1:2" x14ac:dyDescent="0.25">
      <c r="A13524" s="62">
        <v>51182201</v>
      </c>
      <c r="B13524" s="63" t="s">
        <v>14169</v>
      </c>
    </row>
    <row r="13525" spans="1:2" x14ac:dyDescent="0.25">
      <c r="A13525" s="62">
        <v>51182202</v>
      </c>
      <c r="B13525" s="63" t="s">
        <v>14170</v>
      </c>
    </row>
    <row r="13526" spans="1:2" x14ac:dyDescent="0.25">
      <c r="A13526" s="62">
        <v>51182203</v>
      </c>
      <c r="B13526" s="63" t="s">
        <v>14171</v>
      </c>
    </row>
    <row r="13527" spans="1:2" x14ac:dyDescent="0.25">
      <c r="A13527" s="62">
        <v>51182204</v>
      </c>
      <c r="B13527" s="63" t="s">
        <v>14172</v>
      </c>
    </row>
    <row r="13528" spans="1:2" x14ac:dyDescent="0.25">
      <c r="A13528" s="62">
        <v>51182301</v>
      </c>
      <c r="B13528" s="63" t="s">
        <v>14173</v>
      </c>
    </row>
    <row r="13529" spans="1:2" x14ac:dyDescent="0.25">
      <c r="A13529" s="62">
        <v>51182302</v>
      </c>
      <c r="B13529" s="63" t="s">
        <v>14174</v>
      </c>
    </row>
    <row r="13530" spans="1:2" x14ac:dyDescent="0.25">
      <c r="A13530" s="62">
        <v>51182303</v>
      </c>
      <c r="B13530" s="63" t="s">
        <v>14175</v>
      </c>
    </row>
    <row r="13531" spans="1:2" x14ac:dyDescent="0.25">
      <c r="A13531" s="62">
        <v>51182304</v>
      </c>
      <c r="B13531" s="63" t="s">
        <v>14176</v>
      </c>
    </row>
    <row r="13532" spans="1:2" x14ac:dyDescent="0.25">
      <c r="A13532" s="62">
        <v>51182401</v>
      </c>
      <c r="B13532" s="63" t="s">
        <v>14177</v>
      </c>
    </row>
    <row r="13533" spans="1:2" x14ac:dyDescent="0.25">
      <c r="A13533" s="62">
        <v>51182403</v>
      </c>
      <c r="B13533" s="63" t="s">
        <v>14178</v>
      </c>
    </row>
    <row r="13534" spans="1:2" x14ac:dyDescent="0.25">
      <c r="A13534" s="62">
        <v>51182404</v>
      </c>
      <c r="B13534" s="63" t="s">
        <v>14179</v>
      </c>
    </row>
    <row r="13535" spans="1:2" x14ac:dyDescent="0.25">
      <c r="A13535" s="62">
        <v>51182405</v>
      </c>
      <c r="B13535" s="63" t="s">
        <v>14180</v>
      </c>
    </row>
    <row r="13536" spans="1:2" x14ac:dyDescent="0.25">
      <c r="A13536" s="62">
        <v>51182406</v>
      </c>
      <c r="B13536" s="63" t="s">
        <v>14181</v>
      </c>
    </row>
    <row r="13537" spans="1:2" x14ac:dyDescent="0.25">
      <c r="A13537" s="62">
        <v>51182407</v>
      </c>
      <c r="B13537" s="63" t="s">
        <v>14182</v>
      </c>
    </row>
    <row r="13538" spans="1:2" x14ac:dyDescent="0.25">
      <c r="A13538" s="62">
        <v>51182408</v>
      </c>
      <c r="B13538" s="63" t="s">
        <v>14183</v>
      </c>
    </row>
    <row r="13539" spans="1:2" x14ac:dyDescent="0.25">
      <c r="A13539" s="62">
        <v>51182409</v>
      </c>
      <c r="B13539" s="63" t="s">
        <v>14184</v>
      </c>
    </row>
    <row r="13540" spans="1:2" x14ac:dyDescent="0.25">
      <c r="A13540" s="62">
        <v>51182410</v>
      </c>
      <c r="B13540" s="63" t="s">
        <v>14185</v>
      </c>
    </row>
    <row r="13541" spans="1:2" x14ac:dyDescent="0.25">
      <c r="A13541" s="62">
        <v>51182411</v>
      </c>
      <c r="B13541" s="63" t="s">
        <v>14186</v>
      </c>
    </row>
    <row r="13542" spans="1:2" x14ac:dyDescent="0.25">
      <c r="A13542" s="62">
        <v>51182412</v>
      </c>
      <c r="B13542" s="63" t="s">
        <v>14187</v>
      </c>
    </row>
    <row r="13543" spans="1:2" x14ac:dyDescent="0.25">
      <c r="A13543" s="62">
        <v>51182413</v>
      </c>
      <c r="B13543" s="63" t="s">
        <v>14188</v>
      </c>
    </row>
    <row r="13544" spans="1:2" x14ac:dyDescent="0.25">
      <c r="A13544" s="62">
        <v>51182415</v>
      </c>
      <c r="B13544" s="63" t="s">
        <v>14189</v>
      </c>
    </row>
    <row r="13545" spans="1:2" x14ac:dyDescent="0.25">
      <c r="A13545" s="62">
        <v>51182416</v>
      </c>
      <c r="B13545" s="63" t="s">
        <v>14190</v>
      </c>
    </row>
    <row r="13546" spans="1:2" x14ac:dyDescent="0.25">
      <c r="A13546" s="62">
        <v>51182417</v>
      </c>
      <c r="B13546" s="63" t="s">
        <v>14191</v>
      </c>
    </row>
    <row r="13547" spans="1:2" x14ac:dyDescent="0.25">
      <c r="A13547" s="62">
        <v>51182418</v>
      </c>
      <c r="B13547" s="63" t="s">
        <v>14192</v>
      </c>
    </row>
    <row r="13548" spans="1:2" x14ac:dyDescent="0.25">
      <c r="A13548" s="62">
        <v>51182419</v>
      </c>
      <c r="B13548" s="63" t="s">
        <v>14193</v>
      </c>
    </row>
    <row r="13549" spans="1:2" x14ac:dyDescent="0.25">
      <c r="A13549" s="62">
        <v>51182420</v>
      </c>
      <c r="B13549" s="63" t="s">
        <v>14194</v>
      </c>
    </row>
    <row r="13550" spans="1:2" x14ac:dyDescent="0.25">
      <c r="A13550" s="62">
        <v>51191501</v>
      </c>
      <c r="B13550" s="63" t="s">
        <v>14195</v>
      </c>
    </row>
    <row r="13551" spans="1:2" x14ac:dyDescent="0.25">
      <c r="A13551" s="62">
        <v>51191502</v>
      </c>
      <c r="B13551" s="63" t="s">
        <v>14196</v>
      </c>
    </row>
    <row r="13552" spans="1:2" x14ac:dyDescent="0.25">
      <c r="A13552" s="62">
        <v>51191503</v>
      </c>
      <c r="B13552" s="63" t="s">
        <v>14197</v>
      </c>
    </row>
    <row r="13553" spans="1:2" x14ac:dyDescent="0.25">
      <c r="A13553" s="62">
        <v>51191504</v>
      </c>
      <c r="B13553" s="63" t="s">
        <v>14198</v>
      </c>
    </row>
    <row r="13554" spans="1:2" x14ac:dyDescent="0.25">
      <c r="A13554" s="62">
        <v>51191505</v>
      </c>
      <c r="B13554" s="63" t="s">
        <v>14199</v>
      </c>
    </row>
    <row r="13555" spans="1:2" x14ac:dyDescent="0.25">
      <c r="A13555" s="62">
        <v>51191506</v>
      </c>
      <c r="B13555" s="63" t="s">
        <v>14200</v>
      </c>
    </row>
    <row r="13556" spans="1:2" x14ac:dyDescent="0.25">
      <c r="A13556" s="62">
        <v>51191507</v>
      </c>
      <c r="B13556" s="63" t="s">
        <v>14201</v>
      </c>
    </row>
    <row r="13557" spans="1:2" x14ac:dyDescent="0.25">
      <c r="A13557" s="62">
        <v>51191508</v>
      </c>
      <c r="B13557" s="63" t="s">
        <v>14202</v>
      </c>
    </row>
    <row r="13558" spans="1:2" x14ac:dyDescent="0.25">
      <c r="A13558" s="62">
        <v>51191509</v>
      </c>
      <c r="B13558" s="63" t="s">
        <v>14203</v>
      </c>
    </row>
    <row r="13559" spans="1:2" x14ac:dyDescent="0.25">
      <c r="A13559" s="62">
        <v>51191510</v>
      </c>
      <c r="B13559" s="63" t="s">
        <v>14204</v>
      </c>
    </row>
    <row r="13560" spans="1:2" x14ac:dyDescent="0.25">
      <c r="A13560" s="62">
        <v>51191511</v>
      </c>
      <c r="B13560" s="63" t="s">
        <v>14205</v>
      </c>
    </row>
    <row r="13561" spans="1:2" x14ac:dyDescent="0.25">
      <c r="A13561" s="62">
        <v>51191512</v>
      </c>
      <c r="B13561" s="63" t="s">
        <v>14206</v>
      </c>
    </row>
    <row r="13562" spans="1:2" x14ac:dyDescent="0.25">
      <c r="A13562" s="62">
        <v>51191513</v>
      </c>
      <c r="B13562" s="63" t="s">
        <v>14207</v>
      </c>
    </row>
    <row r="13563" spans="1:2" x14ac:dyDescent="0.25">
      <c r="A13563" s="62">
        <v>51191514</v>
      </c>
      <c r="B13563" s="63" t="s">
        <v>14208</v>
      </c>
    </row>
    <row r="13564" spans="1:2" x14ac:dyDescent="0.25">
      <c r="A13564" s="62">
        <v>51191515</v>
      </c>
      <c r="B13564" s="63" t="s">
        <v>14209</v>
      </c>
    </row>
    <row r="13565" spans="1:2" x14ac:dyDescent="0.25">
      <c r="A13565" s="62">
        <v>51191516</v>
      </c>
      <c r="B13565" s="63" t="s">
        <v>14210</v>
      </c>
    </row>
    <row r="13566" spans="1:2" x14ac:dyDescent="0.25">
      <c r="A13566" s="62">
        <v>51191517</v>
      </c>
      <c r="B13566" s="63" t="s">
        <v>14211</v>
      </c>
    </row>
    <row r="13567" spans="1:2" x14ac:dyDescent="0.25">
      <c r="A13567" s="62">
        <v>51191518</v>
      </c>
      <c r="B13567" s="63" t="s">
        <v>14212</v>
      </c>
    </row>
    <row r="13568" spans="1:2" x14ac:dyDescent="0.25">
      <c r="A13568" s="62">
        <v>51191519</v>
      </c>
      <c r="B13568" s="63" t="s">
        <v>14213</v>
      </c>
    </row>
    <row r="13569" spans="1:2" x14ac:dyDescent="0.25">
      <c r="A13569" s="62">
        <v>51191520</v>
      </c>
      <c r="B13569" s="63" t="s">
        <v>14214</v>
      </c>
    </row>
    <row r="13570" spans="1:2" x14ac:dyDescent="0.25">
      <c r="A13570" s="62">
        <v>51191521</v>
      </c>
      <c r="B13570" s="63" t="s">
        <v>14215</v>
      </c>
    </row>
    <row r="13571" spans="1:2" x14ac:dyDescent="0.25">
      <c r="A13571" s="62">
        <v>51191522</v>
      </c>
      <c r="B13571" s="63" t="s">
        <v>14216</v>
      </c>
    </row>
    <row r="13572" spans="1:2" x14ac:dyDescent="0.25">
      <c r="A13572" s="62">
        <v>51191523</v>
      </c>
      <c r="B13572" s="63" t="s">
        <v>14217</v>
      </c>
    </row>
    <row r="13573" spans="1:2" x14ac:dyDescent="0.25">
      <c r="A13573" s="62">
        <v>51191601</v>
      </c>
      <c r="B13573" s="63" t="s">
        <v>14218</v>
      </c>
    </row>
    <row r="13574" spans="1:2" x14ac:dyDescent="0.25">
      <c r="A13574" s="62">
        <v>51191602</v>
      </c>
      <c r="B13574" s="63" t="s">
        <v>14219</v>
      </c>
    </row>
    <row r="13575" spans="1:2" x14ac:dyDescent="0.25">
      <c r="A13575" s="62">
        <v>51191603</v>
      </c>
      <c r="B13575" s="63" t="s">
        <v>14220</v>
      </c>
    </row>
    <row r="13576" spans="1:2" x14ac:dyDescent="0.25">
      <c r="A13576" s="62">
        <v>51191604</v>
      </c>
      <c r="B13576" s="63" t="s">
        <v>14221</v>
      </c>
    </row>
    <row r="13577" spans="1:2" x14ac:dyDescent="0.25">
      <c r="A13577" s="62">
        <v>51191701</v>
      </c>
      <c r="B13577" s="63" t="s">
        <v>14222</v>
      </c>
    </row>
    <row r="13578" spans="1:2" x14ac:dyDescent="0.25">
      <c r="A13578" s="62">
        <v>51191702</v>
      </c>
      <c r="B13578" s="63" t="s">
        <v>14223</v>
      </c>
    </row>
    <row r="13579" spans="1:2" x14ac:dyDescent="0.25">
      <c r="A13579" s="62">
        <v>51191703</v>
      </c>
      <c r="B13579" s="63" t="s">
        <v>14224</v>
      </c>
    </row>
    <row r="13580" spans="1:2" x14ac:dyDescent="0.25">
      <c r="A13580" s="62">
        <v>51191704</v>
      </c>
      <c r="B13580" s="63" t="s">
        <v>14225</v>
      </c>
    </row>
    <row r="13581" spans="1:2" x14ac:dyDescent="0.25">
      <c r="A13581" s="62">
        <v>51191705</v>
      </c>
      <c r="B13581" s="63" t="s">
        <v>14226</v>
      </c>
    </row>
    <row r="13582" spans="1:2" x14ac:dyDescent="0.25">
      <c r="A13582" s="62">
        <v>51191706</v>
      </c>
      <c r="B13582" s="63" t="s">
        <v>14227</v>
      </c>
    </row>
    <row r="13583" spans="1:2" x14ac:dyDescent="0.25">
      <c r="A13583" s="62">
        <v>51191801</v>
      </c>
      <c r="B13583" s="63" t="s">
        <v>14228</v>
      </c>
    </row>
    <row r="13584" spans="1:2" x14ac:dyDescent="0.25">
      <c r="A13584" s="62">
        <v>51191802</v>
      </c>
      <c r="B13584" s="63" t="s">
        <v>14229</v>
      </c>
    </row>
    <row r="13585" spans="1:2" x14ac:dyDescent="0.25">
      <c r="A13585" s="62">
        <v>51191803</v>
      </c>
      <c r="B13585" s="63" t="s">
        <v>14230</v>
      </c>
    </row>
    <row r="13586" spans="1:2" x14ac:dyDescent="0.25">
      <c r="A13586" s="62">
        <v>51191804</v>
      </c>
      <c r="B13586" s="63" t="s">
        <v>14231</v>
      </c>
    </row>
    <row r="13587" spans="1:2" x14ac:dyDescent="0.25">
      <c r="A13587" s="62">
        <v>51191805</v>
      </c>
      <c r="B13587" s="63" t="s">
        <v>14232</v>
      </c>
    </row>
    <row r="13588" spans="1:2" x14ac:dyDescent="0.25">
      <c r="A13588" s="62">
        <v>51191901</v>
      </c>
      <c r="B13588" s="63" t="s">
        <v>14233</v>
      </c>
    </row>
    <row r="13589" spans="1:2" x14ac:dyDescent="0.25">
      <c r="A13589" s="62">
        <v>51191902</v>
      </c>
      <c r="B13589" s="63" t="s">
        <v>14234</v>
      </c>
    </row>
    <row r="13590" spans="1:2" x14ac:dyDescent="0.25">
      <c r="A13590" s="62">
        <v>51191903</v>
      </c>
      <c r="B13590" s="63" t="s">
        <v>14235</v>
      </c>
    </row>
    <row r="13591" spans="1:2" x14ac:dyDescent="0.25">
      <c r="A13591" s="62">
        <v>51191904</v>
      </c>
      <c r="B13591" s="63" t="s">
        <v>14236</v>
      </c>
    </row>
    <row r="13592" spans="1:2" x14ac:dyDescent="0.25">
      <c r="A13592" s="62">
        <v>51191905</v>
      </c>
      <c r="B13592" s="63" t="s">
        <v>14237</v>
      </c>
    </row>
    <row r="13593" spans="1:2" x14ac:dyDescent="0.25">
      <c r="A13593" s="62">
        <v>51191906</v>
      </c>
      <c r="B13593" s="63" t="s">
        <v>14238</v>
      </c>
    </row>
    <row r="13594" spans="1:2" x14ac:dyDescent="0.25">
      <c r="A13594" s="62">
        <v>51191907</v>
      </c>
      <c r="B13594" s="63" t="s">
        <v>14239</v>
      </c>
    </row>
    <row r="13595" spans="1:2" x14ac:dyDescent="0.25">
      <c r="A13595" s="62">
        <v>51201501</v>
      </c>
      <c r="B13595" s="63" t="s">
        <v>14240</v>
      </c>
    </row>
    <row r="13596" spans="1:2" x14ac:dyDescent="0.25">
      <c r="A13596" s="62">
        <v>51201502</v>
      </c>
      <c r="B13596" s="63" t="s">
        <v>14241</v>
      </c>
    </row>
    <row r="13597" spans="1:2" x14ac:dyDescent="0.25">
      <c r="A13597" s="62">
        <v>51201503</v>
      </c>
      <c r="B13597" s="63" t="s">
        <v>14242</v>
      </c>
    </row>
    <row r="13598" spans="1:2" x14ac:dyDescent="0.25">
      <c r="A13598" s="62">
        <v>51201504</v>
      </c>
      <c r="B13598" s="63" t="s">
        <v>14243</v>
      </c>
    </row>
    <row r="13599" spans="1:2" x14ac:dyDescent="0.25">
      <c r="A13599" s="62">
        <v>51201505</v>
      </c>
      <c r="B13599" s="63" t="s">
        <v>14244</v>
      </c>
    </row>
    <row r="13600" spans="1:2" x14ac:dyDescent="0.25">
      <c r="A13600" s="62">
        <v>51201506</v>
      </c>
      <c r="B13600" s="63" t="s">
        <v>14245</v>
      </c>
    </row>
    <row r="13601" spans="1:2" x14ac:dyDescent="0.25">
      <c r="A13601" s="62">
        <v>51201507</v>
      </c>
      <c r="B13601" s="63" t="s">
        <v>14246</v>
      </c>
    </row>
    <row r="13602" spans="1:2" x14ac:dyDescent="0.25">
      <c r="A13602" s="62">
        <v>51201508</v>
      </c>
      <c r="B13602" s="63" t="s">
        <v>14247</v>
      </c>
    </row>
    <row r="13603" spans="1:2" x14ac:dyDescent="0.25">
      <c r="A13603" s="62">
        <v>51201509</v>
      </c>
      <c r="B13603" s="63" t="s">
        <v>14248</v>
      </c>
    </row>
    <row r="13604" spans="1:2" x14ac:dyDescent="0.25">
      <c r="A13604" s="62">
        <v>51201510</v>
      </c>
      <c r="B13604" s="63" t="s">
        <v>14249</v>
      </c>
    </row>
    <row r="13605" spans="1:2" x14ac:dyDescent="0.25">
      <c r="A13605" s="62">
        <v>51201511</v>
      </c>
      <c r="B13605" s="63" t="s">
        <v>14250</v>
      </c>
    </row>
    <row r="13606" spans="1:2" x14ac:dyDescent="0.25">
      <c r="A13606" s="62">
        <v>51201512</v>
      </c>
      <c r="B13606" s="63" t="s">
        <v>14251</v>
      </c>
    </row>
    <row r="13607" spans="1:2" x14ac:dyDescent="0.25">
      <c r="A13607" s="62">
        <v>51201513</v>
      </c>
      <c r="B13607" s="63" t="s">
        <v>14252</v>
      </c>
    </row>
    <row r="13608" spans="1:2" x14ac:dyDescent="0.25">
      <c r="A13608" s="62">
        <v>51201514</v>
      </c>
      <c r="B13608" s="63" t="s">
        <v>14253</v>
      </c>
    </row>
    <row r="13609" spans="1:2" x14ac:dyDescent="0.25">
      <c r="A13609" s="62">
        <v>51201515</v>
      </c>
      <c r="B13609" s="63" t="s">
        <v>14254</v>
      </c>
    </row>
    <row r="13610" spans="1:2" x14ac:dyDescent="0.25">
      <c r="A13610" s="62">
        <v>51201516</v>
      </c>
      <c r="B13610" s="63" t="s">
        <v>14255</v>
      </c>
    </row>
    <row r="13611" spans="1:2" x14ac:dyDescent="0.25">
      <c r="A13611" s="62">
        <v>51201517</v>
      </c>
      <c r="B13611" s="63" t="s">
        <v>14256</v>
      </c>
    </row>
    <row r="13612" spans="1:2" x14ac:dyDescent="0.25">
      <c r="A13612" s="62">
        <v>51201518</v>
      </c>
      <c r="B13612" s="63" t="s">
        <v>14257</v>
      </c>
    </row>
    <row r="13613" spans="1:2" x14ac:dyDescent="0.25">
      <c r="A13613" s="62">
        <v>51201601</v>
      </c>
      <c r="B13613" s="63" t="s">
        <v>14258</v>
      </c>
    </row>
    <row r="13614" spans="1:2" x14ac:dyDescent="0.25">
      <c r="A13614" s="62">
        <v>51201602</v>
      </c>
      <c r="B13614" s="63" t="s">
        <v>14259</v>
      </c>
    </row>
    <row r="13615" spans="1:2" x14ac:dyDescent="0.25">
      <c r="A13615" s="62">
        <v>51201603</v>
      </c>
      <c r="B13615" s="63" t="s">
        <v>14260</v>
      </c>
    </row>
    <row r="13616" spans="1:2" x14ac:dyDescent="0.25">
      <c r="A13616" s="62">
        <v>51201604</v>
      </c>
      <c r="B13616" s="63" t="s">
        <v>14261</v>
      </c>
    </row>
    <row r="13617" spans="1:2" x14ac:dyDescent="0.25">
      <c r="A13617" s="62">
        <v>51201605</v>
      </c>
      <c r="B13617" s="63" t="s">
        <v>14262</v>
      </c>
    </row>
    <row r="13618" spans="1:2" x14ac:dyDescent="0.25">
      <c r="A13618" s="62">
        <v>51201606</v>
      </c>
      <c r="B13618" s="63" t="s">
        <v>14263</v>
      </c>
    </row>
    <row r="13619" spans="1:2" x14ac:dyDescent="0.25">
      <c r="A13619" s="62">
        <v>51201607</v>
      </c>
      <c r="B13619" s="63" t="s">
        <v>14264</v>
      </c>
    </row>
    <row r="13620" spans="1:2" x14ac:dyDescent="0.25">
      <c r="A13620" s="62">
        <v>51201608</v>
      </c>
      <c r="B13620" s="63" t="s">
        <v>14265</v>
      </c>
    </row>
    <row r="13621" spans="1:2" x14ac:dyDescent="0.25">
      <c r="A13621" s="62">
        <v>51201609</v>
      </c>
      <c r="B13621" s="63" t="s">
        <v>14266</v>
      </c>
    </row>
    <row r="13622" spans="1:2" x14ac:dyDescent="0.25">
      <c r="A13622" s="62">
        <v>51201610</v>
      </c>
      <c r="B13622" s="63" t="s">
        <v>14267</v>
      </c>
    </row>
    <row r="13623" spans="1:2" x14ac:dyDescent="0.25">
      <c r="A13623" s="62">
        <v>51201611</v>
      </c>
      <c r="B13623" s="63" t="s">
        <v>14268</v>
      </c>
    </row>
    <row r="13624" spans="1:2" x14ac:dyDescent="0.25">
      <c r="A13624" s="62">
        <v>51201612</v>
      </c>
      <c r="B13624" s="63" t="s">
        <v>14269</v>
      </c>
    </row>
    <row r="13625" spans="1:2" x14ac:dyDescent="0.25">
      <c r="A13625" s="62">
        <v>51201613</v>
      </c>
      <c r="B13625" s="63" t="s">
        <v>14270</v>
      </c>
    </row>
    <row r="13626" spans="1:2" x14ac:dyDescent="0.25">
      <c r="A13626" s="62">
        <v>51201614</v>
      </c>
      <c r="B13626" s="63" t="s">
        <v>14271</v>
      </c>
    </row>
    <row r="13627" spans="1:2" x14ac:dyDescent="0.25">
      <c r="A13627" s="62">
        <v>51201615</v>
      </c>
      <c r="B13627" s="63" t="s">
        <v>14272</v>
      </c>
    </row>
    <row r="13628" spans="1:2" x14ac:dyDescent="0.25">
      <c r="A13628" s="62">
        <v>51201616</v>
      </c>
      <c r="B13628" s="63" t="s">
        <v>14273</v>
      </c>
    </row>
    <row r="13629" spans="1:2" x14ac:dyDescent="0.25">
      <c r="A13629" s="62">
        <v>51201617</v>
      </c>
      <c r="B13629" s="63" t="s">
        <v>14274</v>
      </c>
    </row>
    <row r="13630" spans="1:2" x14ac:dyDescent="0.25">
      <c r="A13630" s="62">
        <v>51201618</v>
      </c>
      <c r="B13630" s="63" t="s">
        <v>14275</v>
      </c>
    </row>
    <row r="13631" spans="1:2" x14ac:dyDescent="0.25">
      <c r="A13631" s="62">
        <v>51201619</v>
      </c>
      <c r="B13631" s="63" t="s">
        <v>14276</v>
      </c>
    </row>
    <row r="13632" spans="1:2" x14ac:dyDescent="0.25">
      <c r="A13632" s="62">
        <v>51201620</v>
      </c>
      <c r="B13632" s="63" t="s">
        <v>14277</v>
      </c>
    </row>
    <row r="13633" spans="1:2" x14ac:dyDescent="0.25">
      <c r="A13633" s="62">
        <v>51201621</v>
      </c>
      <c r="B13633" s="63" t="s">
        <v>14278</v>
      </c>
    </row>
    <row r="13634" spans="1:2" x14ac:dyDescent="0.25">
      <c r="A13634" s="62">
        <v>51201622</v>
      </c>
      <c r="B13634" s="63" t="s">
        <v>14279</v>
      </c>
    </row>
    <row r="13635" spans="1:2" x14ac:dyDescent="0.25">
      <c r="A13635" s="62">
        <v>51201623</v>
      </c>
      <c r="B13635" s="63" t="s">
        <v>14280</v>
      </c>
    </row>
    <row r="13636" spans="1:2" x14ac:dyDescent="0.25">
      <c r="A13636" s="62">
        <v>51201624</v>
      </c>
      <c r="B13636" s="63" t="s">
        <v>14281</v>
      </c>
    </row>
    <row r="13637" spans="1:2" x14ac:dyDescent="0.25">
      <c r="A13637" s="62">
        <v>51201625</v>
      </c>
      <c r="B13637" s="63" t="s">
        <v>14282</v>
      </c>
    </row>
    <row r="13638" spans="1:2" x14ac:dyDescent="0.25">
      <c r="A13638" s="62">
        <v>51201626</v>
      </c>
      <c r="B13638" s="63" t="s">
        <v>14283</v>
      </c>
    </row>
    <row r="13639" spans="1:2" x14ac:dyDescent="0.25">
      <c r="A13639" s="62">
        <v>51201627</v>
      </c>
      <c r="B13639" s="63" t="s">
        <v>14284</v>
      </c>
    </row>
    <row r="13640" spans="1:2" x14ac:dyDescent="0.25">
      <c r="A13640" s="62">
        <v>51201628</v>
      </c>
      <c r="B13640" s="63" t="s">
        <v>14285</v>
      </c>
    </row>
    <row r="13641" spans="1:2" x14ac:dyDescent="0.25">
      <c r="A13641" s="62">
        <v>51201629</v>
      </c>
      <c r="B13641" s="63" t="s">
        <v>14286</v>
      </c>
    </row>
    <row r="13642" spans="1:2" x14ac:dyDescent="0.25">
      <c r="A13642" s="62">
        <v>51201631</v>
      </c>
      <c r="B13642" s="63" t="s">
        <v>14287</v>
      </c>
    </row>
    <row r="13643" spans="1:2" x14ac:dyDescent="0.25">
      <c r="A13643" s="62">
        <v>51201632</v>
      </c>
      <c r="B13643" s="63" t="s">
        <v>14288</v>
      </c>
    </row>
    <row r="13644" spans="1:2" x14ac:dyDescent="0.25">
      <c r="A13644" s="62">
        <v>51201633</v>
      </c>
      <c r="B13644" s="63" t="s">
        <v>14289</v>
      </c>
    </row>
    <row r="13645" spans="1:2" x14ac:dyDescent="0.25">
      <c r="A13645" s="62">
        <v>51201634</v>
      </c>
      <c r="B13645" s="63" t="s">
        <v>14290</v>
      </c>
    </row>
    <row r="13646" spans="1:2" x14ac:dyDescent="0.25">
      <c r="A13646" s="62">
        <v>51201635</v>
      </c>
      <c r="B13646" s="63" t="s">
        <v>14291</v>
      </c>
    </row>
    <row r="13647" spans="1:2" x14ac:dyDescent="0.25">
      <c r="A13647" s="62">
        <v>51201636</v>
      </c>
      <c r="B13647" s="63" t="s">
        <v>14292</v>
      </c>
    </row>
    <row r="13648" spans="1:2" x14ac:dyDescent="0.25">
      <c r="A13648" s="62">
        <v>51201638</v>
      </c>
      <c r="B13648" s="63" t="s">
        <v>14293</v>
      </c>
    </row>
    <row r="13649" spans="1:2" x14ac:dyDescent="0.25">
      <c r="A13649" s="62">
        <v>51201639</v>
      </c>
      <c r="B13649" s="63" t="s">
        <v>14294</v>
      </c>
    </row>
    <row r="13650" spans="1:2" x14ac:dyDescent="0.25">
      <c r="A13650" s="62">
        <v>51201646</v>
      </c>
      <c r="B13650" s="63" t="s">
        <v>14295</v>
      </c>
    </row>
    <row r="13651" spans="1:2" x14ac:dyDescent="0.25">
      <c r="A13651" s="62">
        <v>51201647</v>
      </c>
      <c r="B13651" s="63" t="s">
        <v>14296</v>
      </c>
    </row>
    <row r="13652" spans="1:2" x14ac:dyDescent="0.25">
      <c r="A13652" s="62">
        <v>51201648</v>
      </c>
      <c r="B13652" s="63" t="s">
        <v>14297</v>
      </c>
    </row>
    <row r="13653" spans="1:2" x14ac:dyDescent="0.25">
      <c r="A13653" s="62">
        <v>51201701</v>
      </c>
      <c r="B13653" s="63" t="s">
        <v>14298</v>
      </c>
    </row>
    <row r="13654" spans="1:2" x14ac:dyDescent="0.25">
      <c r="A13654" s="62">
        <v>51201702</v>
      </c>
      <c r="B13654" s="63" t="s">
        <v>14299</v>
      </c>
    </row>
    <row r="13655" spans="1:2" x14ac:dyDescent="0.25">
      <c r="A13655" s="62">
        <v>51201703</v>
      </c>
      <c r="B13655" s="63" t="s">
        <v>14300</v>
      </c>
    </row>
    <row r="13656" spans="1:2" x14ac:dyDescent="0.25">
      <c r="A13656" s="62">
        <v>51201704</v>
      </c>
      <c r="B13656" s="63" t="s">
        <v>14301</v>
      </c>
    </row>
    <row r="13657" spans="1:2" x14ac:dyDescent="0.25">
      <c r="A13657" s="62">
        <v>51201705</v>
      </c>
      <c r="B13657" s="63" t="s">
        <v>14302</v>
      </c>
    </row>
    <row r="13658" spans="1:2" x14ac:dyDescent="0.25">
      <c r="A13658" s="62">
        <v>51201801</v>
      </c>
      <c r="B13658" s="63" t="s">
        <v>14303</v>
      </c>
    </row>
    <row r="13659" spans="1:2" x14ac:dyDescent="0.25">
      <c r="A13659" s="62">
        <v>51201802</v>
      </c>
      <c r="B13659" s="63" t="s">
        <v>14304</v>
      </c>
    </row>
    <row r="13660" spans="1:2" x14ac:dyDescent="0.25">
      <c r="A13660" s="62">
        <v>51201803</v>
      </c>
      <c r="B13660" s="63" t="s">
        <v>14305</v>
      </c>
    </row>
    <row r="13661" spans="1:2" x14ac:dyDescent="0.25">
      <c r="A13661" s="62">
        <v>51201804</v>
      </c>
      <c r="B13661" s="63" t="s">
        <v>14306</v>
      </c>
    </row>
    <row r="13662" spans="1:2" x14ac:dyDescent="0.25">
      <c r="A13662" s="62">
        <v>51201805</v>
      </c>
      <c r="B13662" s="63" t="s">
        <v>14307</v>
      </c>
    </row>
    <row r="13663" spans="1:2" x14ac:dyDescent="0.25">
      <c r="A13663" s="62">
        <v>51201806</v>
      </c>
      <c r="B13663" s="63" t="s">
        <v>14308</v>
      </c>
    </row>
    <row r="13664" spans="1:2" x14ac:dyDescent="0.25">
      <c r="A13664" s="62">
        <v>51201807</v>
      </c>
      <c r="B13664" s="63" t="s">
        <v>14309</v>
      </c>
    </row>
    <row r="13665" spans="1:2" x14ac:dyDescent="0.25">
      <c r="A13665" s="62">
        <v>51201808</v>
      </c>
      <c r="B13665" s="63" t="s">
        <v>14310</v>
      </c>
    </row>
    <row r="13666" spans="1:2" x14ac:dyDescent="0.25">
      <c r="A13666" s="62">
        <v>51201809</v>
      </c>
      <c r="B13666" s="63" t="s">
        <v>14311</v>
      </c>
    </row>
    <row r="13667" spans="1:2" x14ac:dyDescent="0.25">
      <c r="A13667" s="62">
        <v>51201901</v>
      </c>
      <c r="B13667" s="63" t="s">
        <v>14312</v>
      </c>
    </row>
    <row r="13668" spans="1:2" x14ac:dyDescent="0.25">
      <c r="A13668" s="62">
        <v>51211501</v>
      </c>
      <c r="B13668" s="63" t="s">
        <v>14313</v>
      </c>
    </row>
    <row r="13669" spans="1:2" x14ac:dyDescent="0.25">
      <c r="A13669" s="62">
        <v>51211502</v>
      </c>
      <c r="B13669" s="63" t="s">
        <v>14314</v>
      </c>
    </row>
    <row r="13670" spans="1:2" x14ac:dyDescent="0.25">
      <c r="A13670" s="62">
        <v>51211503</v>
      </c>
      <c r="B13670" s="63" t="s">
        <v>14315</v>
      </c>
    </row>
    <row r="13671" spans="1:2" x14ac:dyDescent="0.25">
      <c r="A13671" s="62">
        <v>51211504</v>
      </c>
      <c r="B13671" s="63" t="s">
        <v>14316</v>
      </c>
    </row>
    <row r="13672" spans="1:2" x14ac:dyDescent="0.25">
      <c r="A13672" s="62">
        <v>51211505</v>
      </c>
      <c r="B13672" s="63" t="s">
        <v>14317</v>
      </c>
    </row>
    <row r="13673" spans="1:2" x14ac:dyDescent="0.25">
      <c r="A13673" s="62">
        <v>51211601</v>
      </c>
      <c r="B13673" s="63" t="s">
        <v>14318</v>
      </c>
    </row>
    <row r="13674" spans="1:2" x14ac:dyDescent="0.25">
      <c r="A13674" s="62">
        <v>51211602</v>
      </c>
      <c r="B13674" s="63" t="s">
        <v>14319</v>
      </c>
    </row>
    <row r="13675" spans="1:2" x14ac:dyDescent="0.25">
      <c r="A13675" s="62">
        <v>51211603</v>
      </c>
      <c r="B13675" s="63" t="s">
        <v>14320</v>
      </c>
    </row>
    <row r="13676" spans="1:2" x14ac:dyDescent="0.25">
      <c r="A13676" s="62">
        <v>51211604</v>
      </c>
      <c r="B13676" s="63" t="s">
        <v>14321</v>
      </c>
    </row>
    <row r="13677" spans="1:2" x14ac:dyDescent="0.25">
      <c r="A13677" s="62">
        <v>51211605</v>
      </c>
      <c r="B13677" s="63" t="s">
        <v>14322</v>
      </c>
    </row>
    <row r="13678" spans="1:2" x14ac:dyDescent="0.25">
      <c r="A13678" s="62">
        <v>51211606</v>
      </c>
      <c r="B13678" s="63" t="s">
        <v>14323</v>
      </c>
    </row>
    <row r="13679" spans="1:2" x14ac:dyDescent="0.25">
      <c r="A13679" s="62">
        <v>51211607</v>
      </c>
      <c r="B13679" s="63" t="s">
        <v>14324</v>
      </c>
    </row>
    <row r="13680" spans="1:2" x14ac:dyDescent="0.25">
      <c r="A13680" s="62">
        <v>51211608</v>
      </c>
      <c r="B13680" s="63" t="s">
        <v>14325</v>
      </c>
    </row>
    <row r="13681" spans="1:2" x14ac:dyDescent="0.25">
      <c r="A13681" s="62">
        <v>51211609</v>
      </c>
      <c r="B13681" s="63" t="s">
        <v>14326</v>
      </c>
    </row>
    <row r="13682" spans="1:2" x14ac:dyDescent="0.25">
      <c r="A13682" s="62">
        <v>51211610</v>
      </c>
      <c r="B13682" s="63" t="s">
        <v>14327</v>
      </c>
    </row>
    <row r="13683" spans="1:2" x14ac:dyDescent="0.25">
      <c r="A13683" s="62">
        <v>51211611</v>
      </c>
      <c r="B13683" s="63" t="s">
        <v>14328</v>
      </c>
    </row>
    <row r="13684" spans="1:2" x14ac:dyDescent="0.25">
      <c r="A13684" s="62">
        <v>51211612</v>
      </c>
      <c r="B13684" s="63" t="s">
        <v>14329</v>
      </c>
    </row>
    <row r="13685" spans="1:2" x14ac:dyDescent="0.25">
      <c r="A13685" s="62">
        <v>51211613</v>
      </c>
      <c r="B13685" s="63" t="s">
        <v>14330</v>
      </c>
    </row>
    <row r="13686" spans="1:2" x14ac:dyDescent="0.25">
      <c r="A13686" s="62">
        <v>51211615</v>
      </c>
      <c r="B13686" s="63" t="s">
        <v>14331</v>
      </c>
    </row>
    <row r="13687" spans="1:2" x14ac:dyDescent="0.25">
      <c r="A13687" s="62">
        <v>51211616</v>
      </c>
      <c r="B13687" s="63" t="s">
        <v>14332</v>
      </c>
    </row>
    <row r="13688" spans="1:2" x14ac:dyDescent="0.25">
      <c r="A13688" s="62">
        <v>51211617</v>
      </c>
      <c r="B13688" s="63" t="s">
        <v>14333</v>
      </c>
    </row>
    <row r="13689" spans="1:2" x14ac:dyDescent="0.25">
      <c r="A13689" s="62">
        <v>51211618</v>
      </c>
      <c r="B13689" s="63" t="s">
        <v>14334</v>
      </c>
    </row>
    <row r="13690" spans="1:2" x14ac:dyDescent="0.25">
      <c r="A13690" s="62">
        <v>51211619</v>
      </c>
      <c r="B13690" s="63" t="s">
        <v>14335</v>
      </c>
    </row>
    <row r="13691" spans="1:2" x14ac:dyDescent="0.25">
      <c r="A13691" s="62">
        <v>51211620</v>
      </c>
      <c r="B13691" s="63" t="s">
        <v>14336</v>
      </c>
    </row>
    <row r="13692" spans="1:2" x14ac:dyDescent="0.25">
      <c r="A13692" s="62">
        <v>51211621</v>
      </c>
      <c r="B13692" s="63" t="s">
        <v>14337</v>
      </c>
    </row>
    <row r="13693" spans="1:2" x14ac:dyDescent="0.25">
      <c r="A13693" s="62">
        <v>51211622</v>
      </c>
      <c r="B13693" s="63" t="s">
        <v>14338</v>
      </c>
    </row>
    <row r="13694" spans="1:2" x14ac:dyDescent="0.25">
      <c r="A13694" s="62">
        <v>51211623</v>
      </c>
      <c r="B13694" s="63" t="s">
        <v>14339</v>
      </c>
    </row>
    <row r="13695" spans="1:2" x14ac:dyDescent="0.25">
      <c r="A13695" s="62">
        <v>51211624</v>
      </c>
      <c r="B13695" s="63" t="s">
        <v>14340</v>
      </c>
    </row>
    <row r="13696" spans="1:2" x14ac:dyDescent="0.25">
      <c r="A13696" s="62">
        <v>51211625</v>
      </c>
      <c r="B13696" s="63" t="s">
        <v>14341</v>
      </c>
    </row>
    <row r="13697" spans="1:2" x14ac:dyDescent="0.25">
      <c r="A13697" s="62">
        <v>51211901</v>
      </c>
      <c r="B13697" s="63" t="s">
        <v>14342</v>
      </c>
    </row>
    <row r="13698" spans="1:2" x14ac:dyDescent="0.25">
      <c r="A13698" s="62">
        <v>51212001</v>
      </c>
      <c r="B13698" s="63" t="s">
        <v>14343</v>
      </c>
    </row>
    <row r="13699" spans="1:2" x14ac:dyDescent="0.25">
      <c r="A13699" s="62">
        <v>51212002</v>
      </c>
      <c r="B13699" s="63" t="s">
        <v>14344</v>
      </c>
    </row>
    <row r="13700" spans="1:2" x14ac:dyDescent="0.25">
      <c r="A13700" s="62">
        <v>51212003</v>
      </c>
      <c r="B13700" s="63" t="s">
        <v>14345</v>
      </c>
    </row>
    <row r="13701" spans="1:2" x14ac:dyDescent="0.25">
      <c r="A13701" s="62">
        <v>51212004</v>
      </c>
      <c r="B13701" s="63" t="s">
        <v>14346</v>
      </c>
    </row>
    <row r="13702" spans="1:2" x14ac:dyDescent="0.25">
      <c r="A13702" s="62">
        <v>51212005</v>
      </c>
      <c r="B13702" s="63" t="s">
        <v>14347</v>
      </c>
    </row>
    <row r="13703" spans="1:2" x14ac:dyDescent="0.25">
      <c r="A13703" s="62">
        <v>51212006</v>
      </c>
      <c r="B13703" s="63" t="s">
        <v>14348</v>
      </c>
    </row>
    <row r="13704" spans="1:2" x14ac:dyDescent="0.25">
      <c r="A13704" s="62">
        <v>51212007</v>
      </c>
      <c r="B13704" s="63" t="s">
        <v>14349</v>
      </c>
    </row>
    <row r="13705" spans="1:2" x14ac:dyDescent="0.25">
      <c r="A13705" s="62">
        <v>51212008</v>
      </c>
      <c r="B13705" s="63" t="s">
        <v>14350</v>
      </c>
    </row>
    <row r="13706" spans="1:2" x14ac:dyDescent="0.25">
      <c r="A13706" s="62">
        <v>51212009</v>
      </c>
      <c r="B13706" s="63" t="s">
        <v>14351</v>
      </c>
    </row>
    <row r="13707" spans="1:2" x14ac:dyDescent="0.25">
      <c r="A13707" s="62">
        <v>51212010</v>
      </c>
      <c r="B13707" s="63" t="s">
        <v>14352</v>
      </c>
    </row>
    <row r="13708" spans="1:2" x14ac:dyDescent="0.25">
      <c r="A13708" s="62">
        <v>51212011</v>
      </c>
      <c r="B13708" s="63" t="s">
        <v>14353</v>
      </c>
    </row>
    <row r="13709" spans="1:2" x14ac:dyDescent="0.25">
      <c r="A13709" s="62">
        <v>51212012</v>
      </c>
      <c r="B13709" s="63" t="s">
        <v>14354</v>
      </c>
    </row>
    <row r="13710" spans="1:2" x14ac:dyDescent="0.25">
      <c r="A13710" s="62">
        <v>51212013</v>
      </c>
      <c r="B13710" s="63" t="s">
        <v>14355</v>
      </c>
    </row>
    <row r="13711" spans="1:2" x14ac:dyDescent="0.25">
      <c r="A13711" s="62">
        <v>51212014</v>
      </c>
      <c r="B13711" s="63" t="s">
        <v>14356</v>
      </c>
    </row>
    <row r="13712" spans="1:2" x14ac:dyDescent="0.25">
      <c r="A13712" s="62">
        <v>51212015</v>
      </c>
      <c r="B13712" s="63" t="s">
        <v>14357</v>
      </c>
    </row>
    <row r="13713" spans="1:2" x14ac:dyDescent="0.25">
      <c r="A13713" s="62">
        <v>51212016</v>
      </c>
      <c r="B13713" s="63" t="s">
        <v>14358</v>
      </c>
    </row>
    <row r="13714" spans="1:2" x14ac:dyDescent="0.25">
      <c r="A13714" s="62">
        <v>51212017</v>
      </c>
      <c r="B13714" s="63" t="s">
        <v>14359</v>
      </c>
    </row>
    <row r="13715" spans="1:2" x14ac:dyDescent="0.25">
      <c r="A13715" s="62">
        <v>51212018</v>
      </c>
      <c r="B13715" s="63" t="s">
        <v>14360</v>
      </c>
    </row>
    <row r="13716" spans="1:2" x14ac:dyDescent="0.25">
      <c r="A13716" s="62">
        <v>51212020</v>
      </c>
      <c r="B13716" s="63" t="s">
        <v>14361</v>
      </c>
    </row>
    <row r="13717" spans="1:2" x14ac:dyDescent="0.25">
      <c r="A13717" s="62">
        <v>51212021</v>
      </c>
      <c r="B13717" s="63" t="s">
        <v>14362</v>
      </c>
    </row>
    <row r="13718" spans="1:2" x14ac:dyDescent="0.25">
      <c r="A13718" s="62">
        <v>51212022</v>
      </c>
      <c r="B13718" s="63" t="s">
        <v>14363</v>
      </c>
    </row>
    <row r="13719" spans="1:2" x14ac:dyDescent="0.25">
      <c r="A13719" s="62">
        <v>51212023</v>
      </c>
      <c r="B13719" s="63" t="s">
        <v>14364</v>
      </c>
    </row>
    <row r="13720" spans="1:2" x14ac:dyDescent="0.25">
      <c r="A13720" s="62">
        <v>51212024</v>
      </c>
      <c r="B13720" s="63" t="s">
        <v>14365</v>
      </c>
    </row>
    <row r="13721" spans="1:2" x14ac:dyDescent="0.25">
      <c r="A13721" s="62">
        <v>51212025</v>
      </c>
      <c r="B13721" s="63" t="s">
        <v>14366</v>
      </c>
    </row>
    <row r="13722" spans="1:2" x14ac:dyDescent="0.25">
      <c r="A13722" s="62">
        <v>51212026</v>
      </c>
      <c r="B13722" s="63" t="s">
        <v>14367</v>
      </c>
    </row>
    <row r="13723" spans="1:2" x14ac:dyDescent="0.25">
      <c r="A13723" s="62">
        <v>51212027</v>
      </c>
      <c r="B13723" s="63" t="s">
        <v>14368</v>
      </c>
    </row>
    <row r="13724" spans="1:2" x14ac:dyDescent="0.25">
      <c r="A13724" s="62">
        <v>51212028</v>
      </c>
      <c r="B13724" s="63" t="s">
        <v>14369</v>
      </c>
    </row>
    <row r="13725" spans="1:2" x14ac:dyDescent="0.25">
      <c r="A13725" s="62">
        <v>51212029</v>
      </c>
      <c r="B13725" s="63" t="s">
        <v>14370</v>
      </c>
    </row>
    <row r="13726" spans="1:2" x14ac:dyDescent="0.25">
      <c r="A13726" s="62">
        <v>51212030</v>
      </c>
      <c r="B13726" s="63" t="s">
        <v>14371</v>
      </c>
    </row>
    <row r="13727" spans="1:2" x14ac:dyDescent="0.25">
      <c r="A13727" s="62">
        <v>51212031</v>
      </c>
      <c r="B13727" s="63" t="s">
        <v>14372</v>
      </c>
    </row>
    <row r="13728" spans="1:2" x14ac:dyDescent="0.25">
      <c r="A13728" s="62">
        <v>51212032</v>
      </c>
      <c r="B13728" s="63" t="s">
        <v>14373</v>
      </c>
    </row>
    <row r="13729" spans="1:2" x14ac:dyDescent="0.25">
      <c r="A13729" s="62">
        <v>51212033</v>
      </c>
      <c r="B13729" s="63" t="s">
        <v>14374</v>
      </c>
    </row>
    <row r="13730" spans="1:2" x14ac:dyDescent="0.25">
      <c r="A13730" s="62">
        <v>51212034</v>
      </c>
      <c r="B13730" s="63" t="s">
        <v>14375</v>
      </c>
    </row>
    <row r="13731" spans="1:2" x14ac:dyDescent="0.25">
      <c r="A13731" s="62">
        <v>51212035</v>
      </c>
      <c r="B13731" s="63" t="s">
        <v>14376</v>
      </c>
    </row>
    <row r="13732" spans="1:2" x14ac:dyDescent="0.25">
      <c r="A13732" s="62">
        <v>51212036</v>
      </c>
      <c r="B13732" s="63" t="s">
        <v>14377</v>
      </c>
    </row>
    <row r="13733" spans="1:2" x14ac:dyDescent="0.25">
      <c r="A13733" s="62">
        <v>51212101</v>
      </c>
      <c r="B13733" s="63" t="s">
        <v>14378</v>
      </c>
    </row>
    <row r="13734" spans="1:2" x14ac:dyDescent="0.25">
      <c r="A13734" s="62">
        <v>51212201</v>
      </c>
      <c r="B13734" s="63" t="s">
        <v>14379</v>
      </c>
    </row>
    <row r="13735" spans="1:2" x14ac:dyDescent="0.25">
      <c r="A13735" s="62">
        <v>51212202</v>
      </c>
      <c r="B13735" s="63" t="s">
        <v>14380</v>
      </c>
    </row>
    <row r="13736" spans="1:2" x14ac:dyDescent="0.25">
      <c r="A13736" s="62">
        <v>51212203</v>
      </c>
      <c r="B13736" s="63" t="s">
        <v>14381</v>
      </c>
    </row>
    <row r="13737" spans="1:2" x14ac:dyDescent="0.25">
      <c r="A13737" s="62">
        <v>51212301</v>
      </c>
      <c r="B13737" s="63" t="s">
        <v>14382</v>
      </c>
    </row>
    <row r="13738" spans="1:2" x14ac:dyDescent="0.25">
      <c r="A13738" s="62">
        <v>51212302</v>
      </c>
      <c r="B13738" s="63" t="s">
        <v>14383</v>
      </c>
    </row>
    <row r="13739" spans="1:2" x14ac:dyDescent="0.25">
      <c r="A13739" s="62">
        <v>51212303</v>
      </c>
      <c r="B13739" s="63" t="s">
        <v>14384</v>
      </c>
    </row>
    <row r="13740" spans="1:2" x14ac:dyDescent="0.25">
      <c r="A13740" s="62">
        <v>51212304</v>
      </c>
      <c r="B13740" s="63" t="s">
        <v>14385</v>
      </c>
    </row>
    <row r="13741" spans="1:2" x14ac:dyDescent="0.25">
      <c r="A13741" s="62">
        <v>51212305</v>
      </c>
      <c r="B13741" s="63" t="s">
        <v>14386</v>
      </c>
    </row>
    <row r="13742" spans="1:2" x14ac:dyDescent="0.25">
      <c r="A13742" s="62">
        <v>51212306</v>
      </c>
      <c r="B13742" s="63" t="s">
        <v>14387</v>
      </c>
    </row>
    <row r="13743" spans="1:2" x14ac:dyDescent="0.25">
      <c r="A13743" s="62">
        <v>51212307</v>
      </c>
      <c r="B13743" s="63" t="s">
        <v>14388</v>
      </c>
    </row>
    <row r="13744" spans="1:2" x14ac:dyDescent="0.25">
      <c r="A13744" s="62">
        <v>51212308</v>
      </c>
      <c r="B13744" s="63" t="s">
        <v>14389</v>
      </c>
    </row>
    <row r="13745" spans="1:2" x14ac:dyDescent="0.25">
      <c r="A13745" s="62">
        <v>51212309</v>
      </c>
      <c r="B13745" s="63" t="s">
        <v>14390</v>
      </c>
    </row>
    <row r="13746" spans="1:2" x14ac:dyDescent="0.25">
      <c r="A13746" s="62">
        <v>51212401</v>
      </c>
      <c r="B13746" s="63" t="s">
        <v>14391</v>
      </c>
    </row>
    <row r="13747" spans="1:2" x14ac:dyDescent="0.25">
      <c r="A13747" s="62">
        <v>51212402</v>
      </c>
      <c r="B13747" s="63" t="s">
        <v>14392</v>
      </c>
    </row>
    <row r="13748" spans="1:2" x14ac:dyDescent="0.25">
      <c r="A13748" s="62">
        <v>51241001</v>
      </c>
      <c r="B13748" s="63" t="s">
        <v>14393</v>
      </c>
    </row>
    <row r="13749" spans="1:2" x14ac:dyDescent="0.25">
      <c r="A13749" s="62">
        <v>51241002</v>
      </c>
      <c r="B13749" s="63" t="s">
        <v>14394</v>
      </c>
    </row>
    <row r="13750" spans="1:2" x14ac:dyDescent="0.25">
      <c r="A13750" s="62">
        <v>51241101</v>
      </c>
      <c r="B13750" s="63" t="s">
        <v>14395</v>
      </c>
    </row>
    <row r="13751" spans="1:2" x14ac:dyDescent="0.25">
      <c r="A13751" s="62">
        <v>51241102</v>
      </c>
      <c r="B13751" s="63" t="s">
        <v>14396</v>
      </c>
    </row>
    <row r="13752" spans="1:2" x14ac:dyDescent="0.25">
      <c r="A13752" s="62">
        <v>51241103</v>
      </c>
      <c r="B13752" s="63" t="s">
        <v>14397</v>
      </c>
    </row>
    <row r="13753" spans="1:2" x14ac:dyDescent="0.25">
      <c r="A13753" s="62">
        <v>51241104</v>
      </c>
      <c r="B13753" s="63" t="s">
        <v>14398</v>
      </c>
    </row>
    <row r="13754" spans="1:2" x14ac:dyDescent="0.25">
      <c r="A13754" s="62">
        <v>51241105</v>
      </c>
      <c r="B13754" s="63" t="s">
        <v>14399</v>
      </c>
    </row>
    <row r="13755" spans="1:2" x14ac:dyDescent="0.25">
      <c r="A13755" s="62">
        <v>51241106</v>
      </c>
      <c r="B13755" s="63" t="s">
        <v>14400</v>
      </c>
    </row>
    <row r="13756" spans="1:2" x14ac:dyDescent="0.25">
      <c r="A13756" s="62">
        <v>51241107</v>
      </c>
      <c r="B13756" s="63" t="s">
        <v>14401</v>
      </c>
    </row>
    <row r="13757" spans="1:2" x14ac:dyDescent="0.25">
      <c r="A13757" s="62">
        <v>51241108</v>
      </c>
      <c r="B13757" s="63" t="s">
        <v>14402</v>
      </c>
    </row>
    <row r="13758" spans="1:2" x14ac:dyDescent="0.25">
      <c r="A13758" s="62">
        <v>51241109</v>
      </c>
      <c r="B13758" s="63" t="s">
        <v>14403</v>
      </c>
    </row>
    <row r="13759" spans="1:2" x14ac:dyDescent="0.25">
      <c r="A13759" s="62">
        <v>51241110</v>
      </c>
      <c r="B13759" s="63" t="s">
        <v>14404</v>
      </c>
    </row>
    <row r="13760" spans="1:2" x14ac:dyDescent="0.25">
      <c r="A13760" s="62">
        <v>51241111</v>
      </c>
      <c r="B13760" s="63" t="s">
        <v>14405</v>
      </c>
    </row>
    <row r="13761" spans="1:2" x14ac:dyDescent="0.25">
      <c r="A13761" s="62">
        <v>51241112</v>
      </c>
      <c r="B13761" s="63" t="s">
        <v>14406</v>
      </c>
    </row>
    <row r="13762" spans="1:2" x14ac:dyDescent="0.25">
      <c r="A13762" s="62">
        <v>51241113</v>
      </c>
      <c r="B13762" s="63" t="s">
        <v>14407</v>
      </c>
    </row>
    <row r="13763" spans="1:2" x14ac:dyDescent="0.25">
      <c r="A13763" s="62">
        <v>51241114</v>
      </c>
      <c r="B13763" s="63" t="s">
        <v>14408</v>
      </c>
    </row>
    <row r="13764" spans="1:2" x14ac:dyDescent="0.25">
      <c r="A13764" s="62">
        <v>51241115</v>
      </c>
      <c r="B13764" s="63" t="s">
        <v>14409</v>
      </c>
    </row>
    <row r="13765" spans="1:2" x14ac:dyDescent="0.25">
      <c r="A13765" s="62">
        <v>51241116</v>
      </c>
      <c r="B13765" s="63" t="s">
        <v>14410</v>
      </c>
    </row>
    <row r="13766" spans="1:2" x14ac:dyDescent="0.25">
      <c r="A13766" s="62">
        <v>51241117</v>
      </c>
      <c r="B13766" s="63" t="s">
        <v>14411</v>
      </c>
    </row>
    <row r="13767" spans="1:2" x14ac:dyDescent="0.25">
      <c r="A13767" s="62">
        <v>51241118</v>
      </c>
      <c r="B13767" s="63" t="s">
        <v>14412</v>
      </c>
    </row>
    <row r="13768" spans="1:2" x14ac:dyDescent="0.25">
      <c r="A13768" s="62">
        <v>51241119</v>
      </c>
      <c r="B13768" s="63" t="s">
        <v>14413</v>
      </c>
    </row>
    <row r="13769" spans="1:2" x14ac:dyDescent="0.25">
      <c r="A13769" s="62">
        <v>51241120</v>
      </c>
      <c r="B13769" s="63" t="s">
        <v>14414</v>
      </c>
    </row>
    <row r="13770" spans="1:2" x14ac:dyDescent="0.25">
      <c r="A13770" s="62">
        <v>51241201</v>
      </c>
      <c r="B13770" s="63" t="s">
        <v>14415</v>
      </c>
    </row>
    <row r="13771" spans="1:2" x14ac:dyDescent="0.25">
      <c r="A13771" s="62">
        <v>51241202</v>
      </c>
      <c r="B13771" s="63" t="s">
        <v>14416</v>
      </c>
    </row>
    <row r="13772" spans="1:2" x14ac:dyDescent="0.25">
      <c r="A13772" s="62">
        <v>51241203</v>
      </c>
      <c r="B13772" s="63" t="s">
        <v>14417</v>
      </c>
    </row>
    <row r="13773" spans="1:2" x14ac:dyDescent="0.25">
      <c r="A13773" s="62">
        <v>51241204</v>
      </c>
      <c r="B13773" s="63" t="s">
        <v>14418</v>
      </c>
    </row>
    <row r="13774" spans="1:2" x14ac:dyDescent="0.25">
      <c r="A13774" s="62">
        <v>51241205</v>
      </c>
      <c r="B13774" s="63" t="s">
        <v>14419</v>
      </c>
    </row>
    <row r="13775" spans="1:2" x14ac:dyDescent="0.25">
      <c r="A13775" s="62">
        <v>51241206</v>
      </c>
      <c r="B13775" s="63" t="s">
        <v>14420</v>
      </c>
    </row>
    <row r="13776" spans="1:2" x14ac:dyDescent="0.25">
      <c r="A13776" s="62">
        <v>51241207</v>
      </c>
      <c r="B13776" s="63" t="s">
        <v>14421</v>
      </c>
    </row>
    <row r="13777" spans="1:2" x14ac:dyDescent="0.25">
      <c r="A13777" s="62">
        <v>51241208</v>
      </c>
      <c r="B13777" s="63" t="s">
        <v>14422</v>
      </c>
    </row>
    <row r="13778" spans="1:2" x14ac:dyDescent="0.25">
      <c r="A13778" s="62">
        <v>51241209</v>
      </c>
      <c r="B13778" s="63" t="s">
        <v>14423</v>
      </c>
    </row>
    <row r="13779" spans="1:2" x14ac:dyDescent="0.25">
      <c r="A13779" s="62">
        <v>51241210</v>
      </c>
      <c r="B13779" s="63" t="s">
        <v>14424</v>
      </c>
    </row>
    <row r="13780" spans="1:2" x14ac:dyDescent="0.25">
      <c r="A13780" s="62">
        <v>51241211</v>
      </c>
      <c r="B13780" s="63" t="s">
        <v>14425</v>
      </c>
    </row>
    <row r="13781" spans="1:2" x14ac:dyDescent="0.25">
      <c r="A13781" s="62">
        <v>51241212</v>
      </c>
      <c r="B13781" s="63" t="s">
        <v>14426</v>
      </c>
    </row>
    <row r="13782" spans="1:2" x14ac:dyDescent="0.25">
      <c r="A13782" s="62">
        <v>51241213</v>
      </c>
      <c r="B13782" s="63" t="s">
        <v>14427</v>
      </c>
    </row>
    <row r="13783" spans="1:2" x14ac:dyDescent="0.25">
      <c r="A13783" s="62">
        <v>51241214</v>
      </c>
      <c r="B13783" s="63" t="s">
        <v>14428</v>
      </c>
    </row>
    <row r="13784" spans="1:2" x14ac:dyDescent="0.25">
      <c r="A13784" s="62">
        <v>51241215</v>
      </c>
      <c r="B13784" s="63" t="s">
        <v>14429</v>
      </c>
    </row>
    <row r="13785" spans="1:2" x14ac:dyDescent="0.25">
      <c r="A13785" s="62">
        <v>51241216</v>
      </c>
      <c r="B13785" s="63" t="s">
        <v>14430</v>
      </c>
    </row>
    <row r="13786" spans="1:2" x14ac:dyDescent="0.25">
      <c r="A13786" s="62">
        <v>51241217</v>
      </c>
      <c r="B13786" s="63" t="s">
        <v>14431</v>
      </c>
    </row>
    <row r="13787" spans="1:2" x14ac:dyDescent="0.25">
      <c r="A13787" s="62">
        <v>51241218</v>
      </c>
      <c r="B13787" s="63" t="s">
        <v>14432</v>
      </c>
    </row>
    <row r="13788" spans="1:2" x14ac:dyDescent="0.25">
      <c r="A13788" s="62">
        <v>51241219</v>
      </c>
      <c r="B13788" s="63" t="s">
        <v>14433</v>
      </c>
    </row>
    <row r="13789" spans="1:2" x14ac:dyDescent="0.25">
      <c r="A13789" s="62">
        <v>51241220</v>
      </c>
      <c r="B13789" s="63" t="s">
        <v>14434</v>
      </c>
    </row>
    <row r="13790" spans="1:2" x14ac:dyDescent="0.25">
      <c r="A13790" s="62">
        <v>51241221</v>
      </c>
      <c r="B13790" s="63" t="s">
        <v>14435</v>
      </c>
    </row>
    <row r="13791" spans="1:2" x14ac:dyDescent="0.25">
      <c r="A13791" s="62">
        <v>51241222</v>
      </c>
      <c r="B13791" s="63" t="s">
        <v>14436</v>
      </c>
    </row>
    <row r="13792" spans="1:2" x14ac:dyDescent="0.25">
      <c r="A13792" s="62">
        <v>51241223</v>
      </c>
      <c r="B13792" s="63" t="s">
        <v>14437</v>
      </c>
    </row>
    <row r="13793" spans="1:2" x14ac:dyDescent="0.25">
      <c r="A13793" s="62">
        <v>51241224</v>
      </c>
      <c r="B13793" s="63" t="s">
        <v>14438</v>
      </c>
    </row>
    <row r="13794" spans="1:2" x14ac:dyDescent="0.25">
      <c r="A13794" s="62">
        <v>51241225</v>
      </c>
      <c r="B13794" s="63" t="s">
        <v>14439</v>
      </c>
    </row>
    <row r="13795" spans="1:2" x14ac:dyDescent="0.25">
      <c r="A13795" s="62">
        <v>51241226</v>
      </c>
      <c r="B13795" s="63" t="s">
        <v>14440</v>
      </c>
    </row>
    <row r="13796" spans="1:2" x14ac:dyDescent="0.25">
      <c r="A13796" s="62">
        <v>51241227</v>
      </c>
      <c r="B13796" s="63" t="s">
        <v>14441</v>
      </c>
    </row>
    <row r="13797" spans="1:2" x14ac:dyDescent="0.25">
      <c r="A13797" s="62">
        <v>51241228</v>
      </c>
      <c r="B13797" s="63" t="s">
        <v>14442</v>
      </c>
    </row>
    <row r="13798" spans="1:2" x14ac:dyDescent="0.25">
      <c r="A13798" s="62">
        <v>51241229</v>
      </c>
      <c r="B13798" s="63" t="s">
        <v>14443</v>
      </c>
    </row>
    <row r="13799" spans="1:2" x14ac:dyDescent="0.25">
      <c r="A13799" s="62">
        <v>51241301</v>
      </c>
      <c r="B13799" s="63" t="s">
        <v>14444</v>
      </c>
    </row>
    <row r="13800" spans="1:2" x14ac:dyDescent="0.25">
      <c r="A13800" s="62">
        <v>51241302</v>
      </c>
      <c r="B13800" s="63" t="s">
        <v>14445</v>
      </c>
    </row>
    <row r="13801" spans="1:2" x14ac:dyDescent="0.25">
      <c r="A13801" s="62">
        <v>51241303</v>
      </c>
      <c r="B13801" s="63" t="s">
        <v>14446</v>
      </c>
    </row>
    <row r="13802" spans="1:2" x14ac:dyDescent="0.25">
      <c r="A13802" s="62">
        <v>51241304</v>
      </c>
      <c r="B13802" s="63" t="s">
        <v>14447</v>
      </c>
    </row>
    <row r="13803" spans="1:2" x14ac:dyDescent="0.25">
      <c r="A13803" s="62">
        <v>51241305</v>
      </c>
      <c r="B13803" s="63" t="s">
        <v>14448</v>
      </c>
    </row>
    <row r="13804" spans="1:2" x14ac:dyDescent="0.25">
      <c r="A13804" s="62">
        <v>51251001</v>
      </c>
      <c r="B13804" s="63" t="s">
        <v>14449</v>
      </c>
    </row>
    <row r="13805" spans="1:2" x14ac:dyDescent="0.25">
      <c r="A13805" s="62">
        <v>52101501</v>
      </c>
      <c r="B13805" s="63" t="s">
        <v>14450</v>
      </c>
    </row>
    <row r="13806" spans="1:2" x14ac:dyDescent="0.25">
      <c r="A13806" s="62">
        <v>52101502</v>
      </c>
      <c r="B13806" s="63" t="s">
        <v>14451</v>
      </c>
    </row>
    <row r="13807" spans="1:2" x14ac:dyDescent="0.25">
      <c r="A13807" s="62">
        <v>52101503</v>
      </c>
      <c r="B13807" s="63" t="s">
        <v>14452</v>
      </c>
    </row>
    <row r="13808" spans="1:2" x14ac:dyDescent="0.25">
      <c r="A13808" s="62">
        <v>52101504</v>
      </c>
      <c r="B13808" s="63" t="s">
        <v>14453</v>
      </c>
    </row>
    <row r="13809" spans="1:2" x14ac:dyDescent="0.25">
      <c r="A13809" s="62">
        <v>52101505</v>
      </c>
      <c r="B13809" s="63" t="s">
        <v>14454</v>
      </c>
    </row>
    <row r="13810" spans="1:2" x14ac:dyDescent="0.25">
      <c r="A13810" s="62">
        <v>52101506</v>
      </c>
      <c r="B13810" s="63" t="s">
        <v>14455</v>
      </c>
    </row>
    <row r="13811" spans="1:2" x14ac:dyDescent="0.25">
      <c r="A13811" s="62">
        <v>52101507</v>
      </c>
      <c r="B13811" s="63" t="s">
        <v>14456</v>
      </c>
    </row>
    <row r="13812" spans="1:2" x14ac:dyDescent="0.25">
      <c r="A13812" s="62">
        <v>52101508</v>
      </c>
      <c r="B13812" s="63" t="s">
        <v>14457</v>
      </c>
    </row>
    <row r="13813" spans="1:2" x14ac:dyDescent="0.25">
      <c r="A13813" s="62">
        <v>52101509</v>
      </c>
      <c r="B13813" s="63" t="s">
        <v>14458</v>
      </c>
    </row>
    <row r="13814" spans="1:2" x14ac:dyDescent="0.25">
      <c r="A13814" s="62">
        <v>52101510</v>
      </c>
      <c r="B13814" s="63" t="s">
        <v>14459</v>
      </c>
    </row>
    <row r="13815" spans="1:2" x14ac:dyDescent="0.25">
      <c r="A13815" s="62">
        <v>52101511</v>
      </c>
      <c r="B13815" s="63" t="s">
        <v>14460</v>
      </c>
    </row>
    <row r="13816" spans="1:2" x14ac:dyDescent="0.25">
      <c r="A13816" s="62">
        <v>52101512</v>
      </c>
      <c r="B13816" s="63" t="s">
        <v>14461</v>
      </c>
    </row>
    <row r="13817" spans="1:2" x14ac:dyDescent="0.25">
      <c r="A13817" s="62">
        <v>52101513</v>
      </c>
      <c r="B13817" s="63" t="s">
        <v>14462</v>
      </c>
    </row>
    <row r="13818" spans="1:2" x14ac:dyDescent="0.25">
      <c r="A13818" s="62">
        <v>52121501</v>
      </c>
      <c r="B13818" s="63" t="s">
        <v>14463</v>
      </c>
    </row>
    <row r="13819" spans="1:2" x14ac:dyDescent="0.25">
      <c r="A13819" s="62">
        <v>52121502</v>
      </c>
      <c r="B13819" s="63" t="s">
        <v>14464</v>
      </c>
    </row>
    <row r="13820" spans="1:2" x14ac:dyDescent="0.25">
      <c r="A13820" s="62">
        <v>52121503</v>
      </c>
      <c r="B13820" s="63" t="s">
        <v>14465</v>
      </c>
    </row>
    <row r="13821" spans="1:2" x14ac:dyDescent="0.25">
      <c r="A13821" s="62">
        <v>52121504</v>
      </c>
      <c r="B13821" s="63" t="s">
        <v>14466</v>
      </c>
    </row>
    <row r="13822" spans="1:2" x14ac:dyDescent="0.25">
      <c r="A13822" s="62">
        <v>52121505</v>
      </c>
      <c r="B13822" s="63" t="s">
        <v>14467</v>
      </c>
    </row>
    <row r="13823" spans="1:2" x14ac:dyDescent="0.25">
      <c r="A13823" s="62">
        <v>52121506</v>
      </c>
      <c r="B13823" s="63" t="s">
        <v>14468</v>
      </c>
    </row>
    <row r="13824" spans="1:2" x14ac:dyDescent="0.25">
      <c r="A13824" s="62">
        <v>52121507</v>
      </c>
      <c r="B13824" s="63" t="s">
        <v>14469</v>
      </c>
    </row>
    <row r="13825" spans="1:2" x14ac:dyDescent="0.25">
      <c r="A13825" s="62">
        <v>52121508</v>
      </c>
      <c r="B13825" s="63" t="s">
        <v>14470</v>
      </c>
    </row>
    <row r="13826" spans="1:2" x14ac:dyDescent="0.25">
      <c r="A13826" s="62">
        <v>52121509</v>
      </c>
      <c r="B13826" s="63" t="s">
        <v>14471</v>
      </c>
    </row>
    <row r="13827" spans="1:2" x14ac:dyDescent="0.25">
      <c r="A13827" s="62">
        <v>52121510</v>
      </c>
      <c r="B13827" s="63" t="s">
        <v>14472</v>
      </c>
    </row>
    <row r="13828" spans="1:2" x14ac:dyDescent="0.25">
      <c r="A13828" s="62">
        <v>52121511</v>
      </c>
      <c r="B13828" s="63" t="s">
        <v>14473</v>
      </c>
    </row>
    <row r="13829" spans="1:2" x14ac:dyDescent="0.25">
      <c r="A13829" s="62">
        <v>52121512</v>
      </c>
      <c r="B13829" s="63" t="s">
        <v>14474</v>
      </c>
    </row>
    <row r="13830" spans="1:2" x14ac:dyDescent="0.25">
      <c r="A13830" s="62">
        <v>52121513</v>
      </c>
      <c r="B13830" s="63" t="s">
        <v>14475</v>
      </c>
    </row>
    <row r="13831" spans="1:2" x14ac:dyDescent="0.25">
      <c r="A13831" s="62">
        <v>52121601</v>
      </c>
      <c r="B13831" s="63" t="s">
        <v>14476</v>
      </c>
    </row>
    <row r="13832" spans="1:2" x14ac:dyDescent="0.25">
      <c r="A13832" s="62">
        <v>52121602</v>
      </c>
      <c r="B13832" s="63" t="s">
        <v>14477</v>
      </c>
    </row>
    <row r="13833" spans="1:2" x14ac:dyDescent="0.25">
      <c r="A13833" s="62">
        <v>52121603</v>
      </c>
      <c r="B13833" s="63" t="s">
        <v>14478</v>
      </c>
    </row>
    <row r="13834" spans="1:2" x14ac:dyDescent="0.25">
      <c r="A13834" s="62">
        <v>52121604</v>
      </c>
      <c r="B13834" s="63" t="s">
        <v>14479</v>
      </c>
    </row>
    <row r="13835" spans="1:2" x14ac:dyDescent="0.25">
      <c r="A13835" s="62">
        <v>52121605</v>
      </c>
      <c r="B13835" s="63" t="s">
        <v>14480</v>
      </c>
    </row>
    <row r="13836" spans="1:2" x14ac:dyDescent="0.25">
      <c r="A13836" s="62">
        <v>52121606</v>
      </c>
      <c r="B13836" s="63" t="s">
        <v>14481</v>
      </c>
    </row>
    <row r="13837" spans="1:2" x14ac:dyDescent="0.25">
      <c r="A13837" s="62">
        <v>52121607</v>
      </c>
      <c r="B13837" s="63" t="s">
        <v>14482</v>
      </c>
    </row>
    <row r="13838" spans="1:2" x14ac:dyDescent="0.25">
      <c r="A13838" s="62">
        <v>52121608</v>
      </c>
      <c r="B13838" s="63" t="s">
        <v>14483</v>
      </c>
    </row>
    <row r="13839" spans="1:2" x14ac:dyDescent="0.25">
      <c r="A13839" s="62">
        <v>52121701</v>
      </c>
      <c r="B13839" s="63" t="s">
        <v>14484</v>
      </c>
    </row>
    <row r="13840" spans="1:2" x14ac:dyDescent="0.25">
      <c r="A13840" s="62">
        <v>52121702</v>
      </c>
      <c r="B13840" s="63" t="s">
        <v>14485</v>
      </c>
    </row>
    <row r="13841" spans="1:2" x14ac:dyDescent="0.25">
      <c r="A13841" s="62">
        <v>52121703</v>
      </c>
      <c r="B13841" s="63" t="s">
        <v>14486</v>
      </c>
    </row>
    <row r="13842" spans="1:2" x14ac:dyDescent="0.25">
      <c r="A13842" s="62">
        <v>52121704</v>
      </c>
      <c r="B13842" s="63" t="s">
        <v>14487</v>
      </c>
    </row>
    <row r="13843" spans="1:2" x14ac:dyDescent="0.25">
      <c r="A13843" s="62">
        <v>52131501</v>
      </c>
      <c r="B13843" s="63" t="s">
        <v>14488</v>
      </c>
    </row>
    <row r="13844" spans="1:2" x14ac:dyDescent="0.25">
      <c r="A13844" s="62">
        <v>52131503</v>
      </c>
      <c r="B13844" s="63" t="s">
        <v>14489</v>
      </c>
    </row>
    <row r="13845" spans="1:2" x14ac:dyDescent="0.25">
      <c r="A13845" s="62">
        <v>52131601</v>
      </c>
      <c r="B13845" s="63" t="s">
        <v>14490</v>
      </c>
    </row>
    <row r="13846" spans="1:2" x14ac:dyDescent="0.25">
      <c r="A13846" s="62">
        <v>52131602</v>
      </c>
      <c r="B13846" s="63" t="s">
        <v>14491</v>
      </c>
    </row>
    <row r="13847" spans="1:2" x14ac:dyDescent="0.25">
      <c r="A13847" s="62">
        <v>52131603</v>
      </c>
      <c r="B13847" s="63" t="s">
        <v>14492</v>
      </c>
    </row>
    <row r="13848" spans="1:2" x14ac:dyDescent="0.25">
      <c r="A13848" s="62">
        <v>52131604</v>
      </c>
      <c r="B13848" s="63" t="s">
        <v>14493</v>
      </c>
    </row>
    <row r="13849" spans="1:2" x14ac:dyDescent="0.25">
      <c r="A13849" s="62">
        <v>52131701</v>
      </c>
      <c r="B13849" s="63" t="s">
        <v>14494</v>
      </c>
    </row>
    <row r="13850" spans="1:2" x14ac:dyDescent="0.25">
      <c r="A13850" s="62">
        <v>52131702</v>
      </c>
      <c r="B13850" s="63" t="s">
        <v>14495</v>
      </c>
    </row>
    <row r="13851" spans="1:2" x14ac:dyDescent="0.25">
      <c r="A13851" s="62">
        <v>52131703</v>
      </c>
      <c r="B13851" s="63" t="s">
        <v>14496</v>
      </c>
    </row>
    <row r="13852" spans="1:2" x14ac:dyDescent="0.25">
      <c r="A13852" s="62">
        <v>52131704</v>
      </c>
      <c r="B13852" s="63" t="s">
        <v>14497</v>
      </c>
    </row>
    <row r="13853" spans="1:2" x14ac:dyDescent="0.25">
      <c r="A13853" s="62">
        <v>52141501</v>
      </c>
      <c r="B13853" s="63" t="s">
        <v>14498</v>
      </c>
    </row>
    <row r="13854" spans="1:2" x14ac:dyDescent="0.25">
      <c r="A13854" s="62">
        <v>52141502</v>
      </c>
      <c r="B13854" s="63" t="s">
        <v>14499</v>
      </c>
    </row>
    <row r="13855" spans="1:2" x14ac:dyDescent="0.25">
      <c r="A13855" s="62">
        <v>52141503</v>
      </c>
      <c r="B13855" s="63" t="s">
        <v>14500</v>
      </c>
    </row>
    <row r="13856" spans="1:2" x14ac:dyDescent="0.25">
      <c r="A13856" s="62">
        <v>52141504</v>
      </c>
      <c r="B13856" s="63" t="s">
        <v>14501</v>
      </c>
    </row>
    <row r="13857" spans="1:2" x14ac:dyDescent="0.25">
      <c r="A13857" s="62">
        <v>52141505</v>
      </c>
      <c r="B13857" s="63" t="s">
        <v>14502</v>
      </c>
    </row>
    <row r="13858" spans="1:2" x14ac:dyDescent="0.25">
      <c r="A13858" s="62">
        <v>52141506</v>
      </c>
      <c r="B13858" s="63" t="s">
        <v>14503</v>
      </c>
    </row>
    <row r="13859" spans="1:2" x14ac:dyDescent="0.25">
      <c r="A13859" s="62">
        <v>52141507</v>
      </c>
      <c r="B13859" s="63" t="s">
        <v>14504</v>
      </c>
    </row>
    <row r="13860" spans="1:2" x14ac:dyDescent="0.25">
      <c r="A13860" s="62">
        <v>52141508</v>
      </c>
      <c r="B13860" s="63" t="s">
        <v>14505</v>
      </c>
    </row>
    <row r="13861" spans="1:2" x14ac:dyDescent="0.25">
      <c r="A13861" s="62">
        <v>52141509</v>
      </c>
      <c r="B13861" s="63" t="s">
        <v>14506</v>
      </c>
    </row>
    <row r="13862" spans="1:2" x14ac:dyDescent="0.25">
      <c r="A13862" s="62">
        <v>52141510</v>
      </c>
      <c r="B13862" s="63" t="s">
        <v>14507</v>
      </c>
    </row>
    <row r="13863" spans="1:2" x14ac:dyDescent="0.25">
      <c r="A13863" s="62">
        <v>52141511</v>
      </c>
      <c r="B13863" s="63" t="s">
        <v>14508</v>
      </c>
    </row>
    <row r="13864" spans="1:2" x14ac:dyDescent="0.25">
      <c r="A13864" s="62">
        <v>52141512</v>
      </c>
      <c r="B13864" s="63" t="s">
        <v>14509</v>
      </c>
    </row>
    <row r="13865" spans="1:2" x14ac:dyDescent="0.25">
      <c r="A13865" s="62">
        <v>52141513</v>
      </c>
      <c r="B13865" s="63" t="s">
        <v>14510</v>
      </c>
    </row>
    <row r="13866" spans="1:2" x14ac:dyDescent="0.25">
      <c r="A13866" s="62">
        <v>52141514</v>
      </c>
      <c r="B13866" s="63" t="s">
        <v>14511</v>
      </c>
    </row>
    <row r="13867" spans="1:2" x14ac:dyDescent="0.25">
      <c r="A13867" s="62">
        <v>52141515</v>
      </c>
      <c r="B13867" s="63" t="s">
        <v>14512</v>
      </c>
    </row>
    <row r="13868" spans="1:2" x14ac:dyDescent="0.25">
      <c r="A13868" s="62">
        <v>52141516</v>
      </c>
      <c r="B13868" s="63" t="s">
        <v>14513</v>
      </c>
    </row>
    <row r="13869" spans="1:2" x14ac:dyDescent="0.25">
      <c r="A13869" s="62">
        <v>52141517</v>
      </c>
      <c r="B13869" s="63" t="s">
        <v>14514</v>
      </c>
    </row>
    <row r="13870" spans="1:2" x14ac:dyDescent="0.25">
      <c r="A13870" s="62">
        <v>52141518</v>
      </c>
      <c r="B13870" s="63" t="s">
        <v>14515</v>
      </c>
    </row>
    <row r="13871" spans="1:2" x14ac:dyDescent="0.25">
      <c r="A13871" s="62">
        <v>52141519</v>
      </c>
      <c r="B13871" s="63" t="s">
        <v>14516</v>
      </c>
    </row>
    <row r="13872" spans="1:2" x14ac:dyDescent="0.25">
      <c r="A13872" s="62">
        <v>52141520</v>
      </c>
      <c r="B13872" s="63" t="s">
        <v>14517</v>
      </c>
    </row>
    <row r="13873" spans="1:2" x14ac:dyDescent="0.25">
      <c r="A13873" s="62">
        <v>52141521</v>
      </c>
      <c r="B13873" s="63" t="s">
        <v>14518</v>
      </c>
    </row>
    <row r="13874" spans="1:2" x14ac:dyDescent="0.25">
      <c r="A13874" s="62">
        <v>52141522</v>
      </c>
      <c r="B13874" s="63" t="s">
        <v>14519</v>
      </c>
    </row>
    <row r="13875" spans="1:2" x14ac:dyDescent="0.25">
      <c r="A13875" s="62">
        <v>52141523</v>
      </c>
      <c r="B13875" s="63" t="s">
        <v>14520</v>
      </c>
    </row>
    <row r="13876" spans="1:2" x14ac:dyDescent="0.25">
      <c r="A13876" s="62">
        <v>52141524</v>
      </c>
      <c r="B13876" s="63" t="s">
        <v>14521</v>
      </c>
    </row>
    <row r="13877" spans="1:2" x14ac:dyDescent="0.25">
      <c r="A13877" s="62">
        <v>52141525</v>
      </c>
      <c r="B13877" s="63" t="s">
        <v>14522</v>
      </c>
    </row>
    <row r="13878" spans="1:2" x14ac:dyDescent="0.25">
      <c r="A13878" s="62">
        <v>52141526</v>
      </c>
      <c r="B13878" s="63" t="s">
        <v>14523</v>
      </c>
    </row>
    <row r="13879" spans="1:2" x14ac:dyDescent="0.25">
      <c r="A13879" s="62">
        <v>52141527</v>
      </c>
      <c r="B13879" s="63" t="s">
        <v>14524</v>
      </c>
    </row>
    <row r="13880" spans="1:2" x14ac:dyDescent="0.25">
      <c r="A13880" s="62">
        <v>52141528</v>
      </c>
      <c r="B13880" s="63" t="s">
        <v>14525</v>
      </c>
    </row>
    <row r="13881" spans="1:2" x14ac:dyDescent="0.25">
      <c r="A13881" s="62">
        <v>52141529</v>
      </c>
      <c r="B13881" s="63" t="s">
        <v>14526</v>
      </c>
    </row>
    <row r="13882" spans="1:2" x14ac:dyDescent="0.25">
      <c r="A13882" s="62">
        <v>52141530</v>
      </c>
      <c r="B13882" s="63" t="s">
        <v>14527</v>
      </c>
    </row>
    <row r="13883" spans="1:2" x14ac:dyDescent="0.25">
      <c r="A13883" s="62">
        <v>52141531</v>
      </c>
      <c r="B13883" s="63" t="s">
        <v>14528</v>
      </c>
    </row>
    <row r="13884" spans="1:2" x14ac:dyDescent="0.25">
      <c r="A13884" s="62">
        <v>52141532</v>
      </c>
      <c r="B13884" s="63" t="s">
        <v>14529</v>
      </c>
    </row>
    <row r="13885" spans="1:2" x14ac:dyDescent="0.25">
      <c r="A13885" s="62">
        <v>52141533</v>
      </c>
      <c r="B13885" s="63" t="s">
        <v>14530</v>
      </c>
    </row>
    <row r="13886" spans="1:2" x14ac:dyDescent="0.25">
      <c r="A13886" s="62">
        <v>52141534</v>
      </c>
      <c r="B13886" s="63" t="s">
        <v>14531</v>
      </c>
    </row>
    <row r="13887" spans="1:2" x14ac:dyDescent="0.25">
      <c r="A13887" s="62">
        <v>52141535</v>
      </c>
      <c r="B13887" s="63" t="s">
        <v>14532</v>
      </c>
    </row>
    <row r="13888" spans="1:2" x14ac:dyDescent="0.25">
      <c r="A13888" s="62">
        <v>52141536</v>
      </c>
      <c r="B13888" s="63" t="s">
        <v>14533</v>
      </c>
    </row>
    <row r="13889" spans="1:2" x14ac:dyDescent="0.25">
      <c r="A13889" s="62">
        <v>52141537</v>
      </c>
      <c r="B13889" s="63" t="s">
        <v>14534</v>
      </c>
    </row>
    <row r="13890" spans="1:2" x14ac:dyDescent="0.25">
      <c r="A13890" s="62">
        <v>52141538</v>
      </c>
      <c r="B13890" s="63" t="s">
        <v>14535</v>
      </c>
    </row>
    <row r="13891" spans="1:2" x14ac:dyDescent="0.25">
      <c r="A13891" s="62">
        <v>52141539</v>
      </c>
      <c r="B13891" s="63" t="s">
        <v>14536</v>
      </c>
    </row>
    <row r="13892" spans="1:2" x14ac:dyDescent="0.25">
      <c r="A13892" s="62">
        <v>52141601</v>
      </c>
      <c r="B13892" s="63" t="s">
        <v>14537</v>
      </c>
    </row>
    <row r="13893" spans="1:2" x14ac:dyDescent="0.25">
      <c r="A13893" s="62">
        <v>52141602</v>
      </c>
      <c r="B13893" s="63" t="s">
        <v>14538</v>
      </c>
    </row>
    <row r="13894" spans="1:2" x14ac:dyDescent="0.25">
      <c r="A13894" s="62">
        <v>52141603</v>
      </c>
      <c r="B13894" s="63" t="s">
        <v>14539</v>
      </c>
    </row>
    <row r="13895" spans="1:2" x14ac:dyDescent="0.25">
      <c r="A13895" s="62">
        <v>52141604</v>
      </c>
      <c r="B13895" s="63" t="s">
        <v>14540</v>
      </c>
    </row>
    <row r="13896" spans="1:2" x14ac:dyDescent="0.25">
      <c r="A13896" s="62">
        <v>52141605</v>
      </c>
      <c r="B13896" s="63" t="s">
        <v>14541</v>
      </c>
    </row>
    <row r="13897" spans="1:2" x14ac:dyDescent="0.25">
      <c r="A13897" s="62">
        <v>52141606</v>
      </c>
      <c r="B13897" s="63" t="s">
        <v>14542</v>
      </c>
    </row>
    <row r="13898" spans="1:2" x14ac:dyDescent="0.25">
      <c r="A13898" s="62">
        <v>52141607</v>
      </c>
      <c r="B13898" s="63" t="s">
        <v>14543</v>
      </c>
    </row>
    <row r="13899" spans="1:2" x14ac:dyDescent="0.25">
      <c r="A13899" s="62">
        <v>52141608</v>
      </c>
      <c r="B13899" s="63" t="s">
        <v>14544</v>
      </c>
    </row>
    <row r="13900" spans="1:2" x14ac:dyDescent="0.25">
      <c r="A13900" s="62">
        <v>52141701</v>
      </c>
      <c r="B13900" s="63" t="s">
        <v>14545</v>
      </c>
    </row>
    <row r="13901" spans="1:2" x14ac:dyDescent="0.25">
      <c r="A13901" s="62">
        <v>52141703</v>
      </c>
      <c r="B13901" s="63" t="s">
        <v>14546</v>
      </c>
    </row>
    <row r="13902" spans="1:2" x14ac:dyDescent="0.25">
      <c r="A13902" s="62">
        <v>52141704</v>
      </c>
      <c r="B13902" s="63" t="s">
        <v>14547</v>
      </c>
    </row>
    <row r="13903" spans="1:2" x14ac:dyDescent="0.25">
      <c r="A13903" s="62">
        <v>52141705</v>
      </c>
      <c r="B13903" s="63" t="s">
        <v>14548</v>
      </c>
    </row>
    <row r="13904" spans="1:2" x14ac:dyDescent="0.25">
      <c r="A13904" s="62">
        <v>52141706</v>
      </c>
      <c r="B13904" s="63" t="s">
        <v>14549</v>
      </c>
    </row>
    <row r="13905" spans="1:2" x14ac:dyDescent="0.25">
      <c r="A13905" s="62">
        <v>52141801</v>
      </c>
      <c r="B13905" s="63" t="s">
        <v>14550</v>
      </c>
    </row>
    <row r="13906" spans="1:2" x14ac:dyDescent="0.25">
      <c r="A13906" s="62">
        <v>52141802</v>
      </c>
      <c r="B13906" s="63" t="s">
        <v>14551</v>
      </c>
    </row>
    <row r="13907" spans="1:2" x14ac:dyDescent="0.25">
      <c r="A13907" s="62">
        <v>52141803</v>
      </c>
      <c r="B13907" s="63" t="s">
        <v>14552</v>
      </c>
    </row>
    <row r="13908" spans="1:2" x14ac:dyDescent="0.25">
      <c r="A13908" s="62">
        <v>52151501</v>
      </c>
      <c r="B13908" s="63" t="s">
        <v>14553</v>
      </c>
    </row>
    <row r="13909" spans="1:2" x14ac:dyDescent="0.25">
      <c r="A13909" s="62">
        <v>52151502</v>
      </c>
      <c r="B13909" s="63" t="s">
        <v>14554</v>
      </c>
    </row>
    <row r="13910" spans="1:2" x14ac:dyDescent="0.25">
      <c r="A13910" s="62">
        <v>52151503</v>
      </c>
      <c r="B13910" s="63" t="s">
        <v>14555</v>
      </c>
    </row>
    <row r="13911" spans="1:2" x14ac:dyDescent="0.25">
      <c r="A13911" s="62">
        <v>52151504</v>
      </c>
      <c r="B13911" s="63" t="s">
        <v>14556</v>
      </c>
    </row>
    <row r="13912" spans="1:2" x14ac:dyDescent="0.25">
      <c r="A13912" s="62">
        <v>52151505</v>
      </c>
      <c r="B13912" s="63" t="s">
        <v>14557</v>
      </c>
    </row>
    <row r="13913" spans="1:2" x14ac:dyDescent="0.25">
      <c r="A13913" s="62">
        <v>52151506</v>
      </c>
      <c r="B13913" s="63" t="s">
        <v>14558</v>
      </c>
    </row>
    <row r="13914" spans="1:2" x14ac:dyDescent="0.25">
      <c r="A13914" s="62">
        <v>52151507</v>
      </c>
      <c r="B13914" s="63" t="s">
        <v>14559</v>
      </c>
    </row>
    <row r="13915" spans="1:2" x14ac:dyDescent="0.25">
      <c r="A13915" s="62">
        <v>52151601</v>
      </c>
      <c r="B13915" s="63" t="s">
        <v>14560</v>
      </c>
    </row>
    <row r="13916" spans="1:2" x14ac:dyDescent="0.25">
      <c r="A13916" s="62">
        <v>52151602</v>
      </c>
      <c r="B13916" s="63" t="s">
        <v>14561</v>
      </c>
    </row>
    <row r="13917" spans="1:2" x14ac:dyDescent="0.25">
      <c r="A13917" s="62">
        <v>52151603</v>
      </c>
      <c r="B13917" s="63" t="s">
        <v>14562</v>
      </c>
    </row>
    <row r="13918" spans="1:2" x14ac:dyDescent="0.25">
      <c r="A13918" s="62">
        <v>52151604</v>
      </c>
      <c r="B13918" s="63" t="s">
        <v>14563</v>
      </c>
    </row>
    <row r="13919" spans="1:2" x14ac:dyDescent="0.25">
      <c r="A13919" s="62">
        <v>52151605</v>
      </c>
      <c r="B13919" s="63" t="s">
        <v>14564</v>
      </c>
    </row>
    <row r="13920" spans="1:2" x14ac:dyDescent="0.25">
      <c r="A13920" s="62">
        <v>52151606</v>
      </c>
      <c r="B13920" s="63" t="s">
        <v>14565</v>
      </c>
    </row>
    <row r="13921" spans="1:2" x14ac:dyDescent="0.25">
      <c r="A13921" s="62">
        <v>52151607</v>
      </c>
      <c r="B13921" s="63" t="s">
        <v>14566</v>
      </c>
    </row>
    <row r="13922" spans="1:2" x14ac:dyDescent="0.25">
      <c r="A13922" s="62">
        <v>52151608</v>
      </c>
      <c r="B13922" s="63" t="s">
        <v>14567</v>
      </c>
    </row>
    <row r="13923" spans="1:2" x14ac:dyDescent="0.25">
      <c r="A13923" s="62">
        <v>52151609</v>
      </c>
      <c r="B13923" s="63" t="s">
        <v>14568</v>
      </c>
    </row>
    <row r="13924" spans="1:2" x14ac:dyDescent="0.25">
      <c r="A13924" s="62">
        <v>52151610</v>
      </c>
      <c r="B13924" s="63" t="s">
        <v>14569</v>
      </c>
    </row>
    <row r="13925" spans="1:2" x14ac:dyDescent="0.25">
      <c r="A13925" s="62">
        <v>52151611</v>
      </c>
      <c r="B13925" s="63" t="s">
        <v>14570</v>
      </c>
    </row>
    <row r="13926" spans="1:2" x14ac:dyDescent="0.25">
      <c r="A13926" s="62">
        <v>52151612</v>
      </c>
      <c r="B13926" s="63" t="s">
        <v>14571</v>
      </c>
    </row>
    <row r="13927" spans="1:2" x14ac:dyDescent="0.25">
      <c r="A13927" s="62">
        <v>52151613</v>
      </c>
      <c r="B13927" s="63" t="s">
        <v>14572</v>
      </c>
    </row>
    <row r="13928" spans="1:2" x14ac:dyDescent="0.25">
      <c r="A13928" s="62">
        <v>52151614</v>
      </c>
      <c r="B13928" s="63" t="s">
        <v>14573</v>
      </c>
    </row>
    <row r="13929" spans="1:2" x14ac:dyDescent="0.25">
      <c r="A13929" s="62">
        <v>52151615</v>
      </c>
      <c r="B13929" s="63" t="s">
        <v>14574</v>
      </c>
    </row>
    <row r="13930" spans="1:2" x14ac:dyDescent="0.25">
      <c r="A13930" s="62">
        <v>52151616</v>
      </c>
      <c r="B13930" s="63" t="s">
        <v>14575</v>
      </c>
    </row>
    <row r="13931" spans="1:2" x14ac:dyDescent="0.25">
      <c r="A13931" s="62">
        <v>52151617</v>
      </c>
      <c r="B13931" s="63" t="s">
        <v>14576</v>
      </c>
    </row>
    <row r="13932" spans="1:2" x14ac:dyDescent="0.25">
      <c r="A13932" s="62">
        <v>52151618</v>
      </c>
      <c r="B13932" s="63" t="s">
        <v>14577</v>
      </c>
    </row>
    <row r="13933" spans="1:2" x14ac:dyDescent="0.25">
      <c r="A13933" s="62">
        <v>52151619</v>
      </c>
      <c r="B13933" s="63" t="s">
        <v>14578</v>
      </c>
    </row>
    <row r="13934" spans="1:2" x14ac:dyDescent="0.25">
      <c r="A13934" s="62">
        <v>52151620</v>
      </c>
      <c r="B13934" s="63" t="s">
        <v>14579</v>
      </c>
    </row>
    <row r="13935" spans="1:2" x14ac:dyDescent="0.25">
      <c r="A13935" s="62">
        <v>52151621</v>
      </c>
      <c r="B13935" s="63" t="s">
        <v>14580</v>
      </c>
    </row>
    <row r="13936" spans="1:2" x14ac:dyDescent="0.25">
      <c r="A13936" s="62">
        <v>52151622</v>
      </c>
      <c r="B13936" s="63" t="s">
        <v>14581</v>
      </c>
    </row>
    <row r="13937" spans="1:2" x14ac:dyDescent="0.25">
      <c r="A13937" s="62">
        <v>52151623</v>
      </c>
      <c r="B13937" s="63" t="s">
        <v>14582</v>
      </c>
    </row>
    <row r="13938" spans="1:2" x14ac:dyDescent="0.25">
      <c r="A13938" s="62">
        <v>52151624</v>
      </c>
      <c r="B13938" s="63" t="s">
        <v>14583</v>
      </c>
    </row>
    <row r="13939" spans="1:2" x14ac:dyDescent="0.25">
      <c r="A13939" s="62">
        <v>52151625</v>
      </c>
      <c r="B13939" s="63" t="s">
        <v>14584</v>
      </c>
    </row>
    <row r="13940" spans="1:2" x14ac:dyDescent="0.25">
      <c r="A13940" s="62">
        <v>52151626</v>
      </c>
      <c r="B13940" s="63" t="s">
        <v>14585</v>
      </c>
    </row>
    <row r="13941" spans="1:2" x14ac:dyDescent="0.25">
      <c r="A13941" s="62">
        <v>52151627</v>
      </c>
      <c r="B13941" s="63" t="s">
        <v>14586</v>
      </c>
    </row>
    <row r="13942" spans="1:2" x14ac:dyDescent="0.25">
      <c r="A13942" s="62">
        <v>52151628</v>
      </c>
      <c r="B13942" s="63" t="s">
        <v>14587</v>
      </c>
    </row>
    <row r="13943" spans="1:2" x14ac:dyDescent="0.25">
      <c r="A13943" s="62">
        <v>52151629</v>
      </c>
      <c r="B13943" s="63" t="s">
        <v>14588</v>
      </c>
    </row>
    <row r="13944" spans="1:2" x14ac:dyDescent="0.25">
      <c r="A13944" s="62">
        <v>52151630</v>
      </c>
      <c r="B13944" s="63" t="s">
        <v>14589</v>
      </c>
    </row>
    <row r="13945" spans="1:2" x14ac:dyDescent="0.25">
      <c r="A13945" s="62">
        <v>52151631</v>
      </c>
      <c r="B13945" s="63" t="s">
        <v>14590</v>
      </c>
    </row>
    <row r="13946" spans="1:2" x14ac:dyDescent="0.25">
      <c r="A13946" s="62">
        <v>52151632</v>
      </c>
      <c r="B13946" s="63" t="s">
        <v>14591</v>
      </c>
    </row>
    <row r="13947" spans="1:2" x14ac:dyDescent="0.25">
      <c r="A13947" s="62">
        <v>52151633</v>
      </c>
      <c r="B13947" s="63" t="s">
        <v>14592</v>
      </c>
    </row>
    <row r="13948" spans="1:2" x14ac:dyDescent="0.25">
      <c r="A13948" s="62">
        <v>52151634</v>
      </c>
      <c r="B13948" s="63" t="s">
        <v>14593</v>
      </c>
    </row>
    <row r="13949" spans="1:2" x14ac:dyDescent="0.25">
      <c r="A13949" s="62">
        <v>52151635</v>
      </c>
      <c r="B13949" s="63" t="s">
        <v>14594</v>
      </c>
    </row>
    <row r="13950" spans="1:2" x14ac:dyDescent="0.25">
      <c r="A13950" s="62">
        <v>52151636</v>
      </c>
      <c r="B13950" s="63" t="s">
        <v>14595</v>
      </c>
    </row>
    <row r="13951" spans="1:2" x14ac:dyDescent="0.25">
      <c r="A13951" s="62">
        <v>52151637</v>
      </c>
      <c r="B13951" s="63" t="s">
        <v>14596</v>
      </c>
    </row>
    <row r="13952" spans="1:2" x14ac:dyDescent="0.25">
      <c r="A13952" s="62">
        <v>52151638</v>
      </c>
      <c r="B13952" s="63" t="s">
        <v>14597</v>
      </c>
    </row>
    <row r="13953" spans="1:2" x14ac:dyDescent="0.25">
      <c r="A13953" s="62">
        <v>52151639</v>
      </c>
      <c r="B13953" s="63" t="s">
        <v>14598</v>
      </c>
    </row>
    <row r="13954" spans="1:2" x14ac:dyDescent="0.25">
      <c r="A13954" s="62">
        <v>52151640</v>
      </c>
      <c r="B13954" s="63" t="s">
        <v>14599</v>
      </c>
    </row>
    <row r="13955" spans="1:2" x14ac:dyDescent="0.25">
      <c r="A13955" s="62">
        <v>52151641</v>
      </c>
      <c r="B13955" s="63" t="s">
        <v>14600</v>
      </c>
    </row>
    <row r="13956" spans="1:2" x14ac:dyDescent="0.25">
      <c r="A13956" s="62">
        <v>52151642</v>
      </c>
      <c r="B13956" s="63" t="s">
        <v>14601</v>
      </c>
    </row>
    <row r="13957" spans="1:2" x14ac:dyDescent="0.25">
      <c r="A13957" s="62">
        <v>52151643</v>
      </c>
      <c r="B13957" s="63" t="s">
        <v>14602</v>
      </c>
    </row>
    <row r="13958" spans="1:2" x14ac:dyDescent="0.25">
      <c r="A13958" s="62">
        <v>52151644</v>
      </c>
      <c r="B13958" s="63" t="s">
        <v>14603</v>
      </c>
    </row>
    <row r="13959" spans="1:2" x14ac:dyDescent="0.25">
      <c r="A13959" s="62">
        <v>52151645</v>
      </c>
      <c r="B13959" s="63" t="s">
        <v>14604</v>
      </c>
    </row>
    <row r="13960" spans="1:2" x14ac:dyDescent="0.25">
      <c r="A13960" s="62">
        <v>52151646</v>
      </c>
      <c r="B13960" s="63" t="s">
        <v>14605</v>
      </c>
    </row>
    <row r="13961" spans="1:2" x14ac:dyDescent="0.25">
      <c r="A13961" s="62">
        <v>52151647</v>
      </c>
      <c r="B13961" s="63" t="s">
        <v>14606</v>
      </c>
    </row>
    <row r="13962" spans="1:2" x14ac:dyDescent="0.25">
      <c r="A13962" s="62">
        <v>52151648</v>
      </c>
      <c r="B13962" s="63" t="s">
        <v>14607</v>
      </c>
    </row>
    <row r="13963" spans="1:2" x14ac:dyDescent="0.25">
      <c r="A13963" s="62">
        <v>52151649</v>
      </c>
      <c r="B13963" s="63" t="s">
        <v>14608</v>
      </c>
    </row>
    <row r="13964" spans="1:2" x14ac:dyDescent="0.25">
      <c r="A13964" s="62">
        <v>52151650</v>
      </c>
      <c r="B13964" s="63" t="s">
        <v>14609</v>
      </c>
    </row>
    <row r="13965" spans="1:2" x14ac:dyDescent="0.25">
      <c r="A13965" s="62">
        <v>52151701</v>
      </c>
      <c r="B13965" s="63" t="s">
        <v>14610</v>
      </c>
    </row>
    <row r="13966" spans="1:2" x14ac:dyDescent="0.25">
      <c r="A13966" s="62">
        <v>52151702</v>
      </c>
      <c r="B13966" s="63" t="s">
        <v>14611</v>
      </c>
    </row>
    <row r="13967" spans="1:2" x14ac:dyDescent="0.25">
      <c r="A13967" s="62">
        <v>52151703</v>
      </c>
      <c r="B13967" s="63" t="s">
        <v>14612</v>
      </c>
    </row>
    <row r="13968" spans="1:2" x14ac:dyDescent="0.25">
      <c r="A13968" s="62">
        <v>52151704</v>
      </c>
      <c r="B13968" s="63" t="s">
        <v>14613</v>
      </c>
    </row>
    <row r="13969" spans="1:2" x14ac:dyDescent="0.25">
      <c r="A13969" s="62">
        <v>52151705</v>
      </c>
      <c r="B13969" s="63" t="s">
        <v>14614</v>
      </c>
    </row>
    <row r="13970" spans="1:2" x14ac:dyDescent="0.25">
      <c r="A13970" s="62">
        <v>52151706</v>
      </c>
      <c r="B13970" s="63" t="s">
        <v>14615</v>
      </c>
    </row>
    <row r="13971" spans="1:2" x14ac:dyDescent="0.25">
      <c r="A13971" s="62">
        <v>52151707</v>
      </c>
      <c r="B13971" s="63" t="s">
        <v>14616</v>
      </c>
    </row>
    <row r="13972" spans="1:2" x14ac:dyDescent="0.25">
      <c r="A13972" s="62">
        <v>52151708</v>
      </c>
      <c r="B13972" s="63" t="s">
        <v>14617</v>
      </c>
    </row>
    <row r="13973" spans="1:2" x14ac:dyDescent="0.25">
      <c r="A13973" s="62">
        <v>52151709</v>
      </c>
      <c r="B13973" s="63" t="s">
        <v>14618</v>
      </c>
    </row>
    <row r="13974" spans="1:2" x14ac:dyDescent="0.25">
      <c r="A13974" s="62">
        <v>52151801</v>
      </c>
      <c r="B13974" s="63" t="s">
        <v>14619</v>
      </c>
    </row>
    <row r="13975" spans="1:2" x14ac:dyDescent="0.25">
      <c r="A13975" s="62">
        <v>52151802</v>
      </c>
      <c r="B13975" s="63" t="s">
        <v>14620</v>
      </c>
    </row>
    <row r="13976" spans="1:2" x14ac:dyDescent="0.25">
      <c r="A13976" s="62">
        <v>52151803</v>
      </c>
      <c r="B13976" s="63" t="s">
        <v>14621</v>
      </c>
    </row>
    <row r="13977" spans="1:2" x14ac:dyDescent="0.25">
      <c r="A13977" s="62">
        <v>52151804</v>
      </c>
      <c r="B13977" s="63" t="s">
        <v>14622</v>
      </c>
    </row>
    <row r="13978" spans="1:2" x14ac:dyDescent="0.25">
      <c r="A13978" s="62">
        <v>52151805</v>
      </c>
      <c r="B13978" s="63" t="s">
        <v>14623</v>
      </c>
    </row>
    <row r="13979" spans="1:2" x14ac:dyDescent="0.25">
      <c r="A13979" s="62">
        <v>52151806</v>
      </c>
      <c r="B13979" s="63" t="s">
        <v>14624</v>
      </c>
    </row>
    <row r="13980" spans="1:2" x14ac:dyDescent="0.25">
      <c r="A13980" s="62">
        <v>52151807</v>
      </c>
      <c r="B13980" s="63" t="s">
        <v>14625</v>
      </c>
    </row>
    <row r="13981" spans="1:2" x14ac:dyDescent="0.25">
      <c r="A13981" s="62">
        <v>52151808</v>
      </c>
      <c r="B13981" s="63" t="s">
        <v>14626</v>
      </c>
    </row>
    <row r="13982" spans="1:2" x14ac:dyDescent="0.25">
      <c r="A13982" s="62">
        <v>52151809</v>
      </c>
      <c r="B13982" s="63" t="s">
        <v>14627</v>
      </c>
    </row>
    <row r="13983" spans="1:2" x14ac:dyDescent="0.25">
      <c r="A13983" s="62">
        <v>52151810</v>
      </c>
      <c r="B13983" s="63" t="s">
        <v>14628</v>
      </c>
    </row>
    <row r="13984" spans="1:2" x14ac:dyDescent="0.25">
      <c r="A13984" s="62">
        <v>52151811</v>
      </c>
      <c r="B13984" s="63" t="s">
        <v>14629</v>
      </c>
    </row>
    <row r="13985" spans="1:2" x14ac:dyDescent="0.25">
      <c r="A13985" s="62">
        <v>52151812</v>
      </c>
      <c r="B13985" s="63" t="s">
        <v>14630</v>
      </c>
    </row>
    <row r="13986" spans="1:2" x14ac:dyDescent="0.25">
      <c r="A13986" s="62">
        <v>52151813</v>
      </c>
      <c r="B13986" s="63" t="s">
        <v>14631</v>
      </c>
    </row>
    <row r="13987" spans="1:2" x14ac:dyDescent="0.25">
      <c r="A13987" s="62">
        <v>52151901</v>
      </c>
      <c r="B13987" s="63" t="s">
        <v>14632</v>
      </c>
    </row>
    <row r="13988" spans="1:2" x14ac:dyDescent="0.25">
      <c r="A13988" s="62">
        <v>52151902</v>
      </c>
      <c r="B13988" s="63" t="s">
        <v>14633</v>
      </c>
    </row>
    <row r="13989" spans="1:2" x14ac:dyDescent="0.25">
      <c r="A13989" s="62">
        <v>52151903</v>
      </c>
      <c r="B13989" s="63" t="s">
        <v>14634</v>
      </c>
    </row>
    <row r="13990" spans="1:2" x14ac:dyDescent="0.25">
      <c r="A13990" s="62">
        <v>52151904</v>
      </c>
      <c r="B13990" s="63" t="s">
        <v>14635</v>
      </c>
    </row>
    <row r="13991" spans="1:2" x14ac:dyDescent="0.25">
      <c r="A13991" s="62">
        <v>52151905</v>
      </c>
      <c r="B13991" s="63" t="s">
        <v>14636</v>
      </c>
    </row>
    <row r="13992" spans="1:2" x14ac:dyDescent="0.25">
      <c r="A13992" s="62">
        <v>52151906</v>
      </c>
      <c r="B13992" s="63" t="s">
        <v>14637</v>
      </c>
    </row>
    <row r="13993" spans="1:2" x14ac:dyDescent="0.25">
      <c r="A13993" s="62">
        <v>52151907</v>
      </c>
      <c r="B13993" s="63" t="s">
        <v>14638</v>
      </c>
    </row>
    <row r="13994" spans="1:2" x14ac:dyDescent="0.25">
      <c r="A13994" s="62">
        <v>52151908</v>
      </c>
      <c r="B13994" s="63" t="s">
        <v>14639</v>
      </c>
    </row>
    <row r="13995" spans="1:2" x14ac:dyDescent="0.25">
      <c r="A13995" s="62">
        <v>52151909</v>
      </c>
      <c r="B13995" s="63" t="s">
        <v>14640</v>
      </c>
    </row>
    <row r="13996" spans="1:2" x14ac:dyDescent="0.25">
      <c r="A13996" s="62">
        <v>52152001</v>
      </c>
      <c r="B13996" s="63" t="s">
        <v>14641</v>
      </c>
    </row>
    <row r="13997" spans="1:2" x14ac:dyDescent="0.25">
      <c r="A13997" s="62">
        <v>52152002</v>
      </c>
      <c r="B13997" s="63" t="s">
        <v>14642</v>
      </c>
    </row>
    <row r="13998" spans="1:2" x14ac:dyDescent="0.25">
      <c r="A13998" s="62">
        <v>52152003</v>
      </c>
      <c r="B13998" s="63" t="s">
        <v>14643</v>
      </c>
    </row>
    <row r="13999" spans="1:2" x14ac:dyDescent="0.25">
      <c r="A13999" s="62">
        <v>52152004</v>
      </c>
      <c r="B13999" s="63" t="s">
        <v>14644</v>
      </c>
    </row>
    <row r="14000" spans="1:2" x14ac:dyDescent="0.25">
      <c r="A14000" s="62">
        <v>52152005</v>
      </c>
      <c r="B14000" s="63" t="s">
        <v>14645</v>
      </c>
    </row>
    <row r="14001" spans="1:2" x14ac:dyDescent="0.25">
      <c r="A14001" s="62">
        <v>52152006</v>
      </c>
      <c r="B14001" s="63" t="s">
        <v>14646</v>
      </c>
    </row>
    <row r="14002" spans="1:2" x14ac:dyDescent="0.25">
      <c r="A14002" s="62">
        <v>52152007</v>
      </c>
      <c r="B14002" s="63" t="s">
        <v>14647</v>
      </c>
    </row>
    <row r="14003" spans="1:2" x14ac:dyDescent="0.25">
      <c r="A14003" s="62">
        <v>52152008</v>
      </c>
      <c r="B14003" s="63" t="s">
        <v>14648</v>
      </c>
    </row>
    <row r="14004" spans="1:2" x14ac:dyDescent="0.25">
      <c r="A14004" s="62">
        <v>52152009</v>
      </c>
      <c r="B14004" s="63" t="s">
        <v>14649</v>
      </c>
    </row>
    <row r="14005" spans="1:2" x14ac:dyDescent="0.25">
      <c r="A14005" s="62">
        <v>52152010</v>
      </c>
      <c r="B14005" s="63" t="s">
        <v>14650</v>
      </c>
    </row>
    <row r="14006" spans="1:2" x14ac:dyDescent="0.25">
      <c r="A14006" s="62">
        <v>52152011</v>
      </c>
      <c r="B14006" s="63" t="s">
        <v>14651</v>
      </c>
    </row>
    <row r="14007" spans="1:2" x14ac:dyDescent="0.25">
      <c r="A14007" s="62">
        <v>52152012</v>
      </c>
      <c r="B14007" s="63" t="s">
        <v>14652</v>
      </c>
    </row>
    <row r="14008" spans="1:2" x14ac:dyDescent="0.25">
      <c r="A14008" s="62">
        <v>52152013</v>
      </c>
      <c r="B14008" s="63" t="s">
        <v>14653</v>
      </c>
    </row>
    <row r="14009" spans="1:2" x14ac:dyDescent="0.25">
      <c r="A14009" s="62">
        <v>52152014</v>
      </c>
      <c r="B14009" s="63" t="s">
        <v>14654</v>
      </c>
    </row>
    <row r="14010" spans="1:2" x14ac:dyDescent="0.25">
      <c r="A14010" s="62">
        <v>52152015</v>
      </c>
      <c r="B14010" s="63" t="s">
        <v>14655</v>
      </c>
    </row>
    <row r="14011" spans="1:2" x14ac:dyDescent="0.25">
      <c r="A14011" s="62">
        <v>52152016</v>
      </c>
      <c r="B14011" s="63" t="s">
        <v>14656</v>
      </c>
    </row>
    <row r="14012" spans="1:2" x14ac:dyDescent="0.25">
      <c r="A14012" s="62">
        <v>52152101</v>
      </c>
      <c r="B14012" s="63" t="s">
        <v>14657</v>
      </c>
    </row>
    <row r="14013" spans="1:2" x14ac:dyDescent="0.25">
      <c r="A14013" s="62">
        <v>52152102</v>
      </c>
      <c r="B14013" s="63" t="s">
        <v>14658</v>
      </c>
    </row>
    <row r="14014" spans="1:2" x14ac:dyDescent="0.25">
      <c r="A14014" s="62">
        <v>52152103</v>
      </c>
      <c r="B14014" s="63" t="s">
        <v>14659</v>
      </c>
    </row>
    <row r="14015" spans="1:2" x14ac:dyDescent="0.25">
      <c r="A14015" s="62">
        <v>52152104</v>
      </c>
      <c r="B14015" s="63" t="s">
        <v>14660</v>
      </c>
    </row>
    <row r="14016" spans="1:2" x14ac:dyDescent="0.25">
      <c r="A14016" s="62">
        <v>52152105</v>
      </c>
      <c r="B14016" s="63" t="s">
        <v>14661</v>
      </c>
    </row>
    <row r="14017" spans="1:2" x14ac:dyDescent="0.25">
      <c r="A14017" s="62">
        <v>52152201</v>
      </c>
      <c r="B14017" s="63" t="s">
        <v>14662</v>
      </c>
    </row>
    <row r="14018" spans="1:2" x14ac:dyDescent="0.25">
      <c r="A14018" s="62">
        <v>52152202</v>
      </c>
      <c r="B14018" s="63" t="s">
        <v>14663</v>
      </c>
    </row>
    <row r="14019" spans="1:2" x14ac:dyDescent="0.25">
      <c r="A14019" s="62">
        <v>52152203</v>
      </c>
      <c r="B14019" s="63" t="s">
        <v>14664</v>
      </c>
    </row>
    <row r="14020" spans="1:2" x14ac:dyDescent="0.25">
      <c r="A14020" s="62">
        <v>52161502</v>
      </c>
      <c r="B14020" s="63" t="s">
        <v>14665</v>
      </c>
    </row>
    <row r="14021" spans="1:2" x14ac:dyDescent="0.25">
      <c r="A14021" s="62">
        <v>52161505</v>
      </c>
      <c r="B14021" s="63" t="s">
        <v>14666</v>
      </c>
    </row>
    <row r="14022" spans="1:2" x14ac:dyDescent="0.25">
      <c r="A14022" s="62">
        <v>52161507</v>
      </c>
      <c r="B14022" s="63" t="s">
        <v>14667</v>
      </c>
    </row>
    <row r="14023" spans="1:2" x14ac:dyDescent="0.25">
      <c r="A14023" s="62">
        <v>52161508</v>
      </c>
      <c r="B14023" s="63" t="s">
        <v>14668</v>
      </c>
    </row>
    <row r="14024" spans="1:2" x14ac:dyDescent="0.25">
      <c r="A14024" s="62">
        <v>52161509</v>
      </c>
      <c r="B14024" s="63" t="s">
        <v>14669</v>
      </c>
    </row>
    <row r="14025" spans="1:2" x14ac:dyDescent="0.25">
      <c r="A14025" s="62">
        <v>52161510</v>
      </c>
      <c r="B14025" s="63" t="s">
        <v>14670</v>
      </c>
    </row>
    <row r="14026" spans="1:2" x14ac:dyDescent="0.25">
      <c r="A14026" s="62">
        <v>52161511</v>
      </c>
      <c r="B14026" s="63" t="s">
        <v>14671</v>
      </c>
    </row>
    <row r="14027" spans="1:2" x14ac:dyDescent="0.25">
      <c r="A14027" s="62">
        <v>52161512</v>
      </c>
      <c r="B14027" s="63" t="s">
        <v>14672</v>
      </c>
    </row>
    <row r="14028" spans="1:2" x14ac:dyDescent="0.25">
      <c r="A14028" s="62">
        <v>52161513</v>
      </c>
      <c r="B14028" s="63" t="s">
        <v>14673</v>
      </c>
    </row>
    <row r="14029" spans="1:2" x14ac:dyDescent="0.25">
      <c r="A14029" s="62">
        <v>52161514</v>
      </c>
      <c r="B14029" s="63" t="s">
        <v>14674</v>
      </c>
    </row>
    <row r="14030" spans="1:2" x14ac:dyDescent="0.25">
      <c r="A14030" s="62">
        <v>52161515</v>
      </c>
      <c r="B14030" s="63" t="s">
        <v>14675</v>
      </c>
    </row>
    <row r="14031" spans="1:2" x14ac:dyDescent="0.25">
      <c r="A14031" s="62">
        <v>52161516</v>
      </c>
      <c r="B14031" s="63" t="s">
        <v>14676</v>
      </c>
    </row>
    <row r="14032" spans="1:2" x14ac:dyDescent="0.25">
      <c r="A14032" s="62">
        <v>52161517</v>
      </c>
      <c r="B14032" s="63" t="s">
        <v>14677</v>
      </c>
    </row>
    <row r="14033" spans="1:2" x14ac:dyDescent="0.25">
      <c r="A14033" s="62">
        <v>52161518</v>
      </c>
      <c r="B14033" s="63" t="s">
        <v>14678</v>
      </c>
    </row>
    <row r="14034" spans="1:2" x14ac:dyDescent="0.25">
      <c r="A14034" s="62">
        <v>52161520</v>
      </c>
      <c r="B14034" s="63" t="s">
        <v>14679</v>
      </c>
    </row>
    <row r="14035" spans="1:2" x14ac:dyDescent="0.25">
      <c r="A14035" s="62">
        <v>52161521</v>
      </c>
      <c r="B14035" s="63" t="s">
        <v>14680</v>
      </c>
    </row>
    <row r="14036" spans="1:2" x14ac:dyDescent="0.25">
      <c r="A14036" s="62">
        <v>52161522</v>
      </c>
      <c r="B14036" s="63" t="s">
        <v>14681</v>
      </c>
    </row>
    <row r="14037" spans="1:2" x14ac:dyDescent="0.25">
      <c r="A14037" s="62">
        <v>52161523</v>
      </c>
      <c r="B14037" s="63" t="s">
        <v>14682</v>
      </c>
    </row>
    <row r="14038" spans="1:2" x14ac:dyDescent="0.25">
      <c r="A14038" s="62">
        <v>52161524</v>
      </c>
      <c r="B14038" s="63" t="s">
        <v>14683</v>
      </c>
    </row>
    <row r="14039" spans="1:2" x14ac:dyDescent="0.25">
      <c r="A14039" s="62">
        <v>52161525</v>
      </c>
      <c r="B14039" s="63" t="s">
        <v>14684</v>
      </c>
    </row>
    <row r="14040" spans="1:2" x14ac:dyDescent="0.25">
      <c r="A14040" s="62">
        <v>52161526</v>
      </c>
      <c r="B14040" s="63" t="s">
        <v>14685</v>
      </c>
    </row>
    <row r="14041" spans="1:2" x14ac:dyDescent="0.25">
      <c r="A14041" s="62">
        <v>52161527</v>
      </c>
      <c r="B14041" s="63" t="s">
        <v>14686</v>
      </c>
    </row>
    <row r="14042" spans="1:2" x14ac:dyDescent="0.25">
      <c r="A14042" s="62">
        <v>52161529</v>
      </c>
      <c r="B14042" s="63" t="s">
        <v>14687</v>
      </c>
    </row>
    <row r="14043" spans="1:2" x14ac:dyDescent="0.25">
      <c r="A14043" s="62">
        <v>52161531</v>
      </c>
      <c r="B14043" s="63" t="s">
        <v>14688</v>
      </c>
    </row>
    <row r="14044" spans="1:2" x14ac:dyDescent="0.25">
      <c r="A14044" s="62">
        <v>52161532</v>
      </c>
      <c r="B14044" s="63" t="s">
        <v>14689</v>
      </c>
    </row>
    <row r="14045" spans="1:2" x14ac:dyDescent="0.25">
      <c r="A14045" s="62">
        <v>52161533</v>
      </c>
      <c r="B14045" s="63" t="s">
        <v>14690</v>
      </c>
    </row>
    <row r="14046" spans="1:2" x14ac:dyDescent="0.25">
      <c r="A14046" s="62">
        <v>52161534</v>
      </c>
      <c r="B14046" s="63" t="s">
        <v>14691</v>
      </c>
    </row>
    <row r="14047" spans="1:2" x14ac:dyDescent="0.25">
      <c r="A14047" s="62">
        <v>52161535</v>
      </c>
      <c r="B14047" s="63" t="s">
        <v>14692</v>
      </c>
    </row>
    <row r="14048" spans="1:2" x14ac:dyDescent="0.25">
      <c r="A14048" s="62">
        <v>52161536</v>
      </c>
      <c r="B14048" s="63" t="s">
        <v>14693</v>
      </c>
    </row>
    <row r="14049" spans="1:2" x14ac:dyDescent="0.25">
      <c r="A14049" s="62">
        <v>52161537</v>
      </c>
      <c r="B14049" s="63" t="s">
        <v>14694</v>
      </c>
    </row>
    <row r="14050" spans="1:2" x14ac:dyDescent="0.25">
      <c r="A14050" s="62">
        <v>52161538</v>
      </c>
      <c r="B14050" s="63" t="s">
        <v>14695</v>
      </c>
    </row>
    <row r="14051" spans="1:2" x14ac:dyDescent="0.25">
      <c r="A14051" s="62">
        <v>52161539</v>
      </c>
      <c r="B14051" s="63" t="s">
        <v>14696</v>
      </c>
    </row>
    <row r="14052" spans="1:2" x14ac:dyDescent="0.25">
      <c r="A14052" s="62">
        <v>52161540</v>
      </c>
      <c r="B14052" s="63" t="s">
        <v>14697</v>
      </c>
    </row>
    <row r="14053" spans="1:2" x14ac:dyDescent="0.25">
      <c r="A14053" s="62">
        <v>52161541</v>
      </c>
      <c r="B14053" s="63" t="s">
        <v>14698</v>
      </c>
    </row>
    <row r="14054" spans="1:2" x14ac:dyDescent="0.25">
      <c r="A14054" s="62">
        <v>52161542</v>
      </c>
      <c r="B14054" s="63" t="s">
        <v>14699</v>
      </c>
    </row>
    <row r="14055" spans="1:2" x14ac:dyDescent="0.25">
      <c r="A14055" s="62">
        <v>52161543</v>
      </c>
      <c r="B14055" s="63" t="s">
        <v>14700</v>
      </c>
    </row>
    <row r="14056" spans="1:2" x14ac:dyDescent="0.25">
      <c r="A14056" s="62">
        <v>52161544</v>
      </c>
      <c r="B14056" s="63" t="s">
        <v>14701</v>
      </c>
    </row>
    <row r="14057" spans="1:2" x14ac:dyDescent="0.25">
      <c r="A14057" s="62">
        <v>52161601</v>
      </c>
      <c r="B14057" s="63" t="s">
        <v>14702</v>
      </c>
    </row>
    <row r="14058" spans="1:2" x14ac:dyDescent="0.25">
      <c r="A14058" s="62">
        <v>52161602</v>
      </c>
      <c r="B14058" s="63" t="s">
        <v>14703</v>
      </c>
    </row>
    <row r="14059" spans="1:2" x14ac:dyDescent="0.25">
      <c r="A14059" s="62">
        <v>52161603</v>
      </c>
      <c r="B14059" s="63" t="s">
        <v>14704</v>
      </c>
    </row>
    <row r="14060" spans="1:2" x14ac:dyDescent="0.25">
      <c r="A14060" s="62">
        <v>52161604</v>
      </c>
      <c r="B14060" s="63" t="s">
        <v>14705</v>
      </c>
    </row>
    <row r="14061" spans="1:2" x14ac:dyDescent="0.25">
      <c r="A14061" s="62">
        <v>52171001</v>
      </c>
      <c r="B14061" s="63" t="s">
        <v>14706</v>
      </c>
    </row>
    <row r="14062" spans="1:2" x14ac:dyDescent="0.25">
      <c r="A14062" s="62">
        <v>53101501</v>
      </c>
      <c r="B14062" s="63" t="s">
        <v>14707</v>
      </c>
    </row>
    <row r="14063" spans="1:2" x14ac:dyDescent="0.25">
      <c r="A14063" s="62">
        <v>53101502</v>
      </c>
      <c r="B14063" s="63" t="s">
        <v>14708</v>
      </c>
    </row>
    <row r="14064" spans="1:2" x14ac:dyDescent="0.25">
      <c r="A14064" s="62">
        <v>53101503</v>
      </c>
      <c r="B14064" s="63" t="s">
        <v>14709</v>
      </c>
    </row>
    <row r="14065" spans="1:2" x14ac:dyDescent="0.25">
      <c r="A14065" s="62">
        <v>53101504</v>
      </c>
      <c r="B14065" s="63" t="s">
        <v>14710</v>
      </c>
    </row>
    <row r="14066" spans="1:2" x14ac:dyDescent="0.25">
      <c r="A14066" s="62">
        <v>53101505</v>
      </c>
      <c r="B14066" s="63" t="s">
        <v>14711</v>
      </c>
    </row>
    <row r="14067" spans="1:2" x14ac:dyDescent="0.25">
      <c r="A14067" s="62">
        <v>53101601</v>
      </c>
      <c r="B14067" s="63" t="s">
        <v>14712</v>
      </c>
    </row>
    <row r="14068" spans="1:2" x14ac:dyDescent="0.25">
      <c r="A14068" s="62">
        <v>53101602</v>
      </c>
      <c r="B14068" s="63" t="s">
        <v>14713</v>
      </c>
    </row>
    <row r="14069" spans="1:2" x14ac:dyDescent="0.25">
      <c r="A14069" s="62">
        <v>53101603</v>
      </c>
      <c r="B14069" s="63" t="s">
        <v>14714</v>
      </c>
    </row>
    <row r="14070" spans="1:2" x14ac:dyDescent="0.25">
      <c r="A14070" s="62">
        <v>53101604</v>
      </c>
      <c r="B14070" s="63" t="s">
        <v>14715</v>
      </c>
    </row>
    <row r="14071" spans="1:2" x14ac:dyDescent="0.25">
      <c r="A14071" s="62">
        <v>53101605</v>
      </c>
      <c r="B14071" s="63" t="s">
        <v>14716</v>
      </c>
    </row>
    <row r="14072" spans="1:2" x14ac:dyDescent="0.25">
      <c r="A14072" s="62">
        <v>53101701</v>
      </c>
      <c r="B14072" s="63" t="s">
        <v>14717</v>
      </c>
    </row>
    <row r="14073" spans="1:2" x14ac:dyDescent="0.25">
      <c r="A14073" s="62">
        <v>53101702</v>
      </c>
      <c r="B14073" s="63" t="s">
        <v>14718</v>
      </c>
    </row>
    <row r="14074" spans="1:2" x14ac:dyDescent="0.25">
      <c r="A14074" s="62">
        <v>53101703</v>
      </c>
      <c r="B14074" s="63" t="s">
        <v>14719</v>
      </c>
    </row>
    <row r="14075" spans="1:2" x14ac:dyDescent="0.25">
      <c r="A14075" s="62">
        <v>53101704</v>
      </c>
      <c r="B14075" s="63" t="s">
        <v>14720</v>
      </c>
    </row>
    <row r="14076" spans="1:2" x14ac:dyDescent="0.25">
      <c r="A14076" s="62">
        <v>53101705</v>
      </c>
      <c r="B14076" s="63" t="s">
        <v>14721</v>
      </c>
    </row>
    <row r="14077" spans="1:2" x14ac:dyDescent="0.25">
      <c r="A14077" s="62">
        <v>53101801</v>
      </c>
      <c r="B14077" s="63" t="s">
        <v>14722</v>
      </c>
    </row>
    <row r="14078" spans="1:2" x14ac:dyDescent="0.25">
      <c r="A14078" s="62">
        <v>53101802</v>
      </c>
      <c r="B14078" s="63" t="s">
        <v>14723</v>
      </c>
    </row>
    <row r="14079" spans="1:2" x14ac:dyDescent="0.25">
      <c r="A14079" s="62">
        <v>53101803</v>
      </c>
      <c r="B14079" s="63" t="s">
        <v>14724</v>
      </c>
    </row>
    <row r="14080" spans="1:2" x14ac:dyDescent="0.25">
      <c r="A14080" s="62">
        <v>53101804</v>
      </c>
      <c r="B14080" s="63" t="s">
        <v>14725</v>
      </c>
    </row>
    <row r="14081" spans="1:2" x14ac:dyDescent="0.25">
      <c r="A14081" s="62">
        <v>53101805</v>
      </c>
      <c r="B14081" s="63" t="s">
        <v>14726</v>
      </c>
    </row>
    <row r="14082" spans="1:2" x14ac:dyDescent="0.25">
      <c r="A14082" s="62">
        <v>53101901</v>
      </c>
      <c r="B14082" s="63" t="s">
        <v>14727</v>
      </c>
    </row>
    <row r="14083" spans="1:2" x14ac:dyDescent="0.25">
      <c r="A14083" s="62">
        <v>53101902</v>
      </c>
      <c r="B14083" s="63" t="s">
        <v>14728</v>
      </c>
    </row>
    <row r="14084" spans="1:2" x14ac:dyDescent="0.25">
      <c r="A14084" s="62">
        <v>53101903</v>
      </c>
      <c r="B14084" s="63" t="s">
        <v>14729</v>
      </c>
    </row>
    <row r="14085" spans="1:2" x14ac:dyDescent="0.25">
      <c r="A14085" s="62">
        <v>53101904</v>
      </c>
      <c r="B14085" s="63" t="s">
        <v>14730</v>
      </c>
    </row>
    <row r="14086" spans="1:2" x14ac:dyDescent="0.25">
      <c r="A14086" s="62">
        <v>53101905</v>
      </c>
      <c r="B14086" s="63" t="s">
        <v>14731</v>
      </c>
    </row>
    <row r="14087" spans="1:2" x14ac:dyDescent="0.25">
      <c r="A14087" s="62">
        <v>53102001</v>
      </c>
      <c r="B14087" s="63" t="s">
        <v>14732</v>
      </c>
    </row>
    <row r="14088" spans="1:2" x14ac:dyDescent="0.25">
      <c r="A14088" s="62">
        <v>53102002</v>
      </c>
      <c r="B14088" s="63" t="s">
        <v>14733</v>
      </c>
    </row>
    <row r="14089" spans="1:2" x14ac:dyDescent="0.25">
      <c r="A14089" s="62">
        <v>53102003</v>
      </c>
      <c r="B14089" s="63" t="s">
        <v>14734</v>
      </c>
    </row>
    <row r="14090" spans="1:2" x14ac:dyDescent="0.25">
      <c r="A14090" s="62">
        <v>53102101</v>
      </c>
      <c r="B14090" s="63" t="s">
        <v>14735</v>
      </c>
    </row>
    <row r="14091" spans="1:2" x14ac:dyDescent="0.25">
      <c r="A14091" s="62">
        <v>53102102</v>
      </c>
      <c r="B14091" s="63" t="s">
        <v>14736</v>
      </c>
    </row>
    <row r="14092" spans="1:2" x14ac:dyDescent="0.25">
      <c r="A14092" s="62">
        <v>53102103</v>
      </c>
      <c r="B14092" s="63" t="s">
        <v>14737</v>
      </c>
    </row>
    <row r="14093" spans="1:2" x14ac:dyDescent="0.25">
      <c r="A14093" s="62">
        <v>53102104</v>
      </c>
      <c r="B14093" s="63" t="s">
        <v>14738</v>
      </c>
    </row>
    <row r="14094" spans="1:2" x14ac:dyDescent="0.25">
      <c r="A14094" s="62">
        <v>53102105</v>
      </c>
      <c r="B14094" s="63" t="s">
        <v>14739</v>
      </c>
    </row>
    <row r="14095" spans="1:2" x14ac:dyDescent="0.25">
      <c r="A14095" s="62">
        <v>53102201</v>
      </c>
      <c r="B14095" s="63" t="s">
        <v>14740</v>
      </c>
    </row>
    <row r="14096" spans="1:2" x14ac:dyDescent="0.25">
      <c r="A14096" s="62">
        <v>53102202</v>
      </c>
      <c r="B14096" s="63" t="s">
        <v>14741</v>
      </c>
    </row>
    <row r="14097" spans="1:2" x14ac:dyDescent="0.25">
      <c r="A14097" s="62">
        <v>53102203</v>
      </c>
      <c r="B14097" s="63" t="s">
        <v>14742</v>
      </c>
    </row>
    <row r="14098" spans="1:2" x14ac:dyDescent="0.25">
      <c r="A14098" s="62">
        <v>53102204</v>
      </c>
      <c r="B14098" s="63" t="s">
        <v>14743</v>
      </c>
    </row>
    <row r="14099" spans="1:2" x14ac:dyDescent="0.25">
      <c r="A14099" s="62">
        <v>53102205</v>
      </c>
      <c r="B14099" s="63" t="s">
        <v>14744</v>
      </c>
    </row>
    <row r="14100" spans="1:2" x14ac:dyDescent="0.25">
      <c r="A14100" s="62">
        <v>53102301</v>
      </c>
      <c r="B14100" s="63" t="s">
        <v>14745</v>
      </c>
    </row>
    <row r="14101" spans="1:2" x14ac:dyDescent="0.25">
      <c r="A14101" s="62">
        <v>53102302</v>
      </c>
      <c r="B14101" s="63" t="s">
        <v>14746</v>
      </c>
    </row>
    <row r="14102" spans="1:2" x14ac:dyDescent="0.25">
      <c r="A14102" s="62">
        <v>53102303</v>
      </c>
      <c r="B14102" s="63" t="s">
        <v>14747</v>
      </c>
    </row>
    <row r="14103" spans="1:2" x14ac:dyDescent="0.25">
      <c r="A14103" s="62">
        <v>53102304</v>
      </c>
      <c r="B14103" s="63" t="s">
        <v>14748</v>
      </c>
    </row>
    <row r="14104" spans="1:2" x14ac:dyDescent="0.25">
      <c r="A14104" s="62">
        <v>53102305</v>
      </c>
      <c r="B14104" s="63" t="s">
        <v>14749</v>
      </c>
    </row>
    <row r="14105" spans="1:2" x14ac:dyDescent="0.25">
      <c r="A14105" s="62">
        <v>53102306</v>
      </c>
      <c r="B14105" s="63" t="s">
        <v>14750</v>
      </c>
    </row>
    <row r="14106" spans="1:2" x14ac:dyDescent="0.25">
      <c r="A14106" s="62">
        <v>53102307</v>
      </c>
      <c r="B14106" s="63" t="s">
        <v>14751</v>
      </c>
    </row>
    <row r="14107" spans="1:2" x14ac:dyDescent="0.25">
      <c r="A14107" s="62">
        <v>53102308</v>
      </c>
      <c r="B14107" s="63" t="s">
        <v>14752</v>
      </c>
    </row>
    <row r="14108" spans="1:2" x14ac:dyDescent="0.25">
      <c r="A14108" s="62">
        <v>53102401</v>
      </c>
      <c r="B14108" s="63" t="s">
        <v>14753</v>
      </c>
    </row>
    <row r="14109" spans="1:2" x14ac:dyDescent="0.25">
      <c r="A14109" s="62">
        <v>53102402</v>
      </c>
      <c r="B14109" s="63" t="s">
        <v>14754</v>
      </c>
    </row>
    <row r="14110" spans="1:2" x14ac:dyDescent="0.25">
      <c r="A14110" s="62">
        <v>53102403</v>
      </c>
      <c r="B14110" s="63" t="s">
        <v>14755</v>
      </c>
    </row>
    <row r="14111" spans="1:2" x14ac:dyDescent="0.25">
      <c r="A14111" s="62">
        <v>53102404</v>
      </c>
      <c r="B14111" s="63" t="s">
        <v>14756</v>
      </c>
    </row>
    <row r="14112" spans="1:2" x14ac:dyDescent="0.25">
      <c r="A14112" s="62">
        <v>53102501</v>
      </c>
      <c r="B14112" s="63" t="s">
        <v>14757</v>
      </c>
    </row>
    <row r="14113" spans="1:2" x14ac:dyDescent="0.25">
      <c r="A14113" s="62">
        <v>53102502</v>
      </c>
      <c r="B14113" s="63" t="s">
        <v>14758</v>
      </c>
    </row>
    <row r="14114" spans="1:2" x14ac:dyDescent="0.25">
      <c r="A14114" s="62">
        <v>53102503</v>
      </c>
      <c r="B14114" s="63" t="s">
        <v>14759</v>
      </c>
    </row>
    <row r="14115" spans="1:2" x14ac:dyDescent="0.25">
      <c r="A14115" s="62">
        <v>53102504</v>
      </c>
      <c r="B14115" s="63" t="s">
        <v>14760</v>
      </c>
    </row>
    <row r="14116" spans="1:2" x14ac:dyDescent="0.25">
      <c r="A14116" s="62">
        <v>53102505</v>
      </c>
      <c r="B14116" s="63" t="s">
        <v>14761</v>
      </c>
    </row>
    <row r="14117" spans="1:2" x14ac:dyDescent="0.25">
      <c r="A14117" s="62">
        <v>53102506</v>
      </c>
      <c r="B14117" s="63" t="s">
        <v>14762</v>
      </c>
    </row>
    <row r="14118" spans="1:2" x14ac:dyDescent="0.25">
      <c r="A14118" s="62">
        <v>53102507</v>
      </c>
      <c r="B14118" s="63" t="s">
        <v>14763</v>
      </c>
    </row>
    <row r="14119" spans="1:2" x14ac:dyDescent="0.25">
      <c r="A14119" s="62">
        <v>53102508</v>
      </c>
      <c r="B14119" s="63" t="s">
        <v>14764</v>
      </c>
    </row>
    <row r="14120" spans="1:2" x14ac:dyDescent="0.25">
      <c r="A14120" s="62">
        <v>53102509</v>
      </c>
      <c r="B14120" s="63" t="s">
        <v>14765</v>
      </c>
    </row>
    <row r="14121" spans="1:2" x14ac:dyDescent="0.25">
      <c r="A14121" s="62">
        <v>53102510</v>
      </c>
      <c r="B14121" s="63" t="s">
        <v>14766</v>
      </c>
    </row>
    <row r="14122" spans="1:2" x14ac:dyDescent="0.25">
      <c r="A14122" s="62">
        <v>53102511</v>
      </c>
      <c r="B14122" s="63" t="s">
        <v>14767</v>
      </c>
    </row>
    <row r="14123" spans="1:2" x14ac:dyDescent="0.25">
      <c r="A14123" s="62">
        <v>53102512</v>
      </c>
      <c r="B14123" s="63" t="s">
        <v>14768</v>
      </c>
    </row>
    <row r="14124" spans="1:2" x14ac:dyDescent="0.25">
      <c r="A14124" s="62">
        <v>53102513</v>
      </c>
      <c r="B14124" s="63" t="s">
        <v>14769</v>
      </c>
    </row>
    <row r="14125" spans="1:2" x14ac:dyDescent="0.25">
      <c r="A14125" s="62">
        <v>53102514</v>
      </c>
      <c r="B14125" s="63" t="s">
        <v>14770</v>
      </c>
    </row>
    <row r="14126" spans="1:2" x14ac:dyDescent="0.25">
      <c r="A14126" s="62">
        <v>53102515</v>
      </c>
      <c r="B14126" s="63" t="s">
        <v>14771</v>
      </c>
    </row>
    <row r="14127" spans="1:2" x14ac:dyDescent="0.25">
      <c r="A14127" s="62">
        <v>53102516</v>
      </c>
      <c r="B14127" s="63" t="s">
        <v>14772</v>
      </c>
    </row>
    <row r="14128" spans="1:2" x14ac:dyDescent="0.25">
      <c r="A14128" s="62">
        <v>53102517</v>
      </c>
      <c r="B14128" s="63" t="s">
        <v>14773</v>
      </c>
    </row>
    <row r="14129" spans="1:2" x14ac:dyDescent="0.25">
      <c r="A14129" s="62">
        <v>53102518</v>
      </c>
      <c r="B14129" s="63" t="s">
        <v>14774</v>
      </c>
    </row>
    <row r="14130" spans="1:2" x14ac:dyDescent="0.25">
      <c r="A14130" s="62">
        <v>53102519</v>
      </c>
      <c r="B14130" s="63" t="s">
        <v>14775</v>
      </c>
    </row>
    <row r="14131" spans="1:2" x14ac:dyDescent="0.25">
      <c r="A14131" s="62">
        <v>53102520</v>
      </c>
      <c r="B14131" s="63" t="s">
        <v>14776</v>
      </c>
    </row>
    <row r="14132" spans="1:2" x14ac:dyDescent="0.25">
      <c r="A14132" s="62">
        <v>53102601</v>
      </c>
      <c r="B14132" s="63" t="s">
        <v>14777</v>
      </c>
    </row>
    <row r="14133" spans="1:2" x14ac:dyDescent="0.25">
      <c r="A14133" s="62">
        <v>53102602</v>
      </c>
      <c r="B14133" s="63" t="s">
        <v>14778</v>
      </c>
    </row>
    <row r="14134" spans="1:2" x14ac:dyDescent="0.25">
      <c r="A14134" s="62">
        <v>53102603</v>
      </c>
      <c r="B14134" s="63" t="s">
        <v>14779</v>
      </c>
    </row>
    <row r="14135" spans="1:2" x14ac:dyDescent="0.25">
      <c r="A14135" s="62">
        <v>53102604</v>
      </c>
      <c r="B14135" s="63" t="s">
        <v>14780</v>
      </c>
    </row>
    <row r="14136" spans="1:2" x14ac:dyDescent="0.25">
      <c r="A14136" s="62">
        <v>53102605</v>
      </c>
      <c r="B14136" s="63" t="s">
        <v>14781</v>
      </c>
    </row>
    <row r="14137" spans="1:2" x14ac:dyDescent="0.25">
      <c r="A14137" s="62">
        <v>53102606</v>
      </c>
      <c r="B14137" s="63" t="s">
        <v>14782</v>
      </c>
    </row>
    <row r="14138" spans="1:2" x14ac:dyDescent="0.25">
      <c r="A14138" s="62">
        <v>53102701</v>
      </c>
      <c r="B14138" s="63" t="s">
        <v>14783</v>
      </c>
    </row>
    <row r="14139" spans="1:2" x14ac:dyDescent="0.25">
      <c r="A14139" s="62">
        <v>53102702</v>
      </c>
      <c r="B14139" s="63" t="s">
        <v>14784</v>
      </c>
    </row>
    <row r="14140" spans="1:2" x14ac:dyDescent="0.25">
      <c r="A14140" s="62">
        <v>53102703</v>
      </c>
      <c r="B14140" s="63" t="s">
        <v>14785</v>
      </c>
    </row>
    <row r="14141" spans="1:2" x14ac:dyDescent="0.25">
      <c r="A14141" s="62">
        <v>53102704</v>
      </c>
      <c r="B14141" s="63" t="s">
        <v>14786</v>
      </c>
    </row>
    <row r="14142" spans="1:2" x14ac:dyDescent="0.25">
      <c r="A14142" s="62">
        <v>53102705</v>
      </c>
      <c r="B14142" s="63" t="s">
        <v>14787</v>
      </c>
    </row>
    <row r="14143" spans="1:2" x14ac:dyDescent="0.25">
      <c r="A14143" s="62">
        <v>53102706</v>
      </c>
      <c r="B14143" s="63" t="s">
        <v>14788</v>
      </c>
    </row>
    <row r="14144" spans="1:2" x14ac:dyDescent="0.25">
      <c r="A14144" s="62">
        <v>53102707</v>
      </c>
      <c r="B14144" s="63" t="s">
        <v>14789</v>
      </c>
    </row>
    <row r="14145" spans="1:2" x14ac:dyDescent="0.25">
      <c r="A14145" s="62">
        <v>53102708</v>
      </c>
      <c r="B14145" s="63" t="s">
        <v>14790</v>
      </c>
    </row>
    <row r="14146" spans="1:2" x14ac:dyDescent="0.25">
      <c r="A14146" s="62">
        <v>53102709</v>
      </c>
      <c r="B14146" s="63" t="s">
        <v>14791</v>
      </c>
    </row>
    <row r="14147" spans="1:2" x14ac:dyDescent="0.25">
      <c r="A14147" s="62">
        <v>53102710</v>
      </c>
      <c r="B14147" s="63" t="s">
        <v>122</v>
      </c>
    </row>
    <row r="14148" spans="1:2" x14ac:dyDescent="0.25">
      <c r="A14148" s="62">
        <v>53102711</v>
      </c>
      <c r="B14148" s="63" t="s">
        <v>14792</v>
      </c>
    </row>
    <row r="14149" spans="1:2" x14ac:dyDescent="0.25">
      <c r="A14149" s="62">
        <v>53102712</v>
      </c>
      <c r="B14149" s="63" t="s">
        <v>14793</v>
      </c>
    </row>
    <row r="14150" spans="1:2" x14ac:dyDescent="0.25">
      <c r="A14150" s="62">
        <v>53102801</v>
      </c>
      <c r="B14150" s="63" t="s">
        <v>14794</v>
      </c>
    </row>
    <row r="14151" spans="1:2" x14ac:dyDescent="0.25">
      <c r="A14151" s="62">
        <v>53102802</v>
      </c>
      <c r="B14151" s="63" t="s">
        <v>14795</v>
      </c>
    </row>
    <row r="14152" spans="1:2" x14ac:dyDescent="0.25">
      <c r="A14152" s="62">
        <v>53102803</v>
      </c>
      <c r="B14152" s="63" t="s">
        <v>14796</v>
      </c>
    </row>
    <row r="14153" spans="1:2" x14ac:dyDescent="0.25">
      <c r="A14153" s="62">
        <v>53102804</v>
      </c>
      <c r="B14153" s="63" t="s">
        <v>14797</v>
      </c>
    </row>
    <row r="14154" spans="1:2" x14ac:dyDescent="0.25">
      <c r="A14154" s="62">
        <v>53102805</v>
      </c>
      <c r="B14154" s="63" t="s">
        <v>14798</v>
      </c>
    </row>
    <row r="14155" spans="1:2" x14ac:dyDescent="0.25">
      <c r="A14155" s="62">
        <v>53102901</v>
      </c>
      <c r="B14155" s="63" t="s">
        <v>14799</v>
      </c>
    </row>
    <row r="14156" spans="1:2" x14ac:dyDescent="0.25">
      <c r="A14156" s="62">
        <v>53102902</v>
      </c>
      <c r="B14156" s="63" t="s">
        <v>14800</v>
      </c>
    </row>
    <row r="14157" spans="1:2" x14ac:dyDescent="0.25">
      <c r="A14157" s="62">
        <v>53102903</v>
      </c>
      <c r="B14157" s="63" t="s">
        <v>14801</v>
      </c>
    </row>
    <row r="14158" spans="1:2" x14ac:dyDescent="0.25">
      <c r="A14158" s="62">
        <v>53102904</v>
      </c>
      <c r="B14158" s="63" t="s">
        <v>14802</v>
      </c>
    </row>
    <row r="14159" spans="1:2" x14ac:dyDescent="0.25">
      <c r="A14159" s="62">
        <v>53103001</v>
      </c>
      <c r="B14159" s="63" t="s">
        <v>14803</v>
      </c>
    </row>
    <row r="14160" spans="1:2" x14ac:dyDescent="0.25">
      <c r="A14160" s="62">
        <v>53103101</v>
      </c>
      <c r="B14160" s="63" t="s">
        <v>14804</v>
      </c>
    </row>
    <row r="14161" spans="1:2" x14ac:dyDescent="0.25">
      <c r="A14161" s="62">
        <v>53111501</v>
      </c>
      <c r="B14161" s="63" t="s">
        <v>14805</v>
      </c>
    </row>
    <row r="14162" spans="1:2" x14ac:dyDescent="0.25">
      <c r="A14162" s="62">
        <v>53111502</v>
      </c>
      <c r="B14162" s="63" t="s">
        <v>14806</v>
      </c>
    </row>
    <row r="14163" spans="1:2" x14ac:dyDescent="0.25">
      <c r="A14163" s="62">
        <v>53111503</v>
      </c>
      <c r="B14163" s="63" t="s">
        <v>14807</v>
      </c>
    </row>
    <row r="14164" spans="1:2" x14ac:dyDescent="0.25">
      <c r="A14164" s="62">
        <v>53111504</v>
      </c>
      <c r="B14164" s="63" t="s">
        <v>14808</v>
      </c>
    </row>
    <row r="14165" spans="1:2" x14ac:dyDescent="0.25">
      <c r="A14165" s="62">
        <v>53111505</v>
      </c>
      <c r="B14165" s="63" t="s">
        <v>14809</v>
      </c>
    </row>
    <row r="14166" spans="1:2" x14ac:dyDescent="0.25">
      <c r="A14166" s="62">
        <v>53111601</v>
      </c>
      <c r="B14166" s="63" t="s">
        <v>14810</v>
      </c>
    </row>
    <row r="14167" spans="1:2" x14ac:dyDescent="0.25">
      <c r="A14167" s="62">
        <v>53111602</v>
      </c>
      <c r="B14167" s="63" t="s">
        <v>14811</v>
      </c>
    </row>
    <row r="14168" spans="1:2" x14ac:dyDescent="0.25">
      <c r="A14168" s="62">
        <v>53111603</v>
      </c>
      <c r="B14168" s="63" t="s">
        <v>14812</v>
      </c>
    </row>
    <row r="14169" spans="1:2" x14ac:dyDescent="0.25">
      <c r="A14169" s="62">
        <v>53111604</v>
      </c>
      <c r="B14169" s="63" t="s">
        <v>14813</v>
      </c>
    </row>
    <row r="14170" spans="1:2" x14ac:dyDescent="0.25">
      <c r="A14170" s="62">
        <v>53111605</v>
      </c>
      <c r="B14170" s="63" t="s">
        <v>14814</v>
      </c>
    </row>
    <row r="14171" spans="1:2" x14ac:dyDescent="0.25">
      <c r="A14171" s="62">
        <v>53111701</v>
      </c>
      <c r="B14171" s="63" t="s">
        <v>14815</v>
      </c>
    </row>
    <row r="14172" spans="1:2" x14ac:dyDescent="0.25">
      <c r="A14172" s="62">
        <v>53111702</v>
      </c>
      <c r="B14172" s="63" t="s">
        <v>14816</v>
      </c>
    </row>
    <row r="14173" spans="1:2" x14ac:dyDescent="0.25">
      <c r="A14173" s="62">
        <v>53111703</v>
      </c>
      <c r="B14173" s="63" t="s">
        <v>14817</v>
      </c>
    </row>
    <row r="14174" spans="1:2" x14ac:dyDescent="0.25">
      <c r="A14174" s="62">
        <v>53111704</v>
      </c>
      <c r="B14174" s="63" t="s">
        <v>14818</v>
      </c>
    </row>
    <row r="14175" spans="1:2" x14ac:dyDescent="0.25">
      <c r="A14175" s="62">
        <v>53111705</v>
      </c>
      <c r="B14175" s="63" t="s">
        <v>14819</v>
      </c>
    </row>
    <row r="14176" spans="1:2" x14ac:dyDescent="0.25">
      <c r="A14176" s="62">
        <v>53111801</v>
      </c>
      <c r="B14176" s="63" t="s">
        <v>14820</v>
      </c>
    </row>
    <row r="14177" spans="1:2" x14ac:dyDescent="0.25">
      <c r="A14177" s="62">
        <v>53111802</v>
      </c>
      <c r="B14177" s="63" t="s">
        <v>14821</v>
      </c>
    </row>
    <row r="14178" spans="1:2" x14ac:dyDescent="0.25">
      <c r="A14178" s="62">
        <v>53111803</v>
      </c>
      <c r="B14178" s="63" t="s">
        <v>14822</v>
      </c>
    </row>
    <row r="14179" spans="1:2" x14ac:dyDescent="0.25">
      <c r="A14179" s="62">
        <v>53111804</v>
      </c>
      <c r="B14179" s="63" t="s">
        <v>14823</v>
      </c>
    </row>
    <row r="14180" spans="1:2" x14ac:dyDescent="0.25">
      <c r="A14180" s="62">
        <v>53111805</v>
      </c>
      <c r="B14180" s="63" t="s">
        <v>14824</v>
      </c>
    </row>
    <row r="14181" spans="1:2" x14ac:dyDescent="0.25">
      <c r="A14181" s="62">
        <v>53111901</v>
      </c>
      <c r="B14181" s="63" t="s">
        <v>14825</v>
      </c>
    </row>
    <row r="14182" spans="1:2" x14ac:dyDescent="0.25">
      <c r="A14182" s="62">
        <v>53111902</v>
      </c>
      <c r="B14182" s="63" t="s">
        <v>14826</v>
      </c>
    </row>
    <row r="14183" spans="1:2" x14ac:dyDescent="0.25">
      <c r="A14183" s="62">
        <v>53111903</v>
      </c>
      <c r="B14183" s="63" t="s">
        <v>14827</v>
      </c>
    </row>
    <row r="14184" spans="1:2" x14ac:dyDescent="0.25">
      <c r="A14184" s="62">
        <v>53111904</v>
      </c>
      <c r="B14184" s="63" t="s">
        <v>14828</v>
      </c>
    </row>
    <row r="14185" spans="1:2" x14ac:dyDescent="0.25">
      <c r="A14185" s="62">
        <v>53111905</v>
      </c>
      <c r="B14185" s="63" t="s">
        <v>14829</v>
      </c>
    </row>
    <row r="14186" spans="1:2" x14ac:dyDescent="0.25">
      <c r="A14186" s="62">
        <v>53112001</v>
      </c>
      <c r="B14186" s="63" t="s">
        <v>14830</v>
      </c>
    </row>
    <row r="14187" spans="1:2" x14ac:dyDescent="0.25">
      <c r="A14187" s="62">
        <v>53112002</v>
      </c>
      <c r="B14187" s="63" t="s">
        <v>14831</v>
      </c>
    </row>
    <row r="14188" spans="1:2" x14ac:dyDescent="0.25">
      <c r="A14188" s="62">
        <v>53112003</v>
      </c>
      <c r="B14188" s="63" t="s">
        <v>14832</v>
      </c>
    </row>
    <row r="14189" spans="1:2" x14ac:dyDescent="0.25">
      <c r="A14189" s="62">
        <v>53112004</v>
      </c>
      <c r="B14189" s="63" t="s">
        <v>14833</v>
      </c>
    </row>
    <row r="14190" spans="1:2" x14ac:dyDescent="0.25">
      <c r="A14190" s="62">
        <v>53112005</v>
      </c>
      <c r="B14190" s="63" t="s">
        <v>14834</v>
      </c>
    </row>
    <row r="14191" spans="1:2" x14ac:dyDescent="0.25">
      <c r="A14191" s="62">
        <v>53112101</v>
      </c>
      <c r="B14191" s="63" t="s">
        <v>14835</v>
      </c>
    </row>
    <row r="14192" spans="1:2" x14ac:dyDescent="0.25">
      <c r="A14192" s="62">
        <v>53112102</v>
      </c>
      <c r="B14192" s="63" t="s">
        <v>14836</v>
      </c>
    </row>
    <row r="14193" spans="1:2" x14ac:dyDescent="0.25">
      <c r="A14193" s="62">
        <v>53112103</v>
      </c>
      <c r="B14193" s="63" t="s">
        <v>14837</v>
      </c>
    </row>
    <row r="14194" spans="1:2" x14ac:dyDescent="0.25">
      <c r="A14194" s="62">
        <v>53112104</v>
      </c>
      <c r="B14194" s="63" t="s">
        <v>14838</v>
      </c>
    </row>
    <row r="14195" spans="1:2" x14ac:dyDescent="0.25">
      <c r="A14195" s="62">
        <v>53112105</v>
      </c>
      <c r="B14195" s="63" t="s">
        <v>14839</v>
      </c>
    </row>
    <row r="14196" spans="1:2" x14ac:dyDescent="0.25">
      <c r="A14196" s="62">
        <v>53121501</v>
      </c>
      <c r="B14196" s="63" t="s">
        <v>14840</v>
      </c>
    </row>
    <row r="14197" spans="1:2" x14ac:dyDescent="0.25">
      <c r="A14197" s="62">
        <v>53121502</v>
      </c>
      <c r="B14197" s="63" t="s">
        <v>14841</v>
      </c>
    </row>
    <row r="14198" spans="1:2" x14ac:dyDescent="0.25">
      <c r="A14198" s="62">
        <v>53121503</v>
      </c>
      <c r="B14198" s="63" t="s">
        <v>14842</v>
      </c>
    </row>
    <row r="14199" spans="1:2" x14ac:dyDescent="0.25">
      <c r="A14199" s="62">
        <v>53121601</v>
      </c>
      <c r="B14199" s="63" t="s">
        <v>14843</v>
      </c>
    </row>
    <row r="14200" spans="1:2" x14ac:dyDescent="0.25">
      <c r="A14200" s="62">
        <v>53121602</v>
      </c>
      <c r="B14200" s="63" t="s">
        <v>14844</v>
      </c>
    </row>
    <row r="14201" spans="1:2" x14ac:dyDescent="0.25">
      <c r="A14201" s="62">
        <v>53121603</v>
      </c>
      <c r="B14201" s="63" t="s">
        <v>14845</v>
      </c>
    </row>
    <row r="14202" spans="1:2" x14ac:dyDescent="0.25">
      <c r="A14202" s="62">
        <v>53121605</v>
      </c>
      <c r="B14202" s="63" t="s">
        <v>14846</v>
      </c>
    </row>
    <row r="14203" spans="1:2" x14ac:dyDescent="0.25">
      <c r="A14203" s="62">
        <v>53121606</v>
      </c>
      <c r="B14203" s="63" t="s">
        <v>14847</v>
      </c>
    </row>
    <row r="14204" spans="1:2" x14ac:dyDescent="0.25">
      <c r="A14204" s="62">
        <v>53121607</v>
      </c>
      <c r="B14204" s="63" t="s">
        <v>14848</v>
      </c>
    </row>
    <row r="14205" spans="1:2" x14ac:dyDescent="0.25">
      <c r="A14205" s="62">
        <v>53121608</v>
      </c>
      <c r="B14205" s="63" t="s">
        <v>14849</v>
      </c>
    </row>
    <row r="14206" spans="1:2" x14ac:dyDescent="0.25">
      <c r="A14206" s="62">
        <v>53121701</v>
      </c>
      <c r="B14206" s="63" t="s">
        <v>14850</v>
      </c>
    </row>
    <row r="14207" spans="1:2" x14ac:dyDescent="0.25">
      <c r="A14207" s="62">
        <v>53121702</v>
      </c>
      <c r="B14207" s="63" t="s">
        <v>14851</v>
      </c>
    </row>
    <row r="14208" spans="1:2" x14ac:dyDescent="0.25">
      <c r="A14208" s="62">
        <v>53121704</v>
      </c>
      <c r="B14208" s="63" t="s">
        <v>14852</v>
      </c>
    </row>
    <row r="14209" spans="1:2" x14ac:dyDescent="0.25">
      <c r="A14209" s="62">
        <v>53121705</v>
      </c>
      <c r="B14209" s="63" t="s">
        <v>14853</v>
      </c>
    </row>
    <row r="14210" spans="1:2" x14ac:dyDescent="0.25">
      <c r="A14210" s="62">
        <v>53121706</v>
      </c>
      <c r="B14210" s="63" t="s">
        <v>14854</v>
      </c>
    </row>
    <row r="14211" spans="1:2" x14ac:dyDescent="0.25">
      <c r="A14211" s="62">
        <v>53121801</v>
      </c>
      <c r="B14211" s="63" t="s">
        <v>14855</v>
      </c>
    </row>
    <row r="14212" spans="1:2" x14ac:dyDescent="0.25">
      <c r="A14212" s="62">
        <v>53121802</v>
      </c>
      <c r="B14212" s="63" t="s">
        <v>14856</v>
      </c>
    </row>
    <row r="14213" spans="1:2" x14ac:dyDescent="0.25">
      <c r="A14213" s="62">
        <v>53121803</v>
      </c>
      <c r="B14213" s="63" t="s">
        <v>14857</v>
      </c>
    </row>
    <row r="14214" spans="1:2" x14ac:dyDescent="0.25">
      <c r="A14214" s="62">
        <v>53121804</v>
      </c>
      <c r="B14214" s="63" t="s">
        <v>14858</v>
      </c>
    </row>
    <row r="14215" spans="1:2" x14ac:dyDescent="0.25">
      <c r="A14215" s="62">
        <v>53131501</v>
      </c>
      <c r="B14215" s="63" t="s">
        <v>14859</v>
      </c>
    </row>
    <row r="14216" spans="1:2" x14ac:dyDescent="0.25">
      <c r="A14216" s="62">
        <v>53131502</v>
      </c>
      <c r="B14216" s="63" t="s">
        <v>14860</v>
      </c>
    </row>
    <row r="14217" spans="1:2" x14ac:dyDescent="0.25">
      <c r="A14217" s="62">
        <v>53131503</v>
      </c>
      <c r="B14217" s="63" t="s">
        <v>14861</v>
      </c>
    </row>
    <row r="14218" spans="1:2" x14ac:dyDescent="0.25">
      <c r="A14218" s="62">
        <v>53131504</v>
      </c>
      <c r="B14218" s="63" t="s">
        <v>14862</v>
      </c>
    </row>
    <row r="14219" spans="1:2" x14ac:dyDescent="0.25">
      <c r="A14219" s="62">
        <v>53131505</v>
      </c>
      <c r="B14219" s="63" t="s">
        <v>14863</v>
      </c>
    </row>
    <row r="14220" spans="1:2" x14ac:dyDescent="0.25">
      <c r="A14220" s="62">
        <v>53131506</v>
      </c>
      <c r="B14220" s="63" t="s">
        <v>14864</v>
      </c>
    </row>
    <row r="14221" spans="1:2" x14ac:dyDescent="0.25">
      <c r="A14221" s="62">
        <v>53131507</v>
      </c>
      <c r="B14221" s="63" t="s">
        <v>14865</v>
      </c>
    </row>
    <row r="14222" spans="1:2" x14ac:dyDescent="0.25">
      <c r="A14222" s="62">
        <v>53131508</v>
      </c>
      <c r="B14222" s="63" t="s">
        <v>14866</v>
      </c>
    </row>
    <row r="14223" spans="1:2" x14ac:dyDescent="0.25">
      <c r="A14223" s="62">
        <v>53131509</v>
      </c>
      <c r="B14223" s="63" t="s">
        <v>14867</v>
      </c>
    </row>
    <row r="14224" spans="1:2" x14ac:dyDescent="0.25">
      <c r="A14224" s="62">
        <v>53131601</v>
      </c>
      <c r="B14224" s="63" t="s">
        <v>14868</v>
      </c>
    </row>
    <row r="14225" spans="1:2" x14ac:dyDescent="0.25">
      <c r="A14225" s="62">
        <v>53131602</v>
      </c>
      <c r="B14225" s="63" t="s">
        <v>14869</v>
      </c>
    </row>
    <row r="14226" spans="1:2" x14ac:dyDescent="0.25">
      <c r="A14226" s="62">
        <v>53131603</v>
      </c>
      <c r="B14226" s="63" t="s">
        <v>14870</v>
      </c>
    </row>
    <row r="14227" spans="1:2" x14ac:dyDescent="0.25">
      <c r="A14227" s="62">
        <v>53131604</v>
      </c>
      <c r="B14227" s="63" t="s">
        <v>14871</v>
      </c>
    </row>
    <row r="14228" spans="1:2" x14ac:dyDescent="0.25">
      <c r="A14228" s="62">
        <v>53131605</v>
      </c>
      <c r="B14228" s="63" t="s">
        <v>14872</v>
      </c>
    </row>
    <row r="14229" spans="1:2" x14ac:dyDescent="0.25">
      <c r="A14229" s="62">
        <v>53131606</v>
      </c>
      <c r="B14229" s="63" t="s">
        <v>12251</v>
      </c>
    </row>
    <row r="14230" spans="1:2" x14ac:dyDescent="0.25">
      <c r="A14230" s="62">
        <v>53131607</v>
      </c>
      <c r="B14230" s="63" t="s">
        <v>14873</v>
      </c>
    </row>
    <row r="14231" spans="1:2" x14ac:dyDescent="0.25">
      <c r="A14231" s="62">
        <v>53131608</v>
      </c>
      <c r="B14231" s="63" t="s">
        <v>14874</v>
      </c>
    </row>
    <row r="14232" spans="1:2" x14ac:dyDescent="0.25">
      <c r="A14232" s="62">
        <v>53131609</v>
      </c>
      <c r="B14232" s="63" t="s">
        <v>14875</v>
      </c>
    </row>
    <row r="14233" spans="1:2" x14ac:dyDescent="0.25">
      <c r="A14233" s="62">
        <v>53131610</v>
      </c>
      <c r="B14233" s="63" t="s">
        <v>14876</v>
      </c>
    </row>
    <row r="14234" spans="1:2" x14ac:dyDescent="0.25">
      <c r="A14234" s="62">
        <v>53131611</v>
      </c>
      <c r="B14234" s="63" t="s">
        <v>14877</v>
      </c>
    </row>
    <row r="14235" spans="1:2" x14ac:dyDescent="0.25">
      <c r="A14235" s="62">
        <v>53131612</v>
      </c>
      <c r="B14235" s="63" t="s">
        <v>14878</v>
      </c>
    </row>
    <row r="14236" spans="1:2" x14ac:dyDescent="0.25">
      <c r="A14236" s="62">
        <v>53131613</v>
      </c>
      <c r="B14236" s="63" t="s">
        <v>14879</v>
      </c>
    </row>
    <row r="14237" spans="1:2" x14ac:dyDescent="0.25">
      <c r="A14237" s="62">
        <v>53131614</v>
      </c>
      <c r="B14237" s="63" t="s">
        <v>14880</v>
      </c>
    </row>
    <row r="14238" spans="1:2" x14ac:dyDescent="0.25">
      <c r="A14238" s="62">
        <v>53131615</v>
      </c>
      <c r="B14238" s="63" t="s">
        <v>14881</v>
      </c>
    </row>
    <row r="14239" spans="1:2" x14ac:dyDescent="0.25">
      <c r="A14239" s="62">
        <v>53131616</v>
      </c>
      <c r="B14239" s="63" t="s">
        <v>14882</v>
      </c>
    </row>
    <row r="14240" spans="1:2" x14ac:dyDescent="0.25">
      <c r="A14240" s="62">
        <v>53131617</v>
      </c>
      <c r="B14240" s="63" t="s">
        <v>14883</v>
      </c>
    </row>
    <row r="14241" spans="1:2" x14ac:dyDescent="0.25">
      <c r="A14241" s="62">
        <v>53131618</v>
      </c>
      <c r="B14241" s="63" t="s">
        <v>14884</v>
      </c>
    </row>
    <row r="14242" spans="1:2" x14ac:dyDescent="0.25">
      <c r="A14242" s="62">
        <v>53131619</v>
      </c>
      <c r="B14242" s="63" t="s">
        <v>14885</v>
      </c>
    </row>
    <row r="14243" spans="1:2" x14ac:dyDescent="0.25">
      <c r="A14243" s="62">
        <v>53131620</v>
      </c>
      <c r="B14243" s="63" t="s">
        <v>14886</v>
      </c>
    </row>
    <row r="14244" spans="1:2" x14ac:dyDescent="0.25">
      <c r="A14244" s="62">
        <v>53131621</v>
      </c>
      <c r="B14244" s="63" t="s">
        <v>14887</v>
      </c>
    </row>
    <row r="14245" spans="1:2" x14ac:dyDescent="0.25">
      <c r="A14245" s="62">
        <v>53131622</v>
      </c>
      <c r="B14245" s="63" t="s">
        <v>14888</v>
      </c>
    </row>
    <row r="14246" spans="1:2" x14ac:dyDescent="0.25">
      <c r="A14246" s="62">
        <v>53131623</v>
      </c>
      <c r="B14246" s="63" t="s">
        <v>14889</v>
      </c>
    </row>
    <row r="14247" spans="1:2" x14ac:dyDescent="0.25">
      <c r="A14247" s="62">
        <v>53131624</v>
      </c>
      <c r="B14247" s="63" t="s">
        <v>14890</v>
      </c>
    </row>
    <row r="14248" spans="1:2" x14ac:dyDescent="0.25">
      <c r="A14248" s="62">
        <v>53131625</v>
      </c>
      <c r="B14248" s="63" t="s">
        <v>14891</v>
      </c>
    </row>
    <row r="14249" spans="1:2" x14ac:dyDescent="0.25">
      <c r="A14249" s="62">
        <v>53131626</v>
      </c>
      <c r="B14249" s="63" t="s">
        <v>14892</v>
      </c>
    </row>
    <row r="14250" spans="1:2" x14ac:dyDescent="0.25">
      <c r="A14250" s="62">
        <v>53131627</v>
      </c>
      <c r="B14250" s="63" t="s">
        <v>14893</v>
      </c>
    </row>
    <row r="14251" spans="1:2" x14ac:dyDescent="0.25">
      <c r="A14251" s="62">
        <v>53131628</v>
      </c>
      <c r="B14251" s="63" t="s">
        <v>14894</v>
      </c>
    </row>
    <row r="14252" spans="1:2" x14ac:dyDescent="0.25">
      <c r="A14252" s="62">
        <v>53131629</v>
      </c>
      <c r="B14252" s="63" t="s">
        <v>14895</v>
      </c>
    </row>
    <row r="14253" spans="1:2" x14ac:dyDescent="0.25">
      <c r="A14253" s="62">
        <v>53131630</v>
      </c>
      <c r="B14253" s="63" t="s">
        <v>14896</v>
      </c>
    </row>
    <row r="14254" spans="1:2" x14ac:dyDescent="0.25">
      <c r="A14254" s="62">
        <v>53131631</v>
      </c>
      <c r="B14254" s="63" t="s">
        <v>14897</v>
      </c>
    </row>
    <row r="14255" spans="1:2" x14ac:dyDescent="0.25">
      <c r="A14255" s="62">
        <v>53131632</v>
      </c>
      <c r="B14255" s="63" t="s">
        <v>14898</v>
      </c>
    </row>
    <row r="14256" spans="1:2" x14ac:dyDescent="0.25">
      <c r="A14256" s="62">
        <v>53131633</v>
      </c>
      <c r="B14256" s="63" t="s">
        <v>14899</v>
      </c>
    </row>
    <row r="14257" spans="1:2" x14ac:dyDescent="0.25">
      <c r="A14257" s="62">
        <v>53131634</v>
      </c>
      <c r="B14257" s="63" t="s">
        <v>14900</v>
      </c>
    </row>
    <row r="14258" spans="1:2" x14ac:dyDescent="0.25">
      <c r="A14258" s="62">
        <v>53131635</v>
      </c>
      <c r="B14258" s="63" t="s">
        <v>14901</v>
      </c>
    </row>
    <row r="14259" spans="1:2" x14ac:dyDescent="0.25">
      <c r="A14259" s="62">
        <v>53131636</v>
      </c>
      <c r="B14259" s="63" t="s">
        <v>14902</v>
      </c>
    </row>
    <row r="14260" spans="1:2" x14ac:dyDescent="0.25">
      <c r="A14260" s="62">
        <v>53131637</v>
      </c>
      <c r="B14260" s="63" t="s">
        <v>14903</v>
      </c>
    </row>
    <row r="14261" spans="1:2" x14ac:dyDescent="0.25">
      <c r="A14261" s="62">
        <v>53131638</v>
      </c>
      <c r="B14261" s="63" t="s">
        <v>14904</v>
      </c>
    </row>
    <row r="14262" spans="1:2" x14ac:dyDescent="0.25">
      <c r="A14262" s="62">
        <v>53141501</v>
      </c>
      <c r="B14262" s="63" t="s">
        <v>14905</v>
      </c>
    </row>
    <row r="14263" spans="1:2" x14ac:dyDescent="0.25">
      <c r="A14263" s="62">
        <v>53141502</v>
      </c>
      <c r="B14263" s="63" t="s">
        <v>14906</v>
      </c>
    </row>
    <row r="14264" spans="1:2" x14ac:dyDescent="0.25">
      <c r="A14264" s="62">
        <v>53141503</v>
      </c>
      <c r="B14264" s="63" t="s">
        <v>14907</v>
      </c>
    </row>
    <row r="14265" spans="1:2" x14ac:dyDescent="0.25">
      <c r="A14265" s="62">
        <v>53141504</v>
      </c>
      <c r="B14265" s="63" t="s">
        <v>14908</v>
      </c>
    </row>
    <row r="14266" spans="1:2" x14ac:dyDescent="0.25">
      <c r="A14266" s="62">
        <v>53141505</v>
      </c>
      <c r="B14266" s="63" t="s">
        <v>14909</v>
      </c>
    </row>
    <row r="14267" spans="1:2" x14ac:dyDescent="0.25">
      <c r="A14267" s="62">
        <v>53141506</v>
      </c>
      <c r="B14267" s="63" t="s">
        <v>14910</v>
      </c>
    </row>
    <row r="14268" spans="1:2" x14ac:dyDescent="0.25">
      <c r="A14268" s="62">
        <v>53141507</v>
      </c>
      <c r="B14268" s="63" t="s">
        <v>14911</v>
      </c>
    </row>
    <row r="14269" spans="1:2" x14ac:dyDescent="0.25">
      <c r="A14269" s="62">
        <v>53141508</v>
      </c>
      <c r="B14269" s="63" t="s">
        <v>14912</v>
      </c>
    </row>
    <row r="14270" spans="1:2" x14ac:dyDescent="0.25">
      <c r="A14270" s="62">
        <v>53141601</v>
      </c>
      <c r="B14270" s="63" t="s">
        <v>14913</v>
      </c>
    </row>
    <row r="14271" spans="1:2" x14ac:dyDescent="0.25">
      <c r="A14271" s="62">
        <v>53141602</v>
      </c>
      <c r="B14271" s="63" t="s">
        <v>14914</v>
      </c>
    </row>
    <row r="14272" spans="1:2" x14ac:dyDescent="0.25">
      <c r="A14272" s="62">
        <v>53141603</v>
      </c>
      <c r="B14272" s="63" t="s">
        <v>14915</v>
      </c>
    </row>
    <row r="14273" spans="1:2" x14ac:dyDescent="0.25">
      <c r="A14273" s="62">
        <v>53141604</v>
      </c>
      <c r="B14273" s="63" t="s">
        <v>14916</v>
      </c>
    </row>
    <row r="14274" spans="1:2" x14ac:dyDescent="0.25">
      <c r="A14274" s="62">
        <v>53141605</v>
      </c>
      <c r="B14274" s="63" t="s">
        <v>14917</v>
      </c>
    </row>
    <row r="14275" spans="1:2" x14ac:dyDescent="0.25">
      <c r="A14275" s="62">
        <v>53141606</v>
      </c>
      <c r="B14275" s="63" t="s">
        <v>14918</v>
      </c>
    </row>
    <row r="14276" spans="1:2" x14ac:dyDescent="0.25">
      <c r="A14276" s="62">
        <v>53141607</v>
      </c>
      <c r="B14276" s="63" t="s">
        <v>14919</v>
      </c>
    </row>
    <row r="14277" spans="1:2" x14ac:dyDescent="0.25">
      <c r="A14277" s="62">
        <v>53141608</v>
      </c>
      <c r="B14277" s="63" t="s">
        <v>14920</v>
      </c>
    </row>
    <row r="14278" spans="1:2" x14ac:dyDescent="0.25">
      <c r="A14278" s="62">
        <v>53141609</v>
      </c>
      <c r="B14278" s="63" t="s">
        <v>14921</v>
      </c>
    </row>
    <row r="14279" spans="1:2" x14ac:dyDescent="0.25">
      <c r="A14279" s="62">
        <v>53141610</v>
      </c>
      <c r="B14279" s="63" t="s">
        <v>14922</v>
      </c>
    </row>
    <row r="14280" spans="1:2" x14ac:dyDescent="0.25">
      <c r="A14280" s="62">
        <v>53141611</v>
      </c>
      <c r="B14280" s="63" t="s">
        <v>14923</v>
      </c>
    </row>
    <row r="14281" spans="1:2" x14ac:dyDescent="0.25">
      <c r="A14281" s="62">
        <v>53141612</v>
      </c>
      <c r="B14281" s="63" t="s">
        <v>14924</v>
      </c>
    </row>
    <row r="14282" spans="1:2" x14ac:dyDescent="0.25">
      <c r="A14282" s="62">
        <v>53141613</v>
      </c>
      <c r="B14282" s="63" t="s">
        <v>1735</v>
      </c>
    </row>
    <row r="14283" spans="1:2" x14ac:dyDescent="0.25">
      <c r="A14283" s="62">
        <v>53141614</v>
      </c>
      <c r="B14283" s="63" t="s">
        <v>14925</v>
      </c>
    </row>
    <row r="14284" spans="1:2" x14ac:dyDescent="0.25">
      <c r="A14284" s="62">
        <v>53141615</v>
      </c>
      <c r="B14284" s="63" t="s">
        <v>14926</v>
      </c>
    </row>
    <row r="14285" spans="1:2" x14ac:dyDescent="0.25">
      <c r="A14285" s="62">
        <v>53141616</v>
      </c>
      <c r="B14285" s="63" t="s">
        <v>14927</v>
      </c>
    </row>
    <row r="14286" spans="1:2" x14ac:dyDescent="0.25">
      <c r="A14286" s="62">
        <v>53141617</v>
      </c>
      <c r="B14286" s="63" t="s">
        <v>14928</v>
      </c>
    </row>
    <row r="14287" spans="1:2" x14ac:dyDescent="0.25">
      <c r="A14287" s="62">
        <v>53141618</v>
      </c>
      <c r="B14287" s="63" t="s">
        <v>14929</v>
      </c>
    </row>
    <row r="14288" spans="1:2" x14ac:dyDescent="0.25">
      <c r="A14288" s="62">
        <v>53141619</v>
      </c>
      <c r="B14288" s="63" t="s">
        <v>14930</v>
      </c>
    </row>
    <row r="14289" spans="1:2" x14ac:dyDescent="0.25">
      <c r="A14289" s="62">
        <v>53141620</v>
      </c>
      <c r="B14289" s="63" t="s">
        <v>14931</v>
      </c>
    </row>
    <row r="14290" spans="1:2" x14ac:dyDescent="0.25">
      <c r="A14290" s="62">
        <v>53141621</v>
      </c>
      <c r="B14290" s="63" t="s">
        <v>14932</v>
      </c>
    </row>
    <row r="14291" spans="1:2" x14ac:dyDescent="0.25">
      <c r="A14291" s="62">
        <v>53141622</v>
      </c>
      <c r="B14291" s="63" t="s">
        <v>14933</v>
      </c>
    </row>
    <row r="14292" spans="1:2" x14ac:dyDescent="0.25">
      <c r="A14292" s="62">
        <v>53141623</v>
      </c>
      <c r="B14292" s="63" t="s">
        <v>14934</v>
      </c>
    </row>
    <row r="14293" spans="1:2" x14ac:dyDescent="0.25">
      <c r="A14293" s="62">
        <v>53141624</v>
      </c>
      <c r="B14293" s="63" t="s">
        <v>14935</v>
      </c>
    </row>
    <row r="14294" spans="1:2" x14ac:dyDescent="0.25">
      <c r="A14294" s="62">
        <v>53141625</v>
      </c>
      <c r="B14294" s="63" t="s">
        <v>14936</v>
      </c>
    </row>
    <row r="14295" spans="1:2" x14ac:dyDescent="0.25">
      <c r="A14295" s="62">
        <v>53141626</v>
      </c>
      <c r="B14295" s="63" t="s">
        <v>14937</v>
      </c>
    </row>
    <row r="14296" spans="1:2" x14ac:dyDescent="0.25">
      <c r="A14296" s="62">
        <v>53141627</v>
      </c>
      <c r="B14296" s="63" t="s">
        <v>14938</v>
      </c>
    </row>
    <row r="14297" spans="1:2" x14ac:dyDescent="0.25">
      <c r="A14297" s="62">
        <v>53141628</v>
      </c>
      <c r="B14297" s="63" t="s">
        <v>14939</v>
      </c>
    </row>
    <row r="14298" spans="1:2" x14ac:dyDescent="0.25">
      <c r="A14298" s="62">
        <v>53141629</v>
      </c>
      <c r="B14298" s="63" t="s">
        <v>14940</v>
      </c>
    </row>
    <row r="14299" spans="1:2" x14ac:dyDescent="0.25">
      <c r="A14299" s="62">
        <v>53141630</v>
      </c>
      <c r="B14299" s="63" t="s">
        <v>14941</v>
      </c>
    </row>
    <row r="14300" spans="1:2" x14ac:dyDescent="0.25">
      <c r="A14300" s="62">
        <v>54101501</v>
      </c>
      <c r="B14300" s="63" t="s">
        <v>14942</v>
      </c>
    </row>
    <row r="14301" spans="1:2" x14ac:dyDescent="0.25">
      <c r="A14301" s="62">
        <v>54101502</v>
      </c>
      <c r="B14301" s="63" t="s">
        <v>14943</v>
      </c>
    </row>
    <row r="14302" spans="1:2" x14ac:dyDescent="0.25">
      <c r="A14302" s="62">
        <v>54101503</v>
      </c>
      <c r="B14302" s="63" t="s">
        <v>14944</v>
      </c>
    </row>
    <row r="14303" spans="1:2" x14ac:dyDescent="0.25">
      <c r="A14303" s="62">
        <v>54101504</v>
      </c>
      <c r="B14303" s="63" t="s">
        <v>14945</v>
      </c>
    </row>
    <row r="14304" spans="1:2" x14ac:dyDescent="0.25">
      <c r="A14304" s="62">
        <v>54101505</v>
      </c>
      <c r="B14304" s="63" t="s">
        <v>14946</v>
      </c>
    </row>
    <row r="14305" spans="1:2" x14ac:dyDescent="0.25">
      <c r="A14305" s="62">
        <v>54101506</v>
      </c>
      <c r="B14305" s="63" t="s">
        <v>14947</v>
      </c>
    </row>
    <row r="14306" spans="1:2" x14ac:dyDescent="0.25">
      <c r="A14306" s="62">
        <v>54101507</v>
      </c>
      <c r="B14306" s="63" t="s">
        <v>14948</v>
      </c>
    </row>
    <row r="14307" spans="1:2" x14ac:dyDescent="0.25">
      <c r="A14307" s="62">
        <v>54101508</v>
      </c>
      <c r="B14307" s="63" t="s">
        <v>14949</v>
      </c>
    </row>
    <row r="14308" spans="1:2" x14ac:dyDescent="0.25">
      <c r="A14308" s="62">
        <v>54101509</v>
      </c>
      <c r="B14308" s="63" t="s">
        <v>14950</v>
      </c>
    </row>
    <row r="14309" spans="1:2" x14ac:dyDescent="0.25">
      <c r="A14309" s="62">
        <v>54101510</v>
      </c>
      <c r="B14309" s="63" t="s">
        <v>14951</v>
      </c>
    </row>
    <row r="14310" spans="1:2" x14ac:dyDescent="0.25">
      <c r="A14310" s="62">
        <v>54101511</v>
      </c>
      <c r="B14310" s="63" t="s">
        <v>14952</v>
      </c>
    </row>
    <row r="14311" spans="1:2" x14ac:dyDescent="0.25">
      <c r="A14311" s="62">
        <v>54101512</v>
      </c>
      <c r="B14311" s="63" t="s">
        <v>14953</v>
      </c>
    </row>
    <row r="14312" spans="1:2" x14ac:dyDescent="0.25">
      <c r="A14312" s="62">
        <v>54101601</v>
      </c>
      <c r="B14312" s="63" t="s">
        <v>14954</v>
      </c>
    </row>
    <row r="14313" spans="1:2" x14ac:dyDescent="0.25">
      <c r="A14313" s="62">
        <v>54101602</v>
      </c>
      <c r="B14313" s="63" t="s">
        <v>14955</v>
      </c>
    </row>
    <row r="14314" spans="1:2" x14ac:dyDescent="0.25">
      <c r="A14314" s="62">
        <v>54101603</v>
      </c>
      <c r="B14314" s="63" t="s">
        <v>14956</v>
      </c>
    </row>
    <row r="14315" spans="1:2" x14ac:dyDescent="0.25">
      <c r="A14315" s="62">
        <v>54101604</v>
      </c>
      <c r="B14315" s="63" t="s">
        <v>14957</v>
      </c>
    </row>
    <row r="14316" spans="1:2" x14ac:dyDescent="0.25">
      <c r="A14316" s="62">
        <v>54101605</v>
      </c>
      <c r="B14316" s="63" t="s">
        <v>14958</v>
      </c>
    </row>
    <row r="14317" spans="1:2" x14ac:dyDescent="0.25">
      <c r="A14317" s="62">
        <v>54101701</v>
      </c>
      <c r="B14317" s="63" t="s">
        <v>14959</v>
      </c>
    </row>
    <row r="14318" spans="1:2" x14ac:dyDescent="0.25">
      <c r="A14318" s="62">
        <v>54101702</v>
      </c>
      <c r="B14318" s="63" t="s">
        <v>14960</v>
      </c>
    </row>
    <row r="14319" spans="1:2" x14ac:dyDescent="0.25">
      <c r="A14319" s="62">
        <v>54101703</v>
      </c>
      <c r="B14319" s="63" t="s">
        <v>14961</v>
      </c>
    </row>
    <row r="14320" spans="1:2" x14ac:dyDescent="0.25">
      <c r="A14320" s="62">
        <v>54101704</v>
      </c>
      <c r="B14320" s="63" t="s">
        <v>14962</v>
      </c>
    </row>
    <row r="14321" spans="1:2" x14ac:dyDescent="0.25">
      <c r="A14321" s="62">
        <v>54101705</v>
      </c>
      <c r="B14321" s="63" t="s">
        <v>14963</v>
      </c>
    </row>
    <row r="14322" spans="1:2" x14ac:dyDescent="0.25">
      <c r="A14322" s="62">
        <v>54101706</v>
      </c>
      <c r="B14322" s="63" t="s">
        <v>14964</v>
      </c>
    </row>
    <row r="14323" spans="1:2" x14ac:dyDescent="0.25">
      <c r="A14323" s="62">
        <v>54111501</v>
      </c>
      <c r="B14323" s="63" t="s">
        <v>14965</v>
      </c>
    </row>
    <row r="14324" spans="1:2" x14ac:dyDescent="0.25">
      <c r="A14324" s="62">
        <v>54111502</v>
      </c>
      <c r="B14324" s="63" t="s">
        <v>14966</v>
      </c>
    </row>
    <row r="14325" spans="1:2" x14ac:dyDescent="0.25">
      <c r="A14325" s="62">
        <v>54111601</v>
      </c>
      <c r="B14325" s="63" t="s">
        <v>14967</v>
      </c>
    </row>
    <row r="14326" spans="1:2" x14ac:dyDescent="0.25">
      <c r="A14326" s="62">
        <v>54111602</v>
      </c>
      <c r="B14326" s="63" t="s">
        <v>14968</v>
      </c>
    </row>
    <row r="14327" spans="1:2" x14ac:dyDescent="0.25">
      <c r="A14327" s="62">
        <v>54111603</v>
      </c>
      <c r="B14327" s="63" t="s">
        <v>14969</v>
      </c>
    </row>
    <row r="14328" spans="1:2" x14ac:dyDescent="0.25">
      <c r="A14328" s="62">
        <v>54111604</v>
      </c>
      <c r="B14328" s="63" t="s">
        <v>14970</v>
      </c>
    </row>
    <row r="14329" spans="1:2" x14ac:dyDescent="0.25">
      <c r="A14329" s="62">
        <v>54111701</v>
      </c>
      <c r="B14329" s="63" t="s">
        <v>14971</v>
      </c>
    </row>
    <row r="14330" spans="1:2" x14ac:dyDescent="0.25">
      <c r="A14330" s="62">
        <v>54111702</v>
      </c>
      <c r="B14330" s="63" t="s">
        <v>14972</v>
      </c>
    </row>
    <row r="14331" spans="1:2" x14ac:dyDescent="0.25">
      <c r="A14331" s="62">
        <v>54111703</v>
      </c>
      <c r="B14331" s="63" t="s">
        <v>14973</v>
      </c>
    </row>
    <row r="14332" spans="1:2" x14ac:dyDescent="0.25">
      <c r="A14332" s="62">
        <v>54111704</v>
      </c>
      <c r="B14332" s="63" t="s">
        <v>14974</v>
      </c>
    </row>
    <row r="14333" spans="1:2" x14ac:dyDescent="0.25">
      <c r="A14333" s="62">
        <v>54111705</v>
      </c>
      <c r="B14333" s="63" t="s">
        <v>14975</v>
      </c>
    </row>
    <row r="14334" spans="1:2" x14ac:dyDescent="0.25">
      <c r="A14334" s="62">
        <v>54111706</v>
      </c>
      <c r="B14334" s="63" t="s">
        <v>14976</v>
      </c>
    </row>
    <row r="14335" spans="1:2" x14ac:dyDescent="0.25">
      <c r="A14335" s="62">
        <v>54111707</v>
      </c>
      <c r="B14335" s="63" t="s">
        <v>14977</v>
      </c>
    </row>
    <row r="14336" spans="1:2" x14ac:dyDescent="0.25">
      <c r="A14336" s="62">
        <v>54111708</v>
      </c>
      <c r="B14336" s="63" t="s">
        <v>14978</v>
      </c>
    </row>
    <row r="14337" spans="1:2" x14ac:dyDescent="0.25">
      <c r="A14337" s="62">
        <v>54111709</v>
      </c>
      <c r="B14337" s="63" t="s">
        <v>14979</v>
      </c>
    </row>
    <row r="14338" spans="1:2" x14ac:dyDescent="0.25">
      <c r="A14338" s="62">
        <v>54121501</v>
      </c>
      <c r="B14338" s="63" t="s">
        <v>14980</v>
      </c>
    </row>
    <row r="14339" spans="1:2" x14ac:dyDescent="0.25">
      <c r="A14339" s="62">
        <v>54121502</v>
      </c>
      <c r="B14339" s="63" t="s">
        <v>14981</v>
      </c>
    </row>
    <row r="14340" spans="1:2" x14ac:dyDescent="0.25">
      <c r="A14340" s="62">
        <v>54121503</v>
      </c>
      <c r="B14340" s="63" t="s">
        <v>14982</v>
      </c>
    </row>
    <row r="14341" spans="1:2" x14ac:dyDescent="0.25">
      <c r="A14341" s="62">
        <v>54121504</v>
      </c>
      <c r="B14341" s="63" t="s">
        <v>14983</v>
      </c>
    </row>
    <row r="14342" spans="1:2" x14ac:dyDescent="0.25">
      <c r="A14342" s="62">
        <v>54121601</v>
      </c>
      <c r="B14342" s="63" t="s">
        <v>958</v>
      </c>
    </row>
    <row r="14343" spans="1:2" x14ac:dyDescent="0.25">
      <c r="A14343" s="62">
        <v>54121602</v>
      </c>
      <c r="B14343" s="63" t="s">
        <v>14984</v>
      </c>
    </row>
    <row r="14344" spans="1:2" x14ac:dyDescent="0.25">
      <c r="A14344" s="62">
        <v>54121603</v>
      </c>
      <c r="B14344" s="63" t="s">
        <v>14985</v>
      </c>
    </row>
    <row r="14345" spans="1:2" x14ac:dyDescent="0.25">
      <c r="A14345" s="62">
        <v>54121701</v>
      </c>
      <c r="B14345" s="63" t="s">
        <v>14986</v>
      </c>
    </row>
    <row r="14346" spans="1:2" x14ac:dyDescent="0.25">
      <c r="A14346" s="62">
        <v>54121702</v>
      </c>
      <c r="B14346" s="63" t="s">
        <v>14987</v>
      </c>
    </row>
    <row r="14347" spans="1:2" x14ac:dyDescent="0.25">
      <c r="A14347" s="62">
        <v>54121801</v>
      </c>
      <c r="B14347" s="63" t="s">
        <v>14988</v>
      </c>
    </row>
    <row r="14348" spans="1:2" x14ac:dyDescent="0.25">
      <c r="A14348" s="62">
        <v>54121802</v>
      </c>
      <c r="B14348" s="63" t="s">
        <v>14989</v>
      </c>
    </row>
    <row r="14349" spans="1:2" x14ac:dyDescent="0.25">
      <c r="A14349" s="62">
        <v>55101501</v>
      </c>
      <c r="B14349" s="63" t="s">
        <v>14990</v>
      </c>
    </row>
    <row r="14350" spans="1:2" x14ac:dyDescent="0.25">
      <c r="A14350" s="62">
        <v>55101502</v>
      </c>
      <c r="B14350" s="63" t="s">
        <v>14991</v>
      </c>
    </row>
    <row r="14351" spans="1:2" x14ac:dyDescent="0.25">
      <c r="A14351" s="62">
        <v>55101503</v>
      </c>
      <c r="B14351" s="63" t="s">
        <v>14992</v>
      </c>
    </row>
    <row r="14352" spans="1:2" x14ac:dyDescent="0.25">
      <c r="A14352" s="62">
        <v>55101504</v>
      </c>
      <c r="B14352" s="63" t="s">
        <v>14993</v>
      </c>
    </row>
    <row r="14353" spans="1:2" x14ac:dyDescent="0.25">
      <c r="A14353" s="62">
        <v>55101505</v>
      </c>
      <c r="B14353" s="63" t="s">
        <v>14994</v>
      </c>
    </row>
    <row r="14354" spans="1:2" x14ac:dyDescent="0.25">
      <c r="A14354" s="62">
        <v>55101506</v>
      </c>
      <c r="B14354" s="63" t="s">
        <v>14995</v>
      </c>
    </row>
    <row r="14355" spans="1:2" x14ac:dyDescent="0.25">
      <c r="A14355" s="62">
        <v>55101507</v>
      </c>
      <c r="B14355" s="63" t="s">
        <v>14996</v>
      </c>
    </row>
    <row r="14356" spans="1:2" x14ac:dyDescent="0.25">
      <c r="A14356" s="62">
        <v>55101509</v>
      </c>
      <c r="B14356" s="63" t="s">
        <v>14997</v>
      </c>
    </row>
    <row r="14357" spans="1:2" x14ac:dyDescent="0.25">
      <c r="A14357" s="62">
        <v>55101510</v>
      </c>
      <c r="B14357" s="63" t="s">
        <v>14998</v>
      </c>
    </row>
    <row r="14358" spans="1:2" x14ac:dyDescent="0.25">
      <c r="A14358" s="62">
        <v>55101513</v>
      </c>
      <c r="B14358" s="63" t="s">
        <v>14999</v>
      </c>
    </row>
    <row r="14359" spans="1:2" x14ac:dyDescent="0.25">
      <c r="A14359" s="62">
        <v>55101514</v>
      </c>
      <c r="B14359" s="63" t="s">
        <v>15000</v>
      </c>
    </row>
    <row r="14360" spans="1:2" x14ac:dyDescent="0.25">
      <c r="A14360" s="62">
        <v>55101515</v>
      </c>
      <c r="B14360" s="63" t="s">
        <v>15001</v>
      </c>
    </row>
    <row r="14361" spans="1:2" x14ac:dyDescent="0.25">
      <c r="A14361" s="62">
        <v>55101516</v>
      </c>
      <c r="B14361" s="63" t="s">
        <v>15002</v>
      </c>
    </row>
    <row r="14362" spans="1:2" x14ac:dyDescent="0.25">
      <c r="A14362" s="62">
        <v>55101517</v>
      </c>
      <c r="B14362" s="63" t="s">
        <v>15003</v>
      </c>
    </row>
    <row r="14363" spans="1:2" x14ac:dyDescent="0.25">
      <c r="A14363" s="62">
        <v>55101518</v>
      </c>
      <c r="B14363" s="63" t="s">
        <v>15004</v>
      </c>
    </row>
    <row r="14364" spans="1:2" x14ac:dyDescent="0.25">
      <c r="A14364" s="62">
        <v>55101519</v>
      </c>
      <c r="B14364" s="63" t="s">
        <v>15005</v>
      </c>
    </row>
    <row r="14365" spans="1:2" x14ac:dyDescent="0.25">
      <c r="A14365" s="62">
        <v>55101520</v>
      </c>
      <c r="B14365" s="63" t="s">
        <v>15006</v>
      </c>
    </row>
    <row r="14366" spans="1:2" x14ac:dyDescent="0.25">
      <c r="A14366" s="62">
        <v>55101521</v>
      </c>
      <c r="B14366" s="63" t="s">
        <v>15007</v>
      </c>
    </row>
    <row r="14367" spans="1:2" x14ac:dyDescent="0.25">
      <c r="A14367" s="62">
        <v>55101522</v>
      </c>
      <c r="B14367" s="63" t="s">
        <v>15008</v>
      </c>
    </row>
    <row r="14368" spans="1:2" x14ac:dyDescent="0.25">
      <c r="A14368" s="62">
        <v>55101523</v>
      </c>
      <c r="B14368" s="63" t="s">
        <v>15009</v>
      </c>
    </row>
    <row r="14369" spans="1:2" x14ac:dyDescent="0.25">
      <c r="A14369" s="62">
        <v>55101524</v>
      </c>
      <c r="B14369" s="63" t="s">
        <v>15010</v>
      </c>
    </row>
    <row r="14370" spans="1:2" x14ac:dyDescent="0.25">
      <c r="A14370" s="62">
        <v>55101525</v>
      </c>
      <c r="B14370" s="63" t="s">
        <v>15011</v>
      </c>
    </row>
    <row r="14371" spans="1:2" x14ac:dyDescent="0.25">
      <c r="A14371" s="62">
        <v>55101526</v>
      </c>
      <c r="B14371" s="63" t="s">
        <v>15012</v>
      </c>
    </row>
    <row r="14372" spans="1:2" x14ac:dyDescent="0.25">
      <c r="A14372" s="62">
        <v>55101527</v>
      </c>
      <c r="B14372" s="63" t="s">
        <v>15013</v>
      </c>
    </row>
    <row r="14373" spans="1:2" x14ac:dyDescent="0.25">
      <c r="A14373" s="62">
        <v>55101528</v>
      </c>
      <c r="B14373" s="63" t="s">
        <v>15014</v>
      </c>
    </row>
    <row r="14374" spans="1:2" x14ac:dyDescent="0.25">
      <c r="A14374" s="62">
        <v>55111501</v>
      </c>
      <c r="B14374" s="63" t="s">
        <v>15015</v>
      </c>
    </row>
    <row r="14375" spans="1:2" x14ac:dyDescent="0.25">
      <c r="A14375" s="62">
        <v>55111502</v>
      </c>
      <c r="B14375" s="63" t="s">
        <v>15016</v>
      </c>
    </row>
    <row r="14376" spans="1:2" x14ac:dyDescent="0.25">
      <c r="A14376" s="62">
        <v>55111503</v>
      </c>
      <c r="B14376" s="63" t="s">
        <v>15017</v>
      </c>
    </row>
    <row r="14377" spans="1:2" x14ac:dyDescent="0.25">
      <c r="A14377" s="62">
        <v>55111504</v>
      </c>
      <c r="B14377" s="63" t="s">
        <v>15018</v>
      </c>
    </row>
    <row r="14378" spans="1:2" x14ac:dyDescent="0.25">
      <c r="A14378" s="62">
        <v>55111505</v>
      </c>
      <c r="B14378" s="63" t="s">
        <v>15019</v>
      </c>
    </row>
    <row r="14379" spans="1:2" x14ac:dyDescent="0.25">
      <c r="A14379" s="62">
        <v>55111506</v>
      </c>
      <c r="B14379" s="63" t="s">
        <v>15020</v>
      </c>
    </row>
    <row r="14380" spans="1:2" x14ac:dyDescent="0.25">
      <c r="A14380" s="62">
        <v>55111507</v>
      </c>
      <c r="B14380" s="63" t="s">
        <v>15021</v>
      </c>
    </row>
    <row r="14381" spans="1:2" x14ac:dyDescent="0.25">
      <c r="A14381" s="62">
        <v>55111508</v>
      </c>
      <c r="B14381" s="63" t="s">
        <v>15022</v>
      </c>
    </row>
    <row r="14382" spans="1:2" x14ac:dyDescent="0.25">
      <c r="A14382" s="62">
        <v>55111509</v>
      </c>
      <c r="B14382" s="63" t="s">
        <v>15023</v>
      </c>
    </row>
    <row r="14383" spans="1:2" x14ac:dyDescent="0.25">
      <c r="A14383" s="62">
        <v>55111510</v>
      </c>
      <c r="B14383" s="63" t="s">
        <v>15024</v>
      </c>
    </row>
    <row r="14384" spans="1:2" x14ac:dyDescent="0.25">
      <c r="A14384" s="62">
        <v>55111511</v>
      </c>
      <c r="B14384" s="63" t="s">
        <v>15025</v>
      </c>
    </row>
    <row r="14385" spans="1:2" x14ac:dyDescent="0.25">
      <c r="A14385" s="62">
        <v>55111512</v>
      </c>
      <c r="B14385" s="63" t="s">
        <v>15026</v>
      </c>
    </row>
    <row r="14386" spans="1:2" x14ac:dyDescent="0.25">
      <c r="A14386" s="62">
        <v>55111513</v>
      </c>
      <c r="B14386" s="63" t="s">
        <v>15027</v>
      </c>
    </row>
    <row r="14387" spans="1:2" x14ac:dyDescent="0.25">
      <c r="A14387" s="62">
        <v>55111514</v>
      </c>
      <c r="B14387" s="63" t="s">
        <v>15028</v>
      </c>
    </row>
    <row r="14388" spans="1:2" x14ac:dyDescent="0.25">
      <c r="A14388" s="62">
        <v>55111601</v>
      </c>
      <c r="B14388" s="63" t="s">
        <v>15029</v>
      </c>
    </row>
    <row r="14389" spans="1:2" x14ac:dyDescent="0.25">
      <c r="A14389" s="62">
        <v>55121501</v>
      </c>
      <c r="B14389" s="63" t="s">
        <v>15030</v>
      </c>
    </row>
    <row r="14390" spans="1:2" x14ac:dyDescent="0.25">
      <c r="A14390" s="62">
        <v>55121502</v>
      </c>
      <c r="B14390" s="63" t="s">
        <v>15031</v>
      </c>
    </row>
    <row r="14391" spans="1:2" x14ac:dyDescent="0.25">
      <c r="A14391" s="62">
        <v>55121503</v>
      </c>
      <c r="B14391" s="63" t="s">
        <v>15032</v>
      </c>
    </row>
    <row r="14392" spans="1:2" x14ac:dyDescent="0.25">
      <c r="A14392" s="62">
        <v>55121504</v>
      </c>
      <c r="B14392" s="63" t="s">
        <v>15033</v>
      </c>
    </row>
    <row r="14393" spans="1:2" x14ac:dyDescent="0.25">
      <c r="A14393" s="62">
        <v>55121505</v>
      </c>
      <c r="B14393" s="63" t="s">
        <v>15034</v>
      </c>
    </row>
    <row r="14394" spans="1:2" x14ac:dyDescent="0.25">
      <c r="A14394" s="62">
        <v>55121506</v>
      </c>
      <c r="B14394" s="63" t="s">
        <v>15035</v>
      </c>
    </row>
    <row r="14395" spans="1:2" x14ac:dyDescent="0.25">
      <c r="A14395" s="62">
        <v>55121601</v>
      </c>
      <c r="B14395" s="63" t="s">
        <v>15036</v>
      </c>
    </row>
    <row r="14396" spans="1:2" x14ac:dyDescent="0.25">
      <c r="A14396" s="62">
        <v>55121602</v>
      </c>
      <c r="B14396" s="63" t="s">
        <v>15037</v>
      </c>
    </row>
    <row r="14397" spans="1:2" x14ac:dyDescent="0.25">
      <c r="A14397" s="62">
        <v>55121604</v>
      </c>
      <c r="B14397" s="63" t="s">
        <v>15038</v>
      </c>
    </row>
    <row r="14398" spans="1:2" x14ac:dyDescent="0.25">
      <c r="A14398" s="62">
        <v>55121605</v>
      </c>
      <c r="B14398" s="63" t="s">
        <v>15039</v>
      </c>
    </row>
    <row r="14399" spans="1:2" x14ac:dyDescent="0.25">
      <c r="A14399" s="62">
        <v>55121606</v>
      </c>
      <c r="B14399" s="63" t="s">
        <v>15040</v>
      </c>
    </row>
    <row r="14400" spans="1:2" x14ac:dyDescent="0.25">
      <c r="A14400" s="62">
        <v>55121607</v>
      </c>
      <c r="B14400" s="63" t="s">
        <v>15041</v>
      </c>
    </row>
    <row r="14401" spans="1:2" x14ac:dyDescent="0.25">
      <c r="A14401" s="62">
        <v>55121608</v>
      </c>
      <c r="B14401" s="63" t="s">
        <v>15042</v>
      </c>
    </row>
    <row r="14402" spans="1:2" x14ac:dyDescent="0.25">
      <c r="A14402" s="62">
        <v>55121609</v>
      </c>
      <c r="B14402" s="63" t="s">
        <v>15043</v>
      </c>
    </row>
    <row r="14403" spans="1:2" x14ac:dyDescent="0.25">
      <c r="A14403" s="62">
        <v>55121610</v>
      </c>
      <c r="B14403" s="63" t="s">
        <v>15044</v>
      </c>
    </row>
    <row r="14404" spans="1:2" x14ac:dyDescent="0.25">
      <c r="A14404" s="62">
        <v>55121611</v>
      </c>
      <c r="B14404" s="63" t="s">
        <v>15045</v>
      </c>
    </row>
    <row r="14405" spans="1:2" x14ac:dyDescent="0.25">
      <c r="A14405" s="62">
        <v>55121612</v>
      </c>
      <c r="B14405" s="63" t="s">
        <v>15046</v>
      </c>
    </row>
    <row r="14406" spans="1:2" x14ac:dyDescent="0.25">
      <c r="A14406" s="62">
        <v>55121613</v>
      </c>
      <c r="B14406" s="63" t="s">
        <v>15047</v>
      </c>
    </row>
    <row r="14407" spans="1:2" x14ac:dyDescent="0.25">
      <c r="A14407" s="62">
        <v>55121614</v>
      </c>
      <c r="B14407" s="63" t="s">
        <v>15048</v>
      </c>
    </row>
    <row r="14408" spans="1:2" x14ac:dyDescent="0.25">
      <c r="A14408" s="62">
        <v>55121615</v>
      </c>
      <c r="B14408" s="63" t="s">
        <v>15049</v>
      </c>
    </row>
    <row r="14409" spans="1:2" x14ac:dyDescent="0.25">
      <c r="A14409" s="62">
        <v>55121616</v>
      </c>
      <c r="B14409" s="63" t="s">
        <v>15050</v>
      </c>
    </row>
    <row r="14410" spans="1:2" x14ac:dyDescent="0.25">
      <c r="A14410" s="62">
        <v>55121617</v>
      </c>
      <c r="B14410" s="63" t="s">
        <v>15051</v>
      </c>
    </row>
    <row r="14411" spans="1:2" x14ac:dyDescent="0.25">
      <c r="A14411" s="62">
        <v>55121618</v>
      </c>
      <c r="B14411" s="63" t="s">
        <v>15052</v>
      </c>
    </row>
    <row r="14412" spans="1:2" x14ac:dyDescent="0.25">
      <c r="A14412" s="62">
        <v>55121619</v>
      </c>
      <c r="B14412" s="63" t="s">
        <v>15053</v>
      </c>
    </row>
    <row r="14413" spans="1:2" x14ac:dyDescent="0.25">
      <c r="A14413" s="62">
        <v>55121620</v>
      </c>
      <c r="B14413" s="63" t="s">
        <v>15054</v>
      </c>
    </row>
    <row r="14414" spans="1:2" x14ac:dyDescent="0.25">
      <c r="A14414" s="62">
        <v>55121621</v>
      </c>
      <c r="B14414" s="63" t="s">
        <v>15055</v>
      </c>
    </row>
    <row r="14415" spans="1:2" x14ac:dyDescent="0.25">
      <c r="A14415" s="62">
        <v>55121701</v>
      </c>
      <c r="B14415" s="63" t="s">
        <v>15056</v>
      </c>
    </row>
    <row r="14416" spans="1:2" x14ac:dyDescent="0.25">
      <c r="A14416" s="62">
        <v>55121702</v>
      </c>
      <c r="B14416" s="63" t="s">
        <v>15057</v>
      </c>
    </row>
    <row r="14417" spans="1:2" x14ac:dyDescent="0.25">
      <c r="A14417" s="62">
        <v>55121703</v>
      </c>
      <c r="B14417" s="63" t="s">
        <v>15058</v>
      </c>
    </row>
    <row r="14418" spans="1:2" x14ac:dyDescent="0.25">
      <c r="A14418" s="62">
        <v>55121704</v>
      </c>
      <c r="B14418" s="63" t="s">
        <v>15059</v>
      </c>
    </row>
    <row r="14419" spans="1:2" x14ac:dyDescent="0.25">
      <c r="A14419" s="62">
        <v>55121705</v>
      </c>
      <c r="B14419" s="63" t="s">
        <v>15060</v>
      </c>
    </row>
    <row r="14420" spans="1:2" x14ac:dyDescent="0.25">
      <c r="A14420" s="62">
        <v>55121706</v>
      </c>
      <c r="B14420" s="63" t="s">
        <v>15061</v>
      </c>
    </row>
    <row r="14421" spans="1:2" x14ac:dyDescent="0.25">
      <c r="A14421" s="62">
        <v>55121707</v>
      </c>
      <c r="B14421" s="63" t="s">
        <v>15062</v>
      </c>
    </row>
    <row r="14422" spans="1:2" x14ac:dyDescent="0.25">
      <c r="A14422" s="62">
        <v>55121708</v>
      </c>
      <c r="B14422" s="63" t="s">
        <v>15063</v>
      </c>
    </row>
    <row r="14423" spans="1:2" x14ac:dyDescent="0.25">
      <c r="A14423" s="62">
        <v>55121709</v>
      </c>
      <c r="B14423" s="63" t="s">
        <v>15064</v>
      </c>
    </row>
    <row r="14424" spans="1:2" x14ac:dyDescent="0.25">
      <c r="A14424" s="62">
        <v>55121710</v>
      </c>
      <c r="B14424" s="63" t="s">
        <v>15065</v>
      </c>
    </row>
    <row r="14425" spans="1:2" x14ac:dyDescent="0.25">
      <c r="A14425" s="62">
        <v>55121711</v>
      </c>
      <c r="B14425" s="63" t="s">
        <v>15066</v>
      </c>
    </row>
    <row r="14426" spans="1:2" x14ac:dyDescent="0.25">
      <c r="A14426" s="62">
        <v>55121712</v>
      </c>
      <c r="B14426" s="63" t="s">
        <v>15067</v>
      </c>
    </row>
    <row r="14427" spans="1:2" x14ac:dyDescent="0.25">
      <c r="A14427" s="62">
        <v>55121713</v>
      </c>
      <c r="B14427" s="63" t="s">
        <v>15068</v>
      </c>
    </row>
    <row r="14428" spans="1:2" x14ac:dyDescent="0.25">
      <c r="A14428" s="62">
        <v>55121714</v>
      </c>
      <c r="B14428" s="63" t="s">
        <v>15069</v>
      </c>
    </row>
    <row r="14429" spans="1:2" x14ac:dyDescent="0.25">
      <c r="A14429" s="62">
        <v>55121715</v>
      </c>
      <c r="B14429" s="63" t="s">
        <v>15070</v>
      </c>
    </row>
    <row r="14430" spans="1:2" x14ac:dyDescent="0.25">
      <c r="A14430" s="62">
        <v>55121716</v>
      </c>
      <c r="B14430" s="63" t="s">
        <v>15071</v>
      </c>
    </row>
    <row r="14431" spans="1:2" x14ac:dyDescent="0.25">
      <c r="A14431" s="62">
        <v>55121717</v>
      </c>
      <c r="B14431" s="63" t="s">
        <v>15072</v>
      </c>
    </row>
    <row r="14432" spans="1:2" x14ac:dyDescent="0.25">
      <c r="A14432" s="62">
        <v>55121718</v>
      </c>
      <c r="B14432" s="63" t="s">
        <v>15073</v>
      </c>
    </row>
    <row r="14433" spans="1:2" x14ac:dyDescent="0.25">
      <c r="A14433" s="62">
        <v>55121719</v>
      </c>
      <c r="B14433" s="63" t="s">
        <v>15074</v>
      </c>
    </row>
    <row r="14434" spans="1:2" x14ac:dyDescent="0.25">
      <c r="A14434" s="62">
        <v>55121720</v>
      </c>
      <c r="B14434" s="63" t="s">
        <v>15075</v>
      </c>
    </row>
    <row r="14435" spans="1:2" x14ac:dyDescent="0.25">
      <c r="A14435" s="62">
        <v>55121721</v>
      </c>
      <c r="B14435" s="63" t="s">
        <v>15076</v>
      </c>
    </row>
    <row r="14436" spans="1:2" x14ac:dyDescent="0.25">
      <c r="A14436" s="62">
        <v>55121722</v>
      </c>
      <c r="B14436" s="63" t="s">
        <v>15077</v>
      </c>
    </row>
    <row r="14437" spans="1:2" x14ac:dyDescent="0.25">
      <c r="A14437" s="62">
        <v>55121723</v>
      </c>
      <c r="B14437" s="63" t="s">
        <v>15078</v>
      </c>
    </row>
    <row r="14438" spans="1:2" x14ac:dyDescent="0.25">
      <c r="A14438" s="62">
        <v>55121724</v>
      </c>
      <c r="B14438" s="63" t="s">
        <v>15079</v>
      </c>
    </row>
    <row r="14439" spans="1:2" x14ac:dyDescent="0.25">
      <c r="A14439" s="62">
        <v>55121725</v>
      </c>
      <c r="B14439" s="63" t="s">
        <v>15080</v>
      </c>
    </row>
    <row r="14440" spans="1:2" x14ac:dyDescent="0.25">
      <c r="A14440" s="62">
        <v>55121726</v>
      </c>
      <c r="B14440" s="63" t="s">
        <v>15081</v>
      </c>
    </row>
    <row r="14441" spans="1:2" x14ac:dyDescent="0.25">
      <c r="A14441" s="62">
        <v>55121727</v>
      </c>
      <c r="B14441" s="63" t="s">
        <v>15082</v>
      </c>
    </row>
    <row r="14442" spans="1:2" x14ac:dyDescent="0.25">
      <c r="A14442" s="62">
        <v>55121728</v>
      </c>
      <c r="B14442" s="63" t="s">
        <v>15083</v>
      </c>
    </row>
    <row r="14443" spans="1:2" x14ac:dyDescent="0.25">
      <c r="A14443" s="62">
        <v>55121729</v>
      </c>
      <c r="B14443" s="63" t="s">
        <v>15084</v>
      </c>
    </row>
    <row r="14444" spans="1:2" x14ac:dyDescent="0.25">
      <c r="A14444" s="62">
        <v>55121730</v>
      </c>
      <c r="B14444" s="63" t="s">
        <v>15085</v>
      </c>
    </row>
    <row r="14445" spans="1:2" x14ac:dyDescent="0.25">
      <c r="A14445" s="62">
        <v>55121731</v>
      </c>
      <c r="B14445" s="63" t="s">
        <v>15086</v>
      </c>
    </row>
    <row r="14446" spans="1:2" x14ac:dyDescent="0.25">
      <c r="A14446" s="62">
        <v>55121732</v>
      </c>
      <c r="B14446" s="63" t="s">
        <v>15087</v>
      </c>
    </row>
    <row r="14447" spans="1:2" x14ac:dyDescent="0.25">
      <c r="A14447" s="62">
        <v>55121801</v>
      </c>
      <c r="B14447" s="63" t="s">
        <v>15088</v>
      </c>
    </row>
    <row r="14448" spans="1:2" x14ac:dyDescent="0.25">
      <c r="A14448" s="62">
        <v>55121802</v>
      </c>
      <c r="B14448" s="63" t="s">
        <v>15089</v>
      </c>
    </row>
    <row r="14449" spans="1:2" x14ac:dyDescent="0.25">
      <c r="A14449" s="62">
        <v>55121803</v>
      </c>
      <c r="B14449" s="63" t="s">
        <v>15090</v>
      </c>
    </row>
    <row r="14450" spans="1:2" x14ac:dyDescent="0.25">
      <c r="A14450" s="62">
        <v>55121804</v>
      </c>
      <c r="B14450" s="63" t="s">
        <v>15091</v>
      </c>
    </row>
    <row r="14451" spans="1:2" x14ac:dyDescent="0.25">
      <c r="A14451" s="62">
        <v>55121806</v>
      </c>
      <c r="B14451" s="63" t="s">
        <v>15092</v>
      </c>
    </row>
    <row r="14452" spans="1:2" x14ac:dyDescent="0.25">
      <c r="A14452" s="62">
        <v>55121807</v>
      </c>
      <c r="B14452" s="63" t="s">
        <v>15093</v>
      </c>
    </row>
    <row r="14453" spans="1:2" x14ac:dyDescent="0.25">
      <c r="A14453" s="62">
        <v>56101501</v>
      </c>
      <c r="B14453" s="63" t="s">
        <v>15094</v>
      </c>
    </row>
    <row r="14454" spans="1:2" x14ac:dyDescent="0.25">
      <c r="A14454" s="62">
        <v>56101502</v>
      </c>
      <c r="B14454" s="63" t="s">
        <v>15095</v>
      </c>
    </row>
    <row r="14455" spans="1:2" x14ac:dyDescent="0.25">
      <c r="A14455" s="62">
        <v>56101503</v>
      </c>
      <c r="B14455" s="63" t="s">
        <v>15096</v>
      </c>
    </row>
    <row r="14456" spans="1:2" x14ac:dyDescent="0.25">
      <c r="A14456" s="62">
        <v>56101504</v>
      </c>
      <c r="B14456" s="63" t="s">
        <v>15097</v>
      </c>
    </row>
    <row r="14457" spans="1:2" x14ac:dyDescent="0.25">
      <c r="A14457" s="62">
        <v>56101505</v>
      </c>
      <c r="B14457" s="63" t="s">
        <v>15098</v>
      </c>
    </row>
    <row r="14458" spans="1:2" x14ac:dyDescent="0.25">
      <c r="A14458" s="62">
        <v>56101506</v>
      </c>
      <c r="B14458" s="63" t="s">
        <v>15099</v>
      </c>
    </row>
    <row r="14459" spans="1:2" x14ac:dyDescent="0.25">
      <c r="A14459" s="62">
        <v>56101507</v>
      </c>
      <c r="B14459" s="63" t="s">
        <v>15100</v>
      </c>
    </row>
    <row r="14460" spans="1:2" x14ac:dyDescent="0.25">
      <c r="A14460" s="62">
        <v>56101508</v>
      </c>
      <c r="B14460" s="63" t="s">
        <v>15101</v>
      </c>
    </row>
    <row r="14461" spans="1:2" x14ac:dyDescent="0.25">
      <c r="A14461" s="62">
        <v>56101509</v>
      </c>
      <c r="B14461" s="63" t="s">
        <v>15102</v>
      </c>
    </row>
    <row r="14462" spans="1:2" x14ac:dyDescent="0.25">
      <c r="A14462" s="62">
        <v>56101510</v>
      </c>
      <c r="B14462" s="63" t="s">
        <v>15103</v>
      </c>
    </row>
    <row r="14463" spans="1:2" x14ac:dyDescent="0.25">
      <c r="A14463" s="62">
        <v>56101513</v>
      </c>
      <c r="B14463" s="63" t="s">
        <v>15104</v>
      </c>
    </row>
    <row r="14464" spans="1:2" x14ac:dyDescent="0.25">
      <c r="A14464" s="62">
        <v>56101514</v>
      </c>
      <c r="B14464" s="63" t="s">
        <v>15105</v>
      </c>
    </row>
    <row r="14465" spans="1:2" x14ac:dyDescent="0.25">
      <c r="A14465" s="62">
        <v>56101515</v>
      </c>
      <c r="B14465" s="63" t="s">
        <v>15106</v>
      </c>
    </row>
    <row r="14466" spans="1:2" x14ac:dyDescent="0.25">
      <c r="A14466" s="62">
        <v>56101516</v>
      </c>
      <c r="B14466" s="63" t="s">
        <v>15107</v>
      </c>
    </row>
    <row r="14467" spans="1:2" x14ac:dyDescent="0.25">
      <c r="A14467" s="62">
        <v>56101518</v>
      </c>
      <c r="B14467" s="63" t="s">
        <v>15108</v>
      </c>
    </row>
    <row r="14468" spans="1:2" x14ac:dyDescent="0.25">
      <c r="A14468" s="62">
        <v>56101519</v>
      </c>
      <c r="B14468" s="63" t="s">
        <v>15109</v>
      </c>
    </row>
    <row r="14469" spans="1:2" x14ac:dyDescent="0.25">
      <c r="A14469" s="62">
        <v>56101520</v>
      </c>
      <c r="B14469" s="63" t="s">
        <v>15110</v>
      </c>
    </row>
    <row r="14470" spans="1:2" x14ac:dyDescent="0.25">
      <c r="A14470" s="62">
        <v>56101521</v>
      </c>
      <c r="B14470" s="63" t="s">
        <v>15111</v>
      </c>
    </row>
    <row r="14471" spans="1:2" x14ac:dyDescent="0.25">
      <c r="A14471" s="62">
        <v>56101522</v>
      </c>
      <c r="B14471" s="63" t="s">
        <v>15112</v>
      </c>
    </row>
    <row r="14472" spans="1:2" x14ac:dyDescent="0.25">
      <c r="A14472" s="62">
        <v>56101523</v>
      </c>
      <c r="B14472" s="63" t="s">
        <v>15113</v>
      </c>
    </row>
    <row r="14473" spans="1:2" x14ac:dyDescent="0.25">
      <c r="A14473" s="62">
        <v>56101524</v>
      </c>
      <c r="B14473" s="63" t="s">
        <v>15114</v>
      </c>
    </row>
    <row r="14474" spans="1:2" x14ac:dyDescent="0.25">
      <c r="A14474" s="62">
        <v>56101525</v>
      </c>
      <c r="B14474" s="63" t="s">
        <v>15115</v>
      </c>
    </row>
    <row r="14475" spans="1:2" x14ac:dyDescent="0.25">
      <c r="A14475" s="62">
        <v>56101526</v>
      </c>
      <c r="B14475" s="63" t="s">
        <v>15116</v>
      </c>
    </row>
    <row r="14476" spans="1:2" x14ac:dyDescent="0.25">
      <c r="A14476" s="62">
        <v>56101527</v>
      </c>
      <c r="B14476" s="63" t="s">
        <v>15117</v>
      </c>
    </row>
    <row r="14477" spans="1:2" x14ac:dyDescent="0.25">
      <c r="A14477" s="62">
        <v>56101528</v>
      </c>
      <c r="B14477" s="63" t="s">
        <v>15118</v>
      </c>
    </row>
    <row r="14478" spans="1:2" x14ac:dyDescent="0.25">
      <c r="A14478" s="62">
        <v>56101529</v>
      </c>
      <c r="B14478" s="63" t="s">
        <v>15119</v>
      </c>
    </row>
    <row r="14479" spans="1:2" x14ac:dyDescent="0.25">
      <c r="A14479" s="62">
        <v>56101530</v>
      </c>
      <c r="B14479" s="63" t="s">
        <v>15120</v>
      </c>
    </row>
    <row r="14480" spans="1:2" x14ac:dyDescent="0.25">
      <c r="A14480" s="62">
        <v>56101531</v>
      </c>
      <c r="B14480" s="63" t="s">
        <v>15121</v>
      </c>
    </row>
    <row r="14481" spans="1:2" x14ac:dyDescent="0.25">
      <c r="A14481" s="62">
        <v>56101532</v>
      </c>
      <c r="B14481" s="63" t="s">
        <v>15122</v>
      </c>
    </row>
    <row r="14482" spans="1:2" x14ac:dyDescent="0.25">
      <c r="A14482" s="62">
        <v>56101533</v>
      </c>
      <c r="B14482" s="63" t="s">
        <v>15123</v>
      </c>
    </row>
    <row r="14483" spans="1:2" x14ac:dyDescent="0.25">
      <c r="A14483" s="62">
        <v>56101535</v>
      </c>
      <c r="B14483" s="63" t="s">
        <v>15124</v>
      </c>
    </row>
    <row r="14484" spans="1:2" x14ac:dyDescent="0.25">
      <c r="A14484" s="62">
        <v>56101536</v>
      </c>
      <c r="B14484" s="63" t="s">
        <v>15125</v>
      </c>
    </row>
    <row r="14485" spans="1:2" x14ac:dyDescent="0.25">
      <c r="A14485" s="62">
        <v>56101537</v>
      </c>
      <c r="B14485" s="63" t="s">
        <v>15126</v>
      </c>
    </row>
    <row r="14486" spans="1:2" x14ac:dyDescent="0.25">
      <c r="A14486" s="62">
        <v>56101538</v>
      </c>
      <c r="B14486" s="63" t="s">
        <v>15127</v>
      </c>
    </row>
    <row r="14487" spans="1:2" x14ac:dyDescent="0.25">
      <c r="A14487" s="62">
        <v>56101539</v>
      </c>
      <c r="B14487" s="63" t="s">
        <v>15128</v>
      </c>
    </row>
    <row r="14488" spans="1:2" x14ac:dyDescent="0.25">
      <c r="A14488" s="62">
        <v>56101540</v>
      </c>
      <c r="B14488" s="63" t="s">
        <v>15129</v>
      </c>
    </row>
    <row r="14489" spans="1:2" x14ac:dyDescent="0.25">
      <c r="A14489" s="62">
        <v>56101541</v>
      </c>
      <c r="B14489" s="63" t="s">
        <v>15130</v>
      </c>
    </row>
    <row r="14490" spans="1:2" x14ac:dyDescent="0.25">
      <c r="A14490" s="62">
        <v>56101601</v>
      </c>
      <c r="B14490" s="63" t="s">
        <v>15131</v>
      </c>
    </row>
    <row r="14491" spans="1:2" x14ac:dyDescent="0.25">
      <c r="A14491" s="62">
        <v>56101602</v>
      </c>
      <c r="B14491" s="63" t="s">
        <v>15132</v>
      </c>
    </row>
    <row r="14492" spans="1:2" x14ac:dyDescent="0.25">
      <c r="A14492" s="62">
        <v>56101603</v>
      </c>
      <c r="B14492" s="63" t="s">
        <v>15133</v>
      </c>
    </row>
    <row r="14493" spans="1:2" x14ac:dyDescent="0.25">
      <c r="A14493" s="62">
        <v>56101604</v>
      </c>
      <c r="B14493" s="63" t="s">
        <v>15134</v>
      </c>
    </row>
    <row r="14494" spans="1:2" x14ac:dyDescent="0.25">
      <c r="A14494" s="62">
        <v>56101605</v>
      </c>
      <c r="B14494" s="63" t="s">
        <v>15135</v>
      </c>
    </row>
    <row r="14495" spans="1:2" x14ac:dyDescent="0.25">
      <c r="A14495" s="62">
        <v>56101606</v>
      </c>
      <c r="B14495" s="63" t="s">
        <v>15136</v>
      </c>
    </row>
    <row r="14496" spans="1:2" x14ac:dyDescent="0.25">
      <c r="A14496" s="62">
        <v>56101607</v>
      </c>
      <c r="B14496" s="63" t="s">
        <v>15137</v>
      </c>
    </row>
    <row r="14497" spans="1:2" x14ac:dyDescent="0.25">
      <c r="A14497" s="62">
        <v>56101608</v>
      </c>
      <c r="B14497" s="63" t="s">
        <v>15138</v>
      </c>
    </row>
    <row r="14498" spans="1:2" x14ac:dyDescent="0.25">
      <c r="A14498" s="62">
        <v>56101701</v>
      </c>
      <c r="B14498" s="63" t="s">
        <v>15139</v>
      </c>
    </row>
    <row r="14499" spans="1:2" x14ac:dyDescent="0.25">
      <c r="A14499" s="62">
        <v>56101702</v>
      </c>
      <c r="B14499" s="63" t="s">
        <v>15140</v>
      </c>
    </row>
    <row r="14500" spans="1:2" x14ac:dyDescent="0.25">
      <c r="A14500" s="62">
        <v>56101703</v>
      </c>
      <c r="B14500" s="63" t="s">
        <v>15141</v>
      </c>
    </row>
    <row r="14501" spans="1:2" x14ac:dyDescent="0.25">
      <c r="A14501" s="62">
        <v>56101704</v>
      </c>
      <c r="B14501" s="63" t="s">
        <v>15142</v>
      </c>
    </row>
    <row r="14502" spans="1:2" x14ac:dyDescent="0.25">
      <c r="A14502" s="62">
        <v>56101705</v>
      </c>
      <c r="B14502" s="63" t="s">
        <v>15143</v>
      </c>
    </row>
    <row r="14503" spans="1:2" x14ac:dyDescent="0.25">
      <c r="A14503" s="62">
        <v>56101706</v>
      </c>
      <c r="B14503" s="63" t="s">
        <v>15144</v>
      </c>
    </row>
    <row r="14504" spans="1:2" x14ac:dyDescent="0.25">
      <c r="A14504" s="62">
        <v>56101707</v>
      </c>
      <c r="B14504" s="63" t="s">
        <v>15145</v>
      </c>
    </row>
    <row r="14505" spans="1:2" x14ac:dyDescent="0.25">
      <c r="A14505" s="62">
        <v>56101708</v>
      </c>
      <c r="B14505" s="63" t="s">
        <v>15146</v>
      </c>
    </row>
    <row r="14506" spans="1:2" x14ac:dyDescent="0.25">
      <c r="A14506" s="62">
        <v>56101710</v>
      </c>
      <c r="B14506" s="63" t="s">
        <v>15147</v>
      </c>
    </row>
    <row r="14507" spans="1:2" x14ac:dyDescent="0.25">
      <c r="A14507" s="62">
        <v>56101711</v>
      </c>
      <c r="B14507" s="63" t="s">
        <v>15148</v>
      </c>
    </row>
    <row r="14508" spans="1:2" x14ac:dyDescent="0.25">
      <c r="A14508" s="62">
        <v>56101712</v>
      </c>
      <c r="B14508" s="63" t="s">
        <v>15149</v>
      </c>
    </row>
    <row r="14509" spans="1:2" x14ac:dyDescent="0.25">
      <c r="A14509" s="62">
        <v>56101713</v>
      </c>
      <c r="B14509" s="63" t="s">
        <v>15150</v>
      </c>
    </row>
    <row r="14510" spans="1:2" x14ac:dyDescent="0.25">
      <c r="A14510" s="62">
        <v>56101714</v>
      </c>
      <c r="B14510" s="63" t="s">
        <v>15151</v>
      </c>
    </row>
    <row r="14511" spans="1:2" x14ac:dyDescent="0.25">
      <c r="A14511" s="62">
        <v>56101715</v>
      </c>
      <c r="B14511" s="63" t="s">
        <v>15152</v>
      </c>
    </row>
    <row r="14512" spans="1:2" x14ac:dyDescent="0.25">
      <c r="A14512" s="62">
        <v>56101716</v>
      </c>
      <c r="B14512" s="63" t="s">
        <v>15153</v>
      </c>
    </row>
    <row r="14513" spans="1:2" x14ac:dyDescent="0.25">
      <c r="A14513" s="62">
        <v>56101717</v>
      </c>
      <c r="B14513" s="63" t="s">
        <v>15154</v>
      </c>
    </row>
    <row r="14514" spans="1:2" x14ac:dyDescent="0.25">
      <c r="A14514" s="62">
        <v>56101803</v>
      </c>
      <c r="B14514" s="63" t="s">
        <v>15155</v>
      </c>
    </row>
    <row r="14515" spans="1:2" x14ac:dyDescent="0.25">
      <c r="A14515" s="62">
        <v>56101804</v>
      </c>
      <c r="B14515" s="63" t="s">
        <v>15156</v>
      </c>
    </row>
    <row r="14516" spans="1:2" x14ac:dyDescent="0.25">
      <c r="A14516" s="62">
        <v>56101805</v>
      </c>
      <c r="B14516" s="63" t="s">
        <v>15157</v>
      </c>
    </row>
    <row r="14517" spans="1:2" x14ac:dyDescent="0.25">
      <c r="A14517" s="62">
        <v>56101806</v>
      </c>
      <c r="B14517" s="63" t="s">
        <v>15158</v>
      </c>
    </row>
    <row r="14518" spans="1:2" x14ac:dyDescent="0.25">
      <c r="A14518" s="62">
        <v>56101807</v>
      </c>
      <c r="B14518" s="63" t="s">
        <v>15159</v>
      </c>
    </row>
    <row r="14519" spans="1:2" x14ac:dyDescent="0.25">
      <c r="A14519" s="62">
        <v>56101808</v>
      </c>
      <c r="B14519" s="63" t="s">
        <v>15160</v>
      </c>
    </row>
    <row r="14520" spans="1:2" x14ac:dyDescent="0.25">
      <c r="A14520" s="62">
        <v>56101809</v>
      </c>
      <c r="B14520" s="63" t="s">
        <v>15161</v>
      </c>
    </row>
    <row r="14521" spans="1:2" x14ac:dyDescent="0.25">
      <c r="A14521" s="62">
        <v>56101810</v>
      </c>
      <c r="B14521" s="63" t="s">
        <v>15162</v>
      </c>
    </row>
    <row r="14522" spans="1:2" x14ac:dyDescent="0.25">
      <c r="A14522" s="62">
        <v>56101811</v>
      </c>
      <c r="B14522" s="63" t="s">
        <v>15163</v>
      </c>
    </row>
    <row r="14523" spans="1:2" x14ac:dyDescent="0.25">
      <c r="A14523" s="62">
        <v>56101812</v>
      </c>
      <c r="B14523" s="63" t="s">
        <v>15164</v>
      </c>
    </row>
    <row r="14524" spans="1:2" x14ac:dyDescent="0.25">
      <c r="A14524" s="62">
        <v>56101813</v>
      </c>
      <c r="B14524" s="63" t="s">
        <v>15165</v>
      </c>
    </row>
    <row r="14525" spans="1:2" x14ac:dyDescent="0.25">
      <c r="A14525" s="62">
        <v>56101901</v>
      </c>
      <c r="B14525" s="63" t="s">
        <v>15166</v>
      </c>
    </row>
    <row r="14526" spans="1:2" x14ac:dyDescent="0.25">
      <c r="A14526" s="62">
        <v>56101902</v>
      </c>
      <c r="B14526" s="63" t="s">
        <v>15167</v>
      </c>
    </row>
    <row r="14527" spans="1:2" x14ac:dyDescent="0.25">
      <c r="A14527" s="62">
        <v>56101903</v>
      </c>
      <c r="B14527" s="63" t="s">
        <v>15168</v>
      </c>
    </row>
    <row r="14528" spans="1:2" x14ac:dyDescent="0.25">
      <c r="A14528" s="62">
        <v>56101904</v>
      </c>
      <c r="B14528" s="63" t="s">
        <v>15169</v>
      </c>
    </row>
    <row r="14529" spans="1:2" x14ac:dyDescent="0.25">
      <c r="A14529" s="62">
        <v>56101905</v>
      </c>
      <c r="B14529" s="63" t="s">
        <v>15170</v>
      </c>
    </row>
    <row r="14530" spans="1:2" x14ac:dyDescent="0.25">
      <c r="A14530" s="62">
        <v>56101906</v>
      </c>
      <c r="B14530" s="63" t="s">
        <v>15171</v>
      </c>
    </row>
    <row r="14531" spans="1:2" x14ac:dyDescent="0.25">
      <c r="A14531" s="62">
        <v>56101907</v>
      </c>
      <c r="B14531" s="63" t="s">
        <v>15172</v>
      </c>
    </row>
    <row r="14532" spans="1:2" x14ac:dyDescent="0.25">
      <c r="A14532" s="62">
        <v>56111501</v>
      </c>
      <c r="B14532" s="63" t="s">
        <v>15173</v>
      </c>
    </row>
    <row r="14533" spans="1:2" x14ac:dyDescent="0.25">
      <c r="A14533" s="62">
        <v>56111502</v>
      </c>
      <c r="B14533" s="63" t="s">
        <v>15174</v>
      </c>
    </row>
    <row r="14534" spans="1:2" x14ac:dyDescent="0.25">
      <c r="A14534" s="62">
        <v>56111503</v>
      </c>
      <c r="B14534" s="63" t="s">
        <v>15175</v>
      </c>
    </row>
    <row r="14535" spans="1:2" x14ac:dyDescent="0.25">
      <c r="A14535" s="62">
        <v>56111504</v>
      </c>
      <c r="B14535" s="63" t="s">
        <v>15176</v>
      </c>
    </row>
    <row r="14536" spans="1:2" x14ac:dyDescent="0.25">
      <c r="A14536" s="62">
        <v>56111505</v>
      </c>
      <c r="B14536" s="63" t="s">
        <v>15177</v>
      </c>
    </row>
    <row r="14537" spans="1:2" x14ac:dyDescent="0.25">
      <c r="A14537" s="62">
        <v>56111506</v>
      </c>
      <c r="B14537" s="63" t="s">
        <v>15178</v>
      </c>
    </row>
    <row r="14538" spans="1:2" x14ac:dyDescent="0.25">
      <c r="A14538" s="62">
        <v>56111507</v>
      </c>
      <c r="B14538" s="63" t="s">
        <v>15179</v>
      </c>
    </row>
    <row r="14539" spans="1:2" x14ac:dyDescent="0.25">
      <c r="A14539" s="62">
        <v>56111508</v>
      </c>
      <c r="B14539" s="63" t="s">
        <v>15180</v>
      </c>
    </row>
    <row r="14540" spans="1:2" x14ac:dyDescent="0.25">
      <c r="A14540" s="62">
        <v>56111509</v>
      </c>
      <c r="B14540" s="63" t="s">
        <v>15181</v>
      </c>
    </row>
    <row r="14541" spans="1:2" x14ac:dyDescent="0.25">
      <c r="A14541" s="62">
        <v>56111510</v>
      </c>
      <c r="B14541" s="63" t="s">
        <v>15182</v>
      </c>
    </row>
    <row r="14542" spans="1:2" x14ac:dyDescent="0.25">
      <c r="A14542" s="62">
        <v>56111511</v>
      </c>
      <c r="B14542" s="63" t="s">
        <v>15183</v>
      </c>
    </row>
    <row r="14543" spans="1:2" x14ac:dyDescent="0.25">
      <c r="A14543" s="62">
        <v>56111512</v>
      </c>
      <c r="B14543" s="63" t="s">
        <v>15184</v>
      </c>
    </row>
    <row r="14544" spans="1:2" x14ac:dyDescent="0.25">
      <c r="A14544" s="62">
        <v>56111513</v>
      </c>
      <c r="B14544" s="63" t="s">
        <v>15185</v>
      </c>
    </row>
    <row r="14545" spans="1:2" x14ac:dyDescent="0.25">
      <c r="A14545" s="62">
        <v>56111514</v>
      </c>
      <c r="B14545" s="63" t="s">
        <v>15186</v>
      </c>
    </row>
    <row r="14546" spans="1:2" x14ac:dyDescent="0.25">
      <c r="A14546" s="62">
        <v>56111601</v>
      </c>
      <c r="B14546" s="63" t="s">
        <v>15187</v>
      </c>
    </row>
    <row r="14547" spans="1:2" x14ac:dyDescent="0.25">
      <c r="A14547" s="62">
        <v>56111602</v>
      </c>
      <c r="B14547" s="63" t="s">
        <v>15188</v>
      </c>
    </row>
    <row r="14548" spans="1:2" x14ac:dyDescent="0.25">
      <c r="A14548" s="62">
        <v>56111603</v>
      </c>
      <c r="B14548" s="63" t="s">
        <v>15189</v>
      </c>
    </row>
    <row r="14549" spans="1:2" x14ac:dyDescent="0.25">
      <c r="A14549" s="62">
        <v>56111604</v>
      </c>
      <c r="B14549" s="63" t="s">
        <v>15190</v>
      </c>
    </row>
    <row r="14550" spans="1:2" x14ac:dyDescent="0.25">
      <c r="A14550" s="62">
        <v>56111605</v>
      </c>
      <c r="B14550" s="63" t="s">
        <v>15191</v>
      </c>
    </row>
    <row r="14551" spans="1:2" x14ac:dyDescent="0.25">
      <c r="A14551" s="62">
        <v>56111606</v>
      </c>
      <c r="B14551" s="63" t="s">
        <v>15192</v>
      </c>
    </row>
    <row r="14552" spans="1:2" x14ac:dyDescent="0.25">
      <c r="A14552" s="62">
        <v>56111701</v>
      </c>
      <c r="B14552" s="63" t="s">
        <v>15193</v>
      </c>
    </row>
    <row r="14553" spans="1:2" x14ac:dyDescent="0.25">
      <c r="A14553" s="62">
        <v>56111702</v>
      </c>
      <c r="B14553" s="63" t="s">
        <v>15194</v>
      </c>
    </row>
    <row r="14554" spans="1:2" x14ac:dyDescent="0.25">
      <c r="A14554" s="62">
        <v>56111703</v>
      </c>
      <c r="B14554" s="63" t="s">
        <v>15195</v>
      </c>
    </row>
    <row r="14555" spans="1:2" x14ac:dyDescent="0.25">
      <c r="A14555" s="62">
        <v>56111704</v>
      </c>
      <c r="B14555" s="63" t="s">
        <v>15196</v>
      </c>
    </row>
    <row r="14556" spans="1:2" x14ac:dyDescent="0.25">
      <c r="A14556" s="62">
        <v>56111705</v>
      </c>
      <c r="B14556" s="63" t="s">
        <v>15197</v>
      </c>
    </row>
    <row r="14557" spans="1:2" x14ac:dyDescent="0.25">
      <c r="A14557" s="62">
        <v>56111706</v>
      </c>
      <c r="B14557" s="63" t="s">
        <v>15198</v>
      </c>
    </row>
    <row r="14558" spans="1:2" x14ac:dyDescent="0.25">
      <c r="A14558" s="62">
        <v>56111707</v>
      </c>
      <c r="B14558" s="63" t="s">
        <v>15199</v>
      </c>
    </row>
    <row r="14559" spans="1:2" x14ac:dyDescent="0.25">
      <c r="A14559" s="62">
        <v>56111801</v>
      </c>
      <c r="B14559" s="63" t="s">
        <v>15200</v>
      </c>
    </row>
    <row r="14560" spans="1:2" x14ac:dyDescent="0.25">
      <c r="A14560" s="62">
        <v>56111802</v>
      </c>
      <c r="B14560" s="63" t="s">
        <v>15201</v>
      </c>
    </row>
    <row r="14561" spans="1:2" x14ac:dyDescent="0.25">
      <c r="A14561" s="62">
        <v>56111803</v>
      </c>
      <c r="B14561" s="63" t="s">
        <v>15202</v>
      </c>
    </row>
    <row r="14562" spans="1:2" x14ac:dyDescent="0.25">
      <c r="A14562" s="62">
        <v>56111804</v>
      </c>
      <c r="B14562" s="63" t="s">
        <v>15203</v>
      </c>
    </row>
    <row r="14563" spans="1:2" x14ac:dyDescent="0.25">
      <c r="A14563" s="62">
        <v>56111805</v>
      </c>
      <c r="B14563" s="63" t="s">
        <v>15204</v>
      </c>
    </row>
    <row r="14564" spans="1:2" x14ac:dyDescent="0.25">
      <c r="A14564" s="62">
        <v>56111901</v>
      </c>
      <c r="B14564" s="63" t="s">
        <v>15205</v>
      </c>
    </row>
    <row r="14565" spans="1:2" x14ac:dyDescent="0.25">
      <c r="A14565" s="62">
        <v>56111902</v>
      </c>
      <c r="B14565" s="63" t="s">
        <v>15206</v>
      </c>
    </row>
    <row r="14566" spans="1:2" x14ac:dyDescent="0.25">
      <c r="A14566" s="62">
        <v>56111903</v>
      </c>
      <c r="B14566" s="63" t="s">
        <v>15207</v>
      </c>
    </row>
    <row r="14567" spans="1:2" x14ac:dyDescent="0.25">
      <c r="A14567" s="62">
        <v>56111904</v>
      </c>
      <c r="B14567" s="63" t="s">
        <v>15208</v>
      </c>
    </row>
    <row r="14568" spans="1:2" x14ac:dyDescent="0.25">
      <c r="A14568" s="62">
        <v>56111905</v>
      </c>
      <c r="B14568" s="63" t="s">
        <v>15209</v>
      </c>
    </row>
    <row r="14569" spans="1:2" x14ac:dyDescent="0.25">
      <c r="A14569" s="62">
        <v>56111906</v>
      </c>
      <c r="B14569" s="63" t="s">
        <v>15210</v>
      </c>
    </row>
    <row r="14570" spans="1:2" x14ac:dyDescent="0.25">
      <c r="A14570" s="62">
        <v>56111907</v>
      </c>
      <c r="B14570" s="63" t="s">
        <v>15211</v>
      </c>
    </row>
    <row r="14571" spans="1:2" x14ac:dyDescent="0.25">
      <c r="A14571" s="62">
        <v>56112001</v>
      </c>
      <c r="B14571" s="63" t="s">
        <v>15212</v>
      </c>
    </row>
    <row r="14572" spans="1:2" x14ac:dyDescent="0.25">
      <c r="A14572" s="62">
        <v>56112002</v>
      </c>
      <c r="B14572" s="63" t="s">
        <v>15213</v>
      </c>
    </row>
    <row r="14573" spans="1:2" x14ac:dyDescent="0.25">
      <c r="A14573" s="62">
        <v>56112003</v>
      </c>
      <c r="B14573" s="63" t="s">
        <v>15214</v>
      </c>
    </row>
    <row r="14574" spans="1:2" x14ac:dyDescent="0.25">
      <c r="A14574" s="62">
        <v>56112004</v>
      </c>
      <c r="B14574" s="63" t="s">
        <v>15215</v>
      </c>
    </row>
    <row r="14575" spans="1:2" x14ac:dyDescent="0.25">
      <c r="A14575" s="62">
        <v>56112005</v>
      </c>
      <c r="B14575" s="63" t="s">
        <v>15216</v>
      </c>
    </row>
    <row r="14576" spans="1:2" x14ac:dyDescent="0.25">
      <c r="A14576" s="62">
        <v>56112101</v>
      </c>
      <c r="B14576" s="63" t="s">
        <v>15217</v>
      </c>
    </row>
    <row r="14577" spans="1:2" x14ac:dyDescent="0.25">
      <c r="A14577" s="62">
        <v>56112102</v>
      </c>
      <c r="B14577" s="63" t="s">
        <v>15218</v>
      </c>
    </row>
    <row r="14578" spans="1:2" x14ac:dyDescent="0.25">
      <c r="A14578" s="62">
        <v>56112103</v>
      </c>
      <c r="B14578" s="63" t="s">
        <v>15219</v>
      </c>
    </row>
    <row r="14579" spans="1:2" x14ac:dyDescent="0.25">
      <c r="A14579" s="62">
        <v>56112104</v>
      </c>
      <c r="B14579" s="63" t="s">
        <v>15220</v>
      </c>
    </row>
    <row r="14580" spans="1:2" x14ac:dyDescent="0.25">
      <c r="A14580" s="62">
        <v>56112105</v>
      </c>
      <c r="B14580" s="63" t="s">
        <v>15221</v>
      </c>
    </row>
    <row r="14581" spans="1:2" x14ac:dyDescent="0.25">
      <c r="A14581" s="62">
        <v>56112106</v>
      </c>
      <c r="B14581" s="63" t="s">
        <v>15222</v>
      </c>
    </row>
    <row r="14582" spans="1:2" x14ac:dyDescent="0.25">
      <c r="A14582" s="62">
        <v>56112107</v>
      </c>
      <c r="B14582" s="63" t="s">
        <v>15223</v>
      </c>
    </row>
    <row r="14583" spans="1:2" x14ac:dyDescent="0.25">
      <c r="A14583" s="62">
        <v>56112108</v>
      </c>
      <c r="B14583" s="63" t="s">
        <v>15224</v>
      </c>
    </row>
    <row r="14584" spans="1:2" x14ac:dyDescent="0.25">
      <c r="A14584" s="62">
        <v>56112109</v>
      </c>
      <c r="B14584" s="63" t="s">
        <v>15225</v>
      </c>
    </row>
    <row r="14585" spans="1:2" x14ac:dyDescent="0.25">
      <c r="A14585" s="62">
        <v>56112110</v>
      </c>
      <c r="B14585" s="63" t="s">
        <v>15226</v>
      </c>
    </row>
    <row r="14586" spans="1:2" x14ac:dyDescent="0.25">
      <c r="A14586" s="62">
        <v>56121001</v>
      </c>
      <c r="B14586" s="63" t="s">
        <v>15227</v>
      </c>
    </row>
    <row r="14587" spans="1:2" x14ac:dyDescent="0.25">
      <c r="A14587" s="62">
        <v>56121002</v>
      </c>
      <c r="B14587" s="63" t="s">
        <v>15228</v>
      </c>
    </row>
    <row r="14588" spans="1:2" x14ac:dyDescent="0.25">
      <c r="A14588" s="62">
        <v>56121003</v>
      </c>
      <c r="B14588" s="63" t="s">
        <v>15229</v>
      </c>
    </row>
    <row r="14589" spans="1:2" x14ac:dyDescent="0.25">
      <c r="A14589" s="62">
        <v>56121004</v>
      </c>
      <c r="B14589" s="63" t="s">
        <v>15230</v>
      </c>
    </row>
    <row r="14590" spans="1:2" x14ac:dyDescent="0.25">
      <c r="A14590" s="62">
        <v>56121005</v>
      </c>
      <c r="B14590" s="63" t="s">
        <v>15231</v>
      </c>
    </row>
    <row r="14591" spans="1:2" x14ac:dyDescent="0.25">
      <c r="A14591" s="62">
        <v>56121006</v>
      </c>
      <c r="B14591" s="63" t="s">
        <v>15232</v>
      </c>
    </row>
    <row r="14592" spans="1:2" x14ac:dyDescent="0.25">
      <c r="A14592" s="62">
        <v>56121007</v>
      </c>
      <c r="B14592" s="63" t="s">
        <v>15233</v>
      </c>
    </row>
    <row r="14593" spans="1:2" x14ac:dyDescent="0.25">
      <c r="A14593" s="62">
        <v>56121008</v>
      </c>
      <c r="B14593" s="63" t="s">
        <v>15234</v>
      </c>
    </row>
    <row r="14594" spans="1:2" x14ac:dyDescent="0.25">
      <c r="A14594" s="62">
        <v>56121009</v>
      </c>
      <c r="B14594" s="63" t="s">
        <v>15235</v>
      </c>
    </row>
    <row r="14595" spans="1:2" x14ac:dyDescent="0.25">
      <c r="A14595" s="62">
        <v>56121010</v>
      </c>
      <c r="B14595" s="63" t="s">
        <v>15236</v>
      </c>
    </row>
    <row r="14596" spans="1:2" x14ac:dyDescent="0.25">
      <c r="A14596" s="62">
        <v>56121011</v>
      </c>
      <c r="B14596" s="63" t="s">
        <v>15237</v>
      </c>
    </row>
    <row r="14597" spans="1:2" x14ac:dyDescent="0.25">
      <c r="A14597" s="62">
        <v>56121012</v>
      </c>
      <c r="B14597" s="63" t="s">
        <v>15238</v>
      </c>
    </row>
    <row r="14598" spans="1:2" x14ac:dyDescent="0.25">
      <c r="A14598" s="62">
        <v>56121014</v>
      </c>
      <c r="B14598" s="63" t="s">
        <v>15239</v>
      </c>
    </row>
    <row r="14599" spans="1:2" x14ac:dyDescent="0.25">
      <c r="A14599" s="62">
        <v>56121101</v>
      </c>
      <c r="B14599" s="63" t="s">
        <v>15240</v>
      </c>
    </row>
    <row r="14600" spans="1:2" x14ac:dyDescent="0.25">
      <c r="A14600" s="62">
        <v>56121102</v>
      </c>
      <c r="B14600" s="63" t="s">
        <v>15241</v>
      </c>
    </row>
    <row r="14601" spans="1:2" x14ac:dyDescent="0.25">
      <c r="A14601" s="62">
        <v>56121201</v>
      </c>
      <c r="B14601" s="63" t="s">
        <v>15242</v>
      </c>
    </row>
    <row r="14602" spans="1:2" x14ac:dyDescent="0.25">
      <c r="A14602" s="62">
        <v>56121301</v>
      </c>
      <c r="B14602" s="63" t="s">
        <v>15243</v>
      </c>
    </row>
    <row r="14603" spans="1:2" x14ac:dyDescent="0.25">
      <c r="A14603" s="62">
        <v>56121302</v>
      </c>
      <c r="B14603" s="63" t="s">
        <v>15244</v>
      </c>
    </row>
    <row r="14604" spans="1:2" x14ac:dyDescent="0.25">
      <c r="A14604" s="62">
        <v>56121303</v>
      </c>
      <c r="B14604" s="63" t="s">
        <v>15245</v>
      </c>
    </row>
    <row r="14605" spans="1:2" x14ac:dyDescent="0.25">
      <c r="A14605" s="62">
        <v>56121304</v>
      </c>
      <c r="B14605" s="63" t="s">
        <v>15246</v>
      </c>
    </row>
    <row r="14606" spans="1:2" x14ac:dyDescent="0.25">
      <c r="A14606" s="62">
        <v>56121401</v>
      </c>
      <c r="B14606" s="63" t="s">
        <v>15247</v>
      </c>
    </row>
    <row r="14607" spans="1:2" x14ac:dyDescent="0.25">
      <c r="A14607" s="62">
        <v>56121402</v>
      </c>
      <c r="B14607" s="63" t="s">
        <v>15248</v>
      </c>
    </row>
    <row r="14608" spans="1:2" x14ac:dyDescent="0.25">
      <c r="A14608" s="62">
        <v>56121403</v>
      </c>
      <c r="B14608" s="63" t="s">
        <v>15249</v>
      </c>
    </row>
    <row r="14609" spans="1:2" x14ac:dyDescent="0.25">
      <c r="A14609" s="62">
        <v>56121501</v>
      </c>
      <c r="B14609" s="63" t="s">
        <v>15250</v>
      </c>
    </row>
    <row r="14610" spans="1:2" x14ac:dyDescent="0.25">
      <c r="A14610" s="62">
        <v>56121502</v>
      </c>
      <c r="B14610" s="63" t="s">
        <v>15251</v>
      </c>
    </row>
    <row r="14611" spans="1:2" x14ac:dyDescent="0.25">
      <c r="A14611" s="62">
        <v>56121503</v>
      </c>
      <c r="B14611" s="63" t="s">
        <v>15252</v>
      </c>
    </row>
    <row r="14612" spans="1:2" x14ac:dyDescent="0.25">
      <c r="A14612" s="62">
        <v>56121504</v>
      </c>
      <c r="B14612" s="63" t="s">
        <v>15253</v>
      </c>
    </row>
    <row r="14613" spans="1:2" x14ac:dyDescent="0.25">
      <c r="A14613" s="62">
        <v>56121505</v>
      </c>
      <c r="B14613" s="63" t="s">
        <v>15254</v>
      </c>
    </row>
    <row r="14614" spans="1:2" x14ac:dyDescent="0.25">
      <c r="A14614" s="62">
        <v>56121506</v>
      </c>
      <c r="B14614" s="63" t="s">
        <v>15255</v>
      </c>
    </row>
    <row r="14615" spans="1:2" x14ac:dyDescent="0.25">
      <c r="A14615" s="62">
        <v>56121507</v>
      </c>
      <c r="B14615" s="63" t="s">
        <v>15256</v>
      </c>
    </row>
    <row r="14616" spans="1:2" x14ac:dyDescent="0.25">
      <c r="A14616" s="62">
        <v>56121508</v>
      </c>
      <c r="B14616" s="63" t="s">
        <v>15257</v>
      </c>
    </row>
    <row r="14617" spans="1:2" x14ac:dyDescent="0.25">
      <c r="A14617" s="62">
        <v>56121509</v>
      </c>
      <c r="B14617" s="63" t="s">
        <v>15258</v>
      </c>
    </row>
    <row r="14618" spans="1:2" x14ac:dyDescent="0.25">
      <c r="A14618" s="62">
        <v>56121601</v>
      </c>
      <c r="B14618" s="63" t="s">
        <v>15259</v>
      </c>
    </row>
    <row r="14619" spans="1:2" x14ac:dyDescent="0.25">
      <c r="A14619" s="62">
        <v>56121602</v>
      </c>
      <c r="B14619" s="63" t="s">
        <v>15260</v>
      </c>
    </row>
    <row r="14620" spans="1:2" x14ac:dyDescent="0.25">
      <c r="A14620" s="62">
        <v>56121603</v>
      </c>
      <c r="B14620" s="63" t="s">
        <v>15261</v>
      </c>
    </row>
    <row r="14621" spans="1:2" x14ac:dyDescent="0.25">
      <c r="A14621" s="62">
        <v>56121604</v>
      </c>
      <c r="B14621" s="63" t="s">
        <v>15262</v>
      </c>
    </row>
    <row r="14622" spans="1:2" x14ac:dyDescent="0.25">
      <c r="A14622" s="62">
        <v>56121605</v>
      </c>
      <c r="B14622" s="63" t="s">
        <v>15263</v>
      </c>
    </row>
    <row r="14623" spans="1:2" x14ac:dyDescent="0.25">
      <c r="A14623" s="62">
        <v>56121606</v>
      </c>
      <c r="B14623" s="63" t="s">
        <v>15264</v>
      </c>
    </row>
    <row r="14624" spans="1:2" x14ac:dyDescent="0.25">
      <c r="A14624" s="62">
        <v>56121607</v>
      </c>
      <c r="B14624" s="63" t="s">
        <v>15265</v>
      </c>
    </row>
    <row r="14625" spans="1:2" x14ac:dyDescent="0.25">
      <c r="A14625" s="62">
        <v>56121608</v>
      </c>
      <c r="B14625" s="63" t="s">
        <v>15266</v>
      </c>
    </row>
    <row r="14626" spans="1:2" x14ac:dyDescent="0.25">
      <c r="A14626" s="62">
        <v>56121609</v>
      </c>
      <c r="B14626" s="63" t="s">
        <v>15267</v>
      </c>
    </row>
    <row r="14627" spans="1:2" x14ac:dyDescent="0.25">
      <c r="A14627" s="62">
        <v>56121610</v>
      </c>
      <c r="B14627" s="63" t="s">
        <v>15268</v>
      </c>
    </row>
    <row r="14628" spans="1:2" x14ac:dyDescent="0.25">
      <c r="A14628" s="62">
        <v>56121701</v>
      </c>
      <c r="B14628" s="63" t="s">
        <v>15269</v>
      </c>
    </row>
    <row r="14629" spans="1:2" x14ac:dyDescent="0.25">
      <c r="A14629" s="62">
        <v>56121702</v>
      </c>
      <c r="B14629" s="63" t="s">
        <v>15270</v>
      </c>
    </row>
    <row r="14630" spans="1:2" x14ac:dyDescent="0.25">
      <c r="A14630" s="62">
        <v>56121703</v>
      </c>
      <c r="B14630" s="63" t="s">
        <v>15271</v>
      </c>
    </row>
    <row r="14631" spans="1:2" x14ac:dyDescent="0.25">
      <c r="A14631" s="62">
        <v>56121704</v>
      </c>
      <c r="B14631" s="63" t="s">
        <v>15272</v>
      </c>
    </row>
    <row r="14632" spans="1:2" x14ac:dyDescent="0.25">
      <c r="A14632" s="62">
        <v>56121801</v>
      </c>
      <c r="B14632" s="63" t="s">
        <v>15273</v>
      </c>
    </row>
    <row r="14633" spans="1:2" x14ac:dyDescent="0.25">
      <c r="A14633" s="62">
        <v>56121802</v>
      </c>
      <c r="B14633" s="63" t="s">
        <v>15274</v>
      </c>
    </row>
    <row r="14634" spans="1:2" x14ac:dyDescent="0.25">
      <c r="A14634" s="62">
        <v>56121803</v>
      </c>
      <c r="B14634" s="63" t="s">
        <v>15275</v>
      </c>
    </row>
    <row r="14635" spans="1:2" x14ac:dyDescent="0.25">
      <c r="A14635" s="62">
        <v>56121804</v>
      </c>
      <c r="B14635" s="63" t="s">
        <v>15276</v>
      </c>
    </row>
    <row r="14636" spans="1:2" x14ac:dyDescent="0.25">
      <c r="A14636" s="62">
        <v>56121805</v>
      </c>
      <c r="B14636" s="63" t="s">
        <v>15277</v>
      </c>
    </row>
    <row r="14637" spans="1:2" x14ac:dyDescent="0.25">
      <c r="A14637" s="62">
        <v>56121901</v>
      </c>
      <c r="B14637" s="63" t="s">
        <v>15278</v>
      </c>
    </row>
    <row r="14638" spans="1:2" x14ac:dyDescent="0.25">
      <c r="A14638" s="62">
        <v>56122001</v>
      </c>
      <c r="B14638" s="63" t="s">
        <v>15279</v>
      </c>
    </row>
    <row r="14639" spans="1:2" x14ac:dyDescent="0.25">
      <c r="A14639" s="62">
        <v>56122002</v>
      </c>
      <c r="B14639" s="63" t="s">
        <v>15280</v>
      </c>
    </row>
    <row r="14640" spans="1:2" x14ac:dyDescent="0.25">
      <c r="A14640" s="62">
        <v>56122003</v>
      </c>
      <c r="B14640" s="63" t="s">
        <v>15281</v>
      </c>
    </row>
    <row r="14641" spans="1:2" x14ac:dyDescent="0.25">
      <c r="A14641" s="62">
        <v>56122004</v>
      </c>
      <c r="B14641" s="63" t="s">
        <v>15282</v>
      </c>
    </row>
    <row r="14642" spans="1:2" x14ac:dyDescent="0.25">
      <c r="A14642" s="62">
        <v>60101001</v>
      </c>
      <c r="B14642" s="63" t="s">
        <v>15283</v>
      </c>
    </row>
    <row r="14643" spans="1:2" x14ac:dyDescent="0.25">
      <c r="A14643" s="62">
        <v>60101002</v>
      </c>
      <c r="B14643" s="63" t="s">
        <v>15284</v>
      </c>
    </row>
    <row r="14644" spans="1:2" x14ac:dyDescent="0.25">
      <c r="A14644" s="62">
        <v>60101003</v>
      </c>
      <c r="B14644" s="63" t="s">
        <v>15285</v>
      </c>
    </row>
    <row r="14645" spans="1:2" x14ac:dyDescent="0.25">
      <c r="A14645" s="62">
        <v>60101004</v>
      </c>
      <c r="B14645" s="63" t="s">
        <v>15286</v>
      </c>
    </row>
    <row r="14646" spans="1:2" x14ac:dyDescent="0.25">
      <c r="A14646" s="62">
        <v>60101005</v>
      </c>
      <c r="B14646" s="63" t="s">
        <v>15287</v>
      </c>
    </row>
    <row r="14647" spans="1:2" x14ac:dyDescent="0.25">
      <c r="A14647" s="62">
        <v>60101006</v>
      </c>
      <c r="B14647" s="63" t="s">
        <v>15288</v>
      </c>
    </row>
    <row r="14648" spans="1:2" x14ac:dyDescent="0.25">
      <c r="A14648" s="62">
        <v>60101007</v>
      </c>
      <c r="B14648" s="63" t="s">
        <v>15289</v>
      </c>
    </row>
    <row r="14649" spans="1:2" x14ac:dyDescent="0.25">
      <c r="A14649" s="62">
        <v>60101008</v>
      </c>
      <c r="B14649" s="63" t="s">
        <v>15290</v>
      </c>
    </row>
    <row r="14650" spans="1:2" x14ac:dyDescent="0.25">
      <c r="A14650" s="62">
        <v>60101009</v>
      </c>
      <c r="B14650" s="63" t="s">
        <v>15291</v>
      </c>
    </row>
    <row r="14651" spans="1:2" x14ac:dyDescent="0.25">
      <c r="A14651" s="62">
        <v>60101010</v>
      </c>
      <c r="B14651" s="63" t="s">
        <v>15292</v>
      </c>
    </row>
    <row r="14652" spans="1:2" x14ac:dyDescent="0.25">
      <c r="A14652" s="62">
        <v>60101101</v>
      </c>
      <c r="B14652" s="63" t="s">
        <v>15293</v>
      </c>
    </row>
    <row r="14653" spans="1:2" x14ac:dyDescent="0.25">
      <c r="A14653" s="62">
        <v>60101102</v>
      </c>
      <c r="B14653" s="63" t="s">
        <v>15294</v>
      </c>
    </row>
    <row r="14654" spans="1:2" x14ac:dyDescent="0.25">
      <c r="A14654" s="62">
        <v>60101103</v>
      </c>
      <c r="B14654" s="63" t="s">
        <v>15295</v>
      </c>
    </row>
    <row r="14655" spans="1:2" x14ac:dyDescent="0.25">
      <c r="A14655" s="62">
        <v>60101104</v>
      </c>
      <c r="B14655" s="63" t="s">
        <v>15296</v>
      </c>
    </row>
    <row r="14656" spans="1:2" x14ac:dyDescent="0.25">
      <c r="A14656" s="62">
        <v>60101201</v>
      </c>
      <c r="B14656" s="63" t="s">
        <v>15297</v>
      </c>
    </row>
    <row r="14657" spans="1:2" x14ac:dyDescent="0.25">
      <c r="A14657" s="62">
        <v>60101202</v>
      </c>
      <c r="B14657" s="63" t="s">
        <v>15298</v>
      </c>
    </row>
    <row r="14658" spans="1:2" x14ac:dyDescent="0.25">
      <c r="A14658" s="62">
        <v>60101203</v>
      </c>
      <c r="B14658" s="63" t="s">
        <v>15299</v>
      </c>
    </row>
    <row r="14659" spans="1:2" x14ac:dyDescent="0.25">
      <c r="A14659" s="62">
        <v>60101204</v>
      </c>
      <c r="B14659" s="63" t="s">
        <v>15300</v>
      </c>
    </row>
    <row r="14660" spans="1:2" x14ac:dyDescent="0.25">
      <c r="A14660" s="62">
        <v>60101205</v>
      </c>
      <c r="B14660" s="63" t="s">
        <v>15301</v>
      </c>
    </row>
    <row r="14661" spans="1:2" x14ac:dyDescent="0.25">
      <c r="A14661" s="62">
        <v>60101301</v>
      </c>
      <c r="B14661" s="63" t="s">
        <v>15302</v>
      </c>
    </row>
    <row r="14662" spans="1:2" x14ac:dyDescent="0.25">
      <c r="A14662" s="62">
        <v>60101302</v>
      </c>
      <c r="B14662" s="63" t="s">
        <v>15303</v>
      </c>
    </row>
    <row r="14663" spans="1:2" x14ac:dyDescent="0.25">
      <c r="A14663" s="62">
        <v>60101304</v>
      </c>
      <c r="B14663" s="63" t="s">
        <v>15304</v>
      </c>
    </row>
    <row r="14664" spans="1:2" x14ac:dyDescent="0.25">
      <c r="A14664" s="62">
        <v>60101305</v>
      </c>
      <c r="B14664" s="63" t="s">
        <v>15305</v>
      </c>
    </row>
    <row r="14665" spans="1:2" x14ac:dyDescent="0.25">
      <c r="A14665" s="62">
        <v>60101306</v>
      </c>
      <c r="B14665" s="63" t="s">
        <v>15306</v>
      </c>
    </row>
    <row r="14666" spans="1:2" x14ac:dyDescent="0.25">
      <c r="A14666" s="62">
        <v>60101307</v>
      </c>
      <c r="B14666" s="63" t="s">
        <v>15307</v>
      </c>
    </row>
    <row r="14667" spans="1:2" x14ac:dyDescent="0.25">
      <c r="A14667" s="62">
        <v>60101308</v>
      </c>
      <c r="B14667" s="63" t="s">
        <v>15308</v>
      </c>
    </row>
    <row r="14668" spans="1:2" x14ac:dyDescent="0.25">
      <c r="A14668" s="62">
        <v>60101309</v>
      </c>
      <c r="B14668" s="63" t="s">
        <v>15309</v>
      </c>
    </row>
    <row r="14669" spans="1:2" x14ac:dyDescent="0.25">
      <c r="A14669" s="62">
        <v>60101310</v>
      </c>
      <c r="B14669" s="63" t="s">
        <v>15310</v>
      </c>
    </row>
    <row r="14670" spans="1:2" x14ac:dyDescent="0.25">
      <c r="A14670" s="62">
        <v>60101311</v>
      </c>
      <c r="B14670" s="63" t="s">
        <v>15311</v>
      </c>
    </row>
    <row r="14671" spans="1:2" x14ac:dyDescent="0.25">
      <c r="A14671" s="62">
        <v>60101312</v>
      </c>
      <c r="B14671" s="63" t="s">
        <v>15312</v>
      </c>
    </row>
    <row r="14672" spans="1:2" x14ac:dyDescent="0.25">
      <c r="A14672" s="62">
        <v>60101313</v>
      </c>
      <c r="B14672" s="63" t="s">
        <v>15313</v>
      </c>
    </row>
    <row r="14673" spans="1:2" x14ac:dyDescent="0.25">
      <c r="A14673" s="62">
        <v>60101314</v>
      </c>
      <c r="B14673" s="63" t="s">
        <v>15314</v>
      </c>
    </row>
    <row r="14674" spans="1:2" x14ac:dyDescent="0.25">
      <c r="A14674" s="62">
        <v>60101315</v>
      </c>
      <c r="B14674" s="63" t="s">
        <v>15315</v>
      </c>
    </row>
    <row r="14675" spans="1:2" x14ac:dyDescent="0.25">
      <c r="A14675" s="62">
        <v>60101316</v>
      </c>
      <c r="B14675" s="63" t="s">
        <v>15316</v>
      </c>
    </row>
    <row r="14676" spans="1:2" x14ac:dyDescent="0.25">
      <c r="A14676" s="62">
        <v>60101317</v>
      </c>
      <c r="B14676" s="63" t="s">
        <v>15317</v>
      </c>
    </row>
    <row r="14677" spans="1:2" x14ac:dyDescent="0.25">
      <c r="A14677" s="62">
        <v>60101318</v>
      </c>
      <c r="B14677" s="63" t="s">
        <v>15318</v>
      </c>
    </row>
    <row r="14678" spans="1:2" x14ac:dyDescent="0.25">
      <c r="A14678" s="62">
        <v>60101319</v>
      </c>
      <c r="B14678" s="63" t="s">
        <v>15319</v>
      </c>
    </row>
    <row r="14679" spans="1:2" x14ac:dyDescent="0.25">
      <c r="A14679" s="62">
        <v>60101320</v>
      </c>
      <c r="B14679" s="63" t="s">
        <v>15320</v>
      </c>
    </row>
    <row r="14680" spans="1:2" x14ac:dyDescent="0.25">
      <c r="A14680" s="62">
        <v>60101321</v>
      </c>
      <c r="B14680" s="63" t="s">
        <v>15321</v>
      </c>
    </row>
    <row r="14681" spans="1:2" x14ac:dyDescent="0.25">
      <c r="A14681" s="62">
        <v>60101322</v>
      </c>
      <c r="B14681" s="63" t="s">
        <v>15322</v>
      </c>
    </row>
    <row r="14682" spans="1:2" x14ac:dyDescent="0.25">
      <c r="A14682" s="62">
        <v>60101323</v>
      </c>
      <c r="B14682" s="63" t="s">
        <v>15323</v>
      </c>
    </row>
    <row r="14683" spans="1:2" x14ac:dyDescent="0.25">
      <c r="A14683" s="62">
        <v>60101324</v>
      </c>
      <c r="B14683" s="63" t="s">
        <v>15324</v>
      </c>
    </row>
    <row r="14684" spans="1:2" x14ac:dyDescent="0.25">
      <c r="A14684" s="62">
        <v>60101325</v>
      </c>
      <c r="B14684" s="63" t="s">
        <v>15325</v>
      </c>
    </row>
    <row r="14685" spans="1:2" x14ac:dyDescent="0.25">
      <c r="A14685" s="62">
        <v>60101326</v>
      </c>
      <c r="B14685" s="63" t="s">
        <v>15326</v>
      </c>
    </row>
    <row r="14686" spans="1:2" x14ac:dyDescent="0.25">
      <c r="A14686" s="62">
        <v>60101327</v>
      </c>
      <c r="B14686" s="63" t="s">
        <v>15327</v>
      </c>
    </row>
    <row r="14687" spans="1:2" x14ac:dyDescent="0.25">
      <c r="A14687" s="62">
        <v>60101328</v>
      </c>
      <c r="B14687" s="63" t="s">
        <v>15328</v>
      </c>
    </row>
    <row r="14688" spans="1:2" x14ac:dyDescent="0.25">
      <c r="A14688" s="62">
        <v>60101329</v>
      </c>
      <c r="B14688" s="63" t="s">
        <v>15329</v>
      </c>
    </row>
    <row r="14689" spans="1:2" x14ac:dyDescent="0.25">
      <c r="A14689" s="62">
        <v>60101330</v>
      </c>
      <c r="B14689" s="63" t="s">
        <v>15330</v>
      </c>
    </row>
    <row r="14690" spans="1:2" x14ac:dyDescent="0.25">
      <c r="A14690" s="62">
        <v>60101331</v>
      </c>
      <c r="B14690" s="63" t="s">
        <v>15331</v>
      </c>
    </row>
    <row r="14691" spans="1:2" x14ac:dyDescent="0.25">
      <c r="A14691" s="62">
        <v>60101401</v>
      </c>
      <c r="B14691" s="63" t="s">
        <v>15332</v>
      </c>
    </row>
    <row r="14692" spans="1:2" x14ac:dyDescent="0.25">
      <c r="A14692" s="62">
        <v>60101402</v>
      </c>
      <c r="B14692" s="63" t="s">
        <v>15333</v>
      </c>
    </row>
    <row r="14693" spans="1:2" x14ac:dyDescent="0.25">
      <c r="A14693" s="62">
        <v>60101403</v>
      </c>
      <c r="B14693" s="63" t="s">
        <v>15334</v>
      </c>
    </row>
    <row r="14694" spans="1:2" x14ac:dyDescent="0.25">
      <c r="A14694" s="62">
        <v>60101404</v>
      </c>
      <c r="B14694" s="63" t="s">
        <v>15335</v>
      </c>
    </row>
    <row r="14695" spans="1:2" x14ac:dyDescent="0.25">
      <c r="A14695" s="62">
        <v>60101405</v>
      </c>
      <c r="B14695" s="63" t="s">
        <v>15336</v>
      </c>
    </row>
    <row r="14696" spans="1:2" x14ac:dyDescent="0.25">
      <c r="A14696" s="62">
        <v>60101601</v>
      </c>
      <c r="B14696" s="63" t="s">
        <v>15337</v>
      </c>
    </row>
    <row r="14697" spans="1:2" x14ac:dyDescent="0.25">
      <c r="A14697" s="62">
        <v>60101602</v>
      </c>
      <c r="B14697" s="63" t="s">
        <v>15338</v>
      </c>
    </row>
    <row r="14698" spans="1:2" x14ac:dyDescent="0.25">
      <c r="A14698" s="62">
        <v>60101603</v>
      </c>
      <c r="B14698" s="63" t="s">
        <v>15339</v>
      </c>
    </row>
    <row r="14699" spans="1:2" x14ac:dyDescent="0.25">
      <c r="A14699" s="62">
        <v>60101604</v>
      </c>
      <c r="B14699" s="63" t="s">
        <v>15340</v>
      </c>
    </row>
    <row r="14700" spans="1:2" x14ac:dyDescent="0.25">
      <c r="A14700" s="62">
        <v>60101605</v>
      </c>
      <c r="B14700" s="63" t="s">
        <v>15341</v>
      </c>
    </row>
    <row r="14701" spans="1:2" x14ac:dyDescent="0.25">
      <c r="A14701" s="62">
        <v>60101606</v>
      </c>
      <c r="B14701" s="63" t="s">
        <v>15342</v>
      </c>
    </row>
    <row r="14702" spans="1:2" x14ac:dyDescent="0.25">
      <c r="A14702" s="62">
        <v>60101607</v>
      </c>
      <c r="B14702" s="63" t="s">
        <v>15343</v>
      </c>
    </row>
    <row r="14703" spans="1:2" x14ac:dyDescent="0.25">
      <c r="A14703" s="62">
        <v>60101608</v>
      </c>
      <c r="B14703" s="63" t="s">
        <v>15344</v>
      </c>
    </row>
    <row r="14704" spans="1:2" x14ac:dyDescent="0.25">
      <c r="A14704" s="62">
        <v>60101609</v>
      </c>
      <c r="B14704" s="63" t="s">
        <v>15345</v>
      </c>
    </row>
    <row r="14705" spans="1:2" x14ac:dyDescent="0.25">
      <c r="A14705" s="62">
        <v>60101610</v>
      </c>
      <c r="B14705" s="63" t="s">
        <v>15346</v>
      </c>
    </row>
    <row r="14706" spans="1:2" x14ac:dyDescent="0.25">
      <c r="A14706" s="62">
        <v>60101701</v>
      </c>
      <c r="B14706" s="63" t="s">
        <v>15347</v>
      </c>
    </row>
    <row r="14707" spans="1:2" x14ac:dyDescent="0.25">
      <c r="A14707" s="62">
        <v>60101702</v>
      </c>
      <c r="B14707" s="63" t="s">
        <v>15348</v>
      </c>
    </row>
    <row r="14708" spans="1:2" x14ac:dyDescent="0.25">
      <c r="A14708" s="62">
        <v>60101703</v>
      </c>
      <c r="B14708" s="63" t="s">
        <v>15349</v>
      </c>
    </row>
    <row r="14709" spans="1:2" x14ac:dyDescent="0.25">
      <c r="A14709" s="62">
        <v>60101704</v>
      </c>
      <c r="B14709" s="63" t="s">
        <v>15350</v>
      </c>
    </row>
    <row r="14710" spans="1:2" x14ac:dyDescent="0.25">
      <c r="A14710" s="62">
        <v>60101705</v>
      </c>
      <c r="B14710" s="63" t="s">
        <v>15351</v>
      </c>
    </row>
    <row r="14711" spans="1:2" x14ac:dyDescent="0.25">
      <c r="A14711" s="62">
        <v>60101706</v>
      </c>
      <c r="B14711" s="63" t="s">
        <v>15352</v>
      </c>
    </row>
    <row r="14712" spans="1:2" x14ac:dyDescent="0.25">
      <c r="A14712" s="62">
        <v>60101707</v>
      </c>
      <c r="B14712" s="63" t="s">
        <v>15353</v>
      </c>
    </row>
    <row r="14713" spans="1:2" x14ac:dyDescent="0.25">
      <c r="A14713" s="62">
        <v>60101708</v>
      </c>
      <c r="B14713" s="63" t="s">
        <v>15354</v>
      </c>
    </row>
    <row r="14714" spans="1:2" x14ac:dyDescent="0.25">
      <c r="A14714" s="62">
        <v>60101709</v>
      </c>
      <c r="B14714" s="63" t="s">
        <v>15355</v>
      </c>
    </row>
    <row r="14715" spans="1:2" x14ac:dyDescent="0.25">
      <c r="A14715" s="62">
        <v>60101710</v>
      </c>
      <c r="B14715" s="63" t="s">
        <v>15356</v>
      </c>
    </row>
    <row r="14716" spans="1:2" x14ac:dyDescent="0.25">
      <c r="A14716" s="62">
        <v>60101711</v>
      </c>
      <c r="B14716" s="63" t="s">
        <v>15357</v>
      </c>
    </row>
    <row r="14717" spans="1:2" x14ac:dyDescent="0.25">
      <c r="A14717" s="62">
        <v>60101712</v>
      </c>
      <c r="B14717" s="63" t="s">
        <v>15358</v>
      </c>
    </row>
    <row r="14718" spans="1:2" x14ac:dyDescent="0.25">
      <c r="A14718" s="62">
        <v>60101713</v>
      </c>
      <c r="B14718" s="63" t="s">
        <v>15359</v>
      </c>
    </row>
    <row r="14719" spans="1:2" x14ac:dyDescent="0.25">
      <c r="A14719" s="62">
        <v>60101714</v>
      </c>
      <c r="B14719" s="63" t="s">
        <v>15360</v>
      </c>
    </row>
    <row r="14720" spans="1:2" x14ac:dyDescent="0.25">
      <c r="A14720" s="62">
        <v>60101715</v>
      </c>
      <c r="B14720" s="63" t="s">
        <v>15361</v>
      </c>
    </row>
    <row r="14721" spans="1:2" x14ac:dyDescent="0.25">
      <c r="A14721" s="62">
        <v>60101716</v>
      </c>
      <c r="B14721" s="63" t="s">
        <v>15362</v>
      </c>
    </row>
    <row r="14722" spans="1:2" x14ac:dyDescent="0.25">
      <c r="A14722" s="62">
        <v>60101717</v>
      </c>
      <c r="B14722" s="63" t="s">
        <v>15363</v>
      </c>
    </row>
    <row r="14723" spans="1:2" x14ac:dyDescent="0.25">
      <c r="A14723" s="62">
        <v>60101718</v>
      </c>
      <c r="B14723" s="63" t="s">
        <v>15364</v>
      </c>
    </row>
    <row r="14724" spans="1:2" x14ac:dyDescent="0.25">
      <c r="A14724" s="62">
        <v>60101719</v>
      </c>
      <c r="B14724" s="63" t="s">
        <v>15365</v>
      </c>
    </row>
    <row r="14725" spans="1:2" x14ac:dyDescent="0.25">
      <c r="A14725" s="62">
        <v>60101720</v>
      </c>
      <c r="B14725" s="63" t="s">
        <v>15366</v>
      </c>
    </row>
    <row r="14726" spans="1:2" x14ac:dyDescent="0.25">
      <c r="A14726" s="62">
        <v>60101721</v>
      </c>
      <c r="B14726" s="63" t="s">
        <v>15367</v>
      </c>
    </row>
    <row r="14727" spans="1:2" x14ac:dyDescent="0.25">
      <c r="A14727" s="62">
        <v>60101722</v>
      </c>
      <c r="B14727" s="63" t="s">
        <v>15368</v>
      </c>
    </row>
    <row r="14728" spans="1:2" x14ac:dyDescent="0.25">
      <c r="A14728" s="62">
        <v>60101723</v>
      </c>
      <c r="B14728" s="63" t="s">
        <v>15369</v>
      </c>
    </row>
    <row r="14729" spans="1:2" x14ac:dyDescent="0.25">
      <c r="A14729" s="62">
        <v>60101724</v>
      </c>
      <c r="B14729" s="63" t="s">
        <v>15370</v>
      </c>
    </row>
    <row r="14730" spans="1:2" x14ac:dyDescent="0.25">
      <c r="A14730" s="62">
        <v>60101725</v>
      </c>
      <c r="B14730" s="63" t="s">
        <v>15371</v>
      </c>
    </row>
    <row r="14731" spans="1:2" x14ac:dyDescent="0.25">
      <c r="A14731" s="62">
        <v>60101726</v>
      </c>
      <c r="B14731" s="63" t="s">
        <v>15372</v>
      </c>
    </row>
    <row r="14732" spans="1:2" x14ac:dyDescent="0.25">
      <c r="A14732" s="62">
        <v>60101727</v>
      </c>
      <c r="B14732" s="63" t="s">
        <v>15373</v>
      </c>
    </row>
    <row r="14733" spans="1:2" x14ac:dyDescent="0.25">
      <c r="A14733" s="62">
        <v>60101728</v>
      </c>
      <c r="B14733" s="63" t="s">
        <v>15374</v>
      </c>
    </row>
    <row r="14734" spans="1:2" x14ac:dyDescent="0.25">
      <c r="A14734" s="62">
        <v>60101729</v>
      </c>
      <c r="B14734" s="63" t="s">
        <v>15375</v>
      </c>
    </row>
    <row r="14735" spans="1:2" x14ac:dyDescent="0.25">
      <c r="A14735" s="62">
        <v>60101730</v>
      </c>
      <c r="B14735" s="63" t="s">
        <v>15376</v>
      </c>
    </row>
    <row r="14736" spans="1:2" x14ac:dyDescent="0.25">
      <c r="A14736" s="62">
        <v>60101731</v>
      </c>
      <c r="B14736" s="63" t="s">
        <v>15377</v>
      </c>
    </row>
    <row r="14737" spans="1:2" x14ac:dyDescent="0.25">
      <c r="A14737" s="62">
        <v>60101732</v>
      </c>
      <c r="B14737" s="63" t="s">
        <v>15378</v>
      </c>
    </row>
    <row r="14738" spans="1:2" x14ac:dyDescent="0.25">
      <c r="A14738" s="62">
        <v>60101801</v>
      </c>
      <c r="B14738" s="63" t="s">
        <v>15379</v>
      </c>
    </row>
    <row r="14739" spans="1:2" x14ac:dyDescent="0.25">
      <c r="A14739" s="62">
        <v>60101802</v>
      </c>
      <c r="B14739" s="63" t="s">
        <v>15380</v>
      </c>
    </row>
    <row r="14740" spans="1:2" x14ac:dyDescent="0.25">
      <c r="A14740" s="62">
        <v>60101803</v>
      </c>
      <c r="B14740" s="63" t="s">
        <v>15381</v>
      </c>
    </row>
    <row r="14741" spans="1:2" x14ac:dyDescent="0.25">
      <c r="A14741" s="62">
        <v>60101804</v>
      </c>
      <c r="B14741" s="63" t="s">
        <v>15382</v>
      </c>
    </row>
    <row r="14742" spans="1:2" x14ac:dyDescent="0.25">
      <c r="A14742" s="62">
        <v>60101805</v>
      </c>
      <c r="B14742" s="63" t="s">
        <v>15383</v>
      </c>
    </row>
    <row r="14743" spans="1:2" x14ac:dyDescent="0.25">
      <c r="A14743" s="62">
        <v>60101806</v>
      </c>
      <c r="B14743" s="63" t="s">
        <v>15384</v>
      </c>
    </row>
    <row r="14744" spans="1:2" x14ac:dyDescent="0.25">
      <c r="A14744" s="62">
        <v>60101807</v>
      </c>
      <c r="B14744" s="63" t="s">
        <v>15385</v>
      </c>
    </row>
    <row r="14745" spans="1:2" x14ac:dyDescent="0.25">
      <c r="A14745" s="62">
        <v>60101808</v>
      </c>
      <c r="B14745" s="63" t="s">
        <v>15386</v>
      </c>
    </row>
    <row r="14746" spans="1:2" x14ac:dyDescent="0.25">
      <c r="A14746" s="62">
        <v>60101809</v>
      </c>
      <c r="B14746" s="63" t="s">
        <v>15387</v>
      </c>
    </row>
    <row r="14747" spans="1:2" x14ac:dyDescent="0.25">
      <c r="A14747" s="62">
        <v>60101810</v>
      </c>
      <c r="B14747" s="63" t="s">
        <v>15388</v>
      </c>
    </row>
    <row r="14748" spans="1:2" x14ac:dyDescent="0.25">
      <c r="A14748" s="62">
        <v>60101811</v>
      </c>
      <c r="B14748" s="63" t="s">
        <v>15389</v>
      </c>
    </row>
    <row r="14749" spans="1:2" x14ac:dyDescent="0.25">
      <c r="A14749" s="62">
        <v>60101901</v>
      </c>
      <c r="B14749" s="63" t="s">
        <v>15390</v>
      </c>
    </row>
    <row r="14750" spans="1:2" x14ac:dyDescent="0.25">
      <c r="A14750" s="62">
        <v>60101902</v>
      </c>
      <c r="B14750" s="63" t="s">
        <v>15391</v>
      </c>
    </row>
    <row r="14751" spans="1:2" x14ac:dyDescent="0.25">
      <c r="A14751" s="62">
        <v>60101903</v>
      </c>
      <c r="B14751" s="63" t="s">
        <v>15392</v>
      </c>
    </row>
    <row r="14752" spans="1:2" x14ac:dyDescent="0.25">
      <c r="A14752" s="62">
        <v>60101904</v>
      </c>
      <c r="B14752" s="63" t="s">
        <v>15393</v>
      </c>
    </row>
    <row r="14753" spans="1:2" x14ac:dyDescent="0.25">
      <c r="A14753" s="62">
        <v>60101905</v>
      </c>
      <c r="B14753" s="63" t="s">
        <v>15394</v>
      </c>
    </row>
    <row r="14754" spans="1:2" x14ac:dyDescent="0.25">
      <c r="A14754" s="62">
        <v>60101906</v>
      </c>
      <c r="B14754" s="63" t="s">
        <v>15395</v>
      </c>
    </row>
    <row r="14755" spans="1:2" x14ac:dyDescent="0.25">
      <c r="A14755" s="62">
        <v>60101907</v>
      </c>
      <c r="B14755" s="63" t="s">
        <v>15396</v>
      </c>
    </row>
    <row r="14756" spans="1:2" x14ac:dyDescent="0.25">
      <c r="A14756" s="62">
        <v>60101908</v>
      </c>
      <c r="B14756" s="63" t="s">
        <v>15397</v>
      </c>
    </row>
    <row r="14757" spans="1:2" x14ac:dyDescent="0.25">
      <c r="A14757" s="62">
        <v>60101909</v>
      </c>
      <c r="B14757" s="63" t="s">
        <v>15398</v>
      </c>
    </row>
    <row r="14758" spans="1:2" x14ac:dyDescent="0.25">
      <c r="A14758" s="62">
        <v>60101910</v>
      </c>
      <c r="B14758" s="63" t="s">
        <v>15399</v>
      </c>
    </row>
    <row r="14759" spans="1:2" x14ac:dyDescent="0.25">
      <c r="A14759" s="62">
        <v>60101911</v>
      </c>
      <c r="B14759" s="63" t="s">
        <v>15400</v>
      </c>
    </row>
    <row r="14760" spans="1:2" x14ac:dyDescent="0.25">
      <c r="A14760" s="62">
        <v>60102001</v>
      </c>
      <c r="B14760" s="63" t="s">
        <v>15401</v>
      </c>
    </row>
    <row r="14761" spans="1:2" x14ac:dyDescent="0.25">
      <c r="A14761" s="62">
        <v>60102002</v>
      </c>
      <c r="B14761" s="63" t="s">
        <v>15402</v>
      </c>
    </row>
    <row r="14762" spans="1:2" x14ac:dyDescent="0.25">
      <c r="A14762" s="62">
        <v>60102003</v>
      </c>
      <c r="B14762" s="63" t="s">
        <v>15403</v>
      </c>
    </row>
    <row r="14763" spans="1:2" x14ac:dyDescent="0.25">
      <c r="A14763" s="62">
        <v>60102004</v>
      </c>
      <c r="B14763" s="63" t="s">
        <v>15404</v>
      </c>
    </row>
    <row r="14764" spans="1:2" x14ac:dyDescent="0.25">
      <c r="A14764" s="62">
        <v>60102005</v>
      </c>
      <c r="B14764" s="63" t="s">
        <v>15405</v>
      </c>
    </row>
    <row r="14765" spans="1:2" x14ac:dyDescent="0.25">
      <c r="A14765" s="62">
        <v>60102006</v>
      </c>
      <c r="B14765" s="63" t="s">
        <v>15406</v>
      </c>
    </row>
    <row r="14766" spans="1:2" x14ac:dyDescent="0.25">
      <c r="A14766" s="62">
        <v>60102007</v>
      </c>
      <c r="B14766" s="63" t="s">
        <v>15407</v>
      </c>
    </row>
    <row r="14767" spans="1:2" x14ac:dyDescent="0.25">
      <c r="A14767" s="62">
        <v>60102101</v>
      </c>
      <c r="B14767" s="63" t="s">
        <v>15408</v>
      </c>
    </row>
    <row r="14768" spans="1:2" x14ac:dyDescent="0.25">
      <c r="A14768" s="62">
        <v>60102102</v>
      </c>
      <c r="B14768" s="63" t="s">
        <v>15409</v>
      </c>
    </row>
    <row r="14769" spans="1:2" x14ac:dyDescent="0.25">
      <c r="A14769" s="62">
        <v>60102103</v>
      </c>
      <c r="B14769" s="63" t="s">
        <v>15410</v>
      </c>
    </row>
    <row r="14770" spans="1:2" x14ac:dyDescent="0.25">
      <c r="A14770" s="62">
        <v>60102104</v>
      </c>
      <c r="B14770" s="63" t="s">
        <v>15411</v>
      </c>
    </row>
    <row r="14771" spans="1:2" x14ac:dyDescent="0.25">
      <c r="A14771" s="62">
        <v>60102105</v>
      </c>
      <c r="B14771" s="63" t="s">
        <v>15412</v>
      </c>
    </row>
    <row r="14772" spans="1:2" x14ac:dyDescent="0.25">
      <c r="A14772" s="62">
        <v>60102106</v>
      </c>
      <c r="B14772" s="63" t="s">
        <v>15413</v>
      </c>
    </row>
    <row r="14773" spans="1:2" x14ac:dyDescent="0.25">
      <c r="A14773" s="62">
        <v>60102201</v>
      </c>
      <c r="B14773" s="63" t="s">
        <v>15414</v>
      </c>
    </row>
    <row r="14774" spans="1:2" x14ac:dyDescent="0.25">
      <c r="A14774" s="62">
        <v>60102202</v>
      </c>
      <c r="B14774" s="63" t="s">
        <v>15415</v>
      </c>
    </row>
    <row r="14775" spans="1:2" x14ac:dyDescent="0.25">
      <c r="A14775" s="62">
        <v>60102203</v>
      </c>
      <c r="B14775" s="63" t="s">
        <v>15416</v>
      </c>
    </row>
    <row r="14776" spans="1:2" x14ac:dyDescent="0.25">
      <c r="A14776" s="62">
        <v>60102204</v>
      </c>
      <c r="B14776" s="63" t="s">
        <v>15417</v>
      </c>
    </row>
    <row r="14777" spans="1:2" x14ac:dyDescent="0.25">
      <c r="A14777" s="62">
        <v>60102205</v>
      </c>
      <c r="B14777" s="63" t="s">
        <v>15418</v>
      </c>
    </row>
    <row r="14778" spans="1:2" x14ac:dyDescent="0.25">
      <c r="A14778" s="62">
        <v>60102206</v>
      </c>
      <c r="B14778" s="63" t="s">
        <v>15419</v>
      </c>
    </row>
    <row r="14779" spans="1:2" x14ac:dyDescent="0.25">
      <c r="A14779" s="62">
        <v>60102301</v>
      </c>
      <c r="B14779" s="63" t="s">
        <v>15420</v>
      </c>
    </row>
    <row r="14780" spans="1:2" x14ac:dyDescent="0.25">
      <c r="A14780" s="62">
        <v>60102302</v>
      </c>
      <c r="B14780" s="63" t="s">
        <v>15421</v>
      </c>
    </row>
    <row r="14781" spans="1:2" x14ac:dyDescent="0.25">
      <c r="A14781" s="62">
        <v>60102303</v>
      </c>
      <c r="B14781" s="63" t="s">
        <v>15422</v>
      </c>
    </row>
    <row r="14782" spans="1:2" x14ac:dyDescent="0.25">
      <c r="A14782" s="62">
        <v>60102304</v>
      </c>
      <c r="B14782" s="63" t="s">
        <v>15423</v>
      </c>
    </row>
    <row r="14783" spans="1:2" x14ac:dyDescent="0.25">
      <c r="A14783" s="62">
        <v>60102305</v>
      </c>
      <c r="B14783" s="63" t="s">
        <v>15424</v>
      </c>
    </row>
    <row r="14784" spans="1:2" x14ac:dyDescent="0.25">
      <c r="A14784" s="62">
        <v>60102306</v>
      </c>
      <c r="B14784" s="63" t="s">
        <v>15425</v>
      </c>
    </row>
    <row r="14785" spans="1:2" x14ac:dyDescent="0.25">
      <c r="A14785" s="62">
        <v>60102307</v>
      </c>
      <c r="B14785" s="63" t="s">
        <v>15426</v>
      </c>
    </row>
    <row r="14786" spans="1:2" x14ac:dyDescent="0.25">
      <c r="A14786" s="62">
        <v>60102308</v>
      </c>
      <c r="B14786" s="63" t="s">
        <v>15427</v>
      </c>
    </row>
    <row r="14787" spans="1:2" x14ac:dyDescent="0.25">
      <c r="A14787" s="62">
        <v>60102309</v>
      </c>
      <c r="B14787" s="63" t="s">
        <v>15428</v>
      </c>
    </row>
    <row r="14788" spans="1:2" x14ac:dyDescent="0.25">
      <c r="A14788" s="62">
        <v>60102310</v>
      </c>
      <c r="B14788" s="63" t="s">
        <v>15429</v>
      </c>
    </row>
    <row r="14789" spans="1:2" x14ac:dyDescent="0.25">
      <c r="A14789" s="62">
        <v>60102311</v>
      </c>
      <c r="B14789" s="63" t="s">
        <v>15430</v>
      </c>
    </row>
    <row r="14790" spans="1:2" x14ac:dyDescent="0.25">
      <c r="A14790" s="62">
        <v>60102312</v>
      </c>
      <c r="B14790" s="63" t="s">
        <v>15431</v>
      </c>
    </row>
    <row r="14791" spans="1:2" x14ac:dyDescent="0.25">
      <c r="A14791" s="62">
        <v>60102401</v>
      </c>
      <c r="B14791" s="63" t="s">
        <v>15432</v>
      </c>
    </row>
    <row r="14792" spans="1:2" x14ac:dyDescent="0.25">
      <c r="A14792" s="62">
        <v>60102402</v>
      </c>
      <c r="B14792" s="63" t="s">
        <v>15433</v>
      </c>
    </row>
    <row r="14793" spans="1:2" x14ac:dyDescent="0.25">
      <c r="A14793" s="62">
        <v>60102403</v>
      </c>
      <c r="B14793" s="63" t="s">
        <v>15434</v>
      </c>
    </row>
    <row r="14794" spans="1:2" x14ac:dyDescent="0.25">
      <c r="A14794" s="62">
        <v>60102404</v>
      </c>
      <c r="B14794" s="63" t="s">
        <v>15435</v>
      </c>
    </row>
    <row r="14795" spans="1:2" x14ac:dyDescent="0.25">
      <c r="A14795" s="62">
        <v>60102405</v>
      </c>
      <c r="B14795" s="63" t="s">
        <v>15436</v>
      </c>
    </row>
    <row r="14796" spans="1:2" x14ac:dyDescent="0.25">
      <c r="A14796" s="62">
        <v>60102406</v>
      </c>
      <c r="B14796" s="63" t="s">
        <v>15437</v>
      </c>
    </row>
    <row r="14797" spans="1:2" x14ac:dyDescent="0.25">
      <c r="A14797" s="62">
        <v>60102407</v>
      </c>
      <c r="B14797" s="63" t="s">
        <v>15438</v>
      </c>
    </row>
    <row r="14798" spans="1:2" x14ac:dyDescent="0.25">
      <c r="A14798" s="62">
        <v>60102408</v>
      </c>
      <c r="B14798" s="63" t="s">
        <v>15439</v>
      </c>
    </row>
    <row r="14799" spans="1:2" x14ac:dyDescent="0.25">
      <c r="A14799" s="62">
        <v>60102409</v>
      </c>
      <c r="B14799" s="63" t="s">
        <v>15440</v>
      </c>
    </row>
    <row r="14800" spans="1:2" x14ac:dyDescent="0.25">
      <c r="A14800" s="62">
        <v>60102410</v>
      </c>
      <c r="B14800" s="63" t="s">
        <v>15441</v>
      </c>
    </row>
    <row r="14801" spans="1:2" x14ac:dyDescent="0.25">
      <c r="A14801" s="62">
        <v>60102411</v>
      </c>
      <c r="B14801" s="63" t="s">
        <v>15442</v>
      </c>
    </row>
    <row r="14802" spans="1:2" x14ac:dyDescent="0.25">
      <c r="A14802" s="62">
        <v>60102412</v>
      </c>
      <c r="B14802" s="63" t="s">
        <v>15443</v>
      </c>
    </row>
    <row r="14803" spans="1:2" x14ac:dyDescent="0.25">
      <c r="A14803" s="62">
        <v>60102413</v>
      </c>
      <c r="B14803" s="63" t="s">
        <v>15444</v>
      </c>
    </row>
    <row r="14804" spans="1:2" x14ac:dyDescent="0.25">
      <c r="A14804" s="62">
        <v>60102414</v>
      </c>
      <c r="B14804" s="63" t="s">
        <v>15445</v>
      </c>
    </row>
    <row r="14805" spans="1:2" x14ac:dyDescent="0.25">
      <c r="A14805" s="62">
        <v>60102501</v>
      </c>
      <c r="B14805" s="63" t="s">
        <v>15446</v>
      </c>
    </row>
    <row r="14806" spans="1:2" x14ac:dyDescent="0.25">
      <c r="A14806" s="62">
        <v>60102502</v>
      </c>
      <c r="B14806" s="63" t="s">
        <v>15447</v>
      </c>
    </row>
    <row r="14807" spans="1:2" x14ac:dyDescent="0.25">
      <c r="A14807" s="62">
        <v>60102503</v>
      </c>
      <c r="B14807" s="63" t="s">
        <v>15448</v>
      </c>
    </row>
    <row r="14808" spans="1:2" x14ac:dyDescent="0.25">
      <c r="A14808" s="62">
        <v>60102504</v>
      </c>
      <c r="B14808" s="63" t="s">
        <v>15449</v>
      </c>
    </row>
    <row r="14809" spans="1:2" x14ac:dyDescent="0.25">
      <c r="A14809" s="62">
        <v>60102505</v>
      </c>
      <c r="B14809" s="63" t="s">
        <v>15450</v>
      </c>
    </row>
    <row r="14810" spans="1:2" x14ac:dyDescent="0.25">
      <c r="A14810" s="62">
        <v>60102506</v>
      </c>
      <c r="B14810" s="63" t="s">
        <v>15451</v>
      </c>
    </row>
    <row r="14811" spans="1:2" x14ac:dyDescent="0.25">
      <c r="A14811" s="62">
        <v>60102507</v>
      </c>
      <c r="B14811" s="63" t="s">
        <v>15452</v>
      </c>
    </row>
    <row r="14812" spans="1:2" x14ac:dyDescent="0.25">
      <c r="A14812" s="62">
        <v>60102508</v>
      </c>
      <c r="B14812" s="63" t="s">
        <v>15453</v>
      </c>
    </row>
    <row r="14813" spans="1:2" x14ac:dyDescent="0.25">
      <c r="A14813" s="62">
        <v>60102509</v>
      </c>
      <c r="B14813" s="63" t="s">
        <v>15454</v>
      </c>
    </row>
    <row r="14814" spans="1:2" x14ac:dyDescent="0.25">
      <c r="A14814" s="62">
        <v>60102510</v>
      </c>
      <c r="B14814" s="63" t="s">
        <v>15455</v>
      </c>
    </row>
    <row r="14815" spans="1:2" x14ac:dyDescent="0.25">
      <c r="A14815" s="62">
        <v>60102511</v>
      </c>
      <c r="B14815" s="63" t="s">
        <v>15456</v>
      </c>
    </row>
    <row r="14816" spans="1:2" x14ac:dyDescent="0.25">
      <c r="A14816" s="62">
        <v>60102512</v>
      </c>
      <c r="B14816" s="63" t="s">
        <v>15457</v>
      </c>
    </row>
    <row r="14817" spans="1:2" x14ac:dyDescent="0.25">
      <c r="A14817" s="62">
        <v>60102513</v>
      </c>
      <c r="B14817" s="63" t="s">
        <v>15458</v>
      </c>
    </row>
    <row r="14818" spans="1:2" x14ac:dyDescent="0.25">
      <c r="A14818" s="62">
        <v>60102601</v>
      </c>
      <c r="B14818" s="63" t="s">
        <v>15459</v>
      </c>
    </row>
    <row r="14819" spans="1:2" x14ac:dyDescent="0.25">
      <c r="A14819" s="62">
        <v>60102602</v>
      </c>
      <c r="B14819" s="63" t="s">
        <v>15460</v>
      </c>
    </row>
    <row r="14820" spans="1:2" x14ac:dyDescent="0.25">
      <c r="A14820" s="62">
        <v>60102603</v>
      </c>
      <c r="B14820" s="63" t="s">
        <v>15461</v>
      </c>
    </row>
    <row r="14821" spans="1:2" x14ac:dyDescent="0.25">
      <c r="A14821" s="62">
        <v>60102604</v>
      </c>
      <c r="B14821" s="63" t="s">
        <v>15462</v>
      </c>
    </row>
    <row r="14822" spans="1:2" x14ac:dyDescent="0.25">
      <c r="A14822" s="62">
        <v>60102605</v>
      </c>
      <c r="B14822" s="63" t="s">
        <v>15463</v>
      </c>
    </row>
    <row r="14823" spans="1:2" x14ac:dyDescent="0.25">
      <c r="A14823" s="62">
        <v>60102606</v>
      </c>
      <c r="B14823" s="63" t="s">
        <v>15464</v>
      </c>
    </row>
    <row r="14824" spans="1:2" x14ac:dyDescent="0.25">
      <c r="A14824" s="62">
        <v>60102607</v>
      </c>
      <c r="B14824" s="63" t="s">
        <v>15465</v>
      </c>
    </row>
    <row r="14825" spans="1:2" x14ac:dyDescent="0.25">
      <c r="A14825" s="62">
        <v>60102608</v>
      </c>
      <c r="B14825" s="63" t="s">
        <v>15466</v>
      </c>
    </row>
    <row r="14826" spans="1:2" x14ac:dyDescent="0.25">
      <c r="A14826" s="62">
        <v>60102609</v>
      </c>
      <c r="B14826" s="63" t="s">
        <v>15467</v>
      </c>
    </row>
    <row r="14827" spans="1:2" x14ac:dyDescent="0.25">
      <c r="A14827" s="62">
        <v>60102610</v>
      </c>
      <c r="B14827" s="63" t="s">
        <v>15468</v>
      </c>
    </row>
    <row r="14828" spans="1:2" x14ac:dyDescent="0.25">
      <c r="A14828" s="62">
        <v>60102611</v>
      </c>
      <c r="B14828" s="63" t="s">
        <v>15469</v>
      </c>
    </row>
    <row r="14829" spans="1:2" x14ac:dyDescent="0.25">
      <c r="A14829" s="62">
        <v>60102612</v>
      </c>
      <c r="B14829" s="63" t="s">
        <v>15470</v>
      </c>
    </row>
    <row r="14830" spans="1:2" x14ac:dyDescent="0.25">
      <c r="A14830" s="62">
        <v>60102613</v>
      </c>
      <c r="B14830" s="63" t="s">
        <v>15471</v>
      </c>
    </row>
    <row r="14831" spans="1:2" x14ac:dyDescent="0.25">
      <c r="A14831" s="62">
        <v>60102614</v>
      </c>
      <c r="B14831" s="63" t="s">
        <v>15472</v>
      </c>
    </row>
    <row r="14832" spans="1:2" x14ac:dyDescent="0.25">
      <c r="A14832" s="62">
        <v>60102701</v>
      </c>
      <c r="B14832" s="63" t="s">
        <v>15473</v>
      </c>
    </row>
    <row r="14833" spans="1:2" x14ac:dyDescent="0.25">
      <c r="A14833" s="62">
        <v>60102702</v>
      </c>
      <c r="B14833" s="63" t="s">
        <v>15474</v>
      </c>
    </row>
    <row r="14834" spans="1:2" x14ac:dyDescent="0.25">
      <c r="A14834" s="62">
        <v>60102703</v>
      </c>
      <c r="B14834" s="63" t="s">
        <v>15475</v>
      </c>
    </row>
    <row r="14835" spans="1:2" x14ac:dyDescent="0.25">
      <c r="A14835" s="62">
        <v>60102704</v>
      </c>
      <c r="B14835" s="63" t="s">
        <v>15476</v>
      </c>
    </row>
    <row r="14836" spans="1:2" x14ac:dyDescent="0.25">
      <c r="A14836" s="62">
        <v>60102705</v>
      </c>
      <c r="B14836" s="63" t="s">
        <v>15477</v>
      </c>
    </row>
    <row r="14837" spans="1:2" x14ac:dyDescent="0.25">
      <c r="A14837" s="62">
        <v>60102706</v>
      </c>
      <c r="B14837" s="63" t="s">
        <v>15478</v>
      </c>
    </row>
    <row r="14838" spans="1:2" x14ac:dyDescent="0.25">
      <c r="A14838" s="62">
        <v>60102707</v>
      </c>
      <c r="B14838" s="63" t="s">
        <v>15479</v>
      </c>
    </row>
    <row r="14839" spans="1:2" x14ac:dyDescent="0.25">
      <c r="A14839" s="62">
        <v>60102708</v>
      </c>
      <c r="B14839" s="63" t="s">
        <v>15480</v>
      </c>
    </row>
    <row r="14840" spans="1:2" x14ac:dyDescent="0.25">
      <c r="A14840" s="62">
        <v>60102709</v>
      </c>
      <c r="B14840" s="63" t="s">
        <v>15481</v>
      </c>
    </row>
    <row r="14841" spans="1:2" x14ac:dyDescent="0.25">
      <c r="A14841" s="62">
        <v>60102710</v>
      </c>
      <c r="B14841" s="63" t="s">
        <v>15482</v>
      </c>
    </row>
    <row r="14842" spans="1:2" x14ac:dyDescent="0.25">
      <c r="A14842" s="62">
        <v>60102711</v>
      </c>
      <c r="B14842" s="63" t="s">
        <v>15483</v>
      </c>
    </row>
    <row r="14843" spans="1:2" x14ac:dyDescent="0.25">
      <c r="A14843" s="62">
        <v>60102712</v>
      </c>
      <c r="B14843" s="63" t="s">
        <v>15484</v>
      </c>
    </row>
    <row r="14844" spans="1:2" x14ac:dyDescent="0.25">
      <c r="A14844" s="62">
        <v>60102713</v>
      </c>
      <c r="B14844" s="63" t="s">
        <v>15485</v>
      </c>
    </row>
    <row r="14845" spans="1:2" x14ac:dyDescent="0.25">
      <c r="A14845" s="62">
        <v>60102714</v>
      </c>
      <c r="B14845" s="63" t="s">
        <v>15486</v>
      </c>
    </row>
    <row r="14846" spans="1:2" x14ac:dyDescent="0.25">
      <c r="A14846" s="62">
        <v>60102715</v>
      </c>
      <c r="B14846" s="63" t="s">
        <v>15487</v>
      </c>
    </row>
    <row r="14847" spans="1:2" x14ac:dyDescent="0.25">
      <c r="A14847" s="62">
        <v>60102717</v>
      </c>
      <c r="B14847" s="63" t="s">
        <v>15488</v>
      </c>
    </row>
    <row r="14848" spans="1:2" x14ac:dyDescent="0.25">
      <c r="A14848" s="62">
        <v>60102718</v>
      </c>
      <c r="B14848" s="63" t="s">
        <v>15489</v>
      </c>
    </row>
    <row r="14849" spans="1:2" x14ac:dyDescent="0.25">
      <c r="A14849" s="62">
        <v>60102801</v>
      </c>
      <c r="B14849" s="63" t="s">
        <v>15490</v>
      </c>
    </row>
    <row r="14850" spans="1:2" x14ac:dyDescent="0.25">
      <c r="A14850" s="62">
        <v>60102802</v>
      </c>
      <c r="B14850" s="63" t="s">
        <v>15491</v>
      </c>
    </row>
    <row r="14851" spans="1:2" x14ac:dyDescent="0.25">
      <c r="A14851" s="62">
        <v>60102803</v>
      </c>
      <c r="B14851" s="63" t="s">
        <v>15492</v>
      </c>
    </row>
    <row r="14852" spans="1:2" x14ac:dyDescent="0.25">
      <c r="A14852" s="62">
        <v>60102804</v>
      </c>
      <c r="B14852" s="63" t="s">
        <v>15493</v>
      </c>
    </row>
    <row r="14853" spans="1:2" x14ac:dyDescent="0.25">
      <c r="A14853" s="62">
        <v>60102805</v>
      </c>
      <c r="B14853" s="63" t="s">
        <v>15494</v>
      </c>
    </row>
    <row r="14854" spans="1:2" x14ac:dyDescent="0.25">
      <c r="A14854" s="62">
        <v>60102806</v>
      </c>
      <c r="B14854" s="63" t="s">
        <v>15495</v>
      </c>
    </row>
    <row r="14855" spans="1:2" x14ac:dyDescent="0.25">
      <c r="A14855" s="62">
        <v>60102807</v>
      </c>
      <c r="B14855" s="63" t="s">
        <v>15496</v>
      </c>
    </row>
    <row r="14856" spans="1:2" x14ac:dyDescent="0.25">
      <c r="A14856" s="62">
        <v>60102901</v>
      </c>
      <c r="B14856" s="63" t="s">
        <v>15497</v>
      </c>
    </row>
    <row r="14857" spans="1:2" x14ac:dyDescent="0.25">
      <c r="A14857" s="62">
        <v>60102902</v>
      </c>
      <c r="B14857" s="63" t="s">
        <v>15498</v>
      </c>
    </row>
    <row r="14858" spans="1:2" x14ac:dyDescent="0.25">
      <c r="A14858" s="62">
        <v>60102903</v>
      </c>
      <c r="B14858" s="63" t="s">
        <v>15499</v>
      </c>
    </row>
    <row r="14859" spans="1:2" x14ac:dyDescent="0.25">
      <c r="A14859" s="62">
        <v>60102904</v>
      </c>
      <c r="B14859" s="63" t="s">
        <v>15500</v>
      </c>
    </row>
    <row r="14860" spans="1:2" x14ac:dyDescent="0.25">
      <c r="A14860" s="62">
        <v>60102905</v>
      </c>
      <c r="B14860" s="63" t="s">
        <v>15501</v>
      </c>
    </row>
    <row r="14861" spans="1:2" x14ac:dyDescent="0.25">
      <c r="A14861" s="62">
        <v>60102906</v>
      </c>
      <c r="B14861" s="63" t="s">
        <v>15502</v>
      </c>
    </row>
    <row r="14862" spans="1:2" x14ac:dyDescent="0.25">
      <c r="A14862" s="62">
        <v>60102907</v>
      </c>
      <c r="B14862" s="63" t="s">
        <v>15503</v>
      </c>
    </row>
    <row r="14863" spans="1:2" x14ac:dyDescent="0.25">
      <c r="A14863" s="62">
        <v>60102908</v>
      </c>
      <c r="B14863" s="63" t="s">
        <v>15504</v>
      </c>
    </row>
    <row r="14864" spans="1:2" x14ac:dyDescent="0.25">
      <c r="A14864" s="62">
        <v>60102909</v>
      </c>
      <c r="B14864" s="63" t="s">
        <v>15505</v>
      </c>
    </row>
    <row r="14865" spans="1:2" x14ac:dyDescent="0.25">
      <c r="A14865" s="62">
        <v>60102910</v>
      </c>
      <c r="B14865" s="63" t="s">
        <v>15506</v>
      </c>
    </row>
    <row r="14866" spans="1:2" x14ac:dyDescent="0.25">
      <c r="A14866" s="62">
        <v>60102911</v>
      </c>
      <c r="B14866" s="63" t="s">
        <v>15507</v>
      </c>
    </row>
    <row r="14867" spans="1:2" x14ac:dyDescent="0.25">
      <c r="A14867" s="62">
        <v>60102912</v>
      </c>
      <c r="B14867" s="63" t="s">
        <v>15508</v>
      </c>
    </row>
    <row r="14868" spans="1:2" x14ac:dyDescent="0.25">
      <c r="A14868" s="62">
        <v>60102913</v>
      </c>
      <c r="B14868" s="63" t="s">
        <v>15509</v>
      </c>
    </row>
    <row r="14869" spans="1:2" x14ac:dyDescent="0.25">
      <c r="A14869" s="62">
        <v>60102914</v>
      </c>
      <c r="B14869" s="63" t="s">
        <v>15510</v>
      </c>
    </row>
    <row r="14870" spans="1:2" x14ac:dyDescent="0.25">
      <c r="A14870" s="62">
        <v>60102915</v>
      </c>
      <c r="B14870" s="63" t="s">
        <v>15511</v>
      </c>
    </row>
    <row r="14871" spans="1:2" x14ac:dyDescent="0.25">
      <c r="A14871" s="62">
        <v>60102916</v>
      </c>
      <c r="B14871" s="63" t="s">
        <v>15512</v>
      </c>
    </row>
    <row r="14872" spans="1:2" x14ac:dyDescent="0.25">
      <c r="A14872" s="62">
        <v>60102917</v>
      </c>
      <c r="B14872" s="63" t="s">
        <v>15513</v>
      </c>
    </row>
    <row r="14873" spans="1:2" x14ac:dyDescent="0.25">
      <c r="A14873" s="62">
        <v>60103001</v>
      </c>
      <c r="B14873" s="63" t="s">
        <v>15514</v>
      </c>
    </row>
    <row r="14874" spans="1:2" x14ac:dyDescent="0.25">
      <c r="A14874" s="62">
        <v>60103002</v>
      </c>
      <c r="B14874" s="63" t="s">
        <v>15515</v>
      </c>
    </row>
    <row r="14875" spans="1:2" x14ac:dyDescent="0.25">
      <c r="A14875" s="62">
        <v>60103003</v>
      </c>
      <c r="B14875" s="63" t="s">
        <v>15516</v>
      </c>
    </row>
    <row r="14876" spans="1:2" x14ac:dyDescent="0.25">
      <c r="A14876" s="62">
        <v>60103004</v>
      </c>
      <c r="B14876" s="63" t="s">
        <v>15517</v>
      </c>
    </row>
    <row r="14877" spans="1:2" x14ac:dyDescent="0.25">
      <c r="A14877" s="62">
        <v>60103005</v>
      </c>
      <c r="B14877" s="63" t="s">
        <v>15518</v>
      </c>
    </row>
    <row r="14878" spans="1:2" x14ac:dyDescent="0.25">
      <c r="A14878" s="62">
        <v>60103006</v>
      </c>
      <c r="B14878" s="63" t="s">
        <v>15519</v>
      </c>
    </row>
    <row r="14879" spans="1:2" x14ac:dyDescent="0.25">
      <c r="A14879" s="62">
        <v>60103007</v>
      </c>
      <c r="B14879" s="63" t="s">
        <v>15520</v>
      </c>
    </row>
    <row r="14880" spans="1:2" x14ac:dyDescent="0.25">
      <c r="A14880" s="62">
        <v>60103008</v>
      </c>
      <c r="B14880" s="63" t="s">
        <v>15521</v>
      </c>
    </row>
    <row r="14881" spans="1:2" x14ac:dyDescent="0.25">
      <c r="A14881" s="62">
        <v>60103009</v>
      </c>
      <c r="B14881" s="63" t="s">
        <v>15522</v>
      </c>
    </row>
    <row r="14882" spans="1:2" x14ac:dyDescent="0.25">
      <c r="A14882" s="62">
        <v>60103010</v>
      </c>
      <c r="B14882" s="63" t="s">
        <v>15523</v>
      </c>
    </row>
    <row r="14883" spans="1:2" x14ac:dyDescent="0.25">
      <c r="A14883" s="62">
        <v>60103012</v>
      </c>
      <c r="B14883" s="63" t="s">
        <v>15524</v>
      </c>
    </row>
    <row r="14884" spans="1:2" x14ac:dyDescent="0.25">
      <c r="A14884" s="62">
        <v>60103013</v>
      </c>
      <c r="B14884" s="63" t="s">
        <v>15525</v>
      </c>
    </row>
    <row r="14885" spans="1:2" x14ac:dyDescent="0.25">
      <c r="A14885" s="62">
        <v>60103101</v>
      </c>
      <c r="B14885" s="63" t="s">
        <v>15526</v>
      </c>
    </row>
    <row r="14886" spans="1:2" x14ac:dyDescent="0.25">
      <c r="A14886" s="62">
        <v>60103102</v>
      </c>
      <c r="B14886" s="63" t="s">
        <v>15527</v>
      </c>
    </row>
    <row r="14887" spans="1:2" x14ac:dyDescent="0.25">
      <c r="A14887" s="62">
        <v>60103103</v>
      </c>
      <c r="B14887" s="63" t="s">
        <v>15528</v>
      </c>
    </row>
    <row r="14888" spans="1:2" x14ac:dyDescent="0.25">
      <c r="A14888" s="62">
        <v>60103104</v>
      </c>
      <c r="B14888" s="63" t="s">
        <v>15529</v>
      </c>
    </row>
    <row r="14889" spans="1:2" x14ac:dyDescent="0.25">
      <c r="A14889" s="62">
        <v>60103105</v>
      </c>
      <c r="B14889" s="63" t="s">
        <v>15530</v>
      </c>
    </row>
    <row r="14890" spans="1:2" x14ac:dyDescent="0.25">
      <c r="A14890" s="62">
        <v>60103106</v>
      </c>
      <c r="B14890" s="63" t="s">
        <v>15531</v>
      </c>
    </row>
    <row r="14891" spans="1:2" x14ac:dyDescent="0.25">
      <c r="A14891" s="62">
        <v>60103107</v>
      </c>
      <c r="B14891" s="63" t="s">
        <v>15532</v>
      </c>
    </row>
    <row r="14892" spans="1:2" x14ac:dyDescent="0.25">
      <c r="A14892" s="62">
        <v>60103108</v>
      </c>
      <c r="B14892" s="63" t="s">
        <v>15533</v>
      </c>
    </row>
    <row r="14893" spans="1:2" x14ac:dyDescent="0.25">
      <c r="A14893" s="62">
        <v>60103109</v>
      </c>
      <c r="B14893" s="63" t="s">
        <v>15534</v>
      </c>
    </row>
    <row r="14894" spans="1:2" x14ac:dyDescent="0.25">
      <c r="A14894" s="62">
        <v>60103110</v>
      </c>
      <c r="B14894" s="63" t="s">
        <v>15535</v>
      </c>
    </row>
    <row r="14895" spans="1:2" x14ac:dyDescent="0.25">
      <c r="A14895" s="62">
        <v>60103111</v>
      </c>
      <c r="B14895" s="63" t="s">
        <v>15536</v>
      </c>
    </row>
    <row r="14896" spans="1:2" x14ac:dyDescent="0.25">
      <c r="A14896" s="62">
        <v>60103112</v>
      </c>
      <c r="B14896" s="63" t="s">
        <v>15537</v>
      </c>
    </row>
    <row r="14897" spans="1:2" x14ac:dyDescent="0.25">
      <c r="A14897" s="62">
        <v>60103201</v>
      </c>
      <c r="B14897" s="63" t="s">
        <v>15538</v>
      </c>
    </row>
    <row r="14898" spans="1:2" x14ac:dyDescent="0.25">
      <c r="A14898" s="62">
        <v>60103202</v>
      </c>
      <c r="B14898" s="63" t="s">
        <v>15539</v>
      </c>
    </row>
    <row r="14899" spans="1:2" x14ac:dyDescent="0.25">
      <c r="A14899" s="62">
        <v>60103203</v>
      </c>
      <c r="B14899" s="63" t="s">
        <v>15540</v>
      </c>
    </row>
    <row r="14900" spans="1:2" x14ac:dyDescent="0.25">
      <c r="A14900" s="62">
        <v>60103204</v>
      </c>
      <c r="B14900" s="63" t="s">
        <v>15541</v>
      </c>
    </row>
    <row r="14901" spans="1:2" x14ac:dyDescent="0.25">
      <c r="A14901" s="62">
        <v>60103301</v>
      </c>
      <c r="B14901" s="63" t="s">
        <v>15542</v>
      </c>
    </row>
    <row r="14902" spans="1:2" x14ac:dyDescent="0.25">
      <c r="A14902" s="62">
        <v>60103302</v>
      </c>
      <c r="B14902" s="63" t="s">
        <v>15543</v>
      </c>
    </row>
    <row r="14903" spans="1:2" x14ac:dyDescent="0.25">
      <c r="A14903" s="62">
        <v>60103303</v>
      </c>
      <c r="B14903" s="63" t="s">
        <v>15544</v>
      </c>
    </row>
    <row r="14904" spans="1:2" x14ac:dyDescent="0.25">
      <c r="A14904" s="62">
        <v>60103401</v>
      </c>
      <c r="B14904" s="63" t="s">
        <v>15545</v>
      </c>
    </row>
    <row r="14905" spans="1:2" x14ac:dyDescent="0.25">
      <c r="A14905" s="62">
        <v>60103402</v>
      </c>
      <c r="B14905" s="63" t="s">
        <v>15546</v>
      </c>
    </row>
    <row r="14906" spans="1:2" x14ac:dyDescent="0.25">
      <c r="A14906" s="62">
        <v>60103403</v>
      </c>
      <c r="B14906" s="63" t="s">
        <v>15547</v>
      </c>
    </row>
    <row r="14907" spans="1:2" x14ac:dyDescent="0.25">
      <c r="A14907" s="62">
        <v>60103404</v>
      </c>
      <c r="B14907" s="63" t="s">
        <v>15548</v>
      </c>
    </row>
    <row r="14908" spans="1:2" x14ac:dyDescent="0.25">
      <c r="A14908" s="62">
        <v>60103405</v>
      </c>
      <c r="B14908" s="63" t="s">
        <v>15549</v>
      </c>
    </row>
    <row r="14909" spans="1:2" x14ac:dyDescent="0.25">
      <c r="A14909" s="62">
        <v>60103406</v>
      </c>
      <c r="B14909" s="63" t="s">
        <v>15550</v>
      </c>
    </row>
    <row r="14910" spans="1:2" x14ac:dyDescent="0.25">
      <c r="A14910" s="62">
        <v>60103407</v>
      </c>
      <c r="B14910" s="63" t="s">
        <v>15551</v>
      </c>
    </row>
    <row r="14911" spans="1:2" x14ac:dyDescent="0.25">
      <c r="A14911" s="62">
        <v>60103408</v>
      </c>
      <c r="B14911" s="63" t="s">
        <v>15552</v>
      </c>
    </row>
    <row r="14912" spans="1:2" x14ac:dyDescent="0.25">
      <c r="A14912" s="62">
        <v>60103409</v>
      </c>
      <c r="B14912" s="63" t="s">
        <v>15553</v>
      </c>
    </row>
    <row r="14913" spans="1:2" x14ac:dyDescent="0.25">
      <c r="A14913" s="62">
        <v>60103410</v>
      </c>
      <c r="B14913" s="63" t="s">
        <v>15554</v>
      </c>
    </row>
    <row r="14914" spans="1:2" x14ac:dyDescent="0.25">
      <c r="A14914" s="62">
        <v>60103501</v>
      </c>
      <c r="B14914" s="63" t="s">
        <v>15555</v>
      </c>
    </row>
    <row r="14915" spans="1:2" x14ac:dyDescent="0.25">
      <c r="A14915" s="62">
        <v>60103502</v>
      </c>
      <c r="B14915" s="63" t="s">
        <v>15556</v>
      </c>
    </row>
    <row r="14916" spans="1:2" x14ac:dyDescent="0.25">
      <c r="A14916" s="62">
        <v>60103503</v>
      </c>
      <c r="B14916" s="63" t="s">
        <v>15557</v>
      </c>
    </row>
    <row r="14917" spans="1:2" x14ac:dyDescent="0.25">
      <c r="A14917" s="62">
        <v>60103504</v>
      </c>
      <c r="B14917" s="63" t="s">
        <v>15558</v>
      </c>
    </row>
    <row r="14918" spans="1:2" x14ac:dyDescent="0.25">
      <c r="A14918" s="62">
        <v>60103601</v>
      </c>
      <c r="B14918" s="63" t="s">
        <v>15559</v>
      </c>
    </row>
    <row r="14919" spans="1:2" x14ac:dyDescent="0.25">
      <c r="A14919" s="62">
        <v>60103602</v>
      </c>
      <c r="B14919" s="63" t="s">
        <v>15560</v>
      </c>
    </row>
    <row r="14920" spans="1:2" x14ac:dyDescent="0.25">
      <c r="A14920" s="62">
        <v>60103603</v>
      </c>
      <c r="B14920" s="63" t="s">
        <v>15561</v>
      </c>
    </row>
    <row r="14921" spans="1:2" x14ac:dyDescent="0.25">
      <c r="A14921" s="62">
        <v>60103604</v>
      </c>
      <c r="B14921" s="63" t="s">
        <v>15562</v>
      </c>
    </row>
    <row r="14922" spans="1:2" x14ac:dyDescent="0.25">
      <c r="A14922" s="62">
        <v>60103605</v>
      </c>
      <c r="B14922" s="63" t="s">
        <v>15563</v>
      </c>
    </row>
    <row r="14923" spans="1:2" x14ac:dyDescent="0.25">
      <c r="A14923" s="62">
        <v>60103606</v>
      </c>
      <c r="B14923" s="63" t="s">
        <v>15564</v>
      </c>
    </row>
    <row r="14924" spans="1:2" x14ac:dyDescent="0.25">
      <c r="A14924" s="62">
        <v>60103701</v>
      </c>
      <c r="B14924" s="63" t="s">
        <v>15565</v>
      </c>
    </row>
    <row r="14925" spans="1:2" x14ac:dyDescent="0.25">
      <c r="A14925" s="62">
        <v>60103702</v>
      </c>
      <c r="B14925" s="63" t="s">
        <v>15566</v>
      </c>
    </row>
    <row r="14926" spans="1:2" x14ac:dyDescent="0.25">
      <c r="A14926" s="62">
        <v>60103703</v>
      </c>
      <c r="B14926" s="63" t="s">
        <v>15567</v>
      </c>
    </row>
    <row r="14927" spans="1:2" x14ac:dyDescent="0.25">
      <c r="A14927" s="62">
        <v>60103704</v>
      </c>
      <c r="B14927" s="63" t="s">
        <v>15568</v>
      </c>
    </row>
    <row r="14928" spans="1:2" x14ac:dyDescent="0.25">
      <c r="A14928" s="62">
        <v>60103705</v>
      </c>
      <c r="B14928" s="63" t="s">
        <v>15569</v>
      </c>
    </row>
    <row r="14929" spans="1:2" x14ac:dyDescent="0.25">
      <c r="A14929" s="62">
        <v>60103706</v>
      </c>
      <c r="B14929" s="63" t="s">
        <v>15570</v>
      </c>
    </row>
    <row r="14930" spans="1:2" x14ac:dyDescent="0.25">
      <c r="A14930" s="62">
        <v>60103801</v>
      </c>
      <c r="B14930" s="63" t="s">
        <v>15571</v>
      </c>
    </row>
    <row r="14931" spans="1:2" x14ac:dyDescent="0.25">
      <c r="A14931" s="62">
        <v>60103802</v>
      </c>
      <c r="B14931" s="63" t="s">
        <v>15572</v>
      </c>
    </row>
    <row r="14932" spans="1:2" x14ac:dyDescent="0.25">
      <c r="A14932" s="62">
        <v>60103803</v>
      </c>
      <c r="B14932" s="63" t="s">
        <v>15573</v>
      </c>
    </row>
    <row r="14933" spans="1:2" x14ac:dyDescent="0.25">
      <c r="A14933" s="62">
        <v>60103804</v>
      </c>
      <c r="B14933" s="63" t="s">
        <v>15574</v>
      </c>
    </row>
    <row r="14934" spans="1:2" x14ac:dyDescent="0.25">
      <c r="A14934" s="62">
        <v>60103805</v>
      </c>
      <c r="B14934" s="63" t="s">
        <v>15575</v>
      </c>
    </row>
    <row r="14935" spans="1:2" x14ac:dyDescent="0.25">
      <c r="A14935" s="62">
        <v>60103806</v>
      </c>
      <c r="B14935" s="63" t="s">
        <v>15576</v>
      </c>
    </row>
    <row r="14936" spans="1:2" x14ac:dyDescent="0.25">
      <c r="A14936" s="62">
        <v>60103807</v>
      </c>
      <c r="B14936" s="63" t="s">
        <v>15577</v>
      </c>
    </row>
    <row r="14937" spans="1:2" x14ac:dyDescent="0.25">
      <c r="A14937" s="62">
        <v>60103808</v>
      </c>
      <c r="B14937" s="63" t="s">
        <v>15578</v>
      </c>
    </row>
    <row r="14938" spans="1:2" x14ac:dyDescent="0.25">
      <c r="A14938" s="62">
        <v>60103809</v>
      </c>
      <c r="B14938" s="63" t="s">
        <v>15579</v>
      </c>
    </row>
    <row r="14939" spans="1:2" x14ac:dyDescent="0.25">
      <c r="A14939" s="62">
        <v>60103903</v>
      </c>
      <c r="B14939" s="63" t="s">
        <v>15580</v>
      </c>
    </row>
    <row r="14940" spans="1:2" x14ac:dyDescent="0.25">
      <c r="A14940" s="62">
        <v>60103904</v>
      </c>
      <c r="B14940" s="63" t="s">
        <v>15581</v>
      </c>
    </row>
    <row r="14941" spans="1:2" x14ac:dyDescent="0.25">
      <c r="A14941" s="62">
        <v>60103905</v>
      </c>
      <c r="B14941" s="63" t="s">
        <v>15582</v>
      </c>
    </row>
    <row r="14942" spans="1:2" x14ac:dyDescent="0.25">
      <c r="A14942" s="62">
        <v>60103906</v>
      </c>
      <c r="B14942" s="63" t="s">
        <v>15583</v>
      </c>
    </row>
    <row r="14943" spans="1:2" x14ac:dyDescent="0.25">
      <c r="A14943" s="62">
        <v>60103907</v>
      </c>
      <c r="B14943" s="63" t="s">
        <v>15584</v>
      </c>
    </row>
    <row r="14944" spans="1:2" x14ac:dyDescent="0.25">
      <c r="A14944" s="62">
        <v>60103908</v>
      </c>
      <c r="B14944" s="63" t="s">
        <v>15585</v>
      </c>
    </row>
    <row r="14945" spans="1:2" x14ac:dyDescent="0.25">
      <c r="A14945" s="62">
        <v>60103909</v>
      </c>
      <c r="B14945" s="63" t="s">
        <v>15586</v>
      </c>
    </row>
    <row r="14946" spans="1:2" x14ac:dyDescent="0.25">
      <c r="A14946" s="62">
        <v>60103911</v>
      </c>
      <c r="B14946" s="63" t="s">
        <v>15587</v>
      </c>
    </row>
    <row r="14947" spans="1:2" x14ac:dyDescent="0.25">
      <c r="A14947" s="62">
        <v>60103915</v>
      </c>
      <c r="B14947" s="63" t="s">
        <v>15588</v>
      </c>
    </row>
    <row r="14948" spans="1:2" x14ac:dyDescent="0.25">
      <c r="A14948" s="62">
        <v>60103916</v>
      </c>
      <c r="B14948" s="63" t="s">
        <v>15589</v>
      </c>
    </row>
    <row r="14949" spans="1:2" x14ac:dyDescent="0.25">
      <c r="A14949" s="62">
        <v>60103918</v>
      </c>
      <c r="B14949" s="63" t="s">
        <v>15590</v>
      </c>
    </row>
    <row r="14950" spans="1:2" x14ac:dyDescent="0.25">
      <c r="A14950" s="62">
        <v>60103919</v>
      </c>
      <c r="B14950" s="63" t="s">
        <v>15591</v>
      </c>
    </row>
    <row r="14951" spans="1:2" x14ac:dyDescent="0.25">
      <c r="A14951" s="62">
        <v>60103920</v>
      </c>
      <c r="B14951" s="63" t="s">
        <v>15592</v>
      </c>
    </row>
    <row r="14952" spans="1:2" x14ac:dyDescent="0.25">
      <c r="A14952" s="62">
        <v>60103921</v>
      </c>
      <c r="B14952" s="63" t="s">
        <v>15593</v>
      </c>
    </row>
    <row r="14953" spans="1:2" x14ac:dyDescent="0.25">
      <c r="A14953" s="62">
        <v>60103922</v>
      </c>
      <c r="B14953" s="63" t="s">
        <v>15594</v>
      </c>
    </row>
    <row r="14954" spans="1:2" x14ac:dyDescent="0.25">
      <c r="A14954" s="62">
        <v>60103923</v>
      </c>
      <c r="B14954" s="63" t="s">
        <v>15595</v>
      </c>
    </row>
    <row r="14955" spans="1:2" x14ac:dyDescent="0.25">
      <c r="A14955" s="62">
        <v>60103924</v>
      </c>
      <c r="B14955" s="63" t="s">
        <v>15596</v>
      </c>
    </row>
    <row r="14956" spans="1:2" x14ac:dyDescent="0.25">
      <c r="A14956" s="62">
        <v>60103925</v>
      </c>
      <c r="B14956" s="63" t="s">
        <v>15597</v>
      </c>
    </row>
    <row r="14957" spans="1:2" x14ac:dyDescent="0.25">
      <c r="A14957" s="62">
        <v>60103926</v>
      </c>
      <c r="B14957" s="63" t="s">
        <v>15598</v>
      </c>
    </row>
    <row r="14958" spans="1:2" x14ac:dyDescent="0.25">
      <c r="A14958" s="62">
        <v>60103927</v>
      </c>
      <c r="B14958" s="63" t="s">
        <v>15599</v>
      </c>
    </row>
    <row r="14959" spans="1:2" x14ac:dyDescent="0.25">
      <c r="A14959" s="62">
        <v>60103928</v>
      </c>
      <c r="B14959" s="63" t="s">
        <v>15600</v>
      </c>
    </row>
    <row r="14960" spans="1:2" x14ac:dyDescent="0.25">
      <c r="A14960" s="62">
        <v>60103929</v>
      </c>
      <c r="B14960" s="63" t="s">
        <v>15601</v>
      </c>
    </row>
    <row r="14961" spans="1:2" x14ac:dyDescent="0.25">
      <c r="A14961" s="62">
        <v>60103930</v>
      </c>
      <c r="B14961" s="63" t="s">
        <v>15602</v>
      </c>
    </row>
    <row r="14962" spans="1:2" x14ac:dyDescent="0.25">
      <c r="A14962" s="62">
        <v>60103931</v>
      </c>
      <c r="B14962" s="63" t="s">
        <v>15603</v>
      </c>
    </row>
    <row r="14963" spans="1:2" x14ac:dyDescent="0.25">
      <c r="A14963" s="62">
        <v>60103932</v>
      </c>
      <c r="B14963" s="63" t="s">
        <v>15604</v>
      </c>
    </row>
    <row r="14964" spans="1:2" x14ac:dyDescent="0.25">
      <c r="A14964" s="62">
        <v>60103933</v>
      </c>
      <c r="B14964" s="63" t="s">
        <v>15605</v>
      </c>
    </row>
    <row r="14965" spans="1:2" x14ac:dyDescent="0.25">
      <c r="A14965" s="62">
        <v>60103934</v>
      </c>
      <c r="B14965" s="63" t="s">
        <v>15606</v>
      </c>
    </row>
    <row r="14966" spans="1:2" x14ac:dyDescent="0.25">
      <c r="A14966" s="62">
        <v>60103936</v>
      </c>
      <c r="B14966" s="63" t="s">
        <v>15607</v>
      </c>
    </row>
    <row r="14967" spans="1:2" x14ac:dyDescent="0.25">
      <c r="A14967" s="62">
        <v>60104001</v>
      </c>
      <c r="B14967" s="63" t="s">
        <v>15608</v>
      </c>
    </row>
    <row r="14968" spans="1:2" x14ac:dyDescent="0.25">
      <c r="A14968" s="62">
        <v>60104002</v>
      </c>
      <c r="B14968" s="63" t="s">
        <v>15609</v>
      </c>
    </row>
    <row r="14969" spans="1:2" x14ac:dyDescent="0.25">
      <c r="A14969" s="62">
        <v>60104003</v>
      </c>
      <c r="B14969" s="63" t="s">
        <v>15610</v>
      </c>
    </row>
    <row r="14970" spans="1:2" x14ac:dyDescent="0.25">
      <c r="A14970" s="62">
        <v>60104004</v>
      </c>
      <c r="B14970" s="63" t="s">
        <v>15611</v>
      </c>
    </row>
    <row r="14971" spans="1:2" x14ac:dyDescent="0.25">
      <c r="A14971" s="62">
        <v>60104005</v>
      </c>
      <c r="B14971" s="63" t="s">
        <v>15612</v>
      </c>
    </row>
    <row r="14972" spans="1:2" x14ac:dyDescent="0.25">
      <c r="A14972" s="62">
        <v>60104006</v>
      </c>
      <c r="B14972" s="63" t="s">
        <v>15613</v>
      </c>
    </row>
    <row r="14973" spans="1:2" x14ac:dyDescent="0.25">
      <c r="A14973" s="62">
        <v>60104007</v>
      </c>
      <c r="B14973" s="63" t="s">
        <v>15614</v>
      </c>
    </row>
    <row r="14974" spans="1:2" x14ac:dyDescent="0.25">
      <c r="A14974" s="62">
        <v>60104008</v>
      </c>
      <c r="B14974" s="63" t="s">
        <v>15615</v>
      </c>
    </row>
    <row r="14975" spans="1:2" x14ac:dyDescent="0.25">
      <c r="A14975" s="62">
        <v>60104101</v>
      </c>
      <c r="B14975" s="63" t="s">
        <v>15616</v>
      </c>
    </row>
    <row r="14976" spans="1:2" x14ac:dyDescent="0.25">
      <c r="A14976" s="62">
        <v>60104102</v>
      </c>
      <c r="B14976" s="63" t="s">
        <v>15617</v>
      </c>
    </row>
    <row r="14977" spans="1:2" x14ac:dyDescent="0.25">
      <c r="A14977" s="62">
        <v>60104103</v>
      </c>
      <c r="B14977" s="63" t="s">
        <v>15618</v>
      </c>
    </row>
    <row r="14978" spans="1:2" x14ac:dyDescent="0.25">
      <c r="A14978" s="62">
        <v>60104104</v>
      </c>
      <c r="B14978" s="63" t="s">
        <v>15619</v>
      </c>
    </row>
    <row r="14979" spans="1:2" x14ac:dyDescent="0.25">
      <c r="A14979" s="62">
        <v>60104105</v>
      </c>
      <c r="B14979" s="63" t="s">
        <v>15620</v>
      </c>
    </row>
    <row r="14980" spans="1:2" x14ac:dyDescent="0.25">
      <c r="A14980" s="62">
        <v>60104106</v>
      </c>
      <c r="B14980" s="63" t="s">
        <v>15621</v>
      </c>
    </row>
    <row r="14981" spans="1:2" x14ac:dyDescent="0.25">
      <c r="A14981" s="62">
        <v>60104107</v>
      </c>
      <c r="B14981" s="63" t="s">
        <v>15622</v>
      </c>
    </row>
    <row r="14982" spans="1:2" x14ac:dyDescent="0.25">
      <c r="A14982" s="62">
        <v>60104201</v>
      </c>
      <c r="B14982" s="63" t="s">
        <v>15623</v>
      </c>
    </row>
    <row r="14983" spans="1:2" x14ac:dyDescent="0.25">
      <c r="A14983" s="62">
        <v>60104202</v>
      </c>
      <c r="B14983" s="63" t="s">
        <v>15624</v>
      </c>
    </row>
    <row r="14984" spans="1:2" x14ac:dyDescent="0.25">
      <c r="A14984" s="62">
        <v>60104203</v>
      </c>
      <c r="B14984" s="63" t="s">
        <v>15625</v>
      </c>
    </row>
    <row r="14985" spans="1:2" x14ac:dyDescent="0.25">
      <c r="A14985" s="62">
        <v>60104204</v>
      </c>
      <c r="B14985" s="63" t="s">
        <v>15626</v>
      </c>
    </row>
    <row r="14986" spans="1:2" x14ac:dyDescent="0.25">
      <c r="A14986" s="62">
        <v>60104301</v>
      </c>
      <c r="B14986" s="63" t="s">
        <v>15627</v>
      </c>
    </row>
    <row r="14987" spans="1:2" x14ac:dyDescent="0.25">
      <c r="A14987" s="62">
        <v>60104302</v>
      </c>
      <c r="B14987" s="63" t="s">
        <v>15628</v>
      </c>
    </row>
    <row r="14988" spans="1:2" x14ac:dyDescent="0.25">
      <c r="A14988" s="62">
        <v>60104303</v>
      </c>
      <c r="B14988" s="63" t="s">
        <v>15629</v>
      </c>
    </row>
    <row r="14989" spans="1:2" x14ac:dyDescent="0.25">
      <c r="A14989" s="62">
        <v>60104401</v>
      </c>
      <c r="B14989" s="63" t="s">
        <v>15630</v>
      </c>
    </row>
    <row r="14990" spans="1:2" x14ac:dyDescent="0.25">
      <c r="A14990" s="62">
        <v>60104402</v>
      </c>
      <c r="B14990" s="63" t="s">
        <v>15631</v>
      </c>
    </row>
    <row r="14991" spans="1:2" x14ac:dyDescent="0.25">
      <c r="A14991" s="62">
        <v>60104403</v>
      </c>
      <c r="B14991" s="63" t="s">
        <v>15632</v>
      </c>
    </row>
    <row r="14992" spans="1:2" x14ac:dyDescent="0.25">
      <c r="A14992" s="62">
        <v>60104404</v>
      </c>
      <c r="B14992" s="63" t="s">
        <v>15633</v>
      </c>
    </row>
    <row r="14993" spans="1:2" x14ac:dyDescent="0.25">
      <c r="A14993" s="62">
        <v>60104405</v>
      </c>
      <c r="B14993" s="63" t="s">
        <v>15634</v>
      </c>
    </row>
    <row r="14994" spans="1:2" x14ac:dyDescent="0.25">
      <c r="A14994" s="62">
        <v>60104406</v>
      </c>
      <c r="B14994" s="63" t="s">
        <v>15635</v>
      </c>
    </row>
    <row r="14995" spans="1:2" x14ac:dyDescent="0.25">
      <c r="A14995" s="62">
        <v>60104407</v>
      </c>
      <c r="B14995" s="63" t="s">
        <v>15636</v>
      </c>
    </row>
    <row r="14996" spans="1:2" x14ac:dyDescent="0.25">
      <c r="A14996" s="62">
        <v>60104408</v>
      </c>
      <c r="B14996" s="63" t="s">
        <v>15637</v>
      </c>
    </row>
    <row r="14997" spans="1:2" x14ac:dyDescent="0.25">
      <c r="A14997" s="62">
        <v>60104501</v>
      </c>
      <c r="B14997" s="63" t="s">
        <v>15638</v>
      </c>
    </row>
    <row r="14998" spans="1:2" x14ac:dyDescent="0.25">
      <c r="A14998" s="62">
        <v>60104502</v>
      </c>
      <c r="B14998" s="63" t="s">
        <v>15639</v>
      </c>
    </row>
    <row r="14999" spans="1:2" x14ac:dyDescent="0.25">
      <c r="A14999" s="62">
        <v>60104503</v>
      </c>
      <c r="B14999" s="63" t="s">
        <v>15640</v>
      </c>
    </row>
    <row r="15000" spans="1:2" x14ac:dyDescent="0.25">
      <c r="A15000" s="62">
        <v>60104504</v>
      </c>
      <c r="B15000" s="63" t="s">
        <v>15641</v>
      </c>
    </row>
    <row r="15001" spans="1:2" x14ac:dyDescent="0.25">
      <c r="A15001" s="62">
        <v>60104505</v>
      </c>
      <c r="B15001" s="63" t="s">
        <v>15642</v>
      </c>
    </row>
    <row r="15002" spans="1:2" x14ac:dyDescent="0.25">
      <c r="A15002" s="62">
        <v>60104506</v>
      </c>
      <c r="B15002" s="63" t="s">
        <v>15643</v>
      </c>
    </row>
    <row r="15003" spans="1:2" x14ac:dyDescent="0.25">
      <c r="A15003" s="62">
        <v>60104507</v>
      </c>
      <c r="B15003" s="63" t="s">
        <v>15644</v>
      </c>
    </row>
    <row r="15004" spans="1:2" x14ac:dyDescent="0.25">
      <c r="A15004" s="62">
        <v>60104508</v>
      </c>
      <c r="B15004" s="63" t="s">
        <v>15645</v>
      </c>
    </row>
    <row r="15005" spans="1:2" x14ac:dyDescent="0.25">
      <c r="A15005" s="62">
        <v>60104509</v>
      </c>
      <c r="B15005" s="63" t="s">
        <v>15646</v>
      </c>
    </row>
    <row r="15006" spans="1:2" x14ac:dyDescent="0.25">
      <c r="A15006" s="62">
        <v>60104511</v>
      </c>
      <c r="B15006" s="63" t="s">
        <v>15647</v>
      </c>
    </row>
    <row r="15007" spans="1:2" x14ac:dyDescent="0.25">
      <c r="A15007" s="62">
        <v>60104601</v>
      </c>
      <c r="B15007" s="63" t="s">
        <v>15648</v>
      </c>
    </row>
    <row r="15008" spans="1:2" x14ac:dyDescent="0.25">
      <c r="A15008" s="62">
        <v>60104602</v>
      </c>
      <c r="B15008" s="63" t="s">
        <v>15649</v>
      </c>
    </row>
    <row r="15009" spans="1:2" x14ac:dyDescent="0.25">
      <c r="A15009" s="62">
        <v>60104604</v>
      </c>
      <c r="B15009" s="63" t="s">
        <v>15650</v>
      </c>
    </row>
    <row r="15010" spans="1:2" x14ac:dyDescent="0.25">
      <c r="A15010" s="62">
        <v>60104605</v>
      </c>
      <c r="B15010" s="63" t="s">
        <v>15651</v>
      </c>
    </row>
    <row r="15011" spans="1:2" x14ac:dyDescent="0.25">
      <c r="A15011" s="62">
        <v>60104606</v>
      </c>
      <c r="B15011" s="63" t="s">
        <v>15652</v>
      </c>
    </row>
    <row r="15012" spans="1:2" x14ac:dyDescent="0.25">
      <c r="A15012" s="62">
        <v>60104607</v>
      </c>
      <c r="B15012" s="63" t="s">
        <v>15653</v>
      </c>
    </row>
    <row r="15013" spans="1:2" x14ac:dyDescent="0.25">
      <c r="A15013" s="62">
        <v>60104608</v>
      </c>
      <c r="B15013" s="63" t="s">
        <v>15654</v>
      </c>
    </row>
    <row r="15014" spans="1:2" x14ac:dyDescent="0.25">
      <c r="A15014" s="62">
        <v>60104609</v>
      </c>
      <c r="B15014" s="63" t="s">
        <v>15655</v>
      </c>
    </row>
    <row r="15015" spans="1:2" x14ac:dyDescent="0.25">
      <c r="A15015" s="62">
        <v>60104610</v>
      </c>
      <c r="B15015" s="63" t="s">
        <v>15656</v>
      </c>
    </row>
    <row r="15016" spans="1:2" x14ac:dyDescent="0.25">
      <c r="A15016" s="62">
        <v>60104611</v>
      </c>
      <c r="B15016" s="63" t="s">
        <v>15657</v>
      </c>
    </row>
    <row r="15017" spans="1:2" x14ac:dyDescent="0.25">
      <c r="A15017" s="62">
        <v>60104612</v>
      </c>
      <c r="B15017" s="63" t="s">
        <v>15658</v>
      </c>
    </row>
    <row r="15018" spans="1:2" x14ac:dyDescent="0.25">
      <c r="A15018" s="62">
        <v>60104701</v>
      </c>
      <c r="B15018" s="63" t="s">
        <v>15659</v>
      </c>
    </row>
    <row r="15019" spans="1:2" x14ac:dyDescent="0.25">
      <c r="A15019" s="62">
        <v>60104702</v>
      </c>
      <c r="B15019" s="63" t="s">
        <v>15660</v>
      </c>
    </row>
    <row r="15020" spans="1:2" x14ac:dyDescent="0.25">
      <c r="A15020" s="62">
        <v>60104703</v>
      </c>
      <c r="B15020" s="63" t="s">
        <v>15661</v>
      </c>
    </row>
    <row r="15021" spans="1:2" x14ac:dyDescent="0.25">
      <c r="A15021" s="62">
        <v>60104704</v>
      </c>
      <c r="B15021" s="63" t="s">
        <v>15662</v>
      </c>
    </row>
    <row r="15022" spans="1:2" x14ac:dyDescent="0.25">
      <c r="A15022" s="62">
        <v>60104705</v>
      </c>
      <c r="B15022" s="63" t="s">
        <v>15663</v>
      </c>
    </row>
    <row r="15023" spans="1:2" x14ac:dyDescent="0.25">
      <c r="A15023" s="62">
        <v>60104706</v>
      </c>
      <c r="B15023" s="63" t="s">
        <v>15664</v>
      </c>
    </row>
    <row r="15024" spans="1:2" x14ac:dyDescent="0.25">
      <c r="A15024" s="62">
        <v>60104707</v>
      </c>
      <c r="B15024" s="63" t="s">
        <v>7610</v>
      </c>
    </row>
    <row r="15025" spans="1:2" x14ac:dyDescent="0.25">
      <c r="A15025" s="62">
        <v>60104708</v>
      </c>
      <c r="B15025" s="63" t="s">
        <v>15665</v>
      </c>
    </row>
    <row r="15026" spans="1:2" x14ac:dyDescent="0.25">
      <c r="A15026" s="62">
        <v>60104801</v>
      </c>
      <c r="B15026" s="63" t="s">
        <v>15666</v>
      </c>
    </row>
    <row r="15027" spans="1:2" x14ac:dyDescent="0.25">
      <c r="A15027" s="62">
        <v>60104802</v>
      </c>
      <c r="B15027" s="63" t="s">
        <v>15667</v>
      </c>
    </row>
    <row r="15028" spans="1:2" x14ac:dyDescent="0.25">
      <c r="A15028" s="62">
        <v>60104803</v>
      </c>
      <c r="B15028" s="63" t="s">
        <v>15668</v>
      </c>
    </row>
    <row r="15029" spans="1:2" x14ac:dyDescent="0.25">
      <c r="A15029" s="62">
        <v>60104804</v>
      </c>
      <c r="B15029" s="63" t="s">
        <v>15669</v>
      </c>
    </row>
    <row r="15030" spans="1:2" x14ac:dyDescent="0.25">
      <c r="A15030" s="62">
        <v>60104805</v>
      </c>
      <c r="B15030" s="63" t="s">
        <v>15670</v>
      </c>
    </row>
    <row r="15031" spans="1:2" x14ac:dyDescent="0.25">
      <c r="A15031" s="62">
        <v>60104806</v>
      </c>
      <c r="B15031" s="63" t="s">
        <v>15671</v>
      </c>
    </row>
    <row r="15032" spans="1:2" x14ac:dyDescent="0.25">
      <c r="A15032" s="62">
        <v>60104807</v>
      </c>
      <c r="B15032" s="63" t="s">
        <v>15672</v>
      </c>
    </row>
    <row r="15033" spans="1:2" x14ac:dyDescent="0.25">
      <c r="A15033" s="62">
        <v>60104808</v>
      </c>
      <c r="B15033" s="63" t="s">
        <v>15673</v>
      </c>
    </row>
    <row r="15034" spans="1:2" x14ac:dyDescent="0.25">
      <c r="A15034" s="62">
        <v>60104809</v>
      </c>
      <c r="B15034" s="63" t="s">
        <v>15674</v>
      </c>
    </row>
    <row r="15035" spans="1:2" x14ac:dyDescent="0.25">
      <c r="A15035" s="62">
        <v>60104810</v>
      </c>
      <c r="B15035" s="63" t="s">
        <v>15675</v>
      </c>
    </row>
    <row r="15036" spans="1:2" x14ac:dyDescent="0.25">
      <c r="A15036" s="62">
        <v>60104811</v>
      </c>
      <c r="B15036" s="63" t="s">
        <v>15676</v>
      </c>
    </row>
    <row r="15037" spans="1:2" x14ac:dyDescent="0.25">
      <c r="A15037" s="62">
        <v>60104812</v>
      </c>
      <c r="B15037" s="63" t="s">
        <v>15677</v>
      </c>
    </row>
    <row r="15038" spans="1:2" x14ac:dyDescent="0.25">
      <c r="A15038" s="62">
        <v>60104813</v>
      </c>
      <c r="B15038" s="63" t="s">
        <v>15678</v>
      </c>
    </row>
    <row r="15039" spans="1:2" x14ac:dyDescent="0.25">
      <c r="A15039" s="62">
        <v>60104814</v>
      </c>
      <c r="B15039" s="63" t="s">
        <v>15679</v>
      </c>
    </row>
    <row r="15040" spans="1:2" x14ac:dyDescent="0.25">
      <c r="A15040" s="62">
        <v>60104815</v>
      </c>
      <c r="B15040" s="63" t="s">
        <v>15680</v>
      </c>
    </row>
    <row r="15041" spans="1:2" x14ac:dyDescent="0.25">
      <c r="A15041" s="62">
        <v>60104816</v>
      </c>
      <c r="B15041" s="63" t="s">
        <v>15681</v>
      </c>
    </row>
    <row r="15042" spans="1:2" x14ac:dyDescent="0.25">
      <c r="A15042" s="62">
        <v>60104901</v>
      </c>
      <c r="B15042" s="63" t="s">
        <v>15682</v>
      </c>
    </row>
    <row r="15043" spans="1:2" x14ac:dyDescent="0.25">
      <c r="A15043" s="62">
        <v>60104902</v>
      </c>
      <c r="B15043" s="63" t="s">
        <v>15683</v>
      </c>
    </row>
    <row r="15044" spans="1:2" x14ac:dyDescent="0.25">
      <c r="A15044" s="62">
        <v>60104903</v>
      </c>
      <c r="B15044" s="63" t="s">
        <v>15684</v>
      </c>
    </row>
    <row r="15045" spans="1:2" x14ac:dyDescent="0.25">
      <c r="A15045" s="62">
        <v>60104904</v>
      </c>
      <c r="B15045" s="63" t="s">
        <v>15685</v>
      </c>
    </row>
    <row r="15046" spans="1:2" x14ac:dyDescent="0.25">
      <c r="A15046" s="62">
        <v>60104905</v>
      </c>
      <c r="B15046" s="63" t="s">
        <v>15686</v>
      </c>
    </row>
    <row r="15047" spans="1:2" x14ac:dyDescent="0.25">
      <c r="A15047" s="62">
        <v>60104906</v>
      </c>
      <c r="B15047" s="63" t="s">
        <v>15687</v>
      </c>
    </row>
    <row r="15048" spans="1:2" x14ac:dyDescent="0.25">
      <c r="A15048" s="62">
        <v>60104907</v>
      </c>
      <c r="B15048" s="63" t="s">
        <v>15688</v>
      </c>
    </row>
    <row r="15049" spans="1:2" x14ac:dyDescent="0.25">
      <c r="A15049" s="62">
        <v>60104908</v>
      </c>
      <c r="B15049" s="63" t="s">
        <v>15689</v>
      </c>
    </row>
    <row r="15050" spans="1:2" x14ac:dyDescent="0.25">
      <c r="A15050" s="62">
        <v>60104909</v>
      </c>
      <c r="B15050" s="63" t="s">
        <v>15690</v>
      </c>
    </row>
    <row r="15051" spans="1:2" x14ac:dyDescent="0.25">
      <c r="A15051" s="62">
        <v>60104910</v>
      </c>
      <c r="B15051" s="63" t="s">
        <v>15691</v>
      </c>
    </row>
    <row r="15052" spans="1:2" x14ac:dyDescent="0.25">
      <c r="A15052" s="62">
        <v>60104911</v>
      </c>
      <c r="B15052" s="63" t="s">
        <v>15692</v>
      </c>
    </row>
    <row r="15053" spans="1:2" x14ac:dyDescent="0.25">
      <c r="A15053" s="62">
        <v>60104912</v>
      </c>
      <c r="B15053" s="63" t="s">
        <v>15693</v>
      </c>
    </row>
    <row r="15054" spans="1:2" x14ac:dyDescent="0.25">
      <c r="A15054" s="62">
        <v>60105001</v>
      </c>
      <c r="B15054" s="63" t="s">
        <v>15694</v>
      </c>
    </row>
    <row r="15055" spans="1:2" x14ac:dyDescent="0.25">
      <c r="A15055" s="62">
        <v>60105002</v>
      </c>
      <c r="B15055" s="63" t="s">
        <v>15695</v>
      </c>
    </row>
    <row r="15056" spans="1:2" x14ac:dyDescent="0.25">
      <c r="A15056" s="62">
        <v>60105003</v>
      </c>
      <c r="B15056" s="63" t="s">
        <v>15696</v>
      </c>
    </row>
    <row r="15057" spans="1:2" x14ac:dyDescent="0.25">
      <c r="A15057" s="62">
        <v>60105004</v>
      </c>
      <c r="B15057" s="63" t="s">
        <v>15697</v>
      </c>
    </row>
    <row r="15058" spans="1:2" x14ac:dyDescent="0.25">
      <c r="A15058" s="62">
        <v>60105005</v>
      </c>
      <c r="B15058" s="63" t="s">
        <v>15698</v>
      </c>
    </row>
    <row r="15059" spans="1:2" x14ac:dyDescent="0.25">
      <c r="A15059" s="62">
        <v>60105006</v>
      </c>
      <c r="B15059" s="63" t="s">
        <v>15699</v>
      </c>
    </row>
    <row r="15060" spans="1:2" x14ac:dyDescent="0.25">
      <c r="A15060" s="62">
        <v>60105101</v>
      </c>
      <c r="B15060" s="63" t="s">
        <v>15700</v>
      </c>
    </row>
    <row r="15061" spans="1:2" x14ac:dyDescent="0.25">
      <c r="A15061" s="62">
        <v>60105102</v>
      </c>
      <c r="B15061" s="63" t="s">
        <v>15701</v>
      </c>
    </row>
    <row r="15062" spans="1:2" x14ac:dyDescent="0.25">
      <c r="A15062" s="62">
        <v>60105103</v>
      </c>
      <c r="B15062" s="63" t="s">
        <v>15702</v>
      </c>
    </row>
    <row r="15063" spans="1:2" x14ac:dyDescent="0.25">
      <c r="A15063" s="62">
        <v>60105104</v>
      </c>
      <c r="B15063" s="63" t="s">
        <v>15703</v>
      </c>
    </row>
    <row r="15064" spans="1:2" x14ac:dyDescent="0.25">
      <c r="A15064" s="62">
        <v>60105201</v>
      </c>
      <c r="B15064" s="63" t="s">
        <v>15704</v>
      </c>
    </row>
    <row r="15065" spans="1:2" x14ac:dyDescent="0.25">
      <c r="A15065" s="62">
        <v>60105202</v>
      </c>
      <c r="B15065" s="63" t="s">
        <v>15705</v>
      </c>
    </row>
    <row r="15066" spans="1:2" x14ac:dyDescent="0.25">
      <c r="A15066" s="62">
        <v>60105203</v>
      </c>
      <c r="B15066" s="63" t="s">
        <v>15706</v>
      </c>
    </row>
    <row r="15067" spans="1:2" x14ac:dyDescent="0.25">
      <c r="A15067" s="62">
        <v>60105301</v>
      </c>
      <c r="B15067" s="63" t="s">
        <v>15707</v>
      </c>
    </row>
    <row r="15068" spans="1:2" x14ac:dyDescent="0.25">
      <c r="A15068" s="62">
        <v>60105302</v>
      </c>
      <c r="B15068" s="63" t="s">
        <v>15708</v>
      </c>
    </row>
    <row r="15069" spans="1:2" x14ac:dyDescent="0.25">
      <c r="A15069" s="62">
        <v>60105303</v>
      </c>
      <c r="B15069" s="63" t="s">
        <v>15709</v>
      </c>
    </row>
    <row r="15070" spans="1:2" x14ac:dyDescent="0.25">
      <c r="A15070" s="62">
        <v>60105304</v>
      </c>
      <c r="B15070" s="63" t="s">
        <v>15710</v>
      </c>
    </row>
    <row r="15071" spans="1:2" x14ac:dyDescent="0.25">
      <c r="A15071" s="62">
        <v>60105305</v>
      </c>
      <c r="B15071" s="63" t="s">
        <v>15711</v>
      </c>
    </row>
    <row r="15072" spans="1:2" x14ac:dyDescent="0.25">
      <c r="A15072" s="62">
        <v>60105306</v>
      </c>
      <c r="B15072" s="63" t="s">
        <v>15712</v>
      </c>
    </row>
    <row r="15073" spans="1:2" x14ac:dyDescent="0.25">
      <c r="A15073" s="62">
        <v>60105307</v>
      </c>
      <c r="B15073" s="63" t="s">
        <v>15713</v>
      </c>
    </row>
    <row r="15074" spans="1:2" x14ac:dyDescent="0.25">
      <c r="A15074" s="62">
        <v>60105308</v>
      </c>
      <c r="B15074" s="63" t="s">
        <v>15714</v>
      </c>
    </row>
    <row r="15075" spans="1:2" x14ac:dyDescent="0.25">
      <c r="A15075" s="62">
        <v>60105309</v>
      </c>
      <c r="B15075" s="63" t="s">
        <v>15715</v>
      </c>
    </row>
    <row r="15076" spans="1:2" x14ac:dyDescent="0.25">
      <c r="A15076" s="62">
        <v>60105401</v>
      </c>
      <c r="B15076" s="63" t="s">
        <v>15716</v>
      </c>
    </row>
    <row r="15077" spans="1:2" x14ac:dyDescent="0.25">
      <c r="A15077" s="62">
        <v>60105402</v>
      </c>
      <c r="B15077" s="63" t="s">
        <v>15717</v>
      </c>
    </row>
    <row r="15078" spans="1:2" x14ac:dyDescent="0.25">
      <c r="A15078" s="62">
        <v>60105403</v>
      </c>
      <c r="B15078" s="63" t="s">
        <v>15718</v>
      </c>
    </row>
    <row r="15079" spans="1:2" x14ac:dyDescent="0.25">
      <c r="A15079" s="62">
        <v>60105404</v>
      </c>
      <c r="B15079" s="63" t="s">
        <v>15719</v>
      </c>
    </row>
    <row r="15080" spans="1:2" x14ac:dyDescent="0.25">
      <c r="A15080" s="62">
        <v>60105405</v>
      </c>
      <c r="B15080" s="63" t="s">
        <v>15720</v>
      </c>
    </row>
    <row r="15081" spans="1:2" x14ac:dyDescent="0.25">
      <c r="A15081" s="62">
        <v>60105406</v>
      </c>
      <c r="B15081" s="63" t="s">
        <v>15721</v>
      </c>
    </row>
    <row r="15082" spans="1:2" x14ac:dyDescent="0.25">
      <c r="A15082" s="62">
        <v>60105407</v>
      </c>
      <c r="B15082" s="63" t="s">
        <v>15722</v>
      </c>
    </row>
    <row r="15083" spans="1:2" x14ac:dyDescent="0.25">
      <c r="A15083" s="62">
        <v>60105408</v>
      </c>
      <c r="B15083" s="63" t="s">
        <v>15723</v>
      </c>
    </row>
    <row r="15084" spans="1:2" x14ac:dyDescent="0.25">
      <c r="A15084" s="62">
        <v>60105409</v>
      </c>
      <c r="B15084" s="63" t="s">
        <v>15724</v>
      </c>
    </row>
    <row r="15085" spans="1:2" x14ac:dyDescent="0.25">
      <c r="A15085" s="62">
        <v>60105410</v>
      </c>
      <c r="B15085" s="63" t="s">
        <v>15725</v>
      </c>
    </row>
    <row r="15086" spans="1:2" x14ac:dyDescent="0.25">
      <c r="A15086" s="62">
        <v>60105411</v>
      </c>
      <c r="B15086" s="63" t="s">
        <v>15726</v>
      </c>
    </row>
    <row r="15087" spans="1:2" x14ac:dyDescent="0.25">
      <c r="A15087" s="62">
        <v>60105412</v>
      </c>
      <c r="B15087" s="63" t="s">
        <v>15727</v>
      </c>
    </row>
    <row r="15088" spans="1:2" x14ac:dyDescent="0.25">
      <c r="A15088" s="62">
        <v>60105413</v>
      </c>
      <c r="B15088" s="63" t="s">
        <v>15728</v>
      </c>
    </row>
    <row r="15089" spans="1:2" x14ac:dyDescent="0.25">
      <c r="A15089" s="62">
        <v>60105414</v>
      </c>
      <c r="B15089" s="63" t="s">
        <v>15729</v>
      </c>
    </row>
    <row r="15090" spans="1:2" x14ac:dyDescent="0.25">
      <c r="A15090" s="62">
        <v>60105415</v>
      </c>
      <c r="B15090" s="63" t="s">
        <v>15730</v>
      </c>
    </row>
    <row r="15091" spans="1:2" x14ac:dyDescent="0.25">
      <c r="A15091" s="62">
        <v>60105416</v>
      </c>
      <c r="B15091" s="63" t="s">
        <v>15731</v>
      </c>
    </row>
    <row r="15092" spans="1:2" x14ac:dyDescent="0.25">
      <c r="A15092" s="62">
        <v>60105417</v>
      </c>
      <c r="B15092" s="63" t="s">
        <v>15732</v>
      </c>
    </row>
    <row r="15093" spans="1:2" x14ac:dyDescent="0.25">
      <c r="A15093" s="62">
        <v>60105418</v>
      </c>
      <c r="B15093" s="63" t="s">
        <v>15733</v>
      </c>
    </row>
    <row r="15094" spans="1:2" x14ac:dyDescent="0.25">
      <c r="A15094" s="62">
        <v>60105419</v>
      </c>
      <c r="B15094" s="63" t="s">
        <v>15734</v>
      </c>
    </row>
    <row r="15095" spans="1:2" x14ac:dyDescent="0.25">
      <c r="A15095" s="62">
        <v>60105420</v>
      </c>
      <c r="B15095" s="63" t="s">
        <v>15735</v>
      </c>
    </row>
    <row r="15096" spans="1:2" x14ac:dyDescent="0.25">
      <c r="A15096" s="62">
        <v>60105421</v>
      </c>
      <c r="B15096" s="63" t="s">
        <v>15736</v>
      </c>
    </row>
    <row r="15097" spans="1:2" x14ac:dyDescent="0.25">
      <c r="A15097" s="62">
        <v>60105422</v>
      </c>
      <c r="B15097" s="63" t="s">
        <v>15737</v>
      </c>
    </row>
    <row r="15098" spans="1:2" x14ac:dyDescent="0.25">
      <c r="A15098" s="62">
        <v>60105423</v>
      </c>
      <c r="B15098" s="63" t="s">
        <v>15738</v>
      </c>
    </row>
    <row r="15099" spans="1:2" x14ac:dyDescent="0.25">
      <c r="A15099" s="62">
        <v>60105424</v>
      </c>
      <c r="B15099" s="63" t="s">
        <v>15739</v>
      </c>
    </row>
    <row r="15100" spans="1:2" x14ac:dyDescent="0.25">
      <c r="A15100" s="62">
        <v>60105425</v>
      </c>
      <c r="B15100" s="63" t="s">
        <v>15740</v>
      </c>
    </row>
    <row r="15101" spans="1:2" x14ac:dyDescent="0.25">
      <c r="A15101" s="62">
        <v>60105426</v>
      </c>
      <c r="B15101" s="63" t="s">
        <v>15741</v>
      </c>
    </row>
    <row r="15102" spans="1:2" x14ac:dyDescent="0.25">
      <c r="A15102" s="62">
        <v>60105427</v>
      </c>
      <c r="B15102" s="63" t="s">
        <v>15742</v>
      </c>
    </row>
    <row r="15103" spans="1:2" x14ac:dyDescent="0.25">
      <c r="A15103" s="62">
        <v>60105428</v>
      </c>
      <c r="B15103" s="63" t="s">
        <v>15743</v>
      </c>
    </row>
    <row r="15104" spans="1:2" x14ac:dyDescent="0.25">
      <c r="A15104" s="62">
        <v>60105429</v>
      </c>
      <c r="B15104" s="63" t="s">
        <v>15744</v>
      </c>
    </row>
    <row r="15105" spans="1:2" x14ac:dyDescent="0.25">
      <c r="A15105" s="62">
        <v>60105501</v>
      </c>
      <c r="B15105" s="63" t="s">
        <v>15745</v>
      </c>
    </row>
    <row r="15106" spans="1:2" x14ac:dyDescent="0.25">
      <c r="A15106" s="62">
        <v>60105502</v>
      </c>
      <c r="B15106" s="63" t="s">
        <v>15746</v>
      </c>
    </row>
    <row r="15107" spans="1:2" x14ac:dyDescent="0.25">
      <c r="A15107" s="62">
        <v>60105503</v>
      </c>
      <c r="B15107" s="63" t="s">
        <v>15747</v>
      </c>
    </row>
    <row r="15108" spans="1:2" x14ac:dyDescent="0.25">
      <c r="A15108" s="62">
        <v>60105504</v>
      </c>
      <c r="B15108" s="63" t="s">
        <v>15748</v>
      </c>
    </row>
    <row r="15109" spans="1:2" x14ac:dyDescent="0.25">
      <c r="A15109" s="62">
        <v>60105505</v>
      </c>
      <c r="B15109" s="63" t="s">
        <v>15749</v>
      </c>
    </row>
    <row r="15110" spans="1:2" x14ac:dyDescent="0.25">
      <c r="A15110" s="62">
        <v>60105601</v>
      </c>
      <c r="B15110" s="63" t="s">
        <v>15750</v>
      </c>
    </row>
    <row r="15111" spans="1:2" x14ac:dyDescent="0.25">
      <c r="A15111" s="62">
        <v>60105602</v>
      </c>
      <c r="B15111" s="63" t="s">
        <v>15751</v>
      </c>
    </row>
    <row r="15112" spans="1:2" x14ac:dyDescent="0.25">
      <c r="A15112" s="62">
        <v>60105603</v>
      </c>
      <c r="B15112" s="63" t="s">
        <v>15752</v>
      </c>
    </row>
    <row r="15113" spans="1:2" x14ac:dyDescent="0.25">
      <c r="A15113" s="62">
        <v>60105604</v>
      </c>
      <c r="B15113" s="63" t="s">
        <v>15753</v>
      </c>
    </row>
    <row r="15114" spans="1:2" x14ac:dyDescent="0.25">
      <c r="A15114" s="62">
        <v>60105605</v>
      </c>
      <c r="B15114" s="63" t="s">
        <v>15754</v>
      </c>
    </row>
    <row r="15115" spans="1:2" x14ac:dyDescent="0.25">
      <c r="A15115" s="62">
        <v>60105606</v>
      </c>
      <c r="B15115" s="63" t="s">
        <v>15755</v>
      </c>
    </row>
    <row r="15116" spans="1:2" x14ac:dyDescent="0.25">
      <c r="A15116" s="62">
        <v>60105607</v>
      </c>
      <c r="B15116" s="63" t="s">
        <v>15756</v>
      </c>
    </row>
    <row r="15117" spans="1:2" x14ac:dyDescent="0.25">
      <c r="A15117" s="62">
        <v>60105608</v>
      </c>
      <c r="B15117" s="63" t="s">
        <v>15757</v>
      </c>
    </row>
    <row r="15118" spans="1:2" x14ac:dyDescent="0.25">
      <c r="A15118" s="62">
        <v>60105609</v>
      </c>
      <c r="B15118" s="63" t="s">
        <v>15758</v>
      </c>
    </row>
    <row r="15119" spans="1:2" x14ac:dyDescent="0.25">
      <c r="A15119" s="62">
        <v>60105610</v>
      </c>
      <c r="B15119" s="63" t="s">
        <v>15759</v>
      </c>
    </row>
    <row r="15120" spans="1:2" x14ac:dyDescent="0.25">
      <c r="A15120" s="62">
        <v>60105611</v>
      </c>
      <c r="B15120" s="63" t="s">
        <v>15760</v>
      </c>
    </row>
    <row r="15121" spans="1:2" x14ac:dyDescent="0.25">
      <c r="A15121" s="62">
        <v>60105612</v>
      </c>
      <c r="B15121" s="63" t="s">
        <v>15761</v>
      </c>
    </row>
    <row r="15122" spans="1:2" x14ac:dyDescent="0.25">
      <c r="A15122" s="62">
        <v>60105613</v>
      </c>
      <c r="B15122" s="63" t="s">
        <v>15762</v>
      </c>
    </row>
    <row r="15123" spans="1:2" x14ac:dyDescent="0.25">
      <c r="A15123" s="62">
        <v>60105614</v>
      </c>
      <c r="B15123" s="63" t="s">
        <v>15763</v>
      </c>
    </row>
    <row r="15124" spans="1:2" x14ac:dyDescent="0.25">
      <c r="A15124" s="62">
        <v>60105615</v>
      </c>
      <c r="B15124" s="63" t="s">
        <v>15764</v>
      </c>
    </row>
    <row r="15125" spans="1:2" x14ac:dyDescent="0.25">
      <c r="A15125" s="62">
        <v>60105616</v>
      </c>
      <c r="B15125" s="63" t="s">
        <v>15765</v>
      </c>
    </row>
    <row r="15126" spans="1:2" x14ac:dyDescent="0.25">
      <c r="A15126" s="62">
        <v>60105617</v>
      </c>
      <c r="B15126" s="63" t="s">
        <v>15766</v>
      </c>
    </row>
    <row r="15127" spans="1:2" x14ac:dyDescent="0.25">
      <c r="A15127" s="62">
        <v>60105618</v>
      </c>
      <c r="B15127" s="63" t="s">
        <v>15767</v>
      </c>
    </row>
    <row r="15128" spans="1:2" x14ac:dyDescent="0.25">
      <c r="A15128" s="62">
        <v>60105619</v>
      </c>
      <c r="B15128" s="63" t="s">
        <v>15768</v>
      </c>
    </row>
    <row r="15129" spans="1:2" x14ac:dyDescent="0.25">
      <c r="A15129" s="62">
        <v>60105620</v>
      </c>
      <c r="B15129" s="63" t="s">
        <v>15769</v>
      </c>
    </row>
    <row r="15130" spans="1:2" x14ac:dyDescent="0.25">
      <c r="A15130" s="62">
        <v>60105621</v>
      </c>
      <c r="B15130" s="63" t="s">
        <v>15770</v>
      </c>
    </row>
    <row r="15131" spans="1:2" x14ac:dyDescent="0.25">
      <c r="A15131" s="62">
        <v>60105622</v>
      </c>
      <c r="B15131" s="63" t="s">
        <v>15771</v>
      </c>
    </row>
    <row r="15132" spans="1:2" x14ac:dyDescent="0.25">
      <c r="A15132" s="62">
        <v>60105623</v>
      </c>
      <c r="B15132" s="63" t="s">
        <v>15772</v>
      </c>
    </row>
    <row r="15133" spans="1:2" x14ac:dyDescent="0.25">
      <c r="A15133" s="62">
        <v>60105624</v>
      </c>
      <c r="B15133" s="63" t="s">
        <v>15773</v>
      </c>
    </row>
    <row r="15134" spans="1:2" x14ac:dyDescent="0.25">
      <c r="A15134" s="62">
        <v>60105625</v>
      </c>
      <c r="B15134" s="63" t="s">
        <v>15774</v>
      </c>
    </row>
    <row r="15135" spans="1:2" x14ac:dyDescent="0.25">
      <c r="A15135" s="62">
        <v>60105626</v>
      </c>
      <c r="B15135" s="63" t="s">
        <v>15775</v>
      </c>
    </row>
    <row r="15136" spans="1:2" x14ac:dyDescent="0.25">
      <c r="A15136" s="62">
        <v>60105701</v>
      </c>
      <c r="B15136" s="63" t="s">
        <v>15776</v>
      </c>
    </row>
    <row r="15137" spans="1:2" x14ac:dyDescent="0.25">
      <c r="A15137" s="62">
        <v>60105702</v>
      </c>
      <c r="B15137" s="63" t="s">
        <v>15777</v>
      </c>
    </row>
    <row r="15138" spans="1:2" x14ac:dyDescent="0.25">
      <c r="A15138" s="62">
        <v>60105703</v>
      </c>
      <c r="B15138" s="63" t="s">
        <v>15778</v>
      </c>
    </row>
    <row r="15139" spans="1:2" x14ac:dyDescent="0.25">
      <c r="A15139" s="62">
        <v>60105704</v>
      </c>
      <c r="B15139" s="63" t="s">
        <v>15779</v>
      </c>
    </row>
    <row r="15140" spans="1:2" x14ac:dyDescent="0.25">
      <c r="A15140" s="62">
        <v>60105705</v>
      </c>
      <c r="B15140" s="63" t="s">
        <v>15780</v>
      </c>
    </row>
    <row r="15141" spans="1:2" x14ac:dyDescent="0.25">
      <c r="A15141" s="62">
        <v>60105801</v>
      </c>
      <c r="B15141" s="63" t="s">
        <v>15781</v>
      </c>
    </row>
    <row r="15142" spans="1:2" x14ac:dyDescent="0.25">
      <c r="A15142" s="62">
        <v>60105802</v>
      </c>
      <c r="B15142" s="63" t="s">
        <v>15782</v>
      </c>
    </row>
    <row r="15143" spans="1:2" x14ac:dyDescent="0.25">
      <c r="A15143" s="62">
        <v>60105803</v>
      </c>
      <c r="B15143" s="63" t="s">
        <v>15783</v>
      </c>
    </row>
    <row r="15144" spans="1:2" x14ac:dyDescent="0.25">
      <c r="A15144" s="62">
        <v>60105804</v>
      </c>
      <c r="B15144" s="63" t="s">
        <v>15784</v>
      </c>
    </row>
    <row r="15145" spans="1:2" x14ac:dyDescent="0.25">
      <c r="A15145" s="62">
        <v>60105805</v>
      </c>
      <c r="B15145" s="63" t="s">
        <v>15785</v>
      </c>
    </row>
    <row r="15146" spans="1:2" x14ac:dyDescent="0.25">
      <c r="A15146" s="62">
        <v>60105806</v>
      </c>
      <c r="B15146" s="63" t="s">
        <v>15786</v>
      </c>
    </row>
    <row r="15147" spans="1:2" x14ac:dyDescent="0.25">
      <c r="A15147" s="62">
        <v>60105807</v>
      </c>
      <c r="B15147" s="63" t="s">
        <v>15787</v>
      </c>
    </row>
    <row r="15148" spans="1:2" x14ac:dyDescent="0.25">
      <c r="A15148" s="62">
        <v>60105808</v>
      </c>
      <c r="B15148" s="63" t="s">
        <v>15788</v>
      </c>
    </row>
    <row r="15149" spans="1:2" x14ac:dyDescent="0.25">
      <c r="A15149" s="62">
        <v>60105809</v>
      </c>
      <c r="B15149" s="63" t="s">
        <v>15789</v>
      </c>
    </row>
    <row r="15150" spans="1:2" x14ac:dyDescent="0.25">
      <c r="A15150" s="62">
        <v>60105810</v>
      </c>
      <c r="B15150" s="63" t="s">
        <v>15790</v>
      </c>
    </row>
    <row r="15151" spans="1:2" x14ac:dyDescent="0.25">
      <c r="A15151" s="62">
        <v>60105811</v>
      </c>
      <c r="B15151" s="63" t="s">
        <v>15791</v>
      </c>
    </row>
    <row r="15152" spans="1:2" x14ac:dyDescent="0.25">
      <c r="A15152" s="62">
        <v>60105901</v>
      </c>
      <c r="B15152" s="63" t="s">
        <v>15792</v>
      </c>
    </row>
    <row r="15153" spans="1:2" x14ac:dyDescent="0.25">
      <c r="A15153" s="62">
        <v>60105902</v>
      </c>
      <c r="B15153" s="63" t="s">
        <v>15793</v>
      </c>
    </row>
    <row r="15154" spans="1:2" x14ac:dyDescent="0.25">
      <c r="A15154" s="62">
        <v>60105903</v>
      </c>
      <c r="B15154" s="63" t="s">
        <v>15794</v>
      </c>
    </row>
    <row r="15155" spans="1:2" x14ac:dyDescent="0.25">
      <c r="A15155" s="62">
        <v>60105904</v>
      </c>
      <c r="B15155" s="63" t="s">
        <v>15795</v>
      </c>
    </row>
    <row r="15156" spans="1:2" x14ac:dyDescent="0.25">
      <c r="A15156" s="62">
        <v>60105905</v>
      </c>
      <c r="B15156" s="63" t="s">
        <v>15796</v>
      </c>
    </row>
    <row r="15157" spans="1:2" x14ac:dyDescent="0.25">
      <c r="A15157" s="62">
        <v>60105906</v>
      </c>
      <c r="B15157" s="63" t="s">
        <v>15797</v>
      </c>
    </row>
    <row r="15158" spans="1:2" x14ac:dyDescent="0.25">
      <c r="A15158" s="62">
        <v>60105907</v>
      </c>
      <c r="B15158" s="63" t="s">
        <v>15798</v>
      </c>
    </row>
    <row r="15159" spans="1:2" x14ac:dyDescent="0.25">
      <c r="A15159" s="62">
        <v>60105908</v>
      </c>
      <c r="B15159" s="63" t="s">
        <v>15799</v>
      </c>
    </row>
    <row r="15160" spans="1:2" x14ac:dyDescent="0.25">
      <c r="A15160" s="62">
        <v>60105909</v>
      </c>
      <c r="B15160" s="63" t="s">
        <v>15800</v>
      </c>
    </row>
    <row r="15161" spans="1:2" x14ac:dyDescent="0.25">
      <c r="A15161" s="62">
        <v>60105910</v>
      </c>
      <c r="B15161" s="63" t="s">
        <v>15801</v>
      </c>
    </row>
    <row r="15162" spans="1:2" x14ac:dyDescent="0.25">
      <c r="A15162" s="62">
        <v>60105911</v>
      </c>
      <c r="B15162" s="63" t="s">
        <v>15802</v>
      </c>
    </row>
    <row r="15163" spans="1:2" x14ac:dyDescent="0.25">
      <c r="A15163" s="62">
        <v>60105912</v>
      </c>
      <c r="B15163" s="63" t="s">
        <v>15803</v>
      </c>
    </row>
    <row r="15164" spans="1:2" x14ac:dyDescent="0.25">
      <c r="A15164" s="62">
        <v>60105913</v>
      </c>
      <c r="B15164" s="63" t="s">
        <v>15804</v>
      </c>
    </row>
    <row r="15165" spans="1:2" x14ac:dyDescent="0.25">
      <c r="A15165" s="62">
        <v>60105914</v>
      </c>
      <c r="B15165" s="63" t="s">
        <v>15805</v>
      </c>
    </row>
    <row r="15166" spans="1:2" x14ac:dyDescent="0.25">
      <c r="A15166" s="62">
        <v>60105915</v>
      </c>
      <c r="B15166" s="63" t="s">
        <v>15806</v>
      </c>
    </row>
    <row r="15167" spans="1:2" x14ac:dyDescent="0.25">
      <c r="A15167" s="62">
        <v>60105916</v>
      </c>
      <c r="B15167" s="63" t="s">
        <v>15807</v>
      </c>
    </row>
    <row r="15168" spans="1:2" x14ac:dyDescent="0.25">
      <c r="A15168" s="62">
        <v>60105917</v>
      </c>
      <c r="B15168" s="63" t="s">
        <v>15808</v>
      </c>
    </row>
    <row r="15169" spans="1:2" x14ac:dyDescent="0.25">
      <c r="A15169" s="62">
        <v>60105918</v>
      </c>
      <c r="B15169" s="63" t="s">
        <v>15809</v>
      </c>
    </row>
    <row r="15170" spans="1:2" x14ac:dyDescent="0.25">
      <c r="A15170" s="62">
        <v>60105919</v>
      </c>
      <c r="B15170" s="63" t="s">
        <v>15810</v>
      </c>
    </row>
    <row r="15171" spans="1:2" x14ac:dyDescent="0.25">
      <c r="A15171" s="62">
        <v>60106001</v>
      </c>
      <c r="B15171" s="63" t="s">
        <v>15811</v>
      </c>
    </row>
    <row r="15172" spans="1:2" x14ac:dyDescent="0.25">
      <c r="A15172" s="62">
        <v>60106002</v>
      </c>
      <c r="B15172" s="63" t="s">
        <v>15812</v>
      </c>
    </row>
    <row r="15173" spans="1:2" x14ac:dyDescent="0.25">
      <c r="A15173" s="62">
        <v>60106003</v>
      </c>
      <c r="B15173" s="63" t="s">
        <v>15813</v>
      </c>
    </row>
    <row r="15174" spans="1:2" x14ac:dyDescent="0.25">
      <c r="A15174" s="62">
        <v>60106004</v>
      </c>
      <c r="B15174" s="63" t="s">
        <v>15814</v>
      </c>
    </row>
    <row r="15175" spans="1:2" x14ac:dyDescent="0.25">
      <c r="A15175" s="62">
        <v>60106101</v>
      </c>
      <c r="B15175" s="63" t="s">
        <v>15815</v>
      </c>
    </row>
    <row r="15176" spans="1:2" x14ac:dyDescent="0.25">
      <c r="A15176" s="62">
        <v>60106102</v>
      </c>
      <c r="B15176" s="63" t="s">
        <v>15816</v>
      </c>
    </row>
    <row r="15177" spans="1:2" x14ac:dyDescent="0.25">
      <c r="A15177" s="62">
        <v>60106103</v>
      </c>
      <c r="B15177" s="63" t="s">
        <v>15817</v>
      </c>
    </row>
    <row r="15178" spans="1:2" x14ac:dyDescent="0.25">
      <c r="A15178" s="62">
        <v>60106104</v>
      </c>
      <c r="B15178" s="63" t="s">
        <v>15818</v>
      </c>
    </row>
    <row r="15179" spans="1:2" x14ac:dyDescent="0.25">
      <c r="A15179" s="62">
        <v>60106105</v>
      </c>
      <c r="B15179" s="63" t="s">
        <v>15819</v>
      </c>
    </row>
    <row r="15180" spans="1:2" x14ac:dyDescent="0.25">
      <c r="A15180" s="62">
        <v>60106106</v>
      </c>
      <c r="B15180" s="63" t="s">
        <v>15820</v>
      </c>
    </row>
    <row r="15181" spans="1:2" x14ac:dyDescent="0.25">
      <c r="A15181" s="62">
        <v>60106107</v>
      </c>
      <c r="B15181" s="63" t="s">
        <v>15821</v>
      </c>
    </row>
    <row r="15182" spans="1:2" x14ac:dyDescent="0.25">
      <c r="A15182" s="62">
        <v>60106108</v>
      </c>
      <c r="B15182" s="63" t="s">
        <v>15822</v>
      </c>
    </row>
    <row r="15183" spans="1:2" x14ac:dyDescent="0.25">
      <c r="A15183" s="62">
        <v>60106109</v>
      </c>
      <c r="B15183" s="63" t="s">
        <v>15823</v>
      </c>
    </row>
    <row r="15184" spans="1:2" x14ac:dyDescent="0.25">
      <c r="A15184" s="62">
        <v>60106201</v>
      </c>
      <c r="B15184" s="63" t="s">
        <v>15824</v>
      </c>
    </row>
    <row r="15185" spans="1:2" x14ac:dyDescent="0.25">
      <c r="A15185" s="62">
        <v>60106202</v>
      </c>
      <c r="B15185" s="63" t="s">
        <v>15825</v>
      </c>
    </row>
    <row r="15186" spans="1:2" x14ac:dyDescent="0.25">
      <c r="A15186" s="62">
        <v>60106203</v>
      </c>
      <c r="B15186" s="63" t="s">
        <v>15826</v>
      </c>
    </row>
    <row r="15187" spans="1:2" x14ac:dyDescent="0.25">
      <c r="A15187" s="62">
        <v>60106204</v>
      </c>
      <c r="B15187" s="63" t="s">
        <v>15827</v>
      </c>
    </row>
    <row r="15188" spans="1:2" x14ac:dyDescent="0.25">
      <c r="A15188" s="62">
        <v>60106205</v>
      </c>
      <c r="B15188" s="63" t="s">
        <v>15828</v>
      </c>
    </row>
    <row r="15189" spans="1:2" x14ac:dyDescent="0.25">
      <c r="A15189" s="62">
        <v>60106206</v>
      </c>
      <c r="B15189" s="63" t="s">
        <v>15829</v>
      </c>
    </row>
    <row r="15190" spans="1:2" x14ac:dyDescent="0.25">
      <c r="A15190" s="62">
        <v>60106207</v>
      </c>
      <c r="B15190" s="63" t="s">
        <v>15830</v>
      </c>
    </row>
    <row r="15191" spans="1:2" x14ac:dyDescent="0.25">
      <c r="A15191" s="62">
        <v>60106208</v>
      </c>
      <c r="B15191" s="63" t="s">
        <v>15831</v>
      </c>
    </row>
    <row r="15192" spans="1:2" x14ac:dyDescent="0.25">
      <c r="A15192" s="62">
        <v>60106209</v>
      </c>
      <c r="B15192" s="63" t="s">
        <v>15832</v>
      </c>
    </row>
    <row r="15193" spans="1:2" x14ac:dyDescent="0.25">
      <c r="A15193" s="62">
        <v>60106210</v>
      </c>
      <c r="B15193" s="63" t="s">
        <v>15833</v>
      </c>
    </row>
    <row r="15194" spans="1:2" x14ac:dyDescent="0.25">
      <c r="A15194" s="62">
        <v>60106211</v>
      </c>
      <c r="B15194" s="63" t="s">
        <v>15834</v>
      </c>
    </row>
    <row r="15195" spans="1:2" x14ac:dyDescent="0.25">
      <c r="A15195" s="62">
        <v>60106212</v>
      </c>
      <c r="B15195" s="63" t="s">
        <v>15835</v>
      </c>
    </row>
    <row r="15196" spans="1:2" x14ac:dyDescent="0.25">
      <c r="A15196" s="62">
        <v>60106213</v>
      </c>
      <c r="B15196" s="63" t="s">
        <v>15836</v>
      </c>
    </row>
    <row r="15197" spans="1:2" x14ac:dyDescent="0.25">
      <c r="A15197" s="62">
        <v>60106214</v>
      </c>
      <c r="B15197" s="63" t="s">
        <v>15837</v>
      </c>
    </row>
    <row r="15198" spans="1:2" x14ac:dyDescent="0.25">
      <c r="A15198" s="62">
        <v>60106215</v>
      </c>
      <c r="B15198" s="63" t="s">
        <v>15838</v>
      </c>
    </row>
    <row r="15199" spans="1:2" x14ac:dyDescent="0.25">
      <c r="A15199" s="62">
        <v>60106301</v>
      </c>
      <c r="B15199" s="63" t="s">
        <v>15839</v>
      </c>
    </row>
    <row r="15200" spans="1:2" x14ac:dyDescent="0.25">
      <c r="A15200" s="62">
        <v>60106302</v>
      </c>
      <c r="B15200" s="63" t="s">
        <v>15840</v>
      </c>
    </row>
    <row r="15201" spans="1:2" x14ac:dyDescent="0.25">
      <c r="A15201" s="62">
        <v>60106401</v>
      </c>
      <c r="B15201" s="63" t="s">
        <v>15841</v>
      </c>
    </row>
    <row r="15202" spans="1:2" x14ac:dyDescent="0.25">
      <c r="A15202" s="62">
        <v>60106402</v>
      </c>
      <c r="B15202" s="63" t="s">
        <v>15842</v>
      </c>
    </row>
    <row r="15203" spans="1:2" x14ac:dyDescent="0.25">
      <c r="A15203" s="62">
        <v>60111001</v>
      </c>
      <c r="B15203" s="63" t="s">
        <v>15843</v>
      </c>
    </row>
    <row r="15204" spans="1:2" x14ac:dyDescent="0.25">
      <c r="A15204" s="62">
        <v>60111002</v>
      </c>
      <c r="B15204" s="63" t="s">
        <v>15844</v>
      </c>
    </row>
    <row r="15205" spans="1:2" x14ac:dyDescent="0.25">
      <c r="A15205" s="62">
        <v>60111003</v>
      </c>
      <c r="B15205" s="63" t="s">
        <v>15845</v>
      </c>
    </row>
    <row r="15206" spans="1:2" x14ac:dyDescent="0.25">
      <c r="A15206" s="62">
        <v>60111004</v>
      </c>
      <c r="B15206" s="63" t="s">
        <v>15846</v>
      </c>
    </row>
    <row r="15207" spans="1:2" x14ac:dyDescent="0.25">
      <c r="A15207" s="62">
        <v>60111005</v>
      </c>
      <c r="B15207" s="63" t="s">
        <v>15847</v>
      </c>
    </row>
    <row r="15208" spans="1:2" x14ac:dyDescent="0.25">
      <c r="A15208" s="62">
        <v>60111101</v>
      </c>
      <c r="B15208" s="63" t="s">
        <v>15848</v>
      </c>
    </row>
    <row r="15209" spans="1:2" x14ac:dyDescent="0.25">
      <c r="A15209" s="62">
        <v>60111102</v>
      </c>
      <c r="B15209" s="63" t="s">
        <v>15849</v>
      </c>
    </row>
    <row r="15210" spans="1:2" x14ac:dyDescent="0.25">
      <c r="A15210" s="62">
        <v>60111103</v>
      </c>
      <c r="B15210" s="63" t="s">
        <v>15850</v>
      </c>
    </row>
    <row r="15211" spans="1:2" x14ac:dyDescent="0.25">
      <c r="A15211" s="62">
        <v>60111104</v>
      </c>
      <c r="B15211" s="63" t="s">
        <v>15851</v>
      </c>
    </row>
    <row r="15212" spans="1:2" x14ac:dyDescent="0.25">
      <c r="A15212" s="62">
        <v>60111105</v>
      </c>
      <c r="B15212" s="63" t="s">
        <v>15852</v>
      </c>
    </row>
    <row r="15213" spans="1:2" x14ac:dyDescent="0.25">
      <c r="A15213" s="62">
        <v>60111106</v>
      </c>
      <c r="B15213" s="63" t="s">
        <v>15853</v>
      </c>
    </row>
    <row r="15214" spans="1:2" x14ac:dyDescent="0.25">
      <c r="A15214" s="62">
        <v>60111107</v>
      </c>
      <c r="B15214" s="63" t="s">
        <v>15854</v>
      </c>
    </row>
    <row r="15215" spans="1:2" x14ac:dyDescent="0.25">
      <c r="A15215" s="62">
        <v>60111108</v>
      </c>
      <c r="B15215" s="63" t="s">
        <v>15855</v>
      </c>
    </row>
    <row r="15216" spans="1:2" x14ac:dyDescent="0.25">
      <c r="A15216" s="62">
        <v>60111109</v>
      </c>
      <c r="B15216" s="63" t="s">
        <v>15856</v>
      </c>
    </row>
    <row r="15217" spans="1:2" x14ac:dyDescent="0.25">
      <c r="A15217" s="62">
        <v>60111201</v>
      </c>
      <c r="B15217" s="63" t="s">
        <v>15857</v>
      </c>
    </row>
    <row r="15218" spans="1:2" x14ac:dyDescent="0.25">
      <c r="A15218" s="62">
        <v>60111202</v>
      </c>
      <c r="B15218" s="63" t="s">
        <v>15858</v>
      </c>
    </row>
    <row r="15219" spans="1:2" x14ac:dyDescent="0.25">
      <c r="A15219" s="62">
        <v>60111203</v>
      </c>
      <c r="B15219" s="63" t="s">
        <v>15859</v>
      </c>
    </row>
    <row r="15220" spans="1:2" x14ac:dyDescent="0.25">
      <c r="A15220" s="62">
        <v>60111204</v>
      </c>
      <c r="B15220" s="63" t="s">
        <v>15860</v>
      </c>
    </row>
    <row r="15221" spans="1:2" x14ac:dyDescent="0.25">
      <c r="A15221" s="62">
        <v>60111205</v>
      </c>
      <c r="B15221" s="63" t="s">
        <v>15861</v>
      </c>
    </row>
    <row r="15222" spans="1:2" x14ac:dyDescent="0.25">
      <c r="A15222" s="62">
        <v>60111206</v>
      </c>
      <c r="B15222" s="63" t="s">
        <v>15862</v>
      </c>
    </row>
    <row r="15223" spans="1:2" x14ac:dyDescent="0.25">
      <c r="A15223" s="62">
        <v>60111207</v>
      </c>
      <c r="B15223" s="63" t="s">
        <v>15863</v>
      </c>
    </row>
    <row r="15224" spans="1:2" x14ac:dyDescent="0.25">
      <c r="A15224" s="62">
        <v>60111208</v>
      </c>
      <c r="B15224" s="63" t="s">
        <v>15864</v>
      </c>
    </row>
    <row r="15225" spans="1:2" x14ac:dyDescent="0.25">
      <c r="A15225" s="62">
        <v>60111301</v>
      </c>
      <c r="B15225" s="63" t="s">
        <v>15865</v>
      </c>
    </row>
    <row r="15226" spans="1:2" x14ac:dyDescent="0.25">
      <c r="A15226" s="62">
        <v>60111302</v>
      </c>
      <c r="B15226" s="63" t="s">
        <v>15866</v>
      </c>
    </row>
    <row r="15227" spans="1:2" x14ac:dyDescent="0.25">
      <c r="A15227" s="62">
        <v>60111303</v>
      </c>
      <c r="B15227" s="63" t="s">
        <v>15867</v>
      </c>
    </row>
    <row r="15228" spans="1:2" x14ac:dyDescent="0.25">
      <c r="A15228" s="62">
        <v>60111304</v>
      </c>
      <c r="B15228" s="63" t="s">
        <v>15868</v>
      </c>
    </row>
    <row r="15229" spans="1:2" x14ac:dyDescent="0.25">
      <c r="A15229" s="62">
        <v>60111305</v>
      </c>
      <c r="B15229" s="63" t="s">
        <v>15869</v>
      </c>
    </row>
    <row r="15230" spans="1:2" x14ac:dyDescent="0.25">
      <c r="A15230" s="62">
        <v>60111306</v>
      </c>
      <c r="B15230" s="63" t="s">
        <v>15870</v>
      </c>
    </row>
    <row r="15231" spans="1:2" x14ac:dyDescent="0.25">
      <c r="A15231" s="62">
        <v>60111401</v>
      </c>
      <c r="B15231" s="63" t="s">
        <v>15871</v>
      </c>
    </row>
    <row r="15232" spans="1:2" x14ac:dyDescent="0.25">
      <c r="A15232" s="62">
        <v>60111402</v>
      </c>
      <c r="B15232" s="63" t="s">
        <v>15872</v>
      </c>
    </row>
    <row r="15233" spans="1:2" x14ac:dyDescent="0.25">
      <c r="A15233" s="62">
        <v>60111403</v>
      </c>
      <c r="B15233" s="63" t="s">
        <v>15873</v>
      </c>
    </row>
    <row r="15234" spans="1:2" x14ac:dyDescent="0.25">
      <c r="A15234" s="62">
        <v>60111404</v>
      </c>
      <c r="B15234" s="63" t="s">
        <v>15874</v>
      </c>
    </row>
    <row r="15235" spans="1:2" x14ac:dyDescent="0.25">
      <c r="A15235" s="62">
        <v>60111405</v>
      </c>
      <c r="B15235" s="63" t="s">
        <v>15875</v>
      </c>
    </row>
    <row r="15236" spans="1:2" x14ac:dyDescent="0.25">
      <c r="A15236" s="62">
        <v>60111407</v>
      </c>
      <c r="B15236" s="63" t="s">
        <v>15876</v>
      </c>
    </row>
    <row r="15237" spans="1:2" x14ac:dyDescent="0.25">
      <c r="A15237" s="62">
        <v>60111408</v>
      </c>
      <c r="B15237" s="63" t="s">
        <v>15877</v>
      </c>
    </row>
    <row r="15238" spans="1:2" x14ac:dyDescent="0.25">
      <c r="A15238" s="62">
        <v>60111409</v>
      </c>
      <c r="B15238" s="63" t="s">
        <v>15878</v>
      </c>
    </row>
    <row r="15239" spans="1:2" x14ac:dyDescent="0.25">
      <c r="A15239" s="62">
        <v>60111410</v>
      </c>
      <c r="B15239" s="63" t="s">
        <v>15879</v>
      </c>
    </row>
    <row r="15240" spans="1:2" x14ac:dyDescent="0.25">
      <c r="A15240" s="62">
        <v>60111411</v>
      </c>
      <c r="B15240" s="63" t="s">
        <v>15880</v>
      </c>
    </row>
    <row r="15241" spans="1:2" x14ac:dyDescent="0.25">
      <c r="A15241" s="62">
        <v>60121001</v>
      </c>
      <c r="B15241" s="63" t="s">
        <v>15881</v>
      </c>
    </row>
    <row r="15242" spans="1:2" x14ac:dyDescent="0.25">
      <c r="A15242" s="62">
        <v>60121002</v>
      </c>
      <c r="B15242" s="63" t="s">
        <v>15882</v>
      </c>
    </row>
    <row r="15243" spans="1:2" x14ac:dyDescent="0.25">
      <c r="A15243" s="62">
        <v>60121003</v>
      </c>
      <c r="B15243" s="63" t="s">
        <v>15883</v>
      </c>
    </row>
    <row r="15244" spans="1:2" x14ac:dyDescent="0.25">
      <c r="A15244" s="62">
        <v>60121004</v>
      </c>
      <c r="B15244" s="63" t="s">
        <v>15884</v>
      </c>
    </row>
    <row r="15245" spans="1:2" x14ac:dyDescent="0.25">
      <c r="A15245" s="62">
        <v>60121005</v>
      </c>
      <c r="B15245" s="63" t="s">
        <v>15885</v>
      </c>
    </row>
    <row r="15246" spans="1:2" x14ac:dyDescent="0.25">
      <c r="A15246" s="62">
        <v>60121006</v>
      </c>
      <c r="B15246" s="63" t="s">
        <v>15886</v>
      </c>
    </row>
    <row r="15247" spans="1:2" x14ac:dyDescent="0.25">
      <c r="A15247" s="62">
        <v>60121007</v>
      </c>
      <c r="B15247" s="63" t="s">
        <v>15887</v>
      </c>
    </row>
    <row r="15248" spans="1:2" x14ac:dyDescent="0.25">
      <c r="A15248" s="62">
        <v>60121008</v>
      </c>
      <c r="B15248" s="63" t="s">
        <v>15888</v>
      </c>
    </row>
    <row r="15249" spans="1:2" x14ac:dyDescent="0.25">
      <c r="A15249" s="62">
        <v>60121009</v>
      </c>
      <c r="B15249" s="63" t="s">
        <v>15889</v>
      </c>
    </row>
    <row r="15250" spans="1:2" x14ac:dyDescent="0.25">
      <c r="A15250" s="62">
        <v>60121010</v>
      </c>
      <c r="B15250" s="63" t="s">
        <v>15890</v>
      </c>
    </row>
    <row r="15251" spans="1:2" x14ac:dyDescent="0.25">
      <c r="A15251" s="62">
        <v>60121011</v>
      </c>
      <c r="B15251" s="63" t="s">
        <v>15891</v>
      </c>
    </row>
    <row r="15252" spans="1:2" x14ac:dyDescent="0.25">
      <c r="A15252" s="62">
        <v>60121012</v>
      </c>
      <c r="B15252" s="63" t="s">
        <v>15892</v>
      </c>
    </row>
    <row r="15253" spans="1:2" x14ac:dyDescent="0.25">
      <c r="A15253" s="62">
        <v>60121101</v>
      </c>
      <c r="B15253" s="63" t="s">
        <v>15893</v>
      </c>
    </row>
    <row r="15254" spans="1:2" x14ac:dyDescent="0.25">
      <c r="A15254" s="62">
        <v>60121102</v>
      </c>
      <c r="B15254" s="63" t="s">
        <v>15894</v>
      </c>
    </row>
    <row r="15255" spans="1:2" x14ac:dyDescent="0.25">
      <c r="A15255" s="62">
        <v>60121103</v>
      </c>
      <c r="B15255" s="63" t="s">
        <v>15895</v>
      </c>
    </row>
    <row r="15256" spans="1:2" x14ac:dyDescent="0.25">
      <c r="A15256" s="62">
        <v>60121104</v>
      </c>
      <c r="B15256" s="63" t="s">
        <v>15896</v>
      </c>
    </row>
    <row r="15257" spans="1:2" x14ac:dyDescent="0.25">
      <c r="A15257" s="62">
        <v>60121105</v>
      </c>
      <c r="B15257" s="63" t="s">
        <v>15897</v>
      </c>
    </row>
    <row r="15258" spans="1:2" x14ac:dyDescent="0.25">
      <c r="A15258" s="62">
        <v>60121106</v>
      </c>
      <c r="B15258" s="63" t="s">
        <v>15898</v>
      </c>
    </row>
    <row r="15259" spans="1:2" x14ac:dyDescent="0.25">
      <c r="A15259" s="62">
        <v>60121107</v>
      </c>
      <c r="B15259" s="63" t="s">
        <v>15899</v>
      </c>
    </row>
    <row r="15260" spans="1:2" x14ac:dyDescent="0.25">
      <c r="A15260" s="62">
        <v>60121108</v>
      </c>
      <c r="B15260" s="63" t="s">
        <v>15900</v>
      </c>
    </row>
    <row r="15261" spans="1:2" x14ac:dyDescent="0.25">
      <c r="A15261" s="62">
        <v>60121109</v>
      </c>
      <c r="B15261" s="63" t="s">
        <v>15901</v>
      </c>
    </row>
    <row r="15262" spans="1:2" x14ac:dyDescent="0.25">
      <c r="A15262" s="62">
        <v>60121110</v>
      </c>
      <c r="B15262" s="63" t="s">
        <v>15902</v>
      </c>
    </row>
    <row r="15263" spans="1:2" x14ac:dyDescent="0.25">
      <c r="A15263" s="62">
        <v>60121111</v>
      </c>
      <c r="B15263" s="63" t="s">
        <v>15903</v>
      </c>
    </row>
    <row r="15264" spans="1:2" x14ac:dyDescent="0.25">
      <c r="A15264" s="62">
        <v>60121112</v>
      </c>
      <c r="B15264" s="63" t="s">
        <v>15904</v>
      </c>
    </row>
    <row r="15265" spans="1:2" x14ac:dyDescent="0.25">
      <c r="A15265" s="62">
        <v>60121113</v>
      </c>
      <c r="B15265" s="63" t="s">
        <v>15905</v>
      </c>
    </row>
    <row r="15266" spans="1:2" x14ac:dyDescent="0.25">
      <c r="A15266" s="62">
        <v>60121114</v>
      </c>
      <c r="B15266" s="63" t="s">
        <v>15906</v>
      </c>
    </row>
    <row r="15267" spans="1:2" x14ac:dyDescent="0.25">
      <c r="A15267" s="62">
        <v>60121115</v>
      </c>
      <c r="B15267" s="63" t="s">
        <v>15907</v>
      </c>
    </row>
    <row r="15268" spans="1:2" x14ac:dyDescent="0.25">
      <c r="A15268" s="62">
        <v>60121116</v>
      </c>
      <c r="B15268" s="63" t="s">
        <v>15908</v>
      </c>
    </row>
    <row r="15269" spans="1:2" x14ac:dyDescent="0.25">
      <c r="A15269" s="62">
        <v>60121117</v>
      </c>
      <c r="B15269" s="63" t="s">
        <v>15909</v>
      </c>
    </row>
    <row r="15270" spans="1:2" x14ac:dyDescent="0.25">
      <c r="A15270" s="62">
        <v>60121118</v>
      </c>
      <c r="B15270" s="63" t="s">
        <v>15910</v>
      </c>
    </row>
    <row r="15271" spans="1:2" x14ac:dyDescent="0.25">
      <c r="A15271" s="62">
        <v>60121119</v>
      </c>
      <c r="B15271" s="63" t="s">
        <v>15911</v>
      </c>
    </row>
    <row r="15272" spans="1:2" x14ac:dyDescent="0.25">
      <c r="A15272" s="62">
        <v>60121120</v>
      </c>
      <c r="B15272" s="63" t="s">
        <v>15912</v>
      </c>
    </row>
    <row r="15273" spans="1:2" x14ac:dyDescent="0.25">
      <c r="A15273" s="62">
        <v>60121121</v>
      </c>
      <c r="B15273" s="63" t="s">
        <v>15913</v>
      </c>
    </row>
    <row r="15274" spans="1:2" x14ac:dyDescent="0.25">
      <c r="A15274" s="62">
        <v>60121123</v>
      </c>
      <c r="B15274" s="63" t="s">
        <v>15914</v>
      </c>
    </row>
    <row r="15275" spans="1:2" x14ac:dyDescent="0.25">
      <c r="A15275" s="62">
        <v>60121124</v>
      </c>
      <c r="B15275" s="63" t="s">
        <v>15915</v>
      </c>
    </row>
    <row r="15276" spans="1:2" x14ac:dyDescent="0.25">
      <c r="A15276" s="62">
        <v>60121125</v>
      </c>
      <c r="B15276" s="63" t="s">
        <v>15916</v>
      </c>
    </row>
    <row r="15277" spans="1:2" x14ac:dyDescent="0.25">
      <c r="A15277" s="62">
        <v>60121126</v>
      </c>
      <c r="B15277" s="63" t="s">
        <v>15917</v>
      </c>
    </row>
    <row r="15278" spans="1:2" x14ac:dyDescent="0.25">
      <c r="A15278" s="62">
        <v>60121127</v>
      </c>
      <c r="B15278" s="63" t="s">
        <v>15918</v>
      </c>
    </row>
    <row r="15279" spans="1:2" x14ac:dyDescent="0.25">
      <c r="A15279" s="62">
        <v>60121128</v>
      </c>
      <c r="B15279" s="63" t="s">
        <v>15919</v>
      </c>
    </row>
    <row r="15280" spans="1:2" x14ac:dyDescent="0.25">
      <c r="A15280" s="62">
        <v>60121129</v>
      </c>
      <c r="B15280" s="63" t="s">
        <v>15920</v>
      </c>
    </row>
    <row r="15281" spans="1:2" x14ac:dyDescent="0.25">
      <c r="A15281" s="62">
        <v>60121130</v>
      </c>
      <c r="B15281" s="63" t="s">
        <v>15921</v>
      </c>
    </row>
    <row r="15282" spans="1:2" x14ac:dyDescent="0.25">
      <c r="A15282" s="62">
        <v>60121131</v>
      </c>
      <c r="B15282" s="63" t="s">
        <v>15922</v>
      </c>
    </row>
    <row r="15283" spans="1:2" x14ac:dyDescent="0.25">
      <c r="A15283" s="62">
        <v>60121132</v>
      </c>
      <c r="B15283" s="63" t="s">
        <v>15923</v>
      </c>
    </row>
    <row r="15284" spans="1:2" x14ac:dyDescent="0.25">
      <c r="A15284" s="62">
        <v>60121133</v>
      </c>
      <c r="B15284" s="63" t="s">
        <v>15924</v>
      </c>
    </row>
    <row r="15285" spans="1:2" x14ac:dyDescent="0.25">
      <c r="A15285" s="62">
        <v>60121134</v>
      </c>
      <c r="B15285" s="63" t="s">
        <v>15925</v>
      </c>
    </row>
    <row r="15286" spans="1:2" x14ac:dyDescent="0.25">
      <c r="A15286" s="62">
        <v>60121135</v>
      </c>
      <c r="B15286" s="63" t="s">
        <v>15926</v>
      </c>
    </row>
    <row r="15287" spans="1:2" x14ac:dyDescent="0.25">
      <c r="A15287" s="62">
        <v>60121136</v>
      </c>
      <c r="B15287" s="63" t="s">
        <v>15927</v>
      </c>
    </row>
    <row r="15288" spans="1:2" x14ac:dyDescent="0.25">
      <c r="A15288" s="62">
        <v>60121137</v>
      </c>
      <c r="B15288" s="63" t="s">
        <v>15928</v>
      </c>
    </row>
    <row r="15289" spans="1:2" x14ac:dyDescent="0.25">
      <c r="A15289" s="62">
        <v>60121138</v>
      </c>
      <c r="B15289" s="63" t="s">
        <v>15929</v>
      </c>
    </row>
    <row r="15290" spans="1:2" x14ac:dyDescent="0.25">
      <c r="A15290" s="62">
        <v>60121139</v>
      </c>
      <c r="B15290" s="63" t="s">
        <v>15930</v>
      </c>
    </row>
    <row r="15291" spans="1:2" x14ac:dyDescent="0.25">
      <c r="A15291" s="62">
        <v>60121140</v>
      </c>
      <c r="B15291" s="63" t="s">
        <v>15931</v>
      </c>
    </row>
    <row r="15292" spans="1:2" x14ac:dyDescent="0.25">
      <c r="A15292" s="62">
        <v>60121141</v>
      </c>
      <c r="B15292" s="63" t="s">
        <v>15932</v>
      </c>
    </row>
    <row r="15293" spans="1:2" x14ac:dyDescent="0.25">
      <c r="A15293" s="62">
        <v>60121142</v>
      </c>
      <c r="B15293" s="63" t="s">
        <v>15933</v>
      </c>
    </row>
    <row r="15294" spans="1:2" x14ac:dyDescent="0.25">
      <c r="A15294" s="62">
        <v>60121143</v>
      </c>
      <c r="B15294" s="63" t="s">
        <v>15934</v>
      </c>
    </row>
    <row r="15295" spans="1:2" x14ac:dyDescent="0.25">
      <c r="A15295" s="62">
        <v>60121144</v>
      </c>
      <c r="B15295" s="63" t="s">
        <v>15935</v>
      </c>
    </row>
    <row r="15296" spans="1:2" x14ac:dyDescent="0.25">
      <c r="A15296" s="62">
        <v>60121145</v>
      </c>
      <c r="B15296" s="63" t="s">
        <v>15936</v>
      </c>
    </row>
    <row r="15297" spans="1:2" x14ac:dyDescent="0.25">
      <c r="A15297" s="62">
        <v>60121146</v>
      </c>
      <c r="B15297" s="63" t="s">
        <v>15937</v>
      </c>
    </row>
    <row r="15298" spans="1:2" x14ac:dyDescent="0.25">
      <c r="A15298" s="62">
        <v>60121147</v>
      </c>
      <c r="B15298" s="63" t="s">
        <v>15938</v>
      </c>
    </row>
    <row r="15299" spans="1:2" x14ac:dyDescent="0.25">
      <c r="A15299" s="62">
        <v>60121148</v>
      </c>
      <c r="B15299" s="63" t="s">
        <v>15939</v>
      </c>
    </row>
    <row r="15300" spans="1:2" x14ac:dyDescent="0.25">
      <c r="A15300" s="62">
        <v>60121149</v>
      </c>
      <c r="B15300" s="63" t="s">
        <v>15940</v>
      </c>
    </row>
    <row r="15301" spans="1:2" x14ac:dyDescent="0.25">
      <c r="A15301" s="62">
        <v>60121150</v>
      </c>
      <c r="B15301" s="63" t="s">
        <v>1757</v>
      </c>
    </row>
    <row r="15302" spans="1:2" x14ac:dyDescent="0.25">
      <c r="A15302" s="62">
        <v>60121151</v>
      </c>
      <c r="B15302" s="63" t="s">
        <v>15941</v>
      </c>
    </row>
    <row r="15303" spans="1:2" x14ac:dyDescent="0.25">
      <c r="A15303" s="62">
        <v>60121152</v>
      </c>
      <c r="B15303" s="63" t="s">
        <v>15942</v>
      </c>
    </row>
    <row r="15304" spans="1:2" x14ac:dyDescent="0.25">
      <c r="A15304" s="62">
        <v>60121153</v>
      </c>
      <c r="B15304" s="63" t="s">
        <v>15943</v>
      </c>
    </row>
    <row r="15305" spans="1:2" x14ac:dyDescent="0.25">
      <c r="A15305" s="62">
        <v>60121201</v>
      </c>
      <c r="B15305" s="63" t="s">
        <v>15944</v>
      </c>
    </row>
    <row r="15306" spans="1:2" x14ac:dyDescent="0.25">
      <c r="A15306" s="62">
        <v>60121202</v>
      </c>
      <c r="B15306" s="63" t="s">
        <v>15945</v>
      </c>
    </row>
    <row r="15307" spans="1:2" x14ac:dyDescent="0.25">
      <c r="A15307" s="62">
        <v>60121203</v>
      </c>
      <c r="B15307" s="63" t="s">
        <v>15946</v>
      </c>
    </row>
    <row r="15308" spans="1:2" x14ac:dyDescent="0.25">
      <c r="A15308" s="62">
        <v>60121204</v>
      </c>
      <c r="B15308" s="63" t="s">
        <v>15947</v>
      </c>
    </row>
    <row r="15309" spans="1:2" x14ac:dyDescent="0.25">
      <c r="A15309" s="62">
        <v>60121205</v>
      </c>
      <c r="B15309" s="63" t="s">
        <v>15948</v>
      </c>
    </row>
    <row r="15310" spans="1:2" x14ac:dyDescent="0.25">
      <c r="A15310" s="62">
        <v>60121206</v>
      </c>
      <c r="B15310" s="63" t="s">
        <v>15949</v>
      </c>
    </row>
    <row r="15311" spans="1:2" x14ac:dyDescent="0.25">
      <c r="A15311" s="62">
        <v>60121207</v>
      </c>
      <c r="B15311" s="63" t="s">
        <v>15950</v>
      </c>
    </row>
    <row r="15312" spans="1:2" x14ac:dyDescent="0.25">
      <c r="A15312" s="62">
        <v>60121208</v>
      </c>
      <c r="B15312" s="63" t="s">
        <v>15951</v>
      </c>
    </row>
    <row r="15313" spans="1:2" x14ac:dyDescent="0.25">
      <c r="A15313" s="62">
        <v>60121209</v>
      </c>
      <c r="B15313" s="63" t="s">
        <v>15952</v>
      </c>
    </row>
    <row r="15314" spans="1:2" x14ac:dyDescent="0.25">
      <c r="A15314" s="62">
        <v>60121210</v>
      </c>
      <c r="B15314" s="63" t="s">
        <v>15953</v>
      </c>
    </row>
    <row r="15315" spans="1:2" x14ac:dyDescent="0.25">
      <c r="A15315" s="62">
        <v>60121211</v>
      </c>
      <c r="B15315" s="63" t="s">
        <v>15954</v>
      </c>
    </row>
    <row r="15316" spans="1:2" x14ac:dyDescent="0.25">
      <c r="A15316" s="62">
        <v>60121212</v>
      </c>
      <c r="B15316" s="63" t="s">
        <v>15955</v>
      </c>
    </row>
    <row r="15317" spans="1:2" x14ac:dyDescent="0.25">
      <c r="A15317" s="62">
        <v>60121213</v>
      </c>
      <c r="B15317" s="63" t="s">
        <v>15956</v>
      </c>
    </row>
    <row r="15318" spans="1:2" x14ac:dyDescent="0.25">
      <c r="A15318" s="62">
        <v>60121214</v>
      </c>
      <c r="B15318" s="63" t="s">
        <v>15957</v>
      </c>
    </row>
    <row r="15319" spans="1:2" x14ac:dyDescent="0.25">
      <c r="A15319" s="62">
        <v>60121215</v>
      </c>
      <c r="B15319" s="63" t="s">
        <v>15958</v>
      </c>
    </row>
    <row r="15320" spans="1:2" x14ac:dyDescent="0.25">
      <c r="A15320" s="62">
        <v>60121216</v>
      </c>
      <c r="B15320" s="63" t="s">
        <v>15959</v>
      </c>
    </row>
    <row r="15321" spans="1:2" x14ac:dyDescent="0.25">
      <c r="A15321" s="62">
        <v>60121217</v>
      </c>
      <c r="B15321" s="63" t="s">
        <v>15960</v>
      </c>
    </row>
    <row r="15322" spans="1:2" x14ac:dyDescent="0.25">
      <c r="A15322" s="62">
        <v>60121218</v>
      </c>
      <c r="B15322" s="63" t="s">
        <v>15961</v>
      </c>
    </row>
    <row r="15323" spans="1:2" x14ac:dyDescent="0.25">
      <c r="A15323" s="62">
        <v>60121219</v>
      </c>
      <c r="B15323" s="63" t="s">
        <v>15962</v>
      </c>
    </row>
    <row r="15324" spans="1:2" x14ac:dyDescent="0.25">
      <c r="A15324" s="62">
        <v>60121220</v>
      </c>
      <c r="B15324" s="63" t="s">
        <v>15963</v>
      </c>
    </row>
    <row r="15325" spans="1:2" x14ac:dyDescent="0.25">
      <c r="A15325" s="62">
        <v>60121221</v>
      </c>
      <c r="B15325" s="63" t="s">
        <v>15964</v>
      </c>
    </row>
    <row r="15326" spans="1:2" x14ac:dyDescent="0.25">
      <c r="A15326" s="62">
        <v>60121222</v>
      </c>
      <c r="B15326" s="63" t="s">
        <v>15965</v>
      </c>
    </row>
    <row r="15327" spans="1:2" x14ac:dyDescent="0.25">
      <c r="A15327" s="62">
        <v>60121223</v>
      </c>
      <c r="B15327" s="63" t="s">
        <v>15966</v>
      </c>
    </row>
    <row r="15328" spans="1:2" x14ac:dyDescent="0.25">
      <c r="A15328" s="62">
        <v>60121224</v>
      </c>
      <c r="B15328" s="63" t="s">
        <v>15967</v>
      </c>
    </row>
    <row r="15329" spans="1:2" x14ac:dyDescent="0.25">
      <c r="A15329" s="62">
        <v>60121225</v>
      </c>
      <c r="B15329" s="63" t="s">
        <v>15968</v>
      </c>
    </row>
    <row r="15330" spans="1:2" x14ac:dyDescent="0.25">
      <c r="A15330" s="62">
        <v>60121226</v>
      </c>
      <c r="B15330" s="63" t="s">
        <v>15969</v>
      </c>
    </row>
    <row r="15331" spans="1:2" x14ac:dyDescent="0.25">
      <c r="A15331" s="62">
        <v>60121227</v>
      </c>
      <c r="B15331" s="63" t="s">
        <v>15970</v>
      </c>
    </row>
    <row r="15332" spans="1:2" x14ac:dyDescent="0.25">
      <c r="A15332" s="62">
        <v>60121228</v>
      </c>
      <c r="B15332" s="63" t="s">
        <v>15971</v>
      </c>
    </row>
    <row r="15333" spans="1:2" x14ac:dyDescent="0.25">
      <c r="A15333" s="62">
        <v>60121229</v>
      </c>
      <c r="B15333" s="63" t="s">
        <v>15972</v>
      </c>
    </row>
    <row r="15334" spans="1:2" x14ac:dyDescent="0.25">
      <c r="A15334" s="62">
        <v>60121230</v>
      </c>
      <c r="B15334" s="63" t="s">
        <v>15973</v>
      </c>
    </row>
    <row r="15335" spans="1:2" x14ac:dyDescent="0.25">
      <c r="A15335" s="62">
        <v>60121231</v>
      </c>
      <c r="B15335" s="63" t="s">
        <v>15974</v>
      </c>
    </row>
    <row r="15336" spans="1:2" x14ac:dyDescent="0.25">
      <c r="A15336" s="62">
        <v>60121232</v>
      </c>
      <c r="B15336" s="63" t="s">
        <v>15975</v>
      </c>
    </row>
    <row r="15337" spans="1:2" x14ac:dyDescent="0.25">
      <c r="A15337" s="62">
        <v>60121233</v>
      </c>
      <c r="B15337" s="63" t="s">
        <v>15976</v>
      </c>
    </row>
    <row r="15338" spans="1:2" x14ac:dyDescent="0.25">
      <c r="A15338" s="62">
        <v>60121234</v>
      </c>
      <c r="B15338" s="63" t="s">
        <v>15977</v>
      </c>
    </row>
    <row r="15339" spans="1:2" x14ac:dyDescent="0.25">
      <c r="A15339" s="62">
        <v>60121235</v>
      </c>
      <c r="B15339" s="63" t="s">
        <v>15978</v>
      </c>
    </row>
    <row r="15340" spans="1:2" x14ac:dyDescent="0.25">
      <c r="A15340" s="62">
        <v>60121236</v>
      </c>
      <c r="B15340" s="63" t="s">
        <v>15979</v>
      </c>
    </row>
    <row r="15341" spans="1:2" x14ac:dyDescent="0.25">
      <c r="A15341" s="62">
        <v>60121237</v>
      </c>
      <c r="B15341" s="63" t="s">
        <v>15980</v>
      </c>
    </row>
    <row r="15342" spans="1:2" x14ac:dyDescent="0.25">
      <c r="A15342" s="62">
        <v>60121238</v>
      </c>
      <c r="B15342" s="63" t="s">
        <v>15981</v>
      </c>
    </row>
    <row r="15343" spans="1:2" x14ac:dyDescent="0.25">
      <c r="A15343" s="62">
        <v>60121239</v>
      </c>
      <c r="B15343" s="63" t="s">
        <v>15982</v>
      </c>
    </row>
    <row r="15344" spans="1:2" x14ac:dyDescent="0.25">
      <c r="A15344" s="62">
        <v>60121241</v>
      </c>
      <c r="B15344" s="63" t="s">
        <v>15983</v>
      </c>
    </row>
    <row r="15345" spans="1:2" x14ac:dyDescent="0.25">
      <c r="A15345" s="62">
        <v>60121242</v>
      </c>
      <c r="B15345" s="63" t="s">
        <v>15984</v>
      </c>
    </row>
    <row r="15346" spans="1:2" x14ac:dyDescent="0.25">
      <c r="A15346" s="62">
        <v>60121243</v>
      </c>
      <c r="B15346" s="63" t="s">
        <v>15985</v>
      </c>
    </row>
    <row r="15347" spans="1:2" x14ac:dyDescent="0.25">
      <c r="A15347" s="62">
        <v>60121244</v>
      </c>
      <c r="B15347" s="63" t="s">
        <v>15986</v>
      </c>
    </row>
    <row r="15348" spans="1:2" x14ac:dyDescent="0.25">
      <c r="A15348" s="62">
        <v>60121245</v>
      </c>
      <c r="B15348" s="63" t="s">
        <v>15987</v>
      </c>
    </row>
    <row r="15349" spans="1:2" x14ac:dyDescent="0.25">
      <c r="A15349" s="62">
        <v>60121246</v>
      </c>
      <c r="B15349" s="63" t="s">
        <v>15988</v>
      </c>
    </row>
    <row r="15350" spans="1:2" x14ac:dyDescent="0.25">
      <c r="A15350" s="62">
        <v>60121247</v>
      </c>
      <c r="B15350" s="63" t="s">
        <v>15989</v>
      </c>
    </row>
    <row r="15351" spans="1:2" x14ac:dyDescent="0.25">
      <c r="A15351" s="62">
        <v>60121248</v>
      </c>
      <c r="B15351" s="63" t="s">
        <v>15990</v>
      </c>
    </row>
    <row r="15352" spans="1:2" x14ac:dyDescent="0.25">
      <c r="A15352" s="62">
        <v>60121249</v>
      </c>
      <c r="B15352" s="63" t="s">
        <v>15991</v>
      </c>
    </row>
    <row r="15353" spans="1:2" x14ac:dyDescent="0.25">
      <c r="A15353" s="62">
        <v>60121250</v>
      </c>
      <c r="B15353" s="63" t="s">
        <v>15992</v>
      </c>
    </row>
    <row r="15354" spans="1:2" x14ac:dyDescent="0.25">
      <c r="A15354" s="62">
        <v>60121251</v>
      </c>
      <c r="B15354" s="63" t="s">
        <v>15993</v>
      </c>
    </row>
    <row r="15355" spans="1:2" x14ac:dyDescent="0.25">
      <c r="A15355" s="62">
        <v>60121252</v>
      </c>
      <c r="B15355" s="63" t="s">
        <v>15994</v>
      </c>
    </row>
    <row r="15356" spans="1:2" x14ac:dyDescent="0.25">
      <c r="A15356" s="62">
        <v>60121253</v>
      </c>
      <c r="B15356" s="63" t="s">
        <v>15995</v>
      </c>
    </row>
    <row r="15357" spans="1:2" x14ac:dyDescent="0.25">
      <c r="A15357" s="62">
        <v>60121301</v>
      </c>
      <c r="B15357" s="63" t="s">
        <v>15996</v>
      </c>
    </row>
    <row r="15358" spans="1:2" x14ac:dyDescent="0.25">
      <c r="A15358" s="62">
        <v>60121302</v>
      </c>
      <c r="B15358" s="63" t="s">
        <v>15997</v>
      </c>
    </row>
    <row r="15359" spans="1:2" x14ac:dyDescent="0.25">
      <c r="A15359" s="62">
        <v>60121303</v>
      </c>
      <c r="B15359" s="63" t="s">
        <v>15998</v>
      </c>
    </row>
    <row r="15360" spans="1:2" x14ac:dyDescent="0.25">
      <c r="A15360" s="62">
        <v>60121304</v>
      </c>
      <c r="B15360" s="63" t="s">
        <v>15999</v>
      </c>
    </row>
    <row r="15361" spans="1:2" x14ac:dyDescent="0.25">
      <c r="A15361" s="62">
        <v>60121305</v>
      </c>
      <c r="B15361" s="63" t="s">
        <v>16000</v>
      </c>
    </row>
    <row r="15362" spans="1:2" x14ac:dyDescent="0.25">
      <c r="A15362" s="62">
        <v>60121306</v>
      </c>
      <c r="B15362" s="63" t="s">
        <v>16001</v>
      </c>
    </row>
    <row r="15363" spans="1:2" x14ac:dyDescent="0.25">
      <c r="A15363" s="62">
        <v>60121401</v>
      </c>
      <c r="B15363" s="63" t="s">
        <v>16002</v>
      </c>
    </row>
    <row r="15364" spans="1:2" x14ac:dyDescent="0.25">
      <c r="A15364" s="62">
        <v>60121402</v>
      </c>
      <c r="B15364" s="63" t="s">
        <v>16003</v>
      </c>
    </row>
    <row r="15365" spans="1:2" x14ac:dyDescent="0.25">
      <c r="A15365" s="62">
        <v>60121403</v>
      </c>
      <c r="B15365" s="63" t="s">
        <v>16004</v>
      </c>
    </row>
    <row r="15366" spans="1:2" x14ac:dyDescent="0.25">
      <c r="A15366" s="62">
        <v>60121404</v>
      </c>
      <c r="B15366" s="63" t="s">
        <v>16005</v>
      </c>
    </row>
    <row r="15367" spans="1:2" x14ac:dyDescent="0.25">
      <c r="A15367" s="62">
        <v>60121405</v>
      </c>
      <c r="B15367" s="63" t="s">
        <v>16006</v>
      </c>
    </row>
    <row r="15368" spans="1:2" x14ac:dyDescent="0.25">
      <c r="A15368" s="62">
        <v>60121406</v>
      </c>
      <c r="B15368" s="63" t="s">
        <v>16007</v>
      </c>
    </row>
    <row r="15369" spans="1:2" x14ac:dyDescent="0.25">
      <c r="A15369" s="62">
        <v>60121407</v>
      </c>
      <c r="B15369" s="63" t="s">
        <v>16008</v>
      </c>
    </row>
    <row r="15370" spans="1:2" x14ac:dyDescent="0.25">
      <c r="A15370" s="62">
        <v>60121408</v>
      </c>
      <c r="B15370" s="63" t="s">
        <v>16009</v>
      </c>
    </row>
    <row r="15371" spans="1:2" x14ac:dyDescent="0.25">
      <c r="A15371" s="62">
        <v>60121409</v>
      </c>
      <c r="B15371" s="63" t="s">
        <v>16010</v>
      </c>
    </row>
    <row r="15372" spans="1:2" x14ac:dyDescent="0.25">
      <c r="A15372" s="62">
        <v>60121410</v>
      </c>
      <c r="B15372" s="63" t="s">
        <v>16011</v>
      </c>
    </row>
    <row r="15373" spans="1:2" x14ac:dyDescent="0.25">
      <c r="A15373" s="62">
        <v>60121411</v>
      </c>
      <c r="B15373" s="63" t="s">
        <v>16012</v>
      </c>
    </row>
    <row r="15374" spans="1:2" x14ac:dyDescent="0.25">
      <c r="A15374" s="62">
        <v>60121412</v>
      </c>
      <c r="B15374" s="63" t="s">
        <v>16013</v>
      </c>
    </row>
    <row r="15375" spans="1:2" x14ac:dyDescent="0.25">
      <c r="A15375" s="62">
        <v>60121413</v>
      </c>
      <c r="B15375" s="63" t="s">
        <v>16014</v>
      </c>
    </row>
    <row r="15376" spans="1:2" x14ac:dyDescent="0.25">
      <c r="A15376" s="62">
        <v>60121414</v>
      </c>
      <c r="B15376" s="63" t="s">
        <v>16015</v>
      </c>
    </row>
    <row r="15377" spans="1:2" x14ac:dyDescent="0.25">
      <c r="A15377" s="62">
        <v>60121415</v>
      </c>
      <c r="B15377" s="63" t="s">
        <v>16016</v>
      </c>
    </row>
    <row r="15378" spans="1:2" x14ac:dyDescent="0.25">
      <c r="A15378" s="62">
        <v>60121501</v>
      </c>
      <c r="B15378" s="63" t="s">
        <v>16017</v>
      </c>
    </row>
    <row r="15379" spans="1:2" x14ac:dyDescent="0.25">
      <c r="A15379" s="62">
        <v>60121502</v>
      </c>
      <c r="B15379" s="63" t="s">
        <v>16018</v>
      </c>
    </row>
    <row r="15380" spans="1:2" x14ac:dyDescent="0.25">
      <c r="A15380" s="62">
        <v>60121503</v>
      </c>
      <c r="B15380" s="63" t="s">
        <v>16019</v>
      </c>
    </row>
    <row r="15381" spans="1:2" x14ac:dyDescent="0.25">
      <c r="A15381" s="62">
        <v>60121504</v>
      </c>
      <c r="B15381" s="63" t="s">
        <v>16020</v>
      </c>
    </row>
    <row r="15382" spans="1:2" x14ac:dyDescent="0.25">
      <c r="A15382" s="62">
        <v>60121505</v>
      </c>
      <c r="B15382" s="63" t="s">
        <v>16021</v>
      </c>
    </row>
    <row r="15383" spans="1:2" x14ac:dyDescent="0.25">
      <c r="A15383" s="62">
        <v>60121506</v>
      </c>
      <c r="B15383" s="63" t="s">
        <v>16022</v>
      </c>
    </row>
    <row r="15384" spans="1:2" x14ac:dyDescent="0.25">
      <c r="A15384" s="62">
        <v>60121507</v>
      </c>
      <c r="B15384" s="63" t="s">
        <v>16023</v>
      </c>
    </row>
    <row r="15385" spans="1:2" x14ac:dyDescent="0.25">
      <c r="A15385" s="62">
        <v>60121508</v>
      </c>
      <c r="B15385" s="63" t="s">
        <v>16024</v>
      </c>
    </row>
    <row r="15386" spans="1:2" x14ac:dyDescent="0.25">
      <c r="A15386" s="62">
        <v>60121509</v>
      </c>
      <c r="B15386" s="63" t="s">
        <v>16025</v>
      </c>
    </row>
    <row r="15387" spans="1:2" x14ac:dyDescent="0.25">
      <c r="A15387" s="62">
        <v>60121510</v>
      </c>
      <c r="B15387" s="63" t="s">
        <v>16026</v>
      </c>
    </row>
    <row r="15388" spans="1:2" x14ac:dyDescent="0.25">
      <c r="A15388" s="62">
        <v>60121511</v>
      </c>
      <c r="B15388" s="63" t="s">
        <v>16027</v>
      </c>
    </row>
    <row r="15389" spans="1:2" x14ac:dyDescent="0.25">
      <c r="A15389" s="62">
        <v>60121512</v>
      </c>
      <c r="B15389" s="63" t="s">
        <v>16028</v>
      </c>
    </row>
    <row r="15390" spans="1:2" x14ac:dyDescent="0.25">
      <c r="A15390" s="62">
        <v>60121513</v>
      </c>
      <c r="B15390" s="63" t="s">
        <v>16029</v>
      </c>
    </row>
    <row r="15391" spans="1:2" x14ac:dyDescent="0.25">
      <c r="A15391" s="62">
        <v>60121514</v>
      </c>
      <c r="B15391" s="63" t="s">
        <v>16030</v>
      </c>
    </row>
    <row r="15392" spans="1:2" x14ac:dyDescent="0.25">
      <c r="A15392" s="62">
        <v>60121515</v>
      </c>
      <c r="B15392" s="63" t="s">
        <v>16031</v>
      </c>
    </row>
    <row r="15393" spans="1:2" x14ac:dyDescent="0.25">
      <c r="A15393" s="62">
        <v>60121516</v>
      </c>
      <c r="B15393" s="63" t="s">
        <v>16032</v>
      </c>
    </row>
    <row r="15394" spans="1:2" x14ac:dyDescent="0.25">
      <c r="A15394" s="62">
        <v>60121517</v>
      </c>
      <c r="B15394" s="63" t="s">
        <v>16033</v>
      </c>
    </row>
    <row r="15395" spans="1:2" x14ac:dyDescent="0.25">
      <c r="A15395" s="62">
        <v>60121518</v>
      </c>
      <c r="B15395" s="63" t="s">
        <v>16034</v>
      </c>
    </row>
    <row r="15396" spans="1:2" x14ac:dyDescent="0.25">
      <c r="A15396" s="62">
        <v>60121519</v>
      </c>
      <c r="B15396" s="63" t="s">
        <v>16035</v>
      </c>
    </row>
    <row r="15397" spans="1:2" x14ac:dyDescent="0.25">
      <c r="A15397" s="62">
        <v>60121520</v>
      </c>
      <c r="B15397" s="63" t="s">
        <v>16036</v>
      </c>
    </row>
    <row r="15398" spans="1:2" x14ac:dyDescent="0.25">
      <c r="A15398" s="62">
        <v>60121521</v>
      </c>
      <c r="B15398" s="63" t="s">
        <v>16037</v>
      </c>
    </row>
    <row r="15399" spans="1:2" x14ac:dyDescent="0.25">
      <c r="A15399" s="62">
        <v>60121522</v>
      </c>
      <c r="B15399" s="63" t="s">
        <v>16038</v>
      </c>
    </row>
    <row r="15400" spans="1:2" x14ac:dyDescent="0.25">
      <c r="A15400" s="62">
        <v>60121523</v>
      </c>
      <c r="B15400" s="63" t="s">
        <v>16039</v>
      </c>
    </row>
    <row r="15401" spans="1:2" x14ac:dyDescent="0.25">
      <c r="A15401" s="62">
        <v>60121524</v>
      </c>
      <c r="B15401" s="63" t="s">
        <v>16040</v>
      </c>
    </row>
    <row r="15402" spans="1:2" x14ac:dyDescent="0.25">
      <c r="A15402" s="62">
        <v>60121525</v>
      </c>
      <c r="B15402" s="63" t="s">
        <v>16041</v>
      </c>
    </row>
    <row r="15403" spans="1:2" x14ac:dyDescent="0.25">
      <c r="A15403" s="62">
        <v>60121526</v>
      </c>
      <c r="B15403" s="63" t="s">
        <v>16042</v>
      </c>
    </row>
    <row r="15404" spans="1:2" x14ac:dyDescent="0.25">
      <c r="A15404" s="62">
        <v>60121531</v>
      </c>
      <c r="B15404" s="63" t="s">
        <v>16043</v>
      </c>
    </row>
    <row r="15405" spans="1:2" x14ac:dyDescent="0.25">
      <c r="A15405" s="62">
        <v>60121532</v>
      </c>
      <c r="B15405" s="63" t="s">
        <v>16044</v>
      </c>
    </row>
    <row r="15406" spans="1:2" x14ac:dyDescent="0.25">
      <c r="A15406" s="62">
        <v>60121533</v>
      </c>
      <c r="B15406" s="63" t="s">
        <v>16045</v>
      </c>
    </row>
    <row r="15407" spans="1:2" x14ac:dyDescent="0.25">
      <c r="A15407" s="62">
        <v>60121534</v>
      </c>
      <c r="B15407" s="63" t="s">
        <v>16046</v>
      </c>
    </row>
    <row r="15408" spans="1:2" x14ac:dyDescent="0.25">
      <c r="A15408" s="62">
        <v>60121535</v>
      </c>
      <c r="B15408" s="63" t="s">
        <v>16047</v>
      </c>
    </row>
    <row r="15409" spans="1:2" x14ac:dyDescent="0.25">
      <c r="A15409" s="62">
        <v>60121536</v>
      </c>
      <c r="B15409" s="63" t="s">
        <v>16048</v>
      </c>
    </row>
    <row r="15410" spans="1:2" x14ac:dyDescent="0.25">
      <c r="A15410" s="62">
        <v>60121537</v>
      </c>
      <c r="B15410" s="63" t="s">
        <v>16049</v>
      </c>
    </row>
    <row r="15411" spans="1:2" x14ac:dyDescent="0.25">
      <c r="A15411" s="62">
        <v>60121538</v>
      </c>
      <c r="B15411" s="63" t="s">
        <v>16050</v>
      </c>
    </row>
    <row r="15412" spans="1:2" x14ac:dyDescent="0.25">
      <c r="A15412" s="62">
        <v>60121539</v>
      </c>
      <c r="B15412" s="63" t="s">
        <v>16051</v>
      </c>
    </row>
    <row r="15413" spans="1:2" x14ac:dyDescent="0.25">
      <c r="A15413" s="62">
        <v>60121540</v>
      </c>
      <c r="B15413" s="63" t="s">
        <v>16052</v>
      </c>
    </row>
    <row r="15414" spans="1:2" x14ac:dyDescent="0.25">
      <c r="A15414" s="62">
        <v>60121601</v>
      </c>
      <c r="B15414" s="63" t="s">
        <v>16053</v>
      </c>
    </row>
    <row r="15415" spans="1:2" x14ac:dyDescent="0.25">
      <c r="A15415" s="62">
        <v>60121602</v>
      </c>
      <c r="B15415" s="63" t="s">
        <v>16054</v>
      </c>
    </row>
    <row r="15416" spans="1:2" x14ac:dyDescent="0.25">
      <c r="A15416" s="62">
        <v>60121603</v>
      </c>
      <c r="B15416" s="63" t="s">
        <v>16055</v>
      </c>
    </row>
    <row r="15417" spans="1:2" x14ac:dyDescent="0.25">
      <c r="A15417" s="62">
        <v>60121604</v>
      </c>
      <c r="B15417" s="63" t="s">
        <v>16056</v>
      </c>
    </row>
    <row r="15418" spans="1:2" x14ac:dyDescent="0.25">
      <c r="A15418" s="62">
        <v>60121605</v>
      </c>
      <c r="B15418" s="63" t="s">
        <v>16057</v>
      </c>
    </row>
    <row r="15419" spans="1:2" x14ac:dyDescent="0.25">
      <c r="A15419" s="62">
        <v>60121606</v>
      </c>
      <c r="B15419" s="63" t="s">
        <v>16058</v>
      </c>
    </row>
    <row r="15420" spans="1:2" x14ac:dyDescent="0.25">
      <c r="A15420" s="62">
        <v>60121701</v>
      </c>
      <c r="B15420" s="63" t="s">
        <v>16059</v>
      </c>
    </row>
    <row r="15421" spans="1:2" x14ac:dyDescent="0.25">
      <c r="A15421" s="62">
        <v>60121702</v>
      </c>
      <c r="B15421" s="63" t="s">
        <v>16060</v>
      </c>
    </row>
    <row r="15422" spans="1:2" x14ac:dyDescent="0.25">
      <c r="A15422" s="62">
        <v>60121703</v>
      </c>
      <c r="B15422" s="63" t="s">
        <v>16061</v>
      </c>
    </row>
    <row r="15423" spans="1:2" x14ac:dyDescent="0.25">
      <c r="A15423" s="62">
        <v>60121704</v>
      </c>
      <c r="B15423" s="63" t="s">
        <v>16062</v>
      </c>
    </row>
    <row r="15424" spans="1:2" x14ac:dyDescent="0.25">
      <c r="A15424" s="62">
        <v>60121705</v>
      </c>
      <c r="B15424" s="63" t="s">
        <v>16063</v>
      </c>
    </row>
    <row r="15425" spans="1:2" x14ac:dyDescent="0.25">
      <c r="A15425" s="62">
        <v>60121706</v>
      </c>
      <c r="B15425" s="63" t="s">
        <v>16064</v>
      </c>
    </row>
    <row r="15426" spans="1:2" x14ac:dyDescent="0.25">
      <c r="A15426" s="62">
        <v>60121707</v>
      </c>
      <c r="B15426" s="63" t="s">
        <v>16065</v>
      </c>
    </row>
    <row r="15427" spans="1:2" x14ac:dyDescent="0.25">
      <c r="A15427" s="62">
        <v>60121708</v>
      </c>
      <c r="B15427" s="63" t="s">
        <v>16066</v>
      </c>
    </row>
    <row r="15428" spans="1:2" x14ac:dyDescent="0.25">
      <c r="A15428" s="62">
        <v>60121709</v>
      </c>
      <c r="B15428" s="63" t="s">
        <v>16067</v>
      </c>
    </row>
    <row r="15429" spans="1:2" x14ac:dyDescent="0.25">
      <c r="A15429" s="62">
        <v>60121710</v>
      </c>
      <c r="B15429" s="63" t="s">
        <v>16068</v>
      </c>
    </row>
    <row r="15430" spans="1:2" x14ac:dyDescent="0.25">
      <c r="A15430" s="62">
        <v>60121711</v>
      </c>
      <c r="B15430" s="63" t="s">
        <v>16069</v>
      </c>
    </row>
    <row r="15431" spans="1:2" x14ac:dyDescent="0.25">
      <c r="A15431" s="62">
        <v>60121712</v>
      </c>
      <c r="B15431" s="63" t="s">
        <v>16070</v>
      </c>
    </row>
    <row r="15432" spans="1:2" x14ac:dyDescent="0.25">
      <c r="A15432" s="62">
        <v>60121713</v>
      </c>
      <c r="B15432" s="63" t="s">
        <v>16071</v>
      </c>
    </row>
    <row r="15433" spans="1:2" x14ac:dyDescent="0.25">
      <c r="A15433" s="62">
        <v>60121714</v>
      </c>
      <c r="B15433" s="63" t="s">
        <v>16072</v>
      </c>
    </row>
    <row r="15434" spans="1:2" x14ac:dyDescent="0.25">
      <c r="A15434" s="62">
        <v>60121715</v>
      </c>
      <c r="B15434" s="63" t="s">
        <v>16073</v>
      </c>
    </row>
    <row r="15435" spans="1:2" x14ac:dyDescent="0.25">
      <c r="A15435" s="62">
        <v>60121716</v>
      </c>
      <c r="B15435" s="63" t="s">
        <v>16074</v>
      </c>
    </row>
    <row r="15436" spans="1:2" x14ac:dyDescent="0.25">
      <c r="A15436" s="62">
        <v>60121717</v>
      </c>
      <c r="B15436" s="63" t="s">
        <v>16075</v>
      </c>
    </row>
    <row r="15437" spans="1:2" x14ac:dyDescent="0.25">
      <c r="A15437" s="62">
        <v>60121718</v>
      </c>
      <c r="B15437" s="63" t="s">
        <v>16076</v>
      </c>
    </row>
    <row r="15438" spans="1:2" x14ac:dyDescent="0.25">
      <c r="A15438" s="62">
        <v>60121801</v>
      </c>
      <c r="B15438" s="63" t="s">
        <v>16077</v>
      </c>
    </row>
    <row r="15439" spans="1:2" x14ac:dyDescent="0.25">
      <c r="A15439" s="62">
        <v>60121802</v>
      </c>
      <c r="B15439" s="63" t="s">
        <v>16078</v>
      </c>
    </row>
    <row r="15440" spans="1:2" x14ac:dyDescent="0.25">
      <c r="A15440" s="62">
        <v>60121803</v>
      </c>
      <c r="B15440" s="63" t="s">
        <v>16079</v>
      </c>
    </row>
    <row r="15441" spans="1:2" x14ac:dyDescent="0.25">
      <c r="A15441" s="62">
        <v>60121804</v>
      </c>
      <c r="B15441" s="63" t="s">
        <v>16080</v>
      </c>
    </row>
    <row r="15442" spans="1:2" x14ac:dyDescent="0.25">
      <c r="A15442" s="62">
        <v>60121805</v>
      </c>
      <c r="B15442" s="63" t="s">
        <v>16081</v>
      </c>
    </row>
    <row r="15443" spans="1:2" x14ac:dyDescent="0.25">
      <c r="A15443" s="62">
        <v>60121806</v>
      </c>
      <c r="B15443" s="63" t="s">
        <v>16082</v>
      </c>
    </row>
    <row r="15444" spans="1:2" x14ac:dyDescent="0.25">
      <c r="A15444" s="62">
        <v>60121807</v>
      </c>
      <c r="B15444" s="63" t="s">
        <v>16083</v>
      </c>
    </row>
    <row r="15445" spans="1:2" x14ac:dyDescent="0.25">
      <c r="A15445" s="62">
        <v>60121808</v>
      </c>
      <c r="B15445" s="63" t="s">
        <v>16084</v>
      </c>
    </row>
    <row r="15446" spans="1:2" x14ac:dyDescent="0.25">
      <c r="A15446" s="62">
        <v>60121809</v>
      </c>
      <c r="B15446" s="63" t="s">
        <v>16085</v>
      </c>
    </row>
    <row r="15447" spans="1:2" x14ac:dyDescent="0.25">
      <c r="A15447" s="62">
        <v>60121810</v>
      </c>
      <c r="B15447" s="63" t="s">
        <v>16086</v>
      </c>
    </row>
    <row r="15448" spans="1:2" x14ac:dyDescent="0.25">
      <c r="A15448" s="62">
        <v>60121811</v>
      </c>
      <c r="B15448" s="63" t="s">
        <v>16087</v>
      </c>
    </row>
    <row r="15449" spans="1:2" x14ac:dyDescent="0.25">
      <c r="A15449" s="62">
        <v>60121812</v>
      </c>
      <c r="B15449" s="63" t="s">
        <v>16088</v>
      </c>
    </row>
    <row r="15450" spans="1:2" x14ac:dyDescent="0.25">
      <c r="A15450" s="62">
        <v>60121813</v>
      </c>
      <c r="B15450" s="63" t="s">
        <v>16089</v>
      </c>
    </row>
    <row r="15451" spans="1:2" x14ac:dyDescent="0.25">
      <c r="A15451" s="62">
        <v>60121814</v>
      </c>
      <c r="B15451" s="63" t="s">
        <v>16090</v>
      </c>
    </row>
    <row r="15452" spans="1:2" x14ac:dyDescent="0.25">
      <c r="A15452" s="62">
        <v>60121901</v>
      </c>
      <c r="B15452" s="63" t="s">
        <v>16091</v>
      </c>
    </row>
    <row r="15453" spans="1:2" x14ac:dyDescent="0.25">
      <c r="A15453" s="62">
        <v>60121902</v>
      </c>
      <c r="B15453" s="63" t="s">
        <v>16092</v>
      </c>
    </row>
    <row r="15454" spans="1:2" x14ac:dyDescent="0.25">
      <c r="A15454" s="62">
        <v>60121903</v>
      </c>
      <c r="B15454" s="63" t="s">
        <v>16093</v>
      </c>
    </row>
    <row r="15455" spans="1:2" x14ac:dyDescent="0.25">
      <c r="A15455" s="62">
        <v>60121904</v>
      </c>
      <c r="B15455" s="63" t="s">
        <v>16094</v>
      </c>
    </row>
    <row r="15456" spans="1:2" x14ac:dyDescent="0.25">
      <c r="A15456" s="62">
        <v>60121905</v>
      </c>
      <c r="B15456" s="63" t="s">
        <v>16095</v>
      </c>
    </row>
    <row r="15457" spans="1:2" x14ac:dyDescent="0.25">
      <c r="A15457" s="62">
        <v>60121906</v>
      </c>
      <c r="B15457" s="63" t="s">
        <v>16096</v>
      </c>
    </row>
    <row r="15458" spans="1:2" x14ac:dyDescent="0.25">
      <c r="A15458" s="62">
        <v>60121907</v>
      </c>
      <c r="B15458" s="63" t="s">
        <v>16097</v>
      </c>
    </row>
    <row r="15459" spans="1:2" x14ac:dyDescent="0.25">
      <c r="A15459" s="62">
        <v>60121908</v>
      </c>
      <c r="B15459" s="63" t="s">
        <v>16098</v>
      </c>
    </row>
    <row r="15460" spans="1:2" x14ac:dyDescent="0.25">
      <c r="A15460" s="62">
        <v>60121909</v>
      </c>
      <c r="B15460" s="63" t="s">
        <v>16099</v>
      </c>
    </row>
    <row r="15461" spans="1:2" x14ac:dyDescent="0.25">
      <c r="A15461" s="62">
        <v>60121910</v>
      </c>
      <c r="B15461" s="63" t="s">
        <v>16100</v>
      </c>
    </row>
    <row r="15462" spans="1:2" x14ac:dyDescent="0.25">
      <c r="A15462" s="62">
        <v>60121911</v>
      </c>
      <c r="B15462" s="63" t="s">
        <v>16101</v>
      </c>
    </row>
    <row r="15463" spans="1:2" x14ac:dyDescent="0.25">
      <c r="A15463" s="62">
        <v>60121912</v>
      </c>
      <c r="B15463" s="63" t="s">
        <v>16102</v>
      </c>
    </row>
    <row r="15464" spans="1:2" x14ac:dyDescent="0.25">
      <c r="A15464" s="62">
        <v>60122002</v>
      </c>
      <c r="B15464" s="63" t="s">
        <v>16103</v>
      </c>
    </row>
    <row r="15465" spans="1:2" x14ac:dyDescent="0.25">
      <c r="A15465" s="62">
        <v>60122003</v>
      </c>
      <c r="B15465" s="63" t="s">
        <v>16104</v>
      </c>
    </row>
    <row r="15466" spans="1:2" x14ac:dyDescent="0.25">
      <c r="A15466" s="62">
        <v>60122004</v>
      </c>
      <c r="B15466" s="63" t="s">
        <v>16105</v>
      </c>
    </row>
    <row r="15467" spans="1:2" x14ac:dyDescent="0.25">
      <c r="A15467" s="62">
        <v>60122005</v>
      </c>
      <c r="B15467" s="63" t="s">
        <v>16106</v>
      </c>
    </row>
    <row r="15468" spans="1:2" x14ac:dyDescent="0.25">
      <c r="A15468" s="62">
        <v>60122006</v>
      </c>
      <c r="B15468" s="63" t="s">
        <v>16107</v>
      </c>
    </row>
    <row r="15469" spans="1:2" x14ac:dyDescent="0.25">
      <c r="A15469" s="62">
        <v>60122007</v>
      </c>
      <c r="B15469" s="63" t="s">
        <v>16108</v>
      </c>
    </row>
    <row r="15470" spans="1:2" x14ac:dyDescent="0.25">
      <c r="A15470" s="62">
        <v>60122008</v>
      </c>
      <c r="B15470" s="63" t="s">
        <v>16109</v>
      </c>
    </row>
    <row r="15471" spans="1:2" x14ac:dyDescent="0.25">
      <c r="A15471" s="62">
        <v>60122009</v>
      </c>
      <c r="B15471" s="63" t="s">
        <v>16110</v>
      </c>
    </row>
    <row r="15472" spans="1:2" x14ac:dyDescent="0.25">
      <c r="A15472" s="62">
        <v>60122101</v>
      </c>
      <c r="B15472" s="63" t="s">
        <v>16111</v>
      </c>
    </row>
    <row r="15473" spans="1:2" x14ac:dyDescent="0.25">
      <c r="A15473" s="62">
        <v>60122102</v>
      </c>
      <c r="B15473" s="63" t="s">
        <v>16112</v>
      </c>
    </row>
    <row r="15474" spans="1:2" x14ac:dyDescent="0.25">
      <c r="A15474" s="62">
        <v>60122103</v>
      </c>
      <c r="B15474" s="63" t="s">
        <v>16113</v>
      </c>
    </row>
    <row r="15475" spans="1:2" x14ac:dyDescent="0.25">
      <c r="A15475" s="62">
        <v>60122201</v>
      </c>
      <c r="B15475" s="63" t="s">
        <v>16114</v>
      </c>
    </row>
    <row r="15476" spans="1:2" x14ac:dyDescent="0.25">
      <c r="A15476" s="62">
        <v>60122202</v>
      </c>
      <c r="B15476" s="63" t="s">
        <v>16115</v>
      </c>
    </row>
    <row r="15477" spans="1:2" x14ac:dyDescent="0.25">
      <c r="A15477" s="62">
        <v>60122203</v>
      </c>
      <c r="B15477" s="63" t="s">
        <v>16116</v>
      </c>
    </row>
    <row r="15478" spans="1:2" x14ac:dyDescent="0.25">
      <c r="A15478" s="62">
        <v>60122204</v>
      </c>
      <c r="B15478" s="63" t="s">
        <v>16117</v>
      </c>
    </row>
    <row r="15479" spans="1:2" x14ac:dyDescent="0.25">
      <c r="A15479" s="62">
        <v>60122301</v>
      </c>
      <c r="B15479" s="63" t="s">
        <v>16118</v>
      </c>
    </row>
    <row r="15480" spans="1:2" x14ac:dyDescent="0.25">
      <c r="A15480" s="62">
        <v>60122302</v>
      </c>
      <c r="B15480" s="63" t="s">
        <v>16119</v>
      </c>
    </row>
    <row r="15481" spans="1:2" x14ac:dyDescent="0.25">
      <c r="A15481" s="62">
        <v>60122401</v>
      </c>
      <c r="B15481" s="63" t="s">
        <v>16120</v>
      </c>
    </row>
    <row r="15482" spans="1:2" x14ac:dyDescent="0.25">
      <c r="A15482" s="62">
        <v>60122402</v>
      </c>
      <c r="B15482" s="63" t="s">
        <v>16121</v>
      </c>
    </row>
    <row r="15483" spans="1:2" x14ac:dyDescent="0.25">
      <c r="A15483" s="62">
        <v>60122501</v>
      </c>
      <c r="B15483" s="63" t="s">
        <v>16122</v>
      </c>
    </row>
    <row r="15484" spans="1:2" x14ac:dyDescent="0.25">
      <c r="A15484" s="62">
        <v>60122502</v>
      </c>
      <c r="B15484" s="63" t="s">
        <v>16123</v>
      </c>
    </row>
    <row r="15485" spans="1:2" x14ac:dyDescent="0.25">
      <c r="A15485" s="62">
        <v>60122503</v>
      </c>
      <c r="B15485" s="63" t="s">
        <v>16124</v>
      </c>
    </row>
    <row r="15486" spans="1:2" x14ac:dyDescent="0.25">
      <c r="A15486" s="62">
        <v>60122504</v>
      </c>
      <c r="B15486" s="63" t="s">
        <v>16125</v>
      </c>
    </row>
    <row r="15487" spans="1:2" x14ac:dyDescent="0.25">
      <c r="A15487" s="62">
        <v>60122505</v>
      </c>
      <c r="B15487" s="63" t="s">
        <v>16126</v>
      </c>
    </row>
    <row r="15488" spans="1:2" x14ac:dyDescent="0.25">
      <c r="A15488" s="62">
        <v>60122506</v>
      </c>
      <c r="B15488" s="63" t="s">
        <v>16127</v>
      </c>
    </row>
    <row r="15489" spans="1:2" x14ac:dyDescent="0.25">
      <c r="A15489" s="62">
        <v>60122507</v>
      </c>
      <c r="B15489" s="63" t="s">
        <v>16128</v>
      </c>
    </row>
    <row r="15490" spans="1:2" x14ac:dyDescent="0.25">
      <c r="A15490" s="62">
        <v>60122508</v>
      </c>
      <c r="B15490" s="63" t="s">
        <v>16129</v>
      </c>
    </row>
    <row r="15491" spans="1:2" x14ac:dyDescent="0.25">
      <c r="A15491" s="62">
        <v>60122509</v>
      </c>
      <c r="B15491" s="63" t="s">
        <v>16130</v>
      </c>
    </row>
    <row r="15492" spans="1:2" x14ac:dyDescent="0.25">
      <c r="A15492" s="62">
        <v>60122601</v>
      </c>
      <c r="B15492" s="63" t="s">
        <v>16131</v>
      </c>
    </row>
    <row r="15493" spans="1:2" x14ac:dyDescent="0.25">
      <c r="A15493" s="62">
        <v>60122602</v>
      </c>
      <c r="B15493" s="63" t="s">
        <v>16132</v>
      </c>
    </row>
    <row r="15494" spans="1:2" x14ac:dyDescent="0.25">
      <c r="A15494" s="62">
        <v>60122603</v>
      </c>
      <c r="B15494" s="63" t="s">
        <v>16133</v>
      </c>
    </row>
    <row r="15495" spans="1:2" x14ac:dyDescent="0.25">
      <c r="A15495" s="62">
        <v>60122604</v>
      </c>
      <c r="B15495" s="63" t="s">
        <v>16134</v>
      </c>
    </row>
    <row r="15496" spans="1:2" x14ac:dyDescent="0.25">
      <c r="A15496" s="62">
        <v>60122701</v>
      </c>
      <c r="B15496" s="63" t="s">
        <v>16135</v>
      </c>
    </row>
    <row r="15497" spans="1:2" x14ac:dyDescent="0.25">
      <c r="A15497" s="62">
        <v>60122702</v>
      </c>
      <c r="B15497" s="63" t="s">
        <v>16136</v>
      </c>
    </row>
    <row r="15498" spans="1:2" x14ac:dyDescent="0.25">
      <c r="A15498" s="62">
        <v>60122703</v>
      </c>
      <c r="B15498" s="63" t="s">
        <v>16137</v>
      </c>
    </row>
    <row r="15499" spans="1:2" x14ac:dyDescent="0.25">
      <c r="A15499" s="62">
        <v>60122704</v>
      </c>
      <c r="B15499" s="63" t="s">
        <v>16138</v>
      </c>
    </row>
    <row r="15500" spans="1:2" x14ac:dyDescent="0.25">
      <c r="A15500" s="62">
        <v>60122801</v>
      </c>
      <c r="B15500" s="63" t="s">
        <v>16139</v>
      </c>
    </row>
    <row r="15501" spans="1:2" x14ac:dyDescent="0.25">
      <c r="A15501" s="62">
        <v>60122901</v>
      </c>
      <c r="B15501" s="63" t="s">
        <v>16140</v>
      </c>
    </row>
    <row r="15502" spans="1:2" x14ac:dyDescent="0.25">
      <c r="A15502" s="62">
        <v>60122902</v>
      </c>
      <c r="B15502" s="63" t="s">
        <v>16141</v>
      </c>
    </row>
    <row r="15503" spans="1:2" x14ac:dyDescent="0.25">
      <c r="A15503" s="62">
        <v>60122903</v>
      </c>
      <c r="B15503" s="63" t="s">
        <v>16142</v>
      </c>
    </row>
    <row r="15504" spans="1:2" x14ac:dyDescent="0.25">
      <c r="A15504" s="62">
        <v>60122904</v>
      </c>
      <c r="B15504" s="63" t="s">
        <v>16143</v>
      </c>
    </row>
    <row r="15505" spans="1:2" x14ac:dyDescent="0.25">
      <c r="A15505" s="62">
        <v>60122905</v>
      </c>
      <c r="B15505" s="63" t="s">
        <v>16144</v>
      </c>
    </row>
    <row r="15506" spans="1:2" x14ac:dyDescent="0.25">
      <c r="A15506" s="62">
        <v>60122906</v>
      </c>
      <c r="B15506" s="63" t="s">
        <v>5710</v>
      </c>
    </row>
    <row r="15507" spans="1:2" x14ac:dyDescent="0.25">
      <c r="A15507" s="62">
        <v>60122907</v>
      </c>
      <c r="B15507" s="63" t="s">
        <v>16145</v>
      </c>
    </row>
    <row r="15508" spans="1:2" x14ac:dyDescent="0.25">
      <c r="A15508" s="62">
        <v>60122908</v>
      </c>
      <c r="B15508" s="63" t="s">
        <v>16146</v>
      </c>
    </row>
    <row r="15509" spans="1:2" x14ac:dyDescent="0.25">
      <c r="A15509" s="62">
        <v>60122909</v>
      </c>
      <c r="B15509" s="63" t="s">
        <v>16147</v>
      </c>
    </row>
    <row r="15510" spans="1:2" x14ac:dyDescent="0.25">
      <c r="A15510" s="62">
        <v>60123001</v>
      </c>
      <c r="B15510" s="63" t="s">
        <v>16148</v>
      </c>
    </row>
    <row r="15511" spans="1:2" x14ac:dyDescent="0.25">
      <c r="A15511" s="62">
        <v>60123002</v>
      </c>
      <c r="B15511" s="63" t="s">
        <v>16149</v>
      </c>
    </row>
    <row r="15512" spans="1:2" x14ac:dyDescent="0.25">
      <c r="A15512" s="62">
        <v>60123101</v>
      </c>
      <c r="B15512" s="63" t="s">
        <v>16150</v>
      </c>
    </row>
    <row r="15513" spans="1:2" x14ac:dyDescent="0.25">
      <c r="A15513" s="62">
        <v>60123102</v>
      </c>
      <c r="B15513" s="63" t="s">
        <v>16151</v>
      </c>
    </row>
    <row r="15514" spans="1:2" x14ac:dyDescent="0.25">
      <c r="A15514" s="62">
        <v>60123103</v>
      </c>
      <c r="B15514" s="63" t="s">
        <v>16152</v>
      </c>
    </row>
    <row r="15515" spans="1:2" x14ac:dyDescent="0.25">
      <c r="A15515" s="62">
        <v>60123201</v>
      </c>
      <c r="B15515" s="63" t="s">
        <v>16153</v>
      </c>
    </row>
    <row r="15516" spans="1:2" x14ac:dyDescent="0.25">
      <c r="A15516" s="62">
        <v>60123202</v>
      </c>
      <c r="B15516" s="63" t="s">
        <v>16154</v>
      </c>
    </row>
    <row r="15517" spans="1:2" x14ac:dyDescent="0.25">
      <c r="A15517" s="62">
        <v>60123203</v>
      </c>
      <c r="B15517" s="63" t="s">
        <v>16155</v>
      </c>
    </row>
    <row r="15518" spans="1:2" x14ac:dyDescent="0.25">
      <c r="A15518" s="62">
        <v>60123204</v>
      </c>
      <c r="B15518" s="63" t="s">
        <v>16156</v>
      </c>
    </row>
    <row r="15519" spans="1:2" x14ac:dyDescent="0.25">
      <c r="A15519" s="62">
        <v>60123301</v>
      </c>
      <c r="B15519" s="63" t="s">
        <v>16157</v>
      </c>
    </row>
    <row r="15520" spans="1:2" x14ac:dyDescent="0.25">
      <c r="A15520" s="62">
        <v>60123302</v>
      </c>
      <c r="B15520" s="63" t="s">
        <v>16158</v>
      </c>
    </row>
    <row r="15521" spans="1:2" x14ac:dyDescent="0.25">
      <c r="A15521" s="62">
        <v>60123303</v>
      </c>
      <c r="B15521" s="63" t="s">
        <v>16159</v>
      </c>
    </row>
    <row r="15522" spans="1:2" x14ac:dyDescent="0.25">
      <c r="A15522" s="62">
        <v>60123401</v>
      </c>
      <c r="B15522" s="63" t="s">
        <v>16160</v>
      </c>
    </row>
    <row r="15523" spans="1:2" x14ac:dyDescent="0.25">
      <c r="A15523" s="62">
        <v>60123402</v>
      </c>
      <c r="B15523" s="63" t="s">
        <v>16161</v>
      </c>
    </row>
    <row r="15524" spans="1:2" x14ac:dyDescent="0.25">
      <c r="A15524" s="62">
        <v>60123403</v>
      </c>
      <c r="B15524" s="63" t="s">
        <v>16162</v>
      </c>
    </row>
    <row r="15525" spans="1:2" x14ac:dyDescent="0.25">
      <c r="A15525" s="62">
        <v>60123501</v>
      </c>
      <c r="B15525" s="63" t="s">
        <v>16163</v>
      </c>
    </row>
    <row r="15526" spans="1:2" x14ac:dyDescent="0.25">
      <c r="A15526" s="62">
        <v>60123502</v>
      </c>
      <c r="B15526" s="63" t="s">
        <v>16164</v>
      </c>
    </row>
    <row r="15527" spans="1:2" x14ac:dyDescent="0.25">
      <c r="A15527" s="62">
        <v>60123601</v>
      </c>
      <c r="B15527" s="63" t="s">
        <v>16165</v>
      </c>
    </row>
    <row r="15528" spans="1:2" x14ac:dyDescent="0.25">
      <c r="A15528" s="62">
        <v>60123602</v>
      </c>
      <c r="B15528" s="63" t="s">
        <v>16166</v>
      </c>
    </row>
    <row r="15529" spans="1:2" x14ac:dyDescent="0.25">
      <c r="A15529" s="62">
        <v>60123603</v>
      </c>
      <c r="B15529" s="63" t="s">
        <v>16167</v>
      </c>
    </row>
    <row r="15530" spans="1:2" x14ac:dyDescent="0.25">
      <c r="A15530" s="62">
        <v>60123604</v>
      </c>
      <c r="B15530" s="63" t="s">
        <v>16168</v>
      </c>
    </row>
    <row r="15531" spans="1:2" x14ac:dyDescent="0.25">
      <c r="A15531" s="62">
        <v>60123605</v>
      </c>
      <c r="B15531" s="63" t="s">
        <v>16169</v>
      </c>
    </row>
    <row r="15532" spans="1:2" x14ac:dyDescent="0.25">
      <c r="A15532" s="62">
        <v>60123606</v>
      </c>
      <c r="B15532" s="63" t="s">
        <v>16170</v>
      </c>
    </row>
    <row r="15533" spans="1:2" x14ac:dyDescent="0.25">
      <c r="A15533" s="62">
        <v>60123701</v>
      </c>
      <c r="B15533" s="63" t="s">
        <v>16171</v>
      </c>
    </row>
    <row r="15534" spans="1:2" x14ac:dyDescent="0.25">
      <c r="A15534" s="62">
        <v>60123702</v>
      </c>
      <c r="B15534" s="63" t="s">
        <v>16172</v>
      </c>
    </row>
    <row r="15535" spans="1:2" x14ac:dyDescent="0.25">
      <c r="A15535" s="62">
        <v>60123703</v>
      </c>
      <c r="B15535" s="63" t="s">
        <v>16173</v>
      </c>
    </row>
    <row r="15536" spans="1:2" x14ac:dyDescent="0.25">
      <c r="A15536" s="62">
        <v>60123801</v>
      </c>
      <c r="B15536" s="63" t="s">
        <v>16174</v>
      </c>
    </row>
    <row r="15537" spans="1:2" x14ac:dyDescent="0.25">
      <c r="A15537" s="62">
        <v>60123802</v>
      </c>
      <c r="B15537" s="63" t="s">
        <v>16175</v>
      </c>
    </row>
    <row r="15538" spans="1:2" x14ac:dyDescent="0.25">
      <c r="A15538" s="62">
        <v>60123901</v>
      </c>
      <c r="B15538" s="63" t="s">
        <v>16176</v>
      </c>
    </row>
    <row r="15539" spans="1:2" x14ac:dyDescent="0.25">
      <c r="A15539" s="62">
        <v>60124001</v>
      </c>
      <c r="B15539" s="63" t="s">
        <v>16177</v>
      </c>
    </row>
    <row r="15540" spans="1:2" x14ac:dyDescent="0.25">
      <c r="A15540" s="62">
        <v>60124002</v>
      </c>
      <c r="B15540" s="63" t="s">
        <v>16178</v>
      </c>
    </row>
    <row r="15541" spans="1:2" x14ac:dyDescent="0.25">
      <c r="A15541" s="62">
        <v>60124101</v>
      </c>
      <c r="B15541" s="63" t="s">
        <v>16179</v>
      </c>
    </row>
    <row r="15542" spans="1:2" x14ac:dyDescent="0.25">
      <c r="A15542" s="62">
        <v>60124102</v>
      </c>
      <c r="B15542" s="63" t="s">
        <v>16180</v>
      </c>
    </row>
    <row r="15543" spans="1:2" x14ac:dyDescent="0.25">
      <c r="A15543" s="62">
        <v>60124201</v>
      </c>
      <c r="B15543" s="63" t="s">
        <v>16181</v>
      </c>
    </row>
    <row r="15544" spans="1:2" x14ac:dyDescent="0.25">
      <c r="A15544" s="62">
        <v>60124301</v>
      </c>
      <c r="B15544" s="63" t="s">
        <v>16182</v>
      </c>
    </row>
    <row r="15545" spans="1:2" x14ac:dyDescent="0.25">
      <c r="A15545" s="62">
        <v>60124302</v>
      </c>
      <c r="B15545" s="63" t="s">
        <v>16183</v>
      </c>
    </row>
    <row r="15546" spans="1:2" x14ac:dyDescent="0.25">
      <c r="A15546" s="62">
        <v>60124303</v>
      </c>
      <c r="B15546" s="63" t="s">
        <v>16184</v>
      </c>
    </row>
    <row r="15547" spans="1:2" x14ac:dyDescent="0.25">
      <c r="A15547" s="62">
        <v>60124304</v>
      </c>
      <c r="B15547" s="63" t="s">
        <v>16185</v>
      </c>
    </row>
    <row r="15548" spans="1:2" x14ac:dyDescent="0.25">
      <c r="A15548" s="62">
        <v>60124305</v>
      </c>
      <c r="B15548" s="63" t="s">
        <v>16186</v>
      </c>
    </row>
    <row r="15549" spans="1:2" x14ac:dyDescent="0.25">
      <c r="A15549" s="62">
        <v>60124306</v>
      </c>
      <c r="B15549" s="63" t="s">
        <v>16187</v>
      </c>
    </row>
    <row r="15550" spans="1:2" x14ac:dyDescent="0.25">
      <c r="A15550" s="62">
        <v>60124307</v>
      </c>
      <c r="B15550" s="63" t="s">
        <v>16188</v>
      </c>
    </row>
    <row r="15551" spans="1:2" x14ac:dyDescent="0.25">
      <c r="A15551" s="62">
        <v>60124308</v>
      </c>
      <c r="B15551" s="63" t="s">
        <v>16189</v>
      </c>
    </row>
    <row r="15552" spans="1:2" x14ac:dyDescent="0.25">
      <c r="A15552" s="62">
        <v>60124309</v>
      </c>
      <c r="B15552" s="63" t="s">
        <v>16190</v>
      </c>
    </row>
    <row r="15553" spans="1:2" x14ac:dyDescent="0.25">
      <c r="A15553" s="62">
        <v>60124310</v>
      </c>
      <c r="B15553" s="63" t="s">
        <v>16191</v>
      </c>
    </row>
    <row r="15554" spans="1:2" x14ac:dyDescent="0.25">
      <c r="A15554" s="62">
        <v>60124311</v>
      </c>
      <c r="B15554" s="63" t="s">
        <v>16192</v>
      </c>
    </row>
    <row r="15555" spans="1:2" x14ac:dyDescent="0.25">
      <c r="A15555" s="62">
        <v>60124312</v>
      </c>
      <c r="B15555" s="63" t="s">
        <v>16193</v>
      </c>
    </row>
    <row r="15556" spans="1:2" x14ac:dyDescent="0.25">
      <c r="A15556" s="62">
        <v>60124313</v>
      </c>
      <c r="B15556" s="63" t="s">
        <v>16194</v>
      </c>
    </row>
    <row r="15557" spans="1:2" x14ac:dyDescent="0.25">
      <c r="A15557" s="62">
        <v>60124314</v>
      </c>
      <c r="B15557" s="63" t="s">
        <v>16195</v>
      </c>
    </row>
    <row r="15558" spans="1:2" x14ac:dyDescent="0.25">
      <c r="A15558" s="62">
        <v>60124315</v>
      </c>
      <c r="B15558" s="63" t="s">
        <v>16196</v>
      </c>
    </row>
    <row r="15559" spans="1:2" x14ac:dyDescent="0.25">
      <c r="A15559" s="62">
        <v>60124316</v>
      </c>
      <c r="B15559" s="63" t="s">
        <v>16197</v>
      </c>
    </row>
    <row r="15560" spans="1:2" x14ac:dyDescent="0.25">
      <c r="A15560" s="62">
        <v>60124317</v>
      </c>
      <c r="B15560" s="63" t="s">
        <v>16198</v>
      </c>
    </row>
    <row r="15561" spans="1:2" x14ac:dyDescent="0.25">
      <c r="A15561" s="62">
        <v>60124318</v>
      </c>
      <c r="B15561" s="63" t="s">
        <v>16199</v>
      </c>
    </row>
    <row r="15562" spans="1:2" x14ac:dyDescent="0.25">
      <c r="A15562" s="62">
        <v>60124319</v>
      </c>
      <c r="B15562" s="63" t="s">
        <v>16200</v>
      </c>
    </row>
    <row r="15563" spans="1:2" x14ac:dyDescent="0.25">
      <c r="A15563" s="62">
        <v>60124320</v>
      </c>
      <c r="B15563" s="63" t="s">
        <v>16201</v>
      </c>
    </row>
    <row r="15564" spans="1:2" x14ac:dyDescent="0.25">
      <c r="A15564" s="62">
        <v>60124321</v>
      </c>
      <c r="B15564" s="63" t="s">
        <v>16202</v>
      </c>
    </row>
    <row r="15565" spans="1:2" x14ac:dyDescent="0.25">
      <c r="A15565" s="62">
        <v>60124322</v>
      </c>
      <c r="B15565" s="63" t="s">
        <v>16203</v>
      </c>
    </row>
    <row r="15566" spans="1:2" x14ac:dyDescent="0.25">
      <c r="A15566" s="62">
        <v>60124323</v>
      </c>
      <c r="B15566" s="63" t="s">
        <v>16204</v>
      </c>
    </row>
    <row r="15567" spans="1:2" x14ac:dyDescent="0.25">
      <c r="A15567" s="62">
        <v>60124324</v>
      </c>
      <c r="B15567" s="63" t="s">
        <v>16205</v>
      </c>
    </row>
    <row r="15568" spans="1:2" x14ac:dyDescent="0.25">
      <c r="A15568" s="62">
        <v>60124401</v>
      </c>
      <c r="B15568" s="63" t="s">
        <v>16206</v>
      </c>
    </row>
    <row r="15569" spans="1:2" x14ac:dyDescent="0.25">
      <c r="A15569" s="62">
        <v>60124402</v>
      </c>
      <c r="B15569" s="63" t="s">
        <v>16207</v>
      </c>
    </row>
    <row r="15570" spans="1:2" x14ac:dyDescent="0.25">
      <c r="A15570" s="62">
        <v>60124403</v>
      </c>
      <c r="B15570" s="63" t="s">
        <v>16208</v>
      </c>
    </row>
    <row r="15571" spans="1:2" x14ac:dyDescent="0.25">
      <c r="A15571" s="62">
        <v>60124404</v>
      </c>
      <c r="B15571" s="63" t="s">
        <v>16209</v>
      </c>
    </row>
    <row r="15572" spans="1:2" x14ac:dyDescent="0.25">
      <c r="A15572" s="62">
        <v>60124405</v>
      </c>
      <c r="B15572" s="63" t="s">
        <v>16210</v>
      </c>
    </row>
    <row r="15573" spans="1:2" x14ac:dyDescent="0.25">
      <c r="A15573" s="62">
        <v>60124406</v>
      </c>
      <c r="B15573" s="63" t="s">
        <v>16211</v>
      </c>
    </row>
    <row r="15574" spans="1:2" x14ac:dyDescent="0.25">
      <c r="A15574" s="62">
        <v>60124407</v>
      </c>
      <c r="B15574" s="63" t="s">
        <v>16212</v>
      </c>
    </row>
    <row r="15575" spans="1:2" x14ac:dyDescent="0.25">
      <c r="A15575" s="62">
        <v>60124408</v>
      </c>
      <c r="B15575" s="63" t="s">
        <v>16213</v>
      </c>
    </row>
    <row r="15576" spans="1:2" x14ac:dyDescent="0.25">
      <c r="A15576" s="62">
        <v>60124409</v>
      </c>
      <c r="B15576" s="63" t="s">
        <v>16214</v>
      </c>
    </row>
    <row r="15577" spans="1:2" x14ac:dyDescent="0.25">
      <c r="A15577" s="62">
        <v>60124410</v>
      </c>
      <c r="B15577" s="63" t="s">
        <v>16215</v>
      </c>
    </row>
    <row r="15578" spans="1:2" x14ac:dyDescent="0.25">
      <c r="A15578" s="62">
        <v>60124411</v>
      </c>
      <c r="B15578" s="63" t="s">
        <v>16216</v>
      </c>
    </row>
    <row r="15579" spans="1:2" x14ac:dyDescent="0.25">
      <c r="A15579" s="62">
        <v>60124412</v>
      </c>
      <c r="B15579" s="63" t="s">
        <v>16217</v>
      </c>
    </row>
    <row r="15580" spans="1:2" x14ac:dyDescent="0.25">
      <c r="A15580" s="62">
        <v>60124501</v>
      </c>
      <c r="B15580" s="63" t="s">
        <v>16218</v>
      </c>
    </row>
    <row r="15581" spans="1:2" x14ac:dyDescent="0.25">
      <c r="A15581" s="62">
        <v>60124502</v>
      </c>
      <c r="B15581" s="63" t="s">
        <v>16219</v>
      </c>
    </row>
    <row r="15582" spans="1:2" x14ac:dyDescent="0.25">
      <c r="A15582" s="62">
        <v>60124503</v>
      </c>
      <c r="B15582" s="63" t="s">
        <v>16220</v>
      </c>
    </row>
    <row r="15583" spans="1:2" x14ac:dyDescent="0.25">
      <c r="A15583" s="62">
        <v>60124504</v>
      </c>
      <c r="B15583" s="63" t="s">
        <v>16221</v>
      </c>
    </row>
    <row r="15584" spans="1:2" x14ac:dyDescent="0.25">
      <c r="A15584" s="62">
        <v>60124505</v>
      </c>
      <c r="B15584" s="63" t="s">
        <v>16222</v>
      </c>
    </row>
    <row r="15585" spans="1:2" x14ac:dyDescent="0.25">
      <c r="A15585" s="62">
        <v>60124506</v>
      </c>
      <c r="B15585" s="63" t="s">
        <v>16223</v>
      </c>
    </row>
    <row r="15586" spans="1:2" x14ac:dyDescent="0.25">
      <c r="A15586" s="62">
        <v>60124507</v>
      </c>
      <c r="B15586" s="63" t="s">
        <v>16224</v>
      </c>
    </row>
    <row r="15587" spans="1:2" x14ac:dyDescent="0.25">
      <c r="A15587" s="62">
        <v>60124508</v>
      </c>
      <c r="B15587" s="63" t="s">
        <v>16225</v>
      </c>
    </row>
    <row r="15588" spans="1:2" x14ac:dyDescent="0.25">
      <c r="A15588" s="62">
        <v>60124509</v>
      </c>
      <c r="B15588" s="63" t="s">
        <v>16226</v>
      </c>
    </row>
    <row r="15589" spans="1:2" x14ac:dyDescent="0.25">
      <c r="A15589" s="62">
        <v>60124510</v>
      </c>
      <c r="B15589" s="63" t="s">
        <v>16227</v>
      </c>
    </row>
    <row r="15590" spans="1:2" x14ac:dyDescent="0.25">
      <c r="A15590" s="62">
        <v>60124511</v>
      </c>
      <c r="B15590" s="63" t="s">
        <v>16228</v>
      </c>
    </row>
    <row r="15591" spans="1:2" x14ac:dyDescent="0.25">
      <c r="A15591" s="62">
        <v>60124512</v>
      </c>
      <c r="B15591" s="63" t="s">
        <v>16229</v>
      </c>
    </row>
    <row r="15592" spans="1:2" x14ac:dyDescent="0.25">
      <c r="A15592" s="62">
        <v>60124513</v>
      </c>
      <c r="B15592" s="63" t="s">
        <v>16230</v>
      </c>
    </row>
    <row r="15593" spans="1:2" x14ac:dyDescent="0.25">
      <c r="A15593" s="62">
        <v>60124514</v>
      </c>
      <c r="B15593" s="63" t="s">
        <v>16231</v>
      </c>
    </row>
    <row r="15594" spans="1:2" x14ac:dyDescent="0.25">
      <c r="A15594" s="62">
        <v>60124515</v>
      </c>
      <c r="B15594" s="63" t="s">
        <v>16232</v>
      </c>
    </row>
    <row r="15595" spans="1:2" x14ac:dyDescent="0.25">
      <c r="A15595" s="62">
        <v>60131001</v>
      </c>
      <c r="B15595" s="63" t="s">
        <v>16233</v>
      </c>
    </row>
    <row r="15596" spans="1:2" x14ac:dyDescent="0.25">
      <c r="A15596" s="62">
        <v>60131002</v>
      </c>
      <c r="B15596" s="63" t="s">
        <v>16234</v>
      </c>
    </row>
    <row r="15597" spans="1:2" x14ac:dyDescent="0.25">
      <c r="A15597" s="62">
        <v>60131003</v>
      </c>
      <c r="B15597" s="63" t="s">
        <v>16235</v>
      </c>
    </row>
    <row r="15598" spans="1:2" x14ac:dyDescent="0.25">
      <c r="A15598" s="62">
        <v>60131004</v>
      </c>
      <c r="B15598" s="63" t="s">
        <v>16236</v>
      </c>
    </row>
    <row r="15599" spans="1:2" x14ac:dyDescent="0.25">
      <c r="A15599" s="62">
        <v>60131101</v>
      </c>
      <c r="B15599" s="63" t="s">
        <v>16237</v>
      </c>
    </row>
    <row r="15600" spans="1:2" x14ac:dyDescent="0.25">
      <c r="A15600" s="62">
        <v>60131102</v>
      </c>
      <c r="B15600" s="63" t="s">
        <v>16238</v>
      </c>
    </row>
    <row r="15601" spans="1:2" x14ac:dyDescent="0.25">
      <c r="A15601" s="62">
        <v>60131103</v>
      </c>
      <c r="B15601" s="63" t="s">
        <v>16239</v>
      </c>
    </row>
    <row r="15602" spans="1:2" x14ac:dyDescent="0.25">
      <c r="A15602" s="62">
        <v>60131104</v>
      </c>
      <c r="B15602" s="63" t="s">
        <v>16240</v>
      </c>
    </row>
    <row r="15603" spans="1:2" x14ac:dyDescent="0.25">
      <c r="A15603" s="62">
        <v>60131105</v>
      </c>
      <c r="B15603" s="63" t="s">
        <v>16241</v>
      </c>
    </row>
    <row r="15604" spans="1:2" x14ac:dyDescent="0.25">
      <c r="A15604" s="62">
        <v>60131106</v>
      </c>
      <c r="B15604" s="63" t="s">
        <v>16242</v>
      </c>
    </row>
    <row r="15605" spans="1:2" x14ac:dyDescent="0.25">
      <c r="A15605" s="62">
        <v>60131107</v>
      </c>
      <c r="B15605" s="63" t="s">
        <v>16243</v>
      </c>
    </row>
    <row r="15606" spans="1:2" x14ac:dyDescent="0.25">
      <c r="A15606" s="62">
        <v>60131108</v>
      </c>
      <c r="B15606" s="63" t="s">
        <v>16244</v>
      </c>
    </row>
    <row r="15607" spans="1:2" x14ac:dyDescent="0.25">
      <c r="A15607" s="62">
        <v>60131109</v>
      </c>
      <c r="B15607" s="63" t="s">
        <v>16245</v>
      </c>
    </row>
    <row r="15608" spans="1:2" x14ac:dyDescent="0.25">
      <c r="A15608" s="62">
        <v>60131110</v>
      </c>
      <c r="B15608" s="63" t="s">
        <v>16246</v>
      </c>
    </row>
    <row r="15609" spans="1:2" x14ac:dyDescent="0.25">
      <c r="A15609" s="62">
        <v>60131111</v>
      </c>
      <c r="B15609" s="63" t="s">
        <v>16247</v>
      </c>
    </row>
    <row r="15610" spans="1:2" x14ac:dyDescent="0.25">
      <c r="A15610" s="62">
        <v>60131112</v>
      </c>
      <c r="B15610" s="63" t="s">
        <v>16248</v>
      </c>
    </row>
    <row r="15611" spans="1:2" x14ac:dyDescent="0.25">
      <c r="A15611" s="62">
        <v>60131201</v>
      </c>
      <c r="B15611" s="63" t="s">
        <v>16249</v>
      </c>
    </row>
    <row r="15612" spans="1:2" x14ac:dyDescent="0.25">
      <c r="A15612" s="62">
        <v>60131202</v>
      </c>
      <c r="B15612" s="63" t="s">
        <v>16250</v>
      </c>
    </row>
    <row r="15613" spans="1:2" x14ac:dyDescent="0.25">
      <c r="A15613" s="62">
        <v>60131203</v>
      </c>
      <c r="B15613" s="63" t="s">
        <v>16251</v>
      </c>
    </row>
    <row r="15614" spans="1:2" x14ac:dyDescent="0.25">
      <c r="A15614" s="62">
        <v>60131204</v>
      </c>
      <c r="B15614" s="63" t="s">
        <v>16252</v>
      </c>
    </row>
    <row r="15615" spans="1:2" x14ac:dyDescent="0.25">
      <c r="A15615" s="62">
        <v>60131205</v>
      </c>
      <c r="B15615" s="63" t="s">
        <v>16253</v>
      </c>
    </row>
    <row r="15616" spans="1:2" x14ac:dyDescent="0.25">
      <c r="A15616" s="62">
        <v>60131206</v>
      </c>
      <c r="B15616" s="63" t="s">
        <v>16254</v>
      </c>
    </row>
    <row r="15617" spans="1:2" x14ac:dyDescent="0.25">
      <c r="A15617" s="62">
        <v>60131207</v>
      </c>
      <c r="B15617" s="63" t="s">
        <v>16255</v>
      </c>
    </row>
    <row r="15618" spans="1:2" x14ac:dyDescent="0.25">
      <c r="A15618" s="62">
        <v>60131208</v>
      </c>
      <c r="B15618" s="63" t="s">
        <v>16256</v>
      </c>
    </row>
    <row r="15619" spans="1:2" x14ac:dyDescent="0.25">
      <c r="A15619" s="62">
        <v>60131209</v>
      </c>
      <c r="B15619" s="63" t="s">
        <v>16257</v>
      </c>
    </row>
    <row r="15620" spans="1:2" x14ac:dyDescent="0.25">
      <c r="A15620" s="62">
        <v>60131210</v>
      </c>
      <c r="B15620" s="63" t="s">
        <v>16258</v>
      </c>
    </row>
    <row r="15621" spans="1:2" x14ac:dyDescent="0.25">
      <c r="A15621" s="62">
        <v>60131301</v>
      </c>
      <c r="B15621" s="63" t="s">
        <v>16259</v>
      </c>
    </row>
    <row r="15622" spans="1:2" x14ac:dyDescent="0.25">
      <c r="A15622" s="62">
        <v>60131302</v>
      </c>
      <c r="B15622" s="63" t="s">
        <v>16260</v>
      </c>
    </row>
    <row r="15623" spans="1:2" x14ac:dyDescent="0.25">
      <c r="A15623" s="62">
        <v>60131303</v>
      </c>
      <c r="B15623" s="63" t="s">
        <v>16261</v>
      </c>
    </row>
    <row r="15624" spans="1:2" x14ac:dyDescent="0.25">
      <c r="A15624" s="62">
        <v>60131304</v>
      </c>
      <c r="B15624" s="63" t="s">
        <v>16262</v>
      </c>
    </row>
    <row r="15625" spans="1:2" x14ac:dyDescent="0.25">
      <c r="A15625" s="62">
        <v>60131305</v>
      </c>
      <c r="B15625" s="63" t="s">
        <v>16263</v>
      </c>
    </row>
    <row r="15626" spans="1:2" x14ac:dyDescent="0.25">
      <c r="A15626" s="62">
        <v>60131306</v>
      </c>
      <c r="B15626" s="63" t="s">
        <v>16264</v>
      </c>
    </row>
    <row r="15627" spans="1:2" x14ac:dyDescent="0.25">
      <c r="A15627" s="62">
        <v>60131307</v>
      </c>
      <c r="B15627" s="63" t="s">
        <v>16265</v>
      </c>
    </row>
    <row r="15628" spans="1:2" x14ac:dyDescent="0.25">
      <c r="A15628" s="62">
        <v>60131308</v>
      </c>
      <c r="B15628" s="63" t="s">
        <v>16266</v>
      </c>
    </row>
    <row r="15629" spans="1:2" x14ac:dyDescent="0.25">
      <c r="A15629" s="62">
        <v>60131309</v>
      </c>
      <c r="B15629" s="63" t="s">
        <v>16267</v>
      </c>
    </row>
    <row r="15630" spans="1:2" x14ac:dyDescent="0.25">
      <c r="A15630" s="62">
        <v>60131401</v>
      </c>
      <c r="B15630" s="63" t="s">
        <v>16268</v>
      </c>
    </row>
    <row r="15631" spans="1:2" x14ac:dyDescent="0.25">
      <c r="A15631" s="62">
        <v>60131402</v>
      </c>
      <c r="B15631" s="63" t="s">
        <v>16269</v>
      </c>
    </row>
    <row r="15632" spans="1:2" x14ac:dyDescent="0.25">
      <c r="A15632" s="62">
        <v>60131403</v>
      </c>
      <c r="B15632" s="63" t="s">
        <v>16270</v>
      </c>
    </row>
    <row r="15633" spans="1:2" x14ac:dyDescent="0.25">
      <c r="A15633" s="62">
        <v>60131404</v>
      </c>
      <c r="B15633" s="63" t="s">
        <v>16271</v>
      </c>
    </row>
    <row r="15634" spans="1:2" x14ac:dyDescent="0.25">
      <c r="A15634" s="62">
        <v>60131405</v>
      </c>
      <c r="B15634" s="63" t="s">
        <v>16272</v>
      </c>
    </row>
    <row r="15635" spans="1:2" x14ac:dyDescent="0.25">
      <c r="A15635" s="62">
        <v>60131406</v>
      </c>
      <c r="B15635" s="63" t="s">
        <v>16273</v>
      </c>
    </row>
    <row r="15636" spans="1:2" x14ac:dyDescent="0.25">
      <c r="A15636" s="62">
        <v>60131407</v>
      </c>
      <c r="B15636" s="63" t="s">
        <v>16274</v>
      </c>
    </row>
    <row r="15637" spans="1:2" x14ac:dyDescent="0.25">
      <c r="A15637" s="62">
        <v>60131501</v>
      </c>
      <c r="B15637" s="63" t="s">
        <v>16275</v>
      </c>
    </row>
    <row r="15638" spans="1:2" x14ac:dyDescent="0.25">
      <c r="A15638" s="62">
        <v>60131502</v>
      </c>
      <c r="B15638" s="63" t="s">
        <v>16276</v>
      </c>
    </row>
    <row r="15639" spans="1:2" x14ac:dyDescent="0.25">
      <c r="A15639" s="62">
        <v>60131503</v>
      </c>
      <c r="B15639" s="63" t="s">
        <v>16277</v>
      </c>
    </row>
    <row r="15640" spans="1:2" x14ac:dyDescent="0.25">
      <c r="A15640" s="62">
        <v>60131504</v>
      </c>
      <c r="B15640" s="63" t="s">
        <v>16278</v>
      </c>
    </row>
    <row r="15641" spans="1:2" x14ac:dyDescent="0.25">
      <c r="A15641" s="62">
        <v>60131505</v>
      </c>
      <c r="B15641" s="63" t="s">
        <v>16279</v>
      </c>
    </row>
    <row r="15642" spans="1:2" x14ac:dyDescent="0.25">
      <c r="A15642" s="62">
        <v>60131506</v>
      </c>
      <c r="B15642" s="63" t="s">
        <v>16280</v>
      </c>
    </row>
    <row r="15643" spans="1:2" x14ac:dyDescent="0.25">
      <c r="A15643" s="62">
        <v>60131507</v>
      </c>
      <c r="B15643" s="63" t="s">
        <v>16281</v>
      </c>
    </row>
    <row r="15644" spans="1:2" x14ac:dyDescent="0.25">
      <c r="A15644" s="62">
        <v>60131508</v>
      </c>
      <c r="B15644" s="63" t="s">
        <v>16282</v>
      </c>
    </row>
    <row r="15645" spans="1:2" x14ac:dyDescent="0.25">
      <c r="A15645" s="62">
        <v>60131509</v>
      </c>
      <c r="B15645" s="63" t="s">
        <v>7244</v>
      </c>
    </row>
    <row r="15646" spans="1:2" x14ac:dyDescent="0.25">
      <c r="A15646" s="62">
        <v>60131510</v>
      </c>
      <c r="B15646" s="63" t="s">
        <v>16283</v>
      </c>
    </row>
    <row r="15647" spans="1:2" x14ac:dyDescent="0.25">
      <c r="A15647" s="62">
        <v>60131511</v>
      </c>
      <c r="B15647" s="63" t="s">
        <v>16284</v>
      </c>
    </row>
    <row r="15648" spans="1:2" x14ac:dyDescent="0.25">
      <c r="A15648" s="62">
        <v>60131512</v>
      </c>
      <c r="B15648" s="63" t="s">
        <v>16285</v>
      </c>
    </row>
    <row r="15649" spans="1:2" x14ac:dyDescent="0.25">
      <c r="A15649" s="62">
        <v>60131513</v>
      </c>
      <c r="B15649" s="63" t="s">
        <v>16286</v>
      </c>
    </row>
    <row r="15650" spans="1:2" x14ac:dyDescent="0.25">
      <c r="A15650" s="62">
        <v>60131514</v>
      </c>
      <c r="B15650" s="63" t="s">
        <v>16287</v>
      </c>
    </row>
    <row r="15651" spans="1:2" x14ac:dyDescent="0.25">
      <c r="A15651" s="62">
        <v>60131601</v>
      </c>
      <c r="B15651" s="63" t="s">
        <v>16288</v>
      </c>
    </row>
    <row r="15652" spans="1:2" x14ac:dyDescent="0.25">
      <c r="A15652" s="62">
        <v>60131701</v>
      </c>
      <c r="B15652" s="63" t="s">
        <v>16289</v>
      </c>
    </row>
    <row r="15653" spans="1:2" x14ac:dyDescent="0.25">
      <c r="A15653" s="62">
        <v>60131702</v>
      </c>
      <c r="B15653" s="63" t="s">
        <v>16290</v>
      </c>
    </row>
    <row r="15654" spans="1:2" x14ac:dyDescent="0.25">
      <c r="A15654" s="62">
        <v>60131801</v>
      </c>
      <c r="B15654" s="63" t="s">
        <v>16291</v>
      </c>
    </row>
    <row r="15655" spans="1:2" x14ac:dyDescent="0.25">
      <c r="A15655" s="62">
        <v>60131802</v>
      </c>
      <c r="B15655" s="63" t="s">
        <v>16292</v>
      </c>
    </row>
    <row r="15656" spans="1:2" x14ac:dyDescent="0.25">
      <c r="A15656" s="62">
        <v>60131803</v>
      </c>
      <c r="B15656" s="63" t="s">
        <v>16293</v>
      </c>
    </row>
    <row r="15657" spans="1:2" x14ac:dyDescent="0.25">
      <c r="A15657" s="62">
        <v>60141001</v>
      </c>
      <c r="B15657" s="63" t="s">
        <v>16294</v>
      </c>
    </row>
    <row r="15658" spans="1:2" x14ac:dyDescent="0.25">
      <c r="A15658" s="62">
        <v>60141002</v>
      </c>
      <c r="B15658" s="63" t="s">
        <v>16295</v>
      </c>
    </row>
    <row r="15659" spans="1:2" x14ac:dyDescent="0.25">
      <c r="A15659" s="62">
        <v>60141003</v>
      </c>
      <c r="B15659" s="63" t="s">
        <v>16296</v>
      </c>
    </row>
    <row r="15660" spans="1:2" x14ac:dyDescent="0.25">
      <c r="A15660" s="62">
        <v>60141004</v>
      </c>
      <c r="B15660" s="63" t="s">
        <v>16297</v>
      </c>
    </row>
    <row r="15661" spans="1:2" x14ac:dyDescent="0.25">
      <c r="A15661" s="62">
        <v>60141005</v>
      </c>
      <c r="B15661" s="63" t="s">
        <v>16298</v>
      </c>
    </row>
    <row r="15662" spans="1:2" x14ac:dyDescent="0.25">
      <c r="A15662" s="62">
        <v>60141006</v>
      </c>
      <c r="B15662" s="63" t="s">
        <v>16299</v>
      </c>
    </row>
    <row r="15663" spans="1:2" x14ac:dyDescent="0.25">
      <c r="A15663" s="62">
        <v>60141007</v>
      </c>
      <c r="B15663" s="63" t="s">
        <v>16300</v>
      </c>
    </row>
    <row r="15664" spans="1:2" x14ac:dyDescent="0.25">
      <c r="A15664" s="62">
        <v>60141008</v>
      </c>
      <c r="B15664" s="63" t="s">
        <v>16301</v>
      </c>
    </row>
    <row r="15665" spans="1:2" x14ac:dyDescent="0.25">
      <c r="A15665" s="62">
        <v>60141009</v>
      </c>
      <c r="B15665" s="63" t="s">
        <v>16302</v>
      </c>
    </row>
    <row r="15666" spans="1:2" x14ac:dyDescent="0.25">
      <c r="A15666" s="62">
        <v>60141010</v>
      </c>
      <c r="B15666" s="63" t="s">
        <v>16303</v>
      </c>
    </row>
    <row r="15667" spans="1:2" x14ac:dyDescent="0.25">
      <c r="A15667" s="62">
        <v>60141011</v>
      </c>
      <c r="B15667" s="63" t="s">
        <v>16304</v>
      </c>
    </row>
    <row r="15668" spans="1:2" x14ac:dyDescent="0.25">
      <c r="A15668" s="62">
        <v>60141012</v>
      </c>
      <c r="B15668" s="63" t="s">
        <v>16305</v>
      </c>
    </row>
    <row r="15669" spans="1:2" x14ac:dyDescent="0.25">
      <c r="A15669" s="62">
        <v>60141013</v>
      </c>
      <c r="B15669" s="63" t="s">
        <v>16306</v>
      </c>
    </row>
    <row r="15670" spans="1:2" x14ac:dyDescent="0.25">
      <c r="A15670" s="62">
        <v>60141014</v>
      </c>
      <c r="B15670" s="63" t="s">
        <v>16307</v>
      </c>
    </row>
    <row r="15671" spans="1:2" x14ac:dyDescent="0.25">
      <c r="A15671" s="62">
        <v>60141015</v>
      </c>
      <c r="B15671" s="63" t="s">
        <v>16308</v>
      </c>
    </row>
    <row r="15672" spans="1:2" x14ac:dyDescent="0.25">
      <c r="A15672" s="62">
        <v>60141016</v>
      </c>
      <c r="B15672" s="63" t="s">
        <v>16309</v>
      </c>
    </row>
    <row r="15673" spans="1:2" x14ac:dyDescent="0.25">
      <c r="A15673" s="62">
        <v>60141017</v>
      </c>
      <c r="B15673" s="63" t="s">
        <v>16310</v>
      </c>
    </row>
    <row r="15674" spans="1:2" x14ac:dyDescent="0.25">
      <c r="A15674" s="62">
        <v>60141018</v>
      </c>
      <c r="B15674" s="63" t="s">
        <v>16311</v>
      </c>
    </row>
    <row r="15675" spans="1:2" x14ac:dyDescent="0.25">
      <c r="A15675" s="62">
        <v>60141019</v>
      </c>
      <c r="B15675" s="63" t="s">
        <v>16312</v>
      </c>
    </row>
    <row r="15676" spans="1:2" x14ac:dyDescent="0.25">
      <c r="A15676" s="62">
        <v>60141020</v>
      </c>
      <c r="B15676" s="63" t="s">
        <v>16313</v>
      </c>
    </row>
    <row r="15677" spans="1:2" x14ac:dyDescent="0.25">
      <c r="A15677" s="62">
        <v>60141021</v>
      </c>
      <c r="B15677" s="63" t="s">
        <v>16314</v>
      </c>
    </row>
    <row r="15678" spans="1:2" x14ac:dyDescent="0.25">
      <c r="A15678" s="62">
        <v>60141022</v>
      </c>
      <c r="B15678" s="63" t="s">
        <v>16315</v>
      </c>
    </row>
    <row r="15679" spans="1:2" x14ac:dyDescent="0.25">
      <c r="A15679" s="62">
        <v>60141023</v>
      </c>
      <c r="B15679" s="63" t="s">
        <v>16316</v>
      </c>
    </row>
    <row r="15680" spans="1:2" x14ac:dyDescent="0.25">
      <c r="A15680" s="62">
        <v>60141024</v>
      </c>
      <c r="B15680" s="63" t="s">
        <v>16317</v>
      </c>
    </row>
    <row r="15681" spans="1:2" x14ac:dyDescent="0.25">
      <c r="A15681" s="62">
        <v>60141025</v>
      </c>
      <c r="B15681" s="63" t="s">
        <v>16318</v>
      </c>
    </row>
    <row r="15682" spans="1:2" x14ac:dyDescent="0.25">
      <c r="A15682" s="62">
        <v>60141026</v>
      </c>
      <c r="B15682" s="63" t="s">
        <v>16319</v>
      </c>
    </row>
    <row r="15683" spans="1:2" x14ac:dyDescent="0.25">
      <c r="A15683" s="62">
        <v>60141101</v>
      </c>
      <c r="B15683" s="63" t="s">
        <v>16320</v>
      </c>
    </row>
    <row r="15684" spans="1:2" x14ac:dyDescent="0.25">
      <c r="A15684" s="62">
        <v>60141102</v>
      </c>
      <c r="B15684" s="63" t="s">
        <v>16321</v>
      </c>
    </row>
    <row r="15685" spans="1:2" x14ac:dyDescent="0.25">
      <c r="A15685" s="62">
        <v>60141103</v>
      </c>
      <c r="B15685" s="63" t="s">
        <v>16322</v>
      </c>
    </row>
    <row r="15686" spans="1:2" x14ac:dyDescent="0.25">
      <c r="A15686" s="62">
        <v>60141104</v>
      </c>
      <c r="B15686" s="63" t="s">
        <v>16323</v>
      </c>
    </row>
    <row r="15687" spans="1:2" x14ac:dyDescent="0.25">
      <c r="A15687" s="62">
        <v>60141105</v>
      </c>
      <c r="B15687" s="63" t="s">
        <v>16324</v>
      </c>
    </row>
    <row r="15688" spans="1:2" x14ac:dyDescent="0.25">
      <c r="A15688" s="62">
        <v>60141106</v>
      </c>
      <c r="B15688" s="63" t="s">
        <v>16325</v>
      </c>
    </row>
    <row r="15689" spans="1:2" x14ac:dyDescent="0.25">
      <c r="A15689" s="62">
        <v>60141107</v>
      </c>
      <c r="B15689" s="63" t="s">
        <v>16326</v>
      </c>
    </row>
    <row r="15690" spans="1:2" x14ac:dyDescent="0.25">
      <c r="A15690" s="62">
        <v>60141108</v>
      </c>
      <c r="B15690" s="63" t="s">
        <v>16327</v>
      </c>
    </row>
    <row r="15691" spans="1:2" x14ac:dyDescent="0.25">
      <c r="A15691" s="62">
        <v>60141109</v>
      </c>
      <c r="B15691" s="63" t="s">
        <v>16328</v>
      </c>
    </row>
    <row r="15692" spans="1:2" x14ac:dyDescent="0.25">
      <c r="A15692" s="62">
        <v>60141110</v>
      </c>
      <c r="B15692" s="63" t="s">
        <v>16329</v>
      </c>
    </row>
    <row r="15693" spans="1:2" x14ac:dyDescent="0.25">
      <c r="A15693" s="62">
        <v>60141111</v>
      </c>
      <c r="B15693" s="63" t="s">
        <v>16330</v>
      </c>
    </row>
    <row r="15694" spans="1:2" x14ac:dyDescent="0.25">
      <c r="A15694" s="62">
        <v>60141112</v>
      </c>
      <c r="B15694" s="63" t="s">
        <v>16331</v>
      </c>
    </row>
    <row r="15695" spans="1:2" x14ac:dyDescent="0.25">
      <c r="A15695" s="62">
        <v>60141113</v>
      </c>
      <c r="B15695" s="63" t="s">
        <v>16332</v>
      </c>
    </row>
    <row r="15696" spans="1:2" x14ac:dyDescent="0.25">
      <c r="A15696" s="62">
        <v>60141114</v>
      </c>
      <c r="B15696" s="63" t="s">
        <v>16333</v>
      </c>
    </row>
    <row r="15697" spans="1:2" x14ac:dyDescent="0.25">
      <c r="A15697" s="62">
        <v>60141115</v>
      </c>
      <c r="B15697" s="63" t="s">
        <v>16334</v>
      </c>
    </row>
    <row r="15698" spans="1:2" x14ac:dyDescent="0.25">
      <c r="A15698" s="62">
        <v>60141201</v>
      </c>
      <c r="B15698" s="63" t="s">
        <v>16335</v>
      </c>
    </row>
    <row r="15699" spans="1:2" x14ac:dyDescent="0.25">
      <c r="A15699" s="62">
        <v>60141202</v>
      </c>
      <c r="B15699" s="63" t="s">
        <v>16336</v>
      </c>
    </row>
    <row r="15700" spans="1:2" x14ac:dyDescent="0.25">
      <c r="A15700" s="62">
        <v>60141203</v>
      </c>
      <c r="B15700" s="63" t="s">
        <v>16337</v>
      </c>
    </row>
    <row r="15701" spans="1:2" x14ac:dyDescent="0.25">
      <c r="A15701" s="62">
        <v>60141204</v>
      </c>
      <c r="B15701" s="63" t="s">
        <v>16338</v>
      </c>
    </row>
    <row r="15702" spans="1:2" x14ac:dyDescent="0.25">
      <c r="A15702" s="62">
        <v>60141205</v>
      </c>
      <c r="B15702" s="63" t="s">
        <v>16339</v>
      </c>
    </row>
    <row r="15703" spans="1:2" x14ac:dyDescent="0.25">
      <c r="A15703" s="62">
        <v>60141302</v>
      </c>
      <c r="B15703" s="63" t="s">
        <v>16340</v>
      </c>
    </row>
    <row r="15704" spans="1:2" x14ac:dyDescent="0.25">
      <c r="A15704" s="62">
        <v>60141303</v>
      </c>
      <c r="B15704" s="63" t="s">
        <v>16341</v>
      </c>
    </row>
    <row r="15705" spans="1:2" x14ac:dyDescent="0.25">
      <c r="A15705" s="62">
        <v>60141304</v>
      </c>
      <c r="B15705" s="63" t="s">
        <v>16342</v>
      </c>
    </row>
    <row r="15706" spans="1:2" x14ac:dyDescent="0.25">
      <c r="A15706" s="62">
        <v>60141305</v>
      </c>
      <c r="B15706" s="63" t="s">
        <v>16343</v>
      </c>
    </row>
    <row r="15707" spans="1:2" x14ac:dyDescent="0.25">
      <c r="A15707" s="62">
        <v>60141306</v>
      </c>
      <c r="B15707" s="63" t="s">
        <v>16344</v>
      </c>
    </row>
    <row r="15708" spans="1:2" x14ac:dyDescent="0.25">
      <c r="A15708" s="62">
        <v>60141307</v>
      </c>
      <c r="B15708" s="63" t="s">
        <v>16345</v>
      </c>
    </row>
    <row r="15709" spans="1:2" x14ac:dyDescent="0.25">
      <c r="A15709" s="62">
        <v>60141401</v>
      </c>
      <c r="B15709" s="63" t="s">
        <v>16346</v>
      </c>
    </row>
    <row r="15710" spans="1:2" x14ac:dyDescent="0.25">
      <c r="A15710" s="62">
        <v>60141402</v>
      </c>
      <c r="B15710" s="63" t="s">
        <v>16347</v>
      </c>
    </row>
    <row r="15711" spans="1:2" x14ac:dyDescent="0.25">
      <c r="A15711" s="62">
        <v>60141403</v>
      </c>
      <c r="B15711" s="63" t="s">
        <v>16348</v>
      </c>
    </row>
    <row r="15712" spans="1:2" x14ac:dyDescent="0.25">
      <c r="A15712" s="62">
        <v>60141404</v>
      </c>
      <c r="B15712" s="63" t="s">
        <v>16349</v>
      </c>
    </row>
    <row r="15713" spans="1:2" x14ac:dyDescent="0.25">
      <c r="A15713" s="62">
        <v>60141405</v>
      </c>
      <c r="B15713" s="63" t="s">
        <v>16350</v>
      </c>
    </row>
    <row r="15714" spans="1:2" x14ac:dyDescent="0.25">
      <c r="A15714" s="62">
        <v>70101501</v>
      </c>
      <c r="B15714" s="63" t="s">
        <v>16351</v>
      </c>
    </row>
    <row r="15715" spans="1:2" x14ac:dyDescent="0.25">
      <c r="A15715" s="62">
        <v>70101502</v>
      </c>
      <c r="B15715" s="63" t="s">
        <v>16352</v>
      </c>
    </row>
    <row r="15716" spans="1:2" x14ac:dyDescent="0.25">
      <c r="A15716" s="62">
        <v>70101503</v>
      </c>
      <c r="B15716" s="63" t="s">
        <v>16353</v>
      </c>
    </row>
    <row r="15717" spans="1:2" x14ac:dyDescent="0.25">
      <c r="A15717" s="62">
        <v>70101504</v>
      </c>
      <c r="B15717" s="63" t="s">
        <v>16354</v>
      </c>
    </row>
    <row r="15718" spans="1:2" x14ac:dyDescent="0.25">
      <c r="A15718" s="62">
        <v>70101505</v>
      </c>
      <c r="B15718" s="63" t="s">
        <v>16355</v>
      </c>
    </row>
    <row r="15719" spans="1:2" x14ac:dyDescent="0.25">
      <c r="A15719" s="62">
        <v>70101506</v>
      </c>
      <c r="B15719" s="63" t="s">
        <v>16356</v>
      </c>
    </row>
    <row r="15720" spans="1:2" x14ac:dyDescent="0.25">
      <c r="A15720" s="62">
        <v>70101507</v>
      </c>
      <c r="B15720" s="63" t="s">
        <v>16357</v>
      </c>
    </row>
    <row r="15721" spans="1:2" x14ac:dyDescent="0.25">
      <c r="A15721" s="62">
        <v>70101508</v>
      </c>
      <c r="B15721" s="63" t="s">
        <v>16358</v>
      </c>
    </row>
    <row r="15722" spans="1:2" x14ac:dyDescent="0.25">
      <c r="A15722" s="62">
        <v>70101509</v>
      </c>
      <c r="B15722" s="63" t="s">
        <v>16359</v>
      </c>
    </row>
    <row r="15723" spans="1:2" x14ac:dyDescent="0.25">
      <c r="A15723" s="62">
        <v>70101510</v>
      </c>
      <c r="B15723" s="63" t="s">
        <v>16360</v>
      </c>
    </row>
    <row r="15724" spans="1:2" x14ac:dyDescent="0.25">
      <c r="A15724" s="62">
        <v>70101601</v>
      </c>
      <c r="B15724" s="63" t="s">
        <v>16361</v>
      </c>
    </row>
    <row r="15725" spans="1:2" x14ac:dyDescent="0.25">
      <c r="A15725" s="62">
        <v>70101602</v>
      </c>
      <c r="B15725" s="63" t="s">
        <v>16362</v>
      </c>
    </row>
    <row r="15726" spans="1:2" x14ac:dyDescent="0.25">
      <c r="A15726" s="62">
        <v>70101603</v>
      </c>
      <c r="B15726" s="63" t="s">
        <v>16363</v>
      </c>
    </row>
    <row r="15727" spans="1:2" x14ac:dyDescent="0.25">
      <c r="A15727" s="62">
        <v>70101604</v>
      </c>
      <c r="B15727" s="63" t="s">
        <v>16364</v>
      </c>
    </row>
    <row r="15728" spans="1:2" x14ac:dyDescent="0.25">
      <c r="A15728" s="62">
        <v>70101605</v>
      </c>
      <c r="B15728" s="63" t="s">
        <v>16365</v>
      </c>
    </row>
    <row r="15729" spans="1:2" x14ac:dyDescent="0.25">
      <c r="A15729" s="62">
        <v>70101606</v>
      </c>
      <c r="B15729" s="63" t="s">
        <v>16366</v>
      </c>
    </row>
    <row r="15730" spans="1:2" x14ac:dyDescent="0.25">
      <c r="A15730" s="62">
        <v>70101607</v>
      </c>
      <c r="B15730" s="63" t="s">
        <v>16367</v>
      </c>
    </row>
    <row r="15731" spans="1:2" x14ac:dyDescent="0.25">
      <c r="A15731" s="62">
        <v>70101701</v>
      </c>
      <c r="B15731" s="63" t="s">
        <v>16368</v>
      </c>
    </row>
    <row r="15732" spans="1:2" x14ac:dyDescent="0.25">
      <c r="A15732" s="62">
        <v>70101702</v>
      </c>
      <c r="B15732" s="63" t="s">
        <v>16369</v>
      </c>
    </row>
    <row r="15733" spans="1:2" x14ac:dyDescent="0.25">
      <c r="A15733" s="62">
        <v>70101703</v>
      </c>
      <c r="B15733" s="63" t="s">
        <v>16370</v>
      </c>
    </row>
    <row r="15734" spans="1:2" x14ac:dyDescent="0.25">
      <c r="A15734" s="62">
        <v>70101704</v>
      </c>
      <c r="B15734" s="63" t="s">
        <v>16371</v>
      </c>
    </row>
    <row r="15735" spans="1:2" x14ac:dyDescent="0.25">
      <c r="A15735" s="62">
        <v>70101801</v>
      </c>
      <c r="B15735" s="63" t="s">
        <v>16372</v>
      </c>
    </row>
    <row r="15736" spans="1:2" x14ac:dyDescent="0.25">
      <c r="A15736" s="62">
        <v>70101802</v>
      </c>
      <c r="B15736" s="63" t="s">
        <v>16373</v>
      </c>
    </row>
    <row r="15737" spans="1:2" x14ac:dyDescent="0.25">
      <c r="A15737" s="62">
        <v>70101803</v>
      </c>
      <c r="B15737" s="63" t="s">
        <v>16374</v>
      </c>
    </row>
    <row r="15738" spans="1:2" x14ac:dyDescent="0.25">
      <c r="A15738" s="62">
        <v>70101804</v>
      </c>
      <c r="B15738" s="63" t="s">
        <v>16375</v>
      </c>
    </row>
    <row r="15739" spans="1:2" x14ac:dyDescent="0.25">
      <c r="A15739" s="62">
        <v>70101805</v>
      </c>
      <c r="B15739" s="63" t="s">
        <v>16376</v>
      </c>
    </row>
    <row r="15740" spans="1:2" x14ac:dyDescent="0.25">
      <c r="A15740" s="62">
        <v>70101806</v>
      </c>
      <c r="B15740" s="63" t="s">
        <v>16377</v>
      </c>
    </row>
    <row r="15741" spans="1:2" x14ac:dyDescent="0.25">
      <c r="A15741" s="62">
        <v>70101901</v>
      </c>
      <c r="B15741" s="63" t="s">
        <v>16378</v>
      </c>
    </row>
    <row r="15742" spans="1:2" x14ac:dyDescent="0.25">
      <c r="A15742" s="62">
        <v>70101902</v>
      </c>
      <c r="B15742" s="63" t="s">
        <v>16379</v>
      </c>
    </row>
    <row r="15743" spans="1:2" x14ac:dyDescent="0.25">
      <c r="A15743" s="62">
        <v>70101903</v>
      </c>
      <c r="B15743" s="63" t="s">
        <v>16380</v>
      </c>
    </row>
    <row r="15744" spans="1:2" x14ac:dyDescent="0.25">
      <c r="A15744" s="62">
        <v>70101904</v>
      </c>
      <c r="B15744" s="63" t="s">
        <v>16381</v>
      </c>
    </row>
    <row r="15745" spans="1:2" x14ac:dyDescent="0.25">
      <c r="A15745" s="62">
        <v>70101905</v>
      </c>
      <c r="B15745" s="63" t="s">
        <v>16382</v>
      </c>
    </row>
    <row r="15746" spans="1:2" x14ac:dyDescent="0.25">
      <c r="A15746" s="62">
        <v>70111501</v>
      </c>
      <c r="B15746" s="63" t="s">
        <v>16383</v>
      </c>
    </row>
    <row r="15747" spans="1:2" x14ac:dyDescent="0.25">
      <c r="A15747" s="62">
        <v>70111502</v>
      </c>
      <c r="B15747" s="63" t="s">
        <v>16384</v>
      </c>
    </row>
    <row r="15748" spans="1:2" x14ac:dyDescent="0.25">
      <c r="A15748" s="62">
        <v>70111503</v>
      </c>
      <c r="B15748" s="63" t="s">
        <v>16385</v>
      </c>
    </row>
    <row r="15749" spans="1:2" x14ac:dyDescent="0.25">
      <c r="A15749" s="62">
        <v>70111504</v>
      </c>
      <c r="B15749" s="63" t="s">
        <v>16386</v>
      </c>
    </row>
    <row r="15750" spans="1:2" x14ac:dyDescent="0.25">
      <c r="A15750" s="62">
        <v>70111505</v>
      </c>
      <c r="B15750" s="63" t="s">
        <v>16387</v>
      </c>
    </row>
    <row r="15751" spans="1:2" x14ac:dyDescent="0.25">
      <c r="A15751" s="62">
        <v>70111506</v>
      </c>
      <c r="B15751" s="63" t="s">
        <v>16388</v>
      </c>
    </row>
    <row r="15752" spans="1:2" x14ac:dyDescent="0.25">
      <c r="A15752" s="62">
        <v>70111507</v>
      </c>
      <c r="B15752" s="63" t="s">
        <v>16389</v>
      </c>
    </row>
    <row r="15753" spans="1:2" x14ac:dyDescent="0.25">
      <c r="A15753" s="62">
        <v>70111508</v>
      </c>
      <c r="B15753" s="63" t="s">
        <v>16390</v>
      </c>
    </row>
    <row r="15754" spans="1:2" x14ac:dyDescent="0.25">
      <c r="A15754" s="62">
        <v>70111601</v>
      </c>
      <c r="B15754" s="63" t="s">
        <v>16391</v>
      </c>
    </row>
    <row r="15755" spans="1:2" x14ac:dyDescent="0.25">
      <c r="A15755" s="62">
        <v>70111602</v>
      </c>
      <c r="B15755" s="63" t="s">
        <v>16392</v>
      </c>
    </row>
    <row r="15756" spans="1:2" x14ac:dyDescent="0.25">
      <c r="A15756" s="62">
        <v>70111603</v>
      </c>
      <c r="B15756" s="63" t="s">
        <v>16393</v>
      </c>
    </row>
    <row r="15757" spans="1:2" x14ac:dyDescent="0.25">
      <c r="A15757" s="62">
        <v>70111701</v>
      </c>
      <c r="B15757" s="63" t="s">
        <v>16394</v>
      </c>
    </row>
    <row r="15758" spans="1:2" x14ac:dyDescent="0.25">
      <c r="A15758" s="62">
        <v>70111702</v>
      </c>
      <c r="B15758" s="63" t="s">
        <v>16395</v>
      </c>
    </row>
    <row r="15759" spans="1:2" x14ac:dyDescent="0.25">
      <c r="A15759" s="62">
        <v>70111703</v>
      </c>
      <c r="B15759" s="63" t="s">
        <v>16396</v>
      </c>
    </row>
    <row r="15760" spans="1:2" x14ac:dyDescent="0.25">
      <c r="A15760" s="62">
        <v>70111704</v>
      </c>
      <c r="B15760" s="63" t="s">
        <v>16397</v>
      </c>
    </row>
    <row r="15761" spans="1:2" x14ac:dyDescent="0.25">
      <c r="A15761" s="62">
        <v>70111705</v>
      </c>
      <c r="B15761" s="63" t="s">
        <v>16398</v>
      </c>
    </row>
    <row r="15762" spans="1:2" x14ac:dyDescent="0.25">
      <c r="A15762" s="62">
        <v>70111706</v>
      </c>
      <c r="B15762" s="63" t="s">
        <v>16399</v>
      </c>
    </row>
    <row r="15763" spans="1:2" x14ac:dyDescent="0.25">
      <c r="A15763" s="62">
        <v>70111707</v>
      </c>
      <c r="B15763" s="63" t="s">
        <v>16400</v>
      </c>
    </row>
    <row r="15764" spans="1:2" x14ac:dyDescent="0.25">
      <c r="A15764" s="62">
        <v>70111708</v>
      </c>
      <c r="B15764" s="63" t="s">
        <v>16401</v>
      </c>
    </row>
    <row r="15765" spans="1:2" x14ac:dyDescent="0.25">
      <c r="A15765" s="62">
        <v>70111709</v>
      </c>
      <c r="B15765" s="63" t="s">
        <v>16402</v>
      </c>
    </row>
    <row r="15766" spans="1:2" x14ac:dyDescent="0.25">
      <c r="A15766" s="62">
        <v>70111710</v>
      </c>
      <c r="B15766" s="63" t="s">
        <v>16403</v>
      </c>
    </row>
    <row r="15767" spans="1:2" x14ac:dyDescent="0.25">
      <c r="A15767" s="62">
        <v>70111711</v>
      </c>
      <c r="B15767" s="63" t="s">
        <v>16404</v>
      </c>
    </row>
    <row r="15768" spans="1:2" x14ac:dyDescent="0.25">
      <c r="A15768" s="62">
        <v>70111712</v>
      </c>
      <c r="B15768" s="63" t="s">
        <v>16405</v>
      </c>
    </row>
    <row r="15769" spans="1:2" x14ac:dyDescent="0.25">
      <c r="A15769" s="62">
        <v>70111713</v>
      </c>
      <c r="B15769" s="63" t="s">
        <v>16406</v>
      </c>
    </row>
    <row r="15770" spans="1:2" x14ac:dyDescent="0.25">
      <c r="A15770" s="62">
        <v>70121501</v>
      </c>
      <c r="B15770" s="63" t="s">
        <v>16407</v>
      </c>
    </row>
    <row r="15771" spans="1:2" x14ac:dyDescent="0.25">
      <c r="A15771" s="62">
        <v>70121502</v>
      </c>
      <c r="B15771" s="63" t="s">
        <v>16408</v>
      </c>
    </row>
    <row r="15772" spans="1:2" x14ac:dyDescent="0.25">
      <c r="A15772" s="62">
        <v>70121503</v>
      </c>
      <c r="B15772" s="63" t="s">
        <v>16409</v>
      </c>
    </row>
    <row r="15773" spans="1:2" x14ac:dyDescent="0.25">
      <c r="A15773" s="62">
        <v>70121504</v>
      </c>
      <c r="B15773" s="63" t="s">
        <v>16410</v>
      </c>
    </row>
    <row r="15774" spans="1:2" x14ac:dyDescent="0.25">
      <c r="A15774" s="62">
        <v>70121505</v>
      </c>
      <c r="B15774" s="63" t="s">
        <v>16411</v>
      </c>
    </row>
    <row r="15775" spans="1:2" x14ac:dyDescent="0.25">
      <c r="A15775" s="62">
        <v>70121601</v>
      </c>
      <c r="B15775" s="63" t="s">
        <v>16412</v>
      </c>
    </row>
    <row r="15776" spans="1:2" x14ac:dyDescent="0.25">
      <c r="A15776" s="62">
        <v>70121602</v>
      </c>
      <c r="B15776" s="63" t="s">
        <v>16413</v>
      </c>
    </row>
    <row r="15777" spans="1:2" x14ac:dyDescent="0.25">
      <c r="A15777" s="62">
        <v>70121603</v>
      </c>
      <c r="B15777" s="63" t="s">
        <v>16414</v>
      </c>
    </row>
    <row r="15778" spans="1:2" x14ac:dyDescent="0.25">
      <c r="A15778" s="62">
        <v>70121604</v>
      </c>
      <c r="B15778" s="63" t="s">
        <v>16415</v>
      </c>
    </row>
    <row r="15779" spans="1:2" x14ac:dyDescent="0.25">
      <c r="A15779" s="62">
        <v>70121605</v>
      </c>
      <c r="B15779" s="63" t="s">
        <v>16416</v>
      </c>
    </row>
    <row r="15780" spans="1:2" x14ac:dyDescent="0.25">
      <c r="A15780" s="62">
        <v>70121606</v>
      </c>
      <c r="B15780" s="63" t="s">
        <v>16417</v>
      </c>
    </row>
    <row r="15781" spans="1:2" x14ac:dyDescent="0.25">
      <c r="A15781" s="62">
        <v>70121607</v>
      </c>
      <c r="B15781" s="63" t="s">
        <v>16418</v>
      </c>
    </row>
    <row r="15782" spans="1:2" x14ac:dyDescent="0.25">
      <c r="A15782" s="62">
        <v>70121608</v>
      </c>
      <c r="B15782" s="63" t="s">
        <v>16419</v>
      </c>
    </row>
    <row r="15783" spans="1:2" x14ac:dyDescent="0.25">
      <c r="A15783" s="62">
        <v>70121610</v>
      </c>
      <c r="B15783" s="63" t="s">
        <v>16420</v>
      </c>
    </row>
    <row r="15784" spans="1:2" x14ac:dyDescent="0.25">
      <c r="A15784" s="62">
        <v>70121701</v>
      </c>
      <c r="B15784" s="63" t="s">
        <v>16421</v>
      </c>
    </row>
    <row r="15785" spans="1:2" x14ac:dyDescent="0.25">
      <c r="A15785" s="62">
        <v>70121702</v>
      </c>
      <c r="B15785" s="63" t="s">
        <v>16422</v>
      </c>
    </row>
    <row r="15786" spans="1:2" x14ac:dyDescent="0.25">
      <c r="A15786" s="62">
        <v>70121703</v>
      </c>
      <c r="B15786" s="63" t="s">
        <v>16423</v>
      </c>
    </row>
    <row r="15787" spans="1:2" x14ac:dyDescent="0.25">
      <c r="A15787" s="62">
        <v>70121704</v>
      </c>
      <c r="B15787" s="63" t="s">
        <v>16424</v>
      </c>
    </row>
    <row r="15788" spans="1:2" x14ac:dyDescent="0.25">
      <c r="A15788" s="62">
        <v>70121705</v>
      </c>
      <c r="B15788" s="63" t="s">
        <v>16425</v>
      </c>
    </row>
    <row r="15789" spans="1:2" x14ac:dyDescent="0.25">
      <c r="A15789" s="62">
        <v>70121801</v>
      </c>
      <c r="B15789" s="63" t="s">
        <v>16426</v>
      </c>
    </row>
    <row r="15790" spans="1:2" x14ac:dyDescent="0.25">
      <c r="A15790" s="62">
        <v>70121802</v>
      </c>
      <c r="B15790" s="63" t="s">
        <v>16427</v>
      </c>
    </row>
    <row r="15791" spans="1:2" x14ac:dyDescent="0.25">
      <c r="A15791" s="62">
        <v>70121803</v>
      </c>
      <c r="B15791" s="63" t="s">
        <v>16428</v>
      </c>
    </row>
    <row r="15792" spans="1:2" x14ac:dyDescent="0.25">
      <c r="A15792" s="62">
        <v>70121901</v>
      </c>
      <c r="B15792" s="63" t="s">
        <v>16429</v>
      </c>
    </row>
    <row r="15793" spans="1:2" x14ac:dyDescent="0.25">
      <c r="A15793" s="62">
        <v>70121902</v>
      </c>
      <c r="B15793" s="63" t="s">
        <v>16430</v>
      </c>
    </row>
    <row r="15794" spans="1:2" x14ac:dyDescent="0.25">
      <c r="A15794" s="62">
        <v>70121903</v>
      </c>
      <c r="B15794" s="63" t="s">
        <v>16431</v>
      </c>
    </row>
    <row r="15795" spans="1:2" x14ac:dyDescent="0.25">
      <c r="A15795" s="62">
        <v>70122001</v>
      </c>
      <c r="B15795" s="63" t="s">
        <v>16432</v>
      </c>
    </row>
    <row r="15796" spans="1:2" x14ac:dyDescent="0.25">
      <c r="A15796" s="62">
        <v>70122002</v>
      </c>
      <c r="B15796" s="63" t="s">
        <v>16433</v>
      </c>
    </row>
    <row r="15797" spans="1:2" x14ac:dyDescent="0.25">
      <c r="A15797" s="62">
        <v>70122003</v>
      </c>
      <c r="B15797" s="63" t="s">
        <v>16434</v>
      </c>
    </row>
    <row r="15798" spans="1:2" x14ac:dyDescent="0.25">
      <c r="A15798" s="62">
        <v>70122004</v>
      </c>
      <c r="B15798" s="63" t="s">
        <v>16435</v>
      </c>
    </row>
    <row r="15799" spans="1:2" x14ac:dyDescent="0.25">
      <c r="A15799" s="62">
        <v>70122005</v>
      </c>
      <c r="B15799" s="63" t="s">
        <v>16436</v>
      </c>
    </row>
    <row r="15800" spans="1:2" x14ac:dyDescent="0.25">
      <c r="A15800" s="62">
        <v>70122006</v>
      </c>
      <c r="B15800" s="63" t="s">
        <v>16437</v>
      </c>
    </row>
    <row r="15801" spans="1:2" x14ac:dyDescent="0.25">
      <c r="A15801" s="62">
        <v>70122007</v>
      </c>
      <c r="B15801" s="63" t="s">
        <v>16438</v>
      </c>
    </row>
    <row r="15802" spans="1:2" x14ac:dyDescent="0.25">
      <c r="A15802" s="62">
        <v>70122008</v>
      </c>
      <c r="B15802" s="63" t="s">
        <v>16439</v>
      </c>
    </row>
    <row r="15803" spans="1:2" x14ac:dyDescent="0.25">
      <c r="A15803" s="62">
        <v>70122009</v>
      </c>
      <c r="B15803" s="63" t="s">
        <v>16440</v>
      </c>
    </row>
    <row r="15804" spans="1:2" x14ac:dyDescent="0.25">
      <c r="A15804" s="62">
        <v>70122010</v>
      </c>
      <c r="B15804" s="63" t="s">
        <v>16441</v>
      </c>
    </row>
    <row r="15805" spans="1:2" x14ac:dyDescent="0.25">
      <c r="A15805" s="62">
        <v>70131501</v>
      </c>
      <c r="B15805" s="63" t="s">
        <v>16442</v>
      </c>
    </row>
    <row r="15806" spans="1:2" x14ac:dyDescent="0.25">
      <c r="A15806" s="62">
        <v>70131502</v>
      </c>
      <c r="B15806" s="63" t="s">
        <v>16443</v>
      </c>
    </row>
    <row r="15807" spans="1:2" x14ac:dyDescent="0.25">
      <c r="A15807" s="62">
        <v>70131503</v>
      </c>
      <c r="B15807" s="63" t="s">
        <v>16444</v>
      </c>
    </row>
    <row r="15808" spans="1:2" x14ac:dyDescent="0.25">
      <c r="A15808" s="62">
        <v>70131504</v>
      </c>
      <c r="B15808" s="63" t="s">
        <v>16445</v>
      </c>
    </row>
    <row r="15809" spans="1:2" x14ac:dyDescent="0.25">
      <c r="A15809" s="62">
        <v>70131505</v>
      </c>
      <c r="B15809" s="63" t="s">
        <v>16446</v>
      </c>
    </row>
    <row r="15810" spans="1:2" x14ac:dyDescent="0.25">
      <c r="A15810" s="62">
        <v>70131506</v>
      </c>
      <c r="B15810" s="63" t="s">
        <v>16447</v>
      </c>
    </row>
    <row r="15811" spans="1:2" x14ac:dyDescent="0.25">
      <c r="A15811" s="62">
        <v>70131601</v>
      </c>
      <c r="B15811" s="63" t="s">
        <v>16448</v>
      </c>
    </row>
    <row r="15812" spans="1:2" x14ac:dyDescent="0.25">
      <c r="A15812" s="62">
        <v>70131602</v>
      </c>
      <c r="B15812" s="63" t="s">
        <v>16449</v>
      </c>
    </row>
    <row r="15813" spans="1:2" x14ac:dyDescent="0.25">
      <c r="A15813" s="62">
        <v>70131603</v>
      </c>
      <c r="B15813" s="63" t="s">
        <v>16450</v>
      </c>
    </row>
    <row r="15814" spans="1:2" x14ac:dyDescent="0.25">
      <c r="A15814" s="62">
        <v>70131604</v>
      </c>
      <c r="B15814" s="63" t="s">
        <v>16451</v>
      </c>
    </row>
    <row r="15815" spans="1:2" x14ac:dyDescent="0.25">
      <c r="A15815" s="62">
        <v>70131605</v>
      </c>
      <c r="B15815" s="63" t="s">
        <v>16452</v>
      </c>
    </row>
    <row r="15816" spans="1:2" x14ac:dyDescent="0.25">
      <c r="A15816" s="62">
        <v>70131701</v>
      </c>
      <c r="B15816" s="63" t="s">
        <v>16453</v>
      </c>
    </row>
    <row r="15817" spans="1:2" x14ac:dyDescent="0.25">
      <c r="A15817" s="62">
        <v>70131702</v>
      </c>
      <c r="B15817" s="63" t="s">
        <v>16454</v>
      </c>
    </row>
    <row r="15818" spans="1:2" x14ac:dyDescent="0.25">
      <c r="A15818" s="62">
        <v>70131703</v>
      </c>
      <c r="B15818" s="63" t="s">
        <v>16455</v>
      </c>
    </row>
    <row r="15819" spans="1:2" x14ac:dyDescent="0.25">
      <c r="A15819" s="62">
        <v>70131704</v>
      </c>
      <c r="B15819" s="63" t="s">
        <v>16456</v>
      </c>
    </row>
    <row r="15820" spans="1:2" x14ac:dyDescent="0.25">
      <c r="A15820" s="62">
        <v>70131705</v>
      </c>
      <c r="B15820" s="63" t="s">
        <v>16457</v>
      </c>
    </row>
    <row r="15821" spans="1:2" x14ac:dyDescent="0.25">
      <c r="A15821" s="62">
        <v>70131706</v>
      </c>
      <c r="B15821" s="63" t="s">
        <v>16458</v>
      </c>
    </row>
    <row r="15822" spans="1:2" x14ac:dyDescent="0.25">
      <c r="A15822" s="62">
        <v>70131707</v>
      </c>
      <c r="B15822" s="63" t="s">
        <v>16459</v>
      </c>
    </row>
    <row r="15823" spans="1:2" x14ac:dyDescent="0.25">
      <c r="A15823" s="62">
        <v>70131708</v>
      </c>
      <c r="B15823" s="63" t="s">
        <v>16460</v>
      </c>
    </row>
    <row r="15824" spans="1:2" x14ac:dyDescent="0.25">
      <c r="A15824" s="62">
        <v>70141501</v>
      </c>
      <c r="B15824" s="63" t="s">
        <v>16461</v>
      </c>
    </row>
    <row r="15825" spans="1:2" x14ac:dyDescent="0.25">
      <c r="A15825" s="62">
        <v>70141502</v>
      </c>
      <c r="B15825" s="63" t="s">
        <v>16462</v>
      </c>
    </row>
    <row r="15826" spans="1:2" x14ac:dyDescent="0.25">
      <c r="A15826" s="62">
        <v>70141503</v>
      </c>
      <c r="B15826" s="63" t="s">
        <v>16463</v>
      </c>
    </row>
    <row r="15827" spans="1:2" x14ac:dyDescent="0.25">
      <c r="A15827" s="62">
        <v>70141504</v>
      </c>
      <c r="B15827" s="63" t="s">
        <v>16464</v>
      </c>
    </row>
    <row r="15828" spans="1:2" x14ac:dyDescent="0.25">
      <c r="A15828" s="62">
        <v>70141505</v>
      </c>
      <c r="B15828" s="63" t="s">
        <v>16465</v>
      </c>
    </row>
    <row r="15829" spans="1:2" x14ac:dyDescent="0.25">
      <c r="A15829" s="62">
        <v>70141506</v>
      </c>
      <c r="B15829" s="63" t="s">
        <v>16466</v>
      </c>
    </row>
    <row r="15830" spans="1:2" x14ac:dyDescent="0.25">
      <c r="A15830" s="62">
        <v>70141507</v>
      </c>
      <c r="B15830" s="63" t="s">
        <v>16467</v>
      </c>
    </row>
    <row r="15831" spans="1:2" x14ac:dyDescent="0.25">
      <c r="A15831" s="62">
        <v>70141508</v>
      </c>
      <c r="B15831" s="63" t="s">
        <v>16468</v>
      </c>
    </row>
    <row r="15832" spans="1:2" x14ac:dyDescent="0.25">
      <c r="A15832" s="62">
        <v>70141509</v>
      </c>
      <c r="B15832" s="63" t="s">
        <v>16469</v>
      </c>
    </row>
    <row r="15833" spans="1:2" x14ac:dyDescent="0.25">
      <c r="A15833" s="62">
        <v>70141510</v>
      </c>
      <c r="B15833" s="63" t="s">
        <v>16470</v>
      </c>
    </row>
    <row r="15834" spans="1:2" x14ac:dyDescent="0.25">
      <c r="A15834" s="62">
        <v>70141511</v>
      </c>
      <c r="B15834" s="63" t="s">
        <v>16471</v>
      </c>
    </row>
    <row r="15835" spans="1:2" x14ac:dyDescent="0.25">
      <c r="A15835" s="62">
        <v>70141512</v>
      </c>
      <c r="B15835" s="63" t="s">
        <v>16472</v>
      </c>
    </row>
    <row r="15836" spans="1:2" x14ac:dyDescent="0.25">
      <c r="A15836" s="62">
        <v>70141513</v>
      </c>
      <c r="B15836" s="63" t="s">
        <v>16473</v>
      </c>
    </row>
    <row r="15837" spans="1:2" x14ac:dyDescent="0.25">
      <c r="A15837" s="62">
        <v>70141514</v>
      </c>
      <c r="B15837" s="63" t="s">
        <v>16474</v>
      </c>
    </row>
    <row r="15838" spans="1:2" x14ac:dyDescent="0.25">
      <c r="A15838" s="62">
        <v>70141515</v>
      </c>
      <c r="B15838" s="63" t="s">
        <v>16475</v>
      </c>
    </row>
    <row r="15839" spans="1:2" x14ac:dyDescent="0.25">
      <c r="A15839" s="62">
        <v>70141516</v>
      </c>
      <c r="B15839" s="63" t="s">
        <v>16476</v>
      </c>
    </row>
    <row r="15840" spans="1:2" x14ac:dyDescent="0.25">
      <c r="A15840" s="62">
        <v>70141517</v>
      </c>
      <c r="B15840" s="63" t="s">
        <v>16477</v>
      </c>
    </row>
    <row r="15841" spans="1:2" x14ac:dyDescent="0.25">
      <c r="A15841" s="62">
        <v>70141518</v>
      </c>
      <c r="B15841" s="63" t="s">
        <v>16478</v>
      </c>
    </row>
    <row r="15842" spans="1:2" x14ac:dyDescent="0.25">
      <c r="A15842" s="62">
        <v>70141519</v>
      </c>
      <c r="B15842" s="63" t="s">
        <v>16479</v>
      </c>
    </row>
    <row r="15843" spans="1:2" x14ac:dyDescent="0.25">
      <c r="A15843" s="62">
        <v>70141520</v>
      </c>
      <c r="B15843" s="63" t="s">
        <v>16480</v>
      </c>
    </row>
    <row r="15844" spans="1:2" x14ac:dyDescent="0.25">
      <c r="A15844" s="62">
        <v>70141601</v>
      </c>
      <c r="B15844" s="63" t="s">
        <v>16481</v>
      </c>
    </row>
    <row r="15845" spans="1:2" x14ac:dyDescent="0.25">
      <c r="A15845" s="62">
        <v>70141602</v>
      </c>
      <c r="B15845" s="63" t="s">
        <v>16482</v>
      </c>
    </row>
    <row r="15846" spans="1:2" x14ac:dyDescent="0.25">
      <c r="A15846" s="62">
        <v>70141603</v>
      </c>
      <c r="B15846" s="63" t="s">
        <v>16483</v>
      </c>
    </row>
    <row r="15847" spans="1:2" x14ac:dyDescent="0.25">
      <c r="A15847" s="62">
        <v>70141604</v>
      </c>
      <c r="B15847" s="63" t="s">
        <v>16484</v>
      </c>
    </row>
    <row r="15848" spans="1:2" x14ac:dyDescent="0.25">
      <c r="A15848" s="62">
        <v>70141605</v>
      </c>
      <c r="B15848" s="63" t="s">
        <v>16485</v>
      </c>
    </row>
    <row r="15849" spans="1:2" x14ac:dyDescent="0.25">
      <c r="A15849" s="62">
        <v>70141606</v>
      </c>
      <c r="B15849" s="63" t="s">
        <v>16486</v>
      </c>
    </row>
    <row r="15850" spans="1:2" x14ac:dyDescent="0.25">
      <c r="A15850" s="62">
        <v>70141607</v>
      </c>
      <c r="B15850" s="63" t="s">
        <v>16487</v>
      </c>
    </row>
    <row r="15851" spans="1:2" x14ac:dyDescent="0.25">
      <c r="A15851" s="62">
        <v>70141701</v>
      </c>
      <c r="B15851" s="63" t="s">
        <v>16488</v>
      </c>
    </row>
    <row r="15852" spans="1:2" x14ac:dyDescent="0.25">
      <c r="A15852" s="62">
        <v>70141702</v>
      </c>
      <c r="B15852" s="63" t="s">
        <v>16489</v>
      </c>
    </row>
    <row r="15853" spans="1:2" x14ac:dyDescent="0.25">
      <c r="A15853" s="62">
        <v>70141703</v>
      </c>
      <c r="B15853" s="63" t="s">
        <v>16490</v>
      </c>
    </row>
    <row r="15854" spans="1:2" x14ac:dyDescent="0.25">
      <c r="A15854" s="62">
        <v>70141704</v>
      </c>
      <c r="B15854" s="63" t="s">
        <v>16491</v>
      </c>
    </row>
    <row r="15855" spans="1:2" x14ac:dyDescent="0.25">
      <c r="A15855" s="62">
        <v>70141705</v>
      </c>
      <c r="B15855" s="63" t="s">
        <v>16492</v>
      </c>
    </row>
    <row r="15856" spans="1:2" x14ac:dyDescent="0.25">
      <c r="A15856" s="62">
        <v>70141706</v>
      </c>
      <c r="B15856" s="63" t="s">
        <v>16493</v>
      </c>
    </row>
    <row r="15857" spans="1:2" x14ac:dyDescent="0.25">
      <c r="A15857" s="62">
        <v>70141707</v>
      </c>
      <c r="B15857" s="63" t="s">
        <v>16494</v>
      </c>
    </row>
    <row r="15858" spans="1:2" x14ac:dyDescent="0.25">
      <c r="A15858" s="62">
        <v>70141708</v>
      </c>
      <c r="B15858" s="63" t="s">
        <v>16495</v>
      </c>
    </row>
    <row r="15859" spans="1:2" x14ac:dyDescent="0.25">
      <c r="A15859" s="62">
        <v>70141709</v>
      </c>
      <c r="B15859" s="63" t="s">
        <v>16496</v>
      </c>
    </row>
    <row r="15860" spans="1:2" x14ac:dyDescent="0.25">
      <c r="A15860" s="62">
        <v>70141710</v>
      </c>
      <c r="B15860" s="63" t="s">
        <v>16497</v>
      </c>
    </row>
    <row r="15861" spans="1:2" x14ac:dyDescent="0.25">
      <c r="A15861" s="62">
        <v>70141801</v>
      </c>
      <c r="B15861" s="63" t="s">
        <v>16498</v>
      </c>
    </row>
    <row r="15862" spans="1:2" x14ac:dyDescent="0.25">
      <c r="A15862" s="62">
        <v>70141802</v>
      </c>
      <c r="B15862" s="63" t="s">
        <v>16499</v>
      </c>
    </row>
    <row r="15863" spans="1:2" x14ac:dyDescent="0.25">
      <c r="A15863" s="62">
        <v>70141803</v>
      </c>
      <c r="B15863" s="63" t="s">
        <v>16500</v>
      </c>
    </row>
    <row r="15864" spans="1:2" x14ac:dyDescent="0.25">
      <c r="A15864" s="62">
        <v>70141804</v>
      </c>
      <c r="B15864" s="63" t="s">
        <v>16501</v>
      </c>
    </row>
    <row r="15865" spans="1:2" x14ac:dyDescent="0.25">
      <c r="A15865" s="62">
        <v>70141901</v>
      </c>
      <c r="B15865" s="63" t="s">
        <v>16502</v>
      </c>
    </row>
    <row r="15866" spans="1:2" x14ac:dyDescent="0.25">
      <c r="A15866" s="62">
        <v>70141902</v>
      </c>
      <c r="B15866" s="63" t="s">
        <v>16503</v>
      </c>
    </row>
    <row r="15867" spans="1:2" x14ac:dyDescent="0.25">
      <c r="A15867" s="62">
        <v>70141903</v>
      </c>
      <c r="B15867" s="63" t="s">
        <v>16504</v>
      </c>
    </row>
    <row r="15868" spans="1:2" x14ac:dyDescent="0.25">
      <c r="A15868" s="62">
        <v>70141904</v>
      </c>
      <c r="B15868" s="63" t="s">
        <v>16505</v>
      </c>
    </row>
    <row r="15869" spans="1:2" x14ac:dyDescent="0.25">
      <c r="A15869" s="62">
        <v>70142001</v>
      </c>
      <c r="B15869" s="63" t="s">
        <v>16506</v>
      </c>
    </row>
    <row r="15870" spans="1:2" x14ac:dyDescent="0.25">
      <c r="A15870" s="62">
        <v>70142002</v>
      </c>
      <c r="B15870" s="63" t="s">
        <v>16507</v>
      </c>
    </row>
    <row r="15871" spans="1:2" x14ac:dyDescent="0.25">
      <c r="A15871" s="62">
        <v>70142003</v>
      </c>
      <c r="B15871" s="63" t="s">
        <v>16508</v>
      </c>
    </row>
    <row r="15872" spans="1:2" x14ac:dyDescent="0.25">
      <c r="A15872" s="62">
        <v>70142004</v>
      </c>
      <c r="B15872" s="63" t="s">
        <v>16509</v>
      </c>
    </row>
    <row r="15873" spans="1:2" x14ac:dyDescent="0.25">
      <c r="A15873" s="62">
        <v>70142005</v>
      </c>
      <c r="B15873" s="63" t="s">
        <v>16510</v>
      </c>
    </row>
    <row r="15874" spans="1:2" x14ac:dyDescent="0.25">
      <c r="A15874" s="62">
        <v>70142006</v>
      </c>
      <c r="B15874" s="63" t="s">
        <v>16511</v>
      </c>
    </row>
    <row r="15875" spans="1:2" x14ac:dyDescent="0.25">
      <c r="A15875" s="62">
        <v>70142007</v>
      </c>
      <c r="B15875" s="63" t="s">
        <v>16512</v>
      </c>
    </row>
    <row r="15876" spans="1:2" x14ac:dyDescent="0.25">
      <c r="A15876" s="62">
        <v>70142008</v>
      </c>
      <c r="B15876" s="63" t="s">
        <v>16513</v>
      </c>
    </row>
    <row r="15877" spans="1:2" x14ac:dyDescent="0.25">
      <c r="A15877" s="62">
        <v>70142009</v>
      </c>
      <c r="B15877" s="63" t="s">
        <v>16514</v>
      </c>
    </row>
    <row r="15878" spans="1:2" x14ac:dyDescent="0.25">
      <c r="A15878" s="62">
        <v>70142010</v>
      </c>
      <c r="B15878" s="63" t="s">
        <v>16515</v>
      </c>
    </row>
    <row r="15879" spans="1:2" x14ac:dyDescent="0.25">
      <c r="A15879" s="62">
        <v>70142011</v>
      </c>
      <c r="B15879" s="63" t="s">
        <v>16516</v>
      </c>
    </row>
    <row r="15880" spans="1:2" x14ac:dyDescent="0.25">
      <c r="A15880" s="62">
        <v>70151501</v>
      </c>
      <c r="B15880" s="63" t="s">
        <v>16517</v>
      </c>
    </row>
    <row r="15881" spans="1:2" x14ac:dyDescent="0.25">
      <c r="A15881" s="62">
        <v>70151502</v>
      </c>
      <c r="B15881" s="63" t="s">
        <v>16518</v>
      </c>
    </row>
    <row r="15882" spans="1:2" x14ac:dyDescent="0.25">
      <c r="A15882" s="62">
        <v>70151503</v>
      </c>
      <c r="B15882" s="63" t="s">
        <v>16519</v>
      </c>
    </row>
    <row r="15883" spans="1:2" x14ac:dyDescent="0.25">
      <c r="A15883" s="62">
        <v>70151504</v>
      </c>
      <c r="B15883" s="63" t="s">
        <v>16520</v>
      </c>
    </row>
    <row r="15884" spans="1:2" x14ac:dyDescent="0.25">
      <c r="A15884" s="62">
        <v>70151505</v>
      </c>
      <c r="B15884" s="63" t="s">
        <v>16521</v>
      </c>
    </row>
    <row r="15885" spans="1:2" x14ac:dyDescent="0.25">
      <c r="A15885" s="62">
        <v>70151506</v>
      </c>
      <c r="B15885" s="63" t="s">
        <v>16522</v>
      </c>
    </row>
    <row r="15886" spans="1:2" x14ac:dyDescent="0.25">
      <c r="A15886" s="62">
        <v>70151507</v>
      </c>
      <c r="B15886" s="63" t="s">
        <v>16523</v>
      </c>
    </row>
    <row r="15887" spans="1:2" x14ac:dyDescent="0.25">
      <c r="A15887" s="62">
        <v>70151508</v>
      </c>
      <c r="B15887" s="63" t="s">
        <v>16524</v>
      </c>
    </row>
    <row r="15888" spans="1:2" x14ac:dyDescent="0.25">
      <c r="A15888" s="62">
        <v>70151509</v>
      </c>
      <c r="B15888" s="63" t="s">
        <v>16525</v>
      </c>
    </row>
    <row r="15889" spans="1:2" x14ac:dyDescent="0.25">
      <c r="A15889" s="62">
        <v>70151510</v>
      </c>
      <c r="B15889" s="63" t="s">
        <v>16526</v>
      </c>
    </row>
    <row r="15890" spans="1:2" x14ac:dyDescent="0.25">
      <c r="A15890" s="62">
        <v>70151601</v>
      </c>
      <c r="B15890" s="63" t="s">
        <v>16527</v>
      </c>
    </row>
    <row r="15891" spans="1:2" x14ac:dyDescent="0.25">
      <c r="A15891" s="62">
        <v>70151602</v>
      </c>
      <c r="B15891" s="63" t="s">
        <v>16528</v>
      </c>
    </row>
    <row r="15892" spans="1:2" x14ac:dyDescent="0.25">
      <c r="A15892" s="62">
        <v>70151603</v>
      </c>
      <c r="B15892" s="63" t="s">
        <v>16529</v>
      </c>
    </row>
    <row r="15893" spans="1:2" x14ac:dyDescent="0.25">
      <c r="A15893" s="62">
        <v>70151604</v>
      </c>
      <c r="B15893" s="63" t="s">
        <v>16530</v>
      </c>
    </row>
    <row r="15894" spans="1:2" x14ac:dyDescent="0.25">
      <c r="A15894" s="62">
        <v>70151605</v>
      </c>
      <c r="B15894" s="63" t="s">
        <v>16531</v>
      </c>
    </row>
    <row r="15895" spans="1:2" x14ac:dyDescent="0.25">
      <c r="A15895" s="62">
        <v>70151606</v>
      </c>
      <c r="B15895" s="63" t="s">
        <v>16532</v>
      </c>
    </row>
    <row r="15896" spans="1:2" x14ac:dyDescent="0.25">
      <c r="A15896" s="62">
        <v>70151701</v>
      </c>
      <c r="B15896" s="63" t="s">
        <v>16533</v>
      </c>
    </row>
    <row r="15897" spans="1:2" x14ac:dyDescent="0.25">
      <c r="A15897" s="62">
        <v>70151702</v>
      </c>
      <c r="B15897" s="63" t="s">
        <v>16534</v>
      </c>
    </row>
    <row r="15898" spans="1:2" x14ac:dyDescent="0.25">
      <c r="A15898" s="62">
        <v>70151703</v>
      </c>
      <c r="B15898" s="63" t="s">
        <v>16535</v>
      </c>
    </row>
    <row r="15899" spans="1:2" x14ac:dyDescent="0.25">
      <c r="A15899" s="62">
        <v>70151704</v>
      </c>
      <c r="B15899" s="63" t="s">
        <v>16536</v>
      </c>
    </row>
    <row r="15900" spans="1:2" x14ac:dyDescent="0.25">
      <c r="A15900" s="62">
        <v>70151705</v>
      </c>
      <c r="B15900" s="63" t="s">
        <v>16537</v>
      </c>
    </row>
    <row r="15901" spans="1:2" x14ac:dyDescent="0.25">
      <c r="A15901" s="62">
        <v>70151706</v>
      </c>
      <c r="B15901" s="63" t="s">
        <v>16538</v>
      </c>
    </row>
    <row r="15902" spans="1:2" x14ac:dyDescent="0.25">
      <c r="A15902" s="62">
        <v>70151707</v>
      </c>
      <c r="B15902" s="63" t="s">
        <v>16539</v>
      </c>
    </row>
    <row r="15903" spans="1:2" x14ac:dyDescent="0.25">
      <c r="A15903" s="62">
        <v>70151801</v>
      </c>
      <c r="B15903" s="63" t="s">
        <v>16540</v>
      </c>
    </row>
    <row r="15904" spans="1:2" x14ac:dyDescent="0.25">
      <c r="A15904" s="62">
        <v>70151802</v>
      </c>
      <c r="B15904" s="63" t="s">
        <v>16541</v>
      </c>
    </row>
    <row r="15905" spans="1:2" x14ac:dyDescent="0.25">
      <c r="A15905" s="62">
        <v>70151803</v>
      </c>
      <c r="B15905" s="63" t="s">
        <v>16542</v>
      </c>
    </row>
    <row r="15906" spans="1:2" x14ac:dyDescent="0.25">
      <c r="A15906" s="62">
        <v>70151804</v>
      </c>
      <c r="B15906" s="63" t="s">
        <v>16543</v>
      </c>
    </row>
    <row r="15907" spans="1:2" x14ac:dyDescent="0.25">
      <c r="A15907" s="62">
        <v>70151805</v>
      </c>
      <c r="B15907" s="63" t="s">
        <v>16544</v>
      </c>
    </row>
    <row r="15908" spans="1:2" x14ac:dyDescent="0.25">
      <c r="A15908" s="62">
        <v>70151806</v>
      </c>
      <c r="B15908" s="63" t="s">
        <v>16545</v>
      </c>
    </row>
    <row r="15909" spans="1:2" x14ac:dyDescent="0.25">
      <c r="A15909" s="62">
        <v>70151807</v>
      </c>
      <c r="B15909" s="63" t="s">
        <v>16546</v>
      </c>
    </row>
    <row r="15910" spans="1:2" x14ac:dyDescent="0.25">
      <c r="A15910" s="62">
        <v>70151901</v>
      </c>
      <c r="B15910" s="63" t="s">
        <v>16547</v>
      </c>
    </row>
    <row r="15911" spans="1:2" x14ac:dyDescent="0.25">
      <c r="A15911" s="62">
        <v>70151902</v>
      </c>
      <c r="B15911" s="63" t="s">
        <v>16548</v>
      </c>
    </row>
    <row r="15912" spans="1:2" x14ac:dyDescent="0.25">
      <c r="A15912" s="62">
        <v>70151903</v>
      </c>
      <c r="B15912" s="63" t="s">
        <v>16549</v>
      </c>
    </row>
    <row r="15913" spans="1:2" x14ac:dyDescent="0.25">
      <c r="A15913" s="62">
        <v>70151904</v>
      </c>
      <c r="B15913" s="63" t="s">
        <v>16550</v>
      </c>
    </row>
    <row r="15914" spans="1:2" x14ac:dyDescent="0.25">
      <c r="A15914" s="62">
        <v>70151905</v>
      </c>
      <c r="B15914" s="63" t="s">
        <v>16551</v>
      </c>
    </row>
    <row r="15915" spans="1:2" x14ac:dyDescent="0.25">
      <c r="A15915" s="62">
        <v>70151906</v>
      </c>
      <c r="B15915" s="63" t="s">
        <v>16552</v>
      </c>
    </row>
    <row r="15916" spans="1:2" x14ac:dyDescent="0.25">
      <c r="A15916" s="62">
        <v>70151907</v>
      </c>
      <c r="B15916" s="63" t="s">
        <v>16553</v>
      </c>
    </row>
    <row r="15917" spans="1:2" x14ac:dyDescent="0.25">
      <c r="A15917" s="62">
        <v>70151909</v>
      </c>
      <c r="B15917" s="63" t="s">
        <v>16554</v>
      </c>
    </row>
    <row r="15918" spans="1:2" x14ac:dyDescent="0.25">
      <c r="A15918" s="62">
        <v>70151910</v>
      </c>
      <c r="B15918" s="63" t="s">
        <v>16555</v>
      </c>
    </row>
    <row r="15919" spans="1:2" x14ac:dyDescent="0.25">
      <c r="A15919" s="62">
        <v>70161501</v>
      </c>
      <c r="B15919" s="63" t="s">
        <v>16556</v>
      </c>
    </row>
    <row r="15920" spans="1:2" x14ac:dyDescent="0.25">
      <c r="A15920" s="62">
        <v>70161601</v>
      </c>
      <c r="B15920" s="63" t="s">
        <v>16557</v>
      </c>
    </row>
    <row r="15921" spans="1:2" x14ac:dyDescent="0.25">
      <c r="A15921" s="62">
        <v>70161701</v>
      </c>
      <c r="B15921" s="63" t="s">
        <v>16558</v>
      </c>
    </row>
    <row r="15922" spans="1:2" x14ac:dyDescent="0.25">
      <c r="A15922" s="62">
        <v>70161702</v>
      </c>
      <c r="B15922" s="63" t="s">
        <v>16559</v>
      </c>
    </row>
    <row r="15923" spans="1:2" x14ac:dyDescent="0.25">
      <c r="A15923" s="62">
        <v>70161703</v>
      </c>
      <c r="B15923" s="63" t="s">
        <v>16560</v>
      </c>
    </row>
    <row r="15924" spans="1:2" x14ac:dyDescent="0.25">
      <c r="A15924" s="62">
        <v>70161704</v>
      </c>
      <c r="B15924" s="63" t="s">
        <v>16561</v>
      </c>
    </row>
    <row r="15925" spans="1:2" x14ac:dyDescent="0.25">
      <c r="A15925" s="62">
        <v>70171501</v>
      </c>
      <c r="B15925" s="63" t="s">
        <v>16562</v>
      </c>
    </row>
    <row r="15926" spans="1:2" x14ac:dyDescent="0.25">
      <c r="A15926" s="62">
        <v>70171502</v>
      </c>
      <c r="B15926" s="63" t="s">
        <v>16563</v>
      </c>
    </row>
    <row r="15927" spans="1:2" x14ac:dyDescent="0.25">
      <c r="A15927" s="62">
        <v>70171503</v>
      </c>
      <c r="B15927" s="63" t="s">
        <v>16564</v>
      </c>
    </row>
    <row r="15928" spans="1:2" x14ac:dyDescent="0.25">
      <c r="A15928" s="62">
        <v>70171504</v>
      </c>
      <c r="B15928" s="63" t="s">
        <v>16565</v>
      </c>
    </row>
    <row r="15929" spans="1:2" x14ac:dyDescent="0.25">
      <c r="A15929" s="62">
        <v>70171505</v>
      </c>
      <c r="B15929" s="63" t="s">
        <v>16566</v>
      </c>
    </row>
    <row r="15930" spans="1:2" x14ac:dyDescent="0.25">
      <c r="A15930" s="62">
        <v>70171506</v>
      </c>
      <c r="B15930" s="63" t="s">
        <v>16567</v>
      </c>
    </row>
    <row r="15931" spans="1:2" x14ac:dyDescent="0.25">
      <c r="A15931" s="62">
        <v>70171601</v>
      </c>
      <c r="B15931" s="63" t="s">
        <v>16568</v>
      </c>
    </row>
    <row r="15932" spans="1:2" x14ac:dyDescent="0.25">
      <c r="A15932" s="62">
        <v>70171602</v>
      </c>
      <c r="B15932" s="63" t="s">
        <v>16569</v>
      </c>
    </row>
    <row r="15933" spans="1:2" x14ac:dyDescent="0.25">
      <c r="A15933" s="62">
        <v>70171603</v>
      </c>
      <c r="B15933" s="63" t="s">
        <v>16570</v>
      </c>
    </row>
    <row r="15934" spans="1:2" x14ac:dyDescent="0.25">
      <c r="A15934" s="62">
        <v>70171604</v>
      </c>
      <c r="B15934" s="63" t="s">
        <v>16571</v>
      </c>
    </row>
    <row r="15935" spans="1:2" x14ac:dyDescent="0.25">
      <c r="A15935" s="62">
        <v>70171605</v>
      </c>
      <c r="B15935" s="63" t="s">
        <v>16572</v>
      </c>
    </row>
    <row r="15936" spans="1:2" x14ac:dyDescent="0.25">
      <c r="A15936" s="62">
        <v>70171606</v>
      </c>
      <c r="B15936" s="63" t="s">
        <v>16573</v>
      </c>
    </row>
    <row r="15937" spans="1:2" x14ac:dyDescent="0.25">
      <c r="A15937" s="62">
        <v>70171607</v>
      </c>
      <c r="B15937" s="63" t="s">
        <v>16574</v>
      </c>
    </row>
    <row r="15938" spans="1:2" x14ac:dyDescent="0.25">
      <c r="A15938" s="62">
        <v>70171701</v>
      </c>
      <c r="B15938" s="63" t="s">
        <v>16575</v>
      </c>
    </row>
    <row r="15939" spans="1:2" x14ac:dyDescent="0.25">
      <c r="A15939" s="62">
        <v>70171702</v>
      </c>
      <c r="B15939" s="63" t="s">
        <v>16576</v>
      </c>
    </row>
    <row r="15940" spans="1:2" x14ac:dyDescent="0.25">
      <c r="A15940" s="62">
        <v>70171703</v>
      </c>
      <c r="B15940" s="63" t="s">
        <v>16577</v>
      </c>
    </row>
    <row r="15941" spans="1:2" x14ac:dyDescent="0.25">
      <c r="A15941" s="62">
        <v>70171704</v>
      </c>
      <c r="B15941" s="63" t="s">
        <v>16578</v>
      </c>
    </row>
    <row r="15942" spans="1:2" x14ac:dyDescent="0.25">
      <c r="A15942" s="62">
        <v>70171705</v>
      </c>
      <c r="B15942" s="63" t="s">
        <v>16579</v>
      </c>
    </row>
    <row r="15943" spans="1:2" x14ac:dyDescent="0.25">
      <c r="A15943" s="62">
        <v>70171706</v>
      </c>
      <c r="B15943" s="63" t="s">
        <v>16580</v>
      </c>
    </row>
    <row r="15944" spans="1:2" x14ac:dyDescent="0.25">
      <c r="A15944" s="62">
        <v>70171707</v>
      </c>
      <c r="B15944" s="63" t="s">
        <v>16581</v>
      </c>
    </row>
    <row r="15945" spans="1:2" x14ac:dyDescent="0.25">
      <c r="A15945" s="62">
        <v>70171708</v>
      </c>
      <c r="B15945" s="63" t="s">
        <v>16582</v>
      </c>
    </row>
    <row r="15946" spans="1:2" x14ac:dyDescent="0.25">
      <c r="A15946" s="62">
        <v>70171709</v>
      </c>
      <c r="B15946" s="63" t="s">
        <v>16583</v>
      </c>
    </row>
    <row r="15947" spans="1:2" x14ac:dyDescent="0.25">
      <c r="A15947" s="62">
        <v>70171801</v>
      </c>
      <c r="B15947" s="63" t="s">
        <v>16584</v>
      </c>
    </row>
    <row r="15948" spans="1:2" x14ac:dyDescent="0.25">
      <c r="A15948" s="62">
        <v>70171802</v>
      </c>
      <c r="B15948" s="63" t="s">
        <v>16585</v>
      </c>
    </row>
    <row r="15949" spans="1:2" x14ac:dyDescent="0.25">
      <c r="A15949" s="62">
        <v>70171803</v>
      </c>
      <c r="B15949" s="63" t="s">
        <v>16586</v>
      </c>
    </row>
    <row r="15950" spans="1:2" x14ac:dyDescent="0.25">
      <c r="A15950" s="62">
        <v>71101501</v>
      </c>
      <c r="B15950" s="63" t="s">
        <v>16587</v>
      </c>
    </row>
    <row r="15951" spans="1:2" x14ac:dyDescent="0.25">
      <c r="A15951" s="62">
        <v>71101502</v>
      </c>
      <c r="B15951" s="63" t="s">
        <v>16588</v>
      </c>
    </row>
    <row r="15952" spans="1:2" x14ac:dyDescent="0.25">
      <c r="A15952" s="62">
        <v>71101601</v>
      </c>
      <c r="B15952" s="63" t="s">
        <v>16589</v>
      </c>
    </row>
    <row r="15953" spans="1:2" x14ac:dyDescent="0.25">
      <c r="A15953" s="62">
        <v>71101602</v>
      </c>
      <c r="B15953" s="63" t="s">
        <v>16590</v>
      </c>
    </row>
    <row r="15954" spans="1:2" x14ac:dyDescent="0.25">
      <c r="A15954" s="62">
        <v>71101701</v>
      </c>
      <c r="B15954" s="63" t="s">
        <v>16591</v>
      </c>
    </row>
    <row r="15955" spans="1:2" x14ac:dyDescent="0.25">
      <c r="A15955" s="62">
        <v>71101702</v>
      </c>
      <c r="B15955" s="63" t="s">
        <v>16592</v>
      </c>
    </row>
    <row r="15956" spans="1:2" x14ac:dyDescent="0.25">
      <c r="A15956" s="62">
        <v>71101703</v>
      </c>
      <c r="B15956" s="63" t="s">
        <v>16593</v>
      </c>
    </row>
    <row r="15957" spans="1:2" x14ac:dyDescent="0.25">
      <c r="A15957" s="62">
        <v>71101704</v>
      </c>
      <c r="B15957" s="63" t="s">
        <v>16594</v>
      </c>
    </row>
    <row r="15958" spans="1:2" x14ac:dyDescent="0.25">
      <c r="A15958" s="62">
        <v>71101705</v>
      </c>
      <c r="B15958" s="63" t="s">
        <v>16595</v>
      </c>
    </row>
    <row r="15959" spans="1:2" x14ac:dyDescent="0.25">
      <c r="A15959" s="62">
        <v>71101706</v>
      </c>
      <c r="B15959" s="63" t="s">
        <v>16596</v>
      </c>
    </row>
    <row r="15960" spans="1:2" x14ac:dyDescent="0.25">
      <c r="A15960" s="62">
        <v>71101707</v>
      </c>
      <c r="B15960" s="63" t="s">
        <v>16597</v>
      </c>
    </row>
    <row r="15961" spans="1:2" x14ac:dyDescent="0.25">
      <c r="A15961" s="62">
        <v>71101708</v>
      </c>
      <c r="B15961" s="63" t="s">
        <v>16598</v>
      </c>
    </row>
    <row r="15962" spans="1:2" x14ac:dyDescent="0.25">
      <c r="A15962" s="62">
        <v>71101709</v>
      </c>
      <c r="B15962" s="63" t="s">
        <v>16599</v>
      </c>
    </row>
    <row r="15963" spans="1:2" x14ac:dyDescent="0.25">
      <c r="A15963" s="62">
        <v>71112001</v>
      </c>
      <c r="B15963" s="63" t="s">
        <v>16600</v>
      </c>
    </row>
    <row r="15964" spans="1:2" x14ac:dyDescent="0.25">
      <c r="A15964" s="62">
        <v>71112002</v>
      </c>
      <c r="B15964" s="63" t="s">
        <v>16601</v>
      </c>
    </row>
    <row r="15965" spans="1:2" x14ac:dyDescent="0.25">
      <c r="A15965" s="62">
        <v>71112003</v>
      </c>
      <c r="B15965" s="63" t="s">
        <v>16602</v>
      </c>
    </row>
    <row r="15966" spans="1:2" x14ac:dyDescent="0.25">
      <c r="A15966" s="62">
        <v>71112004</v>
      </c>
      <c r="B15966" s="63" t="s">
        <v>16603</v>
      </c>
    </row>
    <row r="15967" spans="1:2" x14ac:dyDescent="0.25">
      <c r="A15967" s="62">
        <v>71112005</v>
      </c>
      <c r="B15967" s="63" t="s">
        <v>16604</v>
      </c>
    </row>
    <row r="15968" spans="1:2" x14ac:dyDescent="0.25">
      <c r="A15968" s="62">
        <v>71112006</v>
      </c>
      <c r="B15968" s="63" t="s">
        <v>16605</v>
      </c>
    </row>
    <row r="15969" spans="1:2" x14ac:dyDescent="0.25">
      <c r="A15969" s="62">
        <v>71112007</v>
      </c>
      <c r="B15969" s="63" t="s">
        <v>16606</v>
      </c>
    </row>
    <row r="15970" spans="1:2" x14ac:dyDescent="0.25">
      <c r="A15970" s="62">
        <v>71112008</v>
      </c>
      <c r="B15970" s="63" t="s">
        <v>16607</v>
      </c>
    </row>
    <row r="15971" spans="1:2" x14ac:dyDescent="0.25">
      <c r="A15971" s="62">
        <v>71112009</v>
      </c>
      <c r="B15971" s="63" t="s">
        <v>16608</v>
      </c>
    </row>
    <row r="15972" spans="1:2" x14ac:dyDescent="0.25">
      <c r="A15972" s="62">
        <v>71112010</v>
      </c>
      <c r="B15972" s="63" t="s">
        <v>16609</v>
      </c>
    </row>
    <row r="15973" spans="1:2" x14ac:dyDescent="0.25">
      <c r="A15973" s="62">
        <v>71112011</v>
      </c>
      <c r="B15973" s="63" t="s">
        <v>16610</v>
      </c>
    </row>
    <row r="15974" spans="1:2" x14ac:dyDescent="0.25">
      <c r="A15974" s="62">
        <v>71112012</v>
      </c>
      <c r="B15974" s="63" t="s">
        <v>16611</v>
      </c>
    </row>
    <row r="15975" spans="1:2" x14ac:dyDescent="0.25">
      <c r="A15975" s="62">
        <v>71112013</v>
      </c>
      <c r="B15975" s="63" t="s">
        <v>16612</v>
      </c>
    </row>
    <row r="15976" spans="1:2" x14ac:dyDescent="0.25">
      <c r="A15976" s="62">
        <v>71112014</v>
      </c>
      <c r="B15976" s="63" t="s">
        <v>16613</v>
      </c>
    </row>
    <row r="15977" spans="1:2" x14ac:dyDescent="0.25">
      <c r="A15977" s="62">
        <v>71112015</v>
      </c>
      <c r="B15977" s="63" t="s">
        <v>16614</v>
      </c>
    </row>
    <row r="15978" spans="1:2" x14ac:dyDescent="0.25">
      <c r="A15978" s="62">
        <v>71112017</v>
      </c>
      <c r="B15978" s="63" t="s">
        <v>16615</v>
      </c>
    </row>
    <row r="15979" spans="1:2" x14ac:dyDescent="0.25">
      <c r="A15979" s="62">
        <v>71112018</v>
      </c>
      <c r="B15979" s="63" t="s">
        <v>16616</v>
      </c>
    </row>
    <row r="15980" spans="1:2" x14ac:dyDescent="0.25">
      <c r="A15980" s="62">
        <v>71112019</v>
      </c>
      <c r="B15980" s="63" t="s">
        <v>16617</v>
      </c>
    </row>
    <row r="15981" spans="1:2" x14ac:dyDescent="0.25">
      <c r="A15981" s="62">
        <v>71112020</v>
      </c>
      <c r="B15981" s="63" t="s">
        <v>16618</v>
      </c>
    </row>
    <row r="15982" spans="1:2" x14ac:dyDescent="0.25">
      <c r="A15982" s="62">
        <v>71112021</v>
      </c>
      <c r="B15982" s="63" t="s">
        <v>16619</v>
      </c>
    </row>
    <row r="15983" spans="1:2" x14ac:dyDescent="0.25">
      <c r="A15983" s="62">
        <v>71112022</v>
      </c>
      <c r="B15983" s="63" t="s">
        <v>16620</v>
      </c>
    </row>
    <row r="15984" spans="1:2" x14ac:dyDescent="0.25">
      <c r="A15984" s="62">
        <v>71112023</v>
      </c>
      <c r="B15984" s="63" t="s">
        <v>16621</v>
      </c>
    </row>
    <row r="15985" spans="1:2" x14ac:dyDescent="0.25">
      <c r="A15985" s="62">
        <v>71112024</v>
      </c>
      <c r="B15985" s="63" t="s">
        <v>16622</v>
      </c>
    </row>
    <row r="15986" spans="1:2" x14ac:dyDescent="0.25">
      <c r="A15986" s="62">
        <v>71112025</v>
      </c>
      <c r="B15986" s="63" t="s">
        <v>16623</v>
      </c>
    </row>
    <row r="15987" spans="1:2" x14ac:dyDescent="0.25">
      <c r="A15987" s="62">
        <v>71112026</v>
      </c>
      <c r="B15987" s="63" t="s">
        <v>16624</v>
      </c>
    </row>
    <row r="15988" spans="1:2" x14ac:dyDescent="0.25">
      <c r="A15988" s="62">
        <v>71112027</v>
      </c>
      <c r="B15988" s="63" t="s">
        <v>16625</v>
      </c>
    </row>
    <row r="15989" spans="1:2" x14ac:dyDescent="0.25">
      <c r="A15989" s="62">
        <v>71112028</v>
      </c>
      <c r="B15989" s="63" t="s">
        <v>16626</v>
      </c>
    </row>
    <row r="15990" spans="1:2" x14ac:dyDescent="0.25">
      <c r="A15990" s="62">
        <v>71112029</v>
      </c>
      <c r="B15990" s="63" t="s">
        <v>16627</v>
      </c>
    </row>
    <row r="15991" spans="1:2" x14ac:dyDescent="0.25">
      <c r="A15991" s="62">
        <v>71112030</v>
      </c>
      <c r="B15991" s="63" t="s">
        <v>16628</v>
      </c>
    </row>
    <row r="15992" spans="1:2" x14ac:dyDescent="0.25">
      <c r="A15992" s="62">
        <v>71112031</v>
      </c>
      <c r="B15992" s="63" t="s">
        <v>16629</v>
      </c>
    </row>
    <row r="15993" spans="1:2" x14ac:dyDescent="0.25">
      <c r="A15993" s="62">
        <v>71112101</v>
      </c>
      <c r="B15993" s="63" t="s">
        <v>16630</v>
      </c>
    </row>
    <row r="15994" spans="1:2" x14ac:dyDescent="0.25">
      <c r="A15994" s="62">
        <v>71112102</v>
      </c>
      <c r="B15994" s="63" t="s">
        <v>16631</v>
      </c>
    </row>
    <row r="15995" spans="1:2" x14ac:dyDescent="0.25">
      <c r="A15995" s="62">
        <v>71112103</v>
      </c>
      <c r="B15995" s="63" t="s">
        <v>16632</v>
      </c>
    </row>
    <row r="15996" spans="1:2" x14ac:dyDescent="0.25">
      <c r="A15996" s="62">
        <v>71112104</v>
      </c>
      <c r="B15996" s="63" t="s">
        <v>16633</v>
      </c>
    </row>
    <row r="15997" spans="1:2" x14ac:dyDescent="0.25">
      <c r="A15997" s="62">
        <v>71112105</v>
      </c>
      <c r="B15997" s="63" t="s">
        <v>16634</v>
      </c>
    </row>
    <row r="15998" spans="1:2" x14ac:dyDescent="0.25">
      <c r="A15998" s="62">
        <v>71112106</v>
      </c>
      <c r="B15998" s="63" t="s">
        <v>16635</v>
      </c>
    </row>
    <row r="15999" spans="1:2" x14ac:dyDescent="0.25">
      <c r="A15999" s="62">
        <v>71112107</v>
      </c>
      <c r="B15999" s="63" t="s">
        <v>16636</v>
      </c>
    </row>
    <row r="16000" spans="1:2" x14ac:dyDescent="0.25">
      <c r="A16000" s="62">
        <v>71112108</v>
      </c>
      <c r="B16000" s="63" t="s">
        <v>16637</v>
      </c>
    </row>
    <row r="16001" spans="1:2" x14ac:dyDescent="0.25">
      <c r="A16001" s="62">
        <v>71112109</v>
      </c>
      <c r="B16001" s="63" t="s">
        <v>16638</v>
      </c>
    </row>
    <row r="16002" spans="1:2" x14ac:dyDescent="0.25">
      <c r="A16002" s="62">
        <v>71112110</v>
      </c>
      <c r="B16002" s="63" t="s">
        <v>16639</v>
      </c>
    </row>
    <row r="16003" spans="1:2" x14ac:dyDescent="0.25">
      <c r="A16003" s="62">
        <v>71112111</v>
      </c>
      <c r="B16003" s="63" t="s">
        <v>16640</v>
      </c>
    </row>
    <row r="16004" spans="1:2" x14ac:dyDescent="0.25">
      <c r="A16004" s="62">
        <v>71112112</v>
      </c>
      <c r="B16004" s="63" t="s">
        <v>16641</v>
      </c>
    </row>
    <row r="16005" spans="1:2" x14ac:dyDescent="0.25">
      <c r="A16005" s="62">
        <v>71112113</v>
      </c>
      <c r="B16005" s="63" t="s">
        <v>16642</v>
      </c>
    </row>
    <row r="16006" spans="1:2" x14ac:dyDescent="0.25">
      <c r="A16006" s="62">
        <v>71112114</v>
      </c>
      <c r="B16006" s="63" t="s">
        <v>16643</v>
      </c>
    </row>
    <row r="16007" spans="1:2" x14ac:dyDescent="0.25">
      <c r="A16007" s="62">
        <v>71112115</v>
      </c>
      <c r="B16007" s="63" t="s">
        <v>16644</v>
      </c>
    </row>
    <row r="16008" spans="1:2" x14ac:dyDescent="0.25">
      <c r="A16008" s="62">
        <v>71112116</v>
      </c>
      <c r="B16008" s="63" t="s">
        <v>16645</v>
      </c>
    </row>
    <row r="16009" spans="1:2" x14ac:dyDescent="0.25">
      <c r="A16009" s="62">
        <v>71112117</v>
      </c>
      <c r="B16009" s="63" t="s">
        <v>16646</v>
      </c>
    </row>
    <row r="16010" spans="1:2" x14ac:dyDescent="0.25">
      <c r="A16010" s="62">
        <v>71112119</v>
      </c>
      <c r="B16010" s="63" t="s">
        <v>16647</v>
      </c>
    </row>
    <row r="16011" spans="1:2" x14ac:dyDescent="0.25">
      <c r="A16011" s="62">
        <v>71112120</v>
      </c>
      <c r="B16011" s="63" t="s">
        <v>16648</v>
      </c>
    </row>
    <row r="16012" spans="1:2" x14ac:dyDescent="0.25">
      <c r="A16012" s="62">
        <v>71112121</v>
      </c>
      <c r="B16012" s="63" t="s">
        <v>16649</v>
      </c>
    </row>
    <row r="16013" spans="1:2" x14ac:dyDescent="0.25">
      <c r="A16013" s="62">
        <v>71112122</v>
      </c>
      <c r="B16013" s="63" t="s">
        <v>16650</v>
      </c>
    </row>
    <row r="16014" spans="1:2" x14ac:dyDescent="0.25">
      <c r="A16014" s="62">
        <v>71112202</v>
      </c>
      <c r="B16014" s="63" t="s">
        <v>16651</v>
      </c>
    </row>
    <row r="16015" spans="1:2" x14ac:dyDescent="0.25">
      <c r="A16015" s="62">
        <v>71112203</v>
      </c>
      <c r="B16015" s="63" t="s">
        <v>16652</v>
      </c>
    </row>
    <row r="16016" spans="1:2" x14ac:dyDescent="0.25">
      <c r="A16016" s="62">
        <v>71112204</v>
      </c>
      <c r="B16016" s="63" t="s">
        <v>16653</v>
      </c>
    </row>
    <row r="16017" spans="1:2" x14ac:dyDescent="0.25">
      <c r="A16017" s="62">
        <v>71112205</v>
      </c>
      <c r="B16017" s="63" t="s">
        <v>16654</v>
      </c>
    </row>
    <row r="16018" spans="1:2" x14ac:dyDescent="0.25">
      <c r="A16018" s="62">
        <v>71112206</v>
      </c>
      <c r="B16018" s="63" t="s">
        <v>16655</v>
      </c>
    </row>
    <row r="16019" spans="1:2" x14ac:dyDescent="0.25">
      <c r="A16019" s="62">
        <v>71112301</v>
      </c>
      <c r="B16019" s="63" t="s">
        <v>16656</v>
      </c>
    </row>
    <row r="16020" spans="1:2" x14ac:dyDescent="0.25">
      <c r="A16020" s="62">
        <v>71112302</v>
      </c>
      <c r="B16020" s="63" t="s">
        <v>16657</v>
      </c>
    </row>
    <row r="16021" spans="1:2" x14ac:dyDescent="0.25">
      <c r="A16021" s="62">
        <v>71112303</v>
      </c>
      <c r="B16021" s="63" t="s">
        <v>16658</v>
      </c>
    </row>
    <row r="16022" spans="1:2" x14ac:dyDescent="0.25">
      <c r="A16022" s="62">
        <v>71112304</v>
      </c>
      <c r="B16022" s="63" t="s">
        <v>16659</v>
      </c>
    </row>
    <row r="16023" spans="1:2" x14ac:dyDescent="0.25">
      <c r="A16023" s="62">
        <v>71112305</v>
      </c>
      <c r="B16023" s="63" t="s">
        <v>16660</v>
      </c>
    </row>
    <row r="16024" spans="1:2" x14ac:dyDescent="0.25">
      <c r="A16024" s="62">
        <v>71112306</v>
      </c>
      <c r="B16024" s="63" t="s">
        <v>16661</v>
      </c>
    </row>
    <row r="16025" spans="1:2" x14ac:dyDescent="0.25">
      <c r="A16025" s="62">
        <v>71112307</v>
      </c>
      <c r="B16025" s="63" t="s">
        <v>16662</v>
      </c>
    </row>
    <row r="16026" spans="1:2" x14ac:dyDescent="0.25">
      <c r="A16026" s="62">
        <v>71112308</v>
      </c>
      <c r="B16026" s="63" t="s">
        <v>16663</v>
      </c>
    </row>
    <row r="16027" spans="1:2" x14ac:dyDescent="0.25">
      <c r="A16027" s="62">
        <v>71112309</v>
      </c>
      <c r="B16027" s="63" t="s">
        <v>16664</v>
      </c>
    </row>
    <row r="16028" spans="1:2" x14ac:dyDescent="0.25">
      <c r="A16028" s="62">
        <v>71112310</v>
      </c>
      <c r="B16028" s="63" t="s">
        <v>16665</v>
      </c>
    </row>
    <row r="16029" spans="1:2" x14ac:dyDescent="0.25">
      <c r="A16029" s="62">
        <v>71112311</v>
      </c>
      <c r="B16029" s="63" t="s">
        <v>16666</v>
      </c>
    </row>
    <row r="16030" spans="1:2" x14ac:dyDescent="0.25">
      <c r="A16030" s="62">
        <v>71112312</v>
      </c>
      <c r="B16030" s="63" t="s">
        <v>16667</v>
      </c>
    </row>
    <row r="16031" spans="1:2" x14ac:dyDescent="0.25">
      <c r="A16031" s="62">
        <v>71112313</v>
      </c>
      <c r="B16031" s="63" t="s">
        <v>16668</v>
      </c>
    </row>
    <row r="16032" spans="1:2" x14ac:dyDescent="0.25">
      <c r="A16032" s="62">
        <v>71112314</v>
      </c>
      <c r="B16032" s="63" t="s">
        <v>16669</v>
      </c>
    </row>
    <row r="16033" spans="1:2" x14ac:dyDescent="0.25">
      <c r="A16033" s="62">
        <v>71112315</v>
      </c>
      <c r="B16033" s="63" t="s">
        <v>16670</v>
      </c>
    </row>
    <row r="16034" spans="1:2" x14ac:dyDescent="0.25">
      <c r="A16034" s="62">
        <v>71112316</v>
      </c>
      <c r="B16034" s="63" t="s">
        <v>16671</v>
      </c>
    </row>
    <row r="16035" spans="1:2" x14ac:dyDescent="0.25">
      <c r="A16035" s="62">
        <v>71112317</v>
      </c>
      <c r="B16035" s="63" t="s">
        <v>16672</v>
      </c>
    </row>
    <row r="16036" spans="1:2" x14ac:dyDescent="0.25">
      <c r="A16036" s="62">
        <v>71112318</v>
      </c>
      <c r="B16036" s="63" t="s">
        <v>16673</v>
      </c>
    </row>
    <row r="16037" spans="1:2" x14ac:dyDescent="0.25">
      <c r="A16037" s="62">
        <v>71112319</v>
      </c>
      <c r="B16037" s="63" t="s">
        <v>16674</v>
      </c>
    </row>
    <row r="16038" spans="1:2" x14ac:dyDescent="0.25">
      <c r="A16038" s="62">
        <v>71112320</v>
      </c>
      <c r="B16038" s="63" t="s">
        <v>16675</v>
      </c>
    </row>
    <row r="16039" spans="1:2" x14ac:dyDescent="0.25">
      <c r="A16039" s="62">
        <v>71112321</v>
      </c>
      <c r="B16039" s="63" t="s">
        <v>16676</v>
      </c>
    </row>
    <row r="16040" spans="1:2" x14ac:dyDescent="0.25">
      <c r="A16040" s="62">
        <v>71121001</v>
      </c>
      <c r="B16040" s="63" t="s">
        <v>16677</v>
      </c>
    </row>
    <row r="16041" spans="1:2" x14ac:dyDescent="0.25">
      <c r="A16041" s="62">
        <v>71121002</v>
      </c>
      <c r="B16041" s="63" t="s">
        <v>16678</v>
      </c>
    </row>
    <row r="16042" spans="1:2" x14ac:dyDescent="0.25">
      <c r="A16042" s="62">
        <v>71121003</v>
      </c>
      <c r="B16042" s="63" t="s">
        <v>16679</v>
      </c>
    </row>
    <row r="16043" spans="1:2" x14ac:dyDescent="0.25">
      <c r="A16043" s="62">
        <v>71121004</v>
      </c>
      <c r="B16043" s="63" t="s">
        <v>16680</v>
      </c>
    </row>
    <row r="16044" spans="1:2" x14ac:dyDescent="0.25">
      <c r="A16044" s="62">
        <v>71121005</v>
      </c>
      <c r="B16044" s="63" t="s">
        <v>16681</v>
      </c>
    </row>
    <row r="16045" spans="1:2" x14ac:dyDescent="0.25">
      <c r="A16045" s="62">
        <v>71121006</v>
      </c>
      <c r="B16045" s="63" t="s">
        <v>16682</v>
      </c>
    </row>
    <row r="16046" spans="1:2" x14ac:dyDescent="0.25">
      <c r="A16046" s="62">
        <v>71121007</v>
      </c>
      <c r="B16046" s="63" t="s">
        <v>16683</v>
      </c>
    </row>
    <row r="16047" spans="1:2" x14ac:dyDescent="0.25">
      <c r="A16047" s="62">
        <v>71121008</v>
      </c>
      <c r="B16047" s="63" t="s">
        <v>16684</v>
      </c>
    </row>
    <row r="16048" spans="1:2" x14ac:dyDescent="0.25">
      <c r="A16048" s="62">
        <v>71121009</v>
      </c>
      <c r="B16048" s="63" t="s">
        <v>16685</v>
      </c>
    </row>
    <row r="16049" spans="1:2" x14ac:dyDescent="0.25">
      <c r="A16049" s="62">
        <v>71121010</v>
      </c>
      <c r="B16049" s="63" t="s">
        <v>16686</v>
      </c>
    </row>
    <row r="16050" spans="1:2" x14ac:dyDescent="0.25">
      <c r="A16050" s="62">
        <v>71121011</v>
      </c>
      <c r="B16050" s="63" t="s">
        <v>16687</v>
      </c>
    </row>
    <row r="16051" spans="1:2" x14ac:dyDescent="0.25">
      <c r="A16051" s="62">
        <v>71121012</v>
      </c>
      <c r="B16051" s="63" t="s">
        <v>16688</v>
      </c>
    </row>
    <row r="16052" spans="1:2" x14ac:dyDescent="0.25">
      <c r="A16052" s="62">
        <v>71121013</v>
      </c>
      <c r="B16052" s="63" t="s">
        <v>16689</v>
      </c>
    </row>
    <row r="16053" spans="1:2" x14ac:dyDescent="0.25">
      <c r="A16053" s="62">
        <v>71121014</v>
      </c>
      <c r="B16053" s="63" t="s">
        <v>16690</v>
      </c>
    </row>
    <row r="16054" spans="1:2" x14ac:dyDescent="0.25">
      <c r="A16054" s="62">
        <v>71121015</v>
      </c>
      <c r="B16054" s="63" t="s">
        <v>16691</v>
      </c>
    </row>
    <row r="16055" spans="1:2" x14ac:dyDescent="0.25">
      <c r="A16055" s="62">
        <v>71121016</v>
      </c>
      <c r="B16055" s="63" t="s">
        <v>16692</v>
      </c>
    </row>
    <row r="16056" spans="1:2" x14ac:dyDescent="0.25">
      <c r="A16056" s="62">
        <v>71121017</v>
      </c>
      <c r="B16056" s="63" t="s">
        <v>16693</v>
      </c>
    </row>
    <row r="16057" spans="1:2" x14ac:dyDescent="0.25">
      <c r="A16057" s="62">
        <v>71121018</v>
      </c>
      <c r="B16057" s="63" t="s">
        <v>16694</v>
      </c>
    </row>
    <row r="16058" spans="1:2" x14ac:dyDescent="0.25">
      <c r="A16058" s="62">
        <v>71121019</v>
      </c>
      <c r="B16058" s="63" t="s">
        <v>16695</v>
      </c>
    </row>
    <row r="16059" spans="1:2" x14ac:dyDescent="0.25">
      <c r="A16059" s="62">
        <v>71121020</v>
      </c>
      <c r="B16059" s="63" t="s">
        <v>16696</v>
      </c>
    </row>
    <row r="16060" spans="1:2" x14ac:dyDescent="0.25">
      <c r="A16060" s="62">
        <v>71121021</v>
      </c>
      <c r="B16060" s="63" t="s">
        <v>16697</v>
      </c>
    </row>
    <row r="16061" spans="1:2" x14ac:dyDescent="0.25">
      <c r="A16061" s="62">
        <v>71121022</v>
      </c>
      <c r="B16061" s="63" t="s">
        <v>16698</v>
      </c>
    </row>
    <row r="16062" spans="1:2" x14ac:dyDescent="0.25">
      <c r="A16062" s="62">
        <v>71121023</v>
      </c>
      <c r="B16062" s="63" t="s">
        <v>16699</v>
      </c>
    </row>
    <row r="16063" spans="1:2" x14ac:dyDescent="0.25">
      <c r="A16063" s="62">
        <v>71121101</v>
      </c>
      <c r="B16063" s="63" t="s">
        <v>16700</v>
      </c>
    </row>
    <row r="16064" spans="1:2" x14ac:dyDescent="0.25">
      <c r="A16064" s="62">
        <v>71121102</v>
      </c>
      <c r="B16064" s="63" t="s">
        <v>16701</v>
      </c>
    </row>
    <row r="16065" spans="1:2" x14ac:dyDescent="0.25">
      <c r="A16065" s="62">
        <v>71121103</v>
      </c>
      <c r="B16065" s="63" t="s">
        <v>16702</v>
      </c>
    </row>
    <row r="16066" spans="1:2" x14ac:dyDescent="0.25">
      <c r="A16066" s="62">
        <v>71121104</v>
      </c>
      <c r="B16066" s="63" t="s">
        <v>16703</v>
      </c>
    </row>
    <row r="16067" spans="1:2" x14ac:dyDescent="0.25">
      <c r="A16067" s="62">
        <v>71121105</v>
      </c>
      <c r="B16067" s="63" t="s">
        <v>16704</v>
      </c>
    </row>
    <row r="16068" spans="1:2" x14ac:dyDescent="0.25">
      <c r="A16068" s="62">
        <v>71121106</v>
      </c>
      <c r="B16068" s="63" t="s">
        <v>16705</v>
      </c>
    </row>
    <row r="16069" spans="1:2" x14ac:dyDescent="0.25">
      <c r="A16069" s="62">
        <v>71121107</v>
      </c>
      <c r="B16069" s="63" t="s">
        <v>16706</v>
      </c>
    </row>
    <row r="16070" spans="1:2" x14ac:dyDescent="0.25">
      <c r="A16070" s="62">
        <v>71121108</v>
      </c>
      <c r="B16070" s="63" t="s">
        <v>16707</v>
      </c>
    </row>
    <row r="16071" spans="1:2" x14ac:dyDescent="0.25">
      <c r="A16071" s="62">
        <v>71121109</v>
      </c>
      <c r="B16071" s="63" t="s">
        <v>16708</v>
      </c>
    </row>
    <row r="16072" spans="1:2" x14ac:dyDescent="0.25">
      <c r="A16072" s="62">
        <v>71121110</v>
      </c>
      <c r="B16072" s="63" t="s">
        <v>16709</v>
      </c>
    </row>
    <row r="16073" spans="1:2" x14ac:dyDescent="0.25">
      <c r="A16073" s="62">
        <v>71121111</v>
      </c>
      <c r="B16073" s="63" t="s">
        <v>16710</v>
      </c>
    </row>
    <row r="16074" spans="1:2" x14ac:dyDescent="0.25">
      <c r="A16074" s="62">
        <v>71121112</v>
      </c>
      <c r="B16074" s="63" t="s">
        <v>16711</v>
      </c>
    </row>
    <row r="16075" spans="1:2" x14ac:dyDescent="0.25">
      <c r="A16075" s="62">
        <v>71121113</v>
      </c>
      <c r="B16075" s="63" t="s">
        <v>16712</v>
      </c>
    </row>
    <row r="16076" spans="1:2" x14ac:dyDescent="0.25">
      <c r="A16076" s="62">
        <v>71121114</v>
      </c>
      <c r="B16076" s="63" t="s">
        <v>16713</v>
      </c>
    </row>
    <row r="16077" spans="1:2" x14ac:dyDescent="0.25">
      <c r="A16077" s="62">
        <v>71121115</v>
      </c>
      <c r="B16077" s="63" t="s">
        <v>16714</v>
      </c>
    </row>
    <row r="16078" spans="1:2" x14ac:dyDescent="0.25">
      <c r="A16078" s="62">
        <v>71121116</v>
      </c>
      <c r="B16078" s="63" t="s">
        <v>16715</v>
      </c>
    </row>
    <row r="16079" spans="1:2" x14ac:dyDescent="0.25">
      <c r="A16079" s="62">
        <v>71121117</v>
      </c>
      <c r="B16079" s="63" t="s">
        <v>16716</v>
      </c>
    </row>
    <row r="16080" spans="1:2" x14ac:dyDescent="0.25">
      <c r="A16080" s="62">
        <v>71121118</v>
      </c>
      <c r="B16080" s="63" t="s">
        <v>16717</v>
      </c>
    </row>
    <row r="16081" spans="1:2" x14ac:dyDescent="0.25">
      <c r="A16081" s="62">
        <v>71121119</v>
      </c>
      <c r="B16081" s="63" t="s">
        <v>16718</v>
      </c>
    </row>
    <row r="16082" spans="1:2" x14ac:dyDescent="0.25">
      <c r="A16082" s="62">
        <v>71121120</v>
      </c>
      <c r="B16082" s="63" t="s">
        <v>16719</v>
      </c>
    </row>
    <row r="16083" spans="1:2" x14ac:dyDescent="0.25">
      <c r="A16083" s="62">
        <v>71121121</v>
      </c>
      <c r="B16083" s="63" t="s">
        <v>16720</v>
      </c>
    </row>
    <row r="16084" spans="1:2" x14ac:dyDescent="0.25">
      <c r="A16084" s="62">
        <v>71121122</v>
      </c>
      <c r="B16084" s="63" t="s">
        <v>16721</v>
      </c>
    </row>
    <row r="16085" spans="1:2" x14ac:dyDescent="0.25">
      <c r="A16085" s="62">
        <v>71121123</v>
      </c>
      <c r="B16085" s="63" t="s">
        <v>16722</v>
      </c>
    </row>
    <row r="16086" spans="1:2" x14ac:dyDescent="0.25">
      <c r="A16086" s="62">
        <v>71121201</v>
      </c>
      <c r="B16086" s="63" t="s">
        <v>16723</v>
      </c>
    </row>
    <row r="16087" spans="1:2" x14ac:dyDescent="0.25">
      <c r="A16087" s="62">
        <v>71121202</v>
      </c>
      <c r="B16087" s="63" t="s">
        <v>16724</v>
      </c>
    </row>
    <row r="16088" spans="1:2" x14ac:dyDescent="0.25">
      <c r="A16088" s="62">
        <v>71121203</v>
      </c>
      <c r="B16088" s="63" t="s">
        <v>16725</v>
      </c>
    </row>
    <row r="16089" spans="1:2" x14ac:dyDescent="0.25">
      <c r="A16089" s="62">
        <v>71121204</v>
      </c>
      <c r="B16089" s="63" t="s">
        <v>16726</v>
      </c>
    </row>
    <row r="16090" spans="1:2" x14ac:dyDescent="0.25">
      <c r="A16090" s="62">
        <v>71121205</v>
      </c>
      <c r="B16090" s="63" t="s">
        <v>16727</v>
      </c>
    </row>
    <row r="16091" spans="1:2" x14ac:dyDescent="0.25">
      <c r="A16091" s="62">
        <v>71121206</v>
      </c>
      <c r="B16091" s="63" t="s">
        <v>16728</v>
      </c>
    </row>
    <row r="16092" spans="1:2" x14ac:dyDescent="0.25">
      <c r="A16092" s="62">
        <v>71121207</v>
      </c>
      <c r="B16092" s="63" t="s">
        <v>16729</v>
      </c>
    </row>
    <row r="16093" spans="1:2" x14ac:dyDescent="0.25">
      <c r="A16093" s="62">
        <v>71121208</v>
      </c>
      <c r="B16093" s="63" t="s">
        <v>16730</v>
      </c>
    </row>
    <row r="16094" spans="1:2" x14ac:dyDescent="0.25">
      <c r="A16094" s="62">
        <v>71121301</v>
      </c>
      <c r="B16094" s="63" t="s">
        <v>16731</v>
      </c>
    </row>
    <row r="16095" spans="1:2" x14ac:dyDescent="0.25">
      <c r="A16095" s="62">
        <v>71121302</v>
      </c>
      <c r="B16095" s="63" t="s">
        <v>16732</v>
      </c>
    </row>
    <row r="16096" spans="1:2" x14ac:dyDescent="0.25">
      <c r="A16096" s="62">
        <v>71121303</v>
      </c>
      <c r="B16096" s="63" t="s">
        <v>16733</v>
      </c>
    </row>
    <row r="16097" spans="1:2" x14ac:dyDescent="0.25">
      <c r="A16097" s="62">
        <v>71121304</v>
      </c>
      <c r="B16097" s="63" t="s">
        <v>16734</v>
      </c>
    </row>
    <row r="16098" spans="1:2" x14ac:dyDescent="0.25">
      <c r="A16098" s="62">
        <v>71121305</v>
      </c>
      <c r="B16098" s="63" t="s">
        <v>16735</v>
      </c>
    </row>
    <row r="16099" spans="1:2" x14ac:dyDescent="0.25">
      <c r="A16099" s="62">
        <v>71121401</v>
      </c>
      <c r="B16099" s="63" t="s">
        <v>16736</v>
      </c>
    </row>
    <row r="16100" spans="1:2" x14ac:dyDescent="0.25">
      <c r="A16100" s="62">
        <v>71121402</v>
      </c>
      <c r="B16100" s="63" t="s">
        <v>16737</v>
      </c>
    </row>
    <row r="16101" spans="1:2" x14ac:dyDescent="0.25">
      <c r="A16101" s="62">
        <v>71121403</v>
      </c>
      <c r="B16101" s="63" t="s">
        <v>16738</v>
      </c>
    </row>
    <row r="16102" spans="1:2" x14ac:dyDescent="0.25">
      <c r="A16102" s="62">
        <v>71121404</v>
      </c>
      <c r="B16102" s="63" t="s">
        <v>16739</v>
      </c>
    </row>
    <row r="16103" spans="1:2" x14ac:dyDescent="0.25">
      <c r="A16103" s="62">
        <v>71121405</v>
      </c>
      <c r="B16103" s="63" t="s">
        <v>16740</v>
      </c>
    </row>
    <row r="16104" spans="1:2" x14ac:dyDescent="0.25">
      <c r="A16104" s="62">
        <v>71121406</v>
      </c>
      <c r="B16104" s="63" t="s">
        <v>16741</v>
      </c>
    </row>
    <row r="16105" spans="1:2" x14ac:dyDescent="0.25">
      <c r="A16105" s="62">
        <v>71121407</v>
      </c>
      <c r="B16105" s="63" t="s">
        <v>16742</v>
      </c>
    </row>
    <row r="16106" spans="1:2" x14ac:dyDescent="0.25">
      <c r="A16106" s="62">
        <v>71121501</v>
      </c>
      <c r="B16106" s="63" t="s">
        <v>16743</v>
      </c>
    </row>
    <row r="16107" spans="1:2" x14ac:dyDescent="0.25">
      <c r="A16107" s="62">
        <v>71121502</v>
      </c>
      <c r="B16107" s="63" t="s">
        <v>16744</v>
      </c>
    </row>
    <row r="16108" spans="1:2" x14ac:dyDescent="0.25">
      <c r="A16108" s="62">
        <v>71121503</v>
      </c>
      <c r="B16108" s="63" t="s">
        <v>16745</v>
      </c>
    </row>
    <row r="16109" spans="1:2" x14ac:dyDescent="0.25">
      <c r="A16109" s="62">
        <v>71121504</v>
      </c>
      <c r="B16109" s="63" t="s">
        <v>16746</v>
      </c>
    </row>
    <row r="16110" spans="1:2" x14ac:dyDescent="0.25">
      <c r="A16110" s="62">
        <v>71121505</v>
      </c>
      <c r="B16110" s="63" t="s">
        <v>16747</v>
      </c>
    </row>
    <row r="16111" spans="1:2" x14ac:dyDescent="0.25">
      <c r="A16111" s="62">
        <v>71121506</v>
      </c>
      <c r="B16111" s="63" t="s">
        <v>16748</v>
      </c>
    </row>
    <row r="16112" spans="1:2" x14ac:dyDescent="0.25">
      <c r="A16112" s="62">
        <v>71121507</v>
      </c>
      <c r="B16112" s="63" t="s">
        <v>16749</v>
      </c>
    </row>
    <row r="16113" spans="1:2" x14ac:dyDescent="0.25">
      <c r="A16113" s="62">
        <v>71121508</v>
      </c>
      <c r="B16113" s="63" t="s">
        <v>16750</v>
      </c>
    </row>
    <row r="16114" spans="1:2" x14ac:dyDescent="0.25">
      <c r="A16114" s="62">
        <v>71121509</v>
      </c>
      <c r="B16114" s="63" t="s">
        <v>16751</v>
      </c>
    </row>
    <row r="16115" spans="1:2" x14ac:dyDescent="0.25">
      <c r="A16115" s="62">
        <v>71121510</v>
      </c>
      <c r="B16115" s="63" t="s">
        <v>16752</v>
      </c>
    </row>
    <row r="16116" spans="1:2" x14ac:dyDescent="0.25">
      <c r="A16116" s="62">
        <v>71121511</v>
      </c>
      <c r="B16116" s="63" t="s">
        <v>16753</v>
      </c>
    </row>
    <row r="16117" spans="1:2" x14ac:dyDescent="0.25">
      <c r="A16117" s="62">
        <v>71121512</v>
      </c>
      <c r="B16117" s="63" t="s">
        <v>16754</v>
      </c>
    </row>
    <row r="16118" spans="1:2" x14ac:dyDescent="0.25">
      <c r="A16118" s="62">
        <v>71121513</v>
      </c>
      <c r="B16118" s="63" t="s">
        <v>16755</v>
      </c>
    </row>
    <row r="16119" spans="1:2" x14ac:dyDescent="0.25">
      <c r="A16119" s="62">
        <v>71121514</v>
      </c>
      <c r="B16119" s="63" t="s">
        <v>16756</v>
      </c>
    </row>
    <row r="16120" spans="1:2" x14ac:dyDescent="0.25">
      <c r="A16120" s="62">
        <v>71121515</v>
      </c>
      <c r="B16120" s="63" t="s">
        <v>16757</v>
      </c>
    </row>
    <row r="16121" spans="1:2" x14ac:dyDescent="0.25">
      <c r="A16121" s="62">
        <v>71121516</v>
      </c>
      <c r="B16121" s="63" t="s">
        <v>16758</v>
      </c>
    </row>
    <row r="16122" spans="1:2" x14ac:dyDescent="0.25">
      <c r="A16122" s="62">
        <v>71121601</v>
      </c>
      <c r="B16122" s="63" t="s">
        <v>16759</v>
      </c>
    </row>
    <row r="16123" spans="1:2" x14ac:dyDescent="0.25">
      <c r="A16123" s="62">
        <v>71121602</v>
      </c>
      <c r="B16123" s="63" t="s">
        <v>16760</v>
      </c>
    </row>
    <row r="16124" spans="1:2" x14ac:dyDescent="0.25">
      <c r="A16124" s="62">
        <v>71121603</v>
      </c>
      <c r="B16124" s="63" t="s">
        <v>16761</v>
      </c>
    </row>
    <row r="16125" spans="1:2" x14ac:dyDescent="0.25">
      <c r="A16125" s="62">
        <v>71121604</v>
      </c>
      <c r="B16125" s="63" t="s">
        <v>16762</v>
      </c>
    </row>
    <row r="16126" spans="1:2" x14ac:dyDescent="0.25">
      <c r="A16126" s="62">
        <v>71121605</v>
      </c>
      <c r="B16126" s="63" t="s">
        <v>16763</v>
      </c>
    </row>
    <row r="16127" spans="1:2" x14ac:dyDescent="0.25">
      <c r="A16127" s="62">
        <v>71121606</v>
      </c>
      <c r="B16127" s="63" t="s">
        <v>16764</v>
      </c>
    </row>
    <row r="16128" spans="1:2" x14ac:dyDescent="0.25">
      <c r="A16128" s="62">
        <v>71121607</v>
      </c>
      <c r="B16128" s="63" t="s">
        <v>16765</v>
      </c>
    </row>
    <row r="16129" spans="1:2" x14ac:dyDescent="0.25">
      <c r="A16129" s="62">
        <v>71121608</v>
      </c>
      <c r="B16129" s="63" t="s">
        <v>16766</v>
      </c>
    </row>
    <row r="16130" spans="1:2" x14ac:dyDescent="0.25">
      <c r="A16130" s="62">
        <v>71121609</v>
      </c>
      <c r="B16130" s="63" t="s">
        <v>16767</v>
      </c>
    </row>
    <row r="16131" spans="1:2" x14ac:dyDescent="0.25">
      <c r="A16131" s="62">
        <v>71121610</v>
      </c>
      <c r="B16131" s="63" t="s">
        <v>16768</v>
      </c>
    </row>
    <row r="16132" spans="1:2" x14ac:dyDescent="0.25">
      <c r="A16132" s="62">
        <v>71121611</v>
      </c>
      <c r="B16132" s="63" t="s">
        <v>16769</v>
      </c>
    </row>
    <row r="16133" spans="1:2" x14ac:dyDescent="0.25">
      <c r="A16133" s="62">
        <v>71121612</v>
      </c>
      <c r="B16133" s="63" t="s">
        <v>16770</v>
      </c>
    </row>
    <row r="16134" spans="1:2" x14ac:dyDescent="0.25">
      <c r="A16134" s="62">
        <v>71121613</v>
      </c>
      <c r="B16134" s="63" t="s">
        <v>16771</v>
      </c>
    </row>
    <row r="16135" spans="1:2" x14ac:dyDescent="0.25">
      <c r="A16135" s="62">
        <v>71121614</v>
      </c>
      <c r="B16135" s="63" t="s">
        <v>16772</v>
      </c>
    </row>
    <row r="16136" spans="1:2" x14ac:dyDescent="0.25">
      <c r="A16136" s="62">
        <v>71121615</v>
      </c>
      <c r="B16136" s="63" t="s">
        <v>16773</v>
      </c>
    </row>
    <row r="16137" spans="1:2" x14ac:dyDescent="0.25">
      <c r="A16137" s="62">
        <v>71121616</v>
      </c>
      <c r="B16137" s="63" t="s">
        <v>16774</v>
      </c>
    </row>
    <row r="16138" spans="1:2" x14ac:dyDescent="0.25">
      <c r="A16138" s="62">
        <v>71121617</v>
      </c>
      <c r="B16138" s="63" t="s">
        <v>16775</v>
      </c>
    </row>
    <row r="16139" spans="1:2" x14ac:dyDescent="0.25">
      <c r="A16139" s="62">
        <v>71121618</v>
      </c>
      <c r="B16139" s="63" t="s">
        <v>16776</v>
      </c>
    </row>
    <row r="16140" spans="1:2" x14ac:dyDescent="0.25">
      <c r="A16140" s="62">
        <v>71121619</v>
      </c>
      <c r="B16140" s="63" t="s">
        <v>16777</v>
      </c>
    </row>
    <row r="16141" spans="1:2" x14ac:dyDescent="0.25">
      <c r="A16141" s="62">
        <v>71121620</v>
      </c>
      <c r="B16141" s="63" t="s">
        <v>16778</v>
      </c>
    </row>
    <row r="16142" spans="1:2" x14ac:dyDescent="0.25">
      <c r="A16142" s="62">
        <v>71121621</v>
      </c>
      <c r="B16142" s="63" t="s">
        <v>16779</v>
      </c>
    </row>
    <row r="16143" spans="1:2" x14ac:dyDescent="0.25">
      <c r="A16143" s="62">
        <v>71121622</v>
      </c>
      <c r="B16143" s="63" t="s">
        <v>16780</v>
      </c>
    </row>
    <row r="16144" spans="1:2" x14ac:dyDescent="0.25">
      <c r="A16144" s="62">
        <v>71121623</v>
      </c>
      <c r="B16144" s="63" t="s">
        <v>16781</v>
      </c>
    </row>
    <row r="16145" spans="1:2" x14ac:dyDescent="0.25">
      <c r="A16145" s="62">
        <v>71121624</v>
      </c>
      <c r="B16145" s="63" t="s">
        <v>16782</v>
      </c>
    </row>
    <row r="16146" spans="1:2" x14ac:dyDescent="0.25">
      <c r="A16146" s="62">
        <v>71121625</v>
      </c>
      <c r="B16146" s="63" t="s">
        <v>16783</v>
      </c>
    </row>
    <row r="16147" spans="1:2" x14ac:dyDescent="0.25">
      <c r="A16147" s="62">
        <v>71121626</v>
      </c>
      <c r="B16147" s="63" t="s">
        <v>16784</v>
      </c>
    </row>
    <row r="16148" spans="1:2" x14ac:dyDescent="0.25">
      <c r="A16148" s="62">
        <v>71121627</v>
      </c>
      <c r="B16148" s="63" t="s">
        <v>16785</v>
      </c>
    </row>
    <row r="16149" spans="1:2" x14ac:dyDescent="0.25">
      <c r="A16149" s="62">
        <v>71121628</v>
      </c>
      <c r="B16149" s="63" t="s">
        <v>16786</v>
      </c>
    </row>
    <row r="16150" spans="1:2" x14ac:dyDescent="0.25">
      <c r="A16150" s="62">
        <v>71121629</v>
      </c>
      <c r="B16150" s="63" t="s">
        <v>16787</v>
      </c>
    </row>
    <row r="16151" spans="1:2" x14ac:dyDescent="0.25">
      <c r="A16151" s="62">
        <v>71121630</v>
      </c>
      <c r="B16151" s="63" t="s">
        <v>16788</v>
      </c>
    </row>
    <row r="16152" spans="1:2" x14ac:dyDescent="0.25">
      <c r="A16152" s="62">
        <v>71121631</v>
      </c>
      <c r="B16152" s="63" t="s">
        <v>16789</v>
      </c>
    </row>
    <row r="16153" spans="1:2" x14ac:dyDescent="0.25">
      <c r="A16153" s="62">
        <v>71121632</v>
      </c>
      <c r="B16153" s="63" t="s">
        <v>16790</v>
      </c>
    </row>
    <row r="16154" spans="1:2" x14ac:dyDescent="0.25">
      <c r="A16154" s="62">
        <v>71121633</v>
      </c>
      <c r="B16154" s="63" t="s">
        <v>16791</v>
      </c>
    </row>
    <row r="16155" spans="1:2" x14ac:dyDescent="0.25">
      <c r="A16155" s="62">
        <v>71121634</v>
      </c>
      <c r="B16155" s="63" t="s">
        <v>16792</v>
      </c>
    </row>
    <row r="16156" spans="1:2" x14ac:dyDescent="0.25">
      <c r="A16156" s="62">
        <v>71121635</v>
      </c>
      <c r="B16156" s="63" t="s">
        <v>16793</v>
      </c>
    </row>
    <row r="16157" spans="1:2" x14ac:dyDescent="0.25">
      <c r="A16157" s="62">
        <v>71121636</v>
      </c>
      <c r="B16157" s="63" t="s">
        <v>16794</v>
      </c>
    </row>
    <row r="16158" spans="1:2" x14ac:dyDescent="0.25">
      <c r="A16158" s="62">
        <v>71121637</v>
      </c>
      <c r="B16158" s="63" t="s">
        <v>16795</v>
      </c>
    </row>
    <row r="16159" spans="1:2" x14ac:dyDescent="0.25">
      <c r="A16159" s="62">
        <v>71121701</v>
      </c>
      <c r="B16159" s="63" t="s">
        <v>16796</v>
      </c>
    </row>
    <row r="16160" spans="1:2" x14ac:dyDescent="0.25">
      <c r="A16160" s="62">
        <v>71121702</v>
      </c>
      <c r="B16160" s="63" t="s">
        <v>16797</v>
      </c>
    </row>
    <row r="16161" spans="1:2" x14ac:dyDescent="0.25">
      <c r="A16161" s="62">
        <v>71121703</v>
      </c>
      <c r="B16161" s="63" t="s">
        <v>16798</v>
      </c>
    </row>
    <row r="16162" spans="1:2" x14ac:dyDescent="0.25">
      <c r="A16162" s="62">
        <v>71121704</v>
      </c>
      <c r="B16162" s="63" t="s">
        <v>16799</v>
      </c>
    </row>
    <row r="16163" spans="1:2" x14ac:dyDescent="0.25">
      <c r="A16163" s="62">
        <v>71121705</v>
      </c>
      <c r="B16163" s="63" t="s">
        <v>16800</v>
      </c>
    </row>
    <row r="16164" spans="1:2" x14ac:dyDescent="0.25">
      <c r="A16164" s="62">
        <v>71121706</v>
      </c>
      <c r="B16164" s="63" t="s">
        <v>16801</v>
      </c>
    </row>
    <row r="16165" spans="1:2" x14ac:dyDescent="0.25">
      <c r="A16165" s="62">
        <v>71121801</v>
      </c>
      <c r="B16165" s="63" t="s">
        <v>16802</v>
      </c>
    </row>
    <row r="16166" spans="1:2" x14ac:dyDescent="0.25">
      <c r="A16166" s="62">
        <v>71121802</v>
      </c>
      <c r="B16166" s="63" t="s">
        <v>16803</v>
      </c>
    </row>
    <row r="16167" spans="1:2" x14ac:dyDescent="0.25">
      <c r="A16167" s="62">
        <v>71121803</v>
      </c>
      <c r="B16167" s="63" t="s">
        <v>16804</v>
      </c>
    </row>
    <row r="16168" spans="1:2" x14ac:dyDescent="0.25">
      <c r="A16168" s="62">
        <v>71121804</v>
      </c>
      <c r="B16168" s="63" t="s">
        <v>16805</v>
      </c>
    </row>
    <row r="16169" spans="1:2" x14ac:dyDescent="0.25">
      <c r="A16169" s="62">
        <v>71121901</v>
      </c>
      <c r="B16169" s="63" t="s">
        <v>16806</v>
      </c>
    </row>
    <row r="16170" spans="1:2" x14ac:dyDescent="0.25">
      <c r="A16170" s="62">
        <v>71121902</v>
      </c>
      <c r="B16170" s="63" t="s">
        <v>16807</v>
      </c>
    </row>
    <row r="16171" spans="1:2" x14ac:dyDescent="0.25">
      <c r="A16171" s="62">
        <v>71121903</v>
      </c>
      <c r="B16171" s="63" t="s">
        <v>16808</v>
      </c>
    </row>
    <row r="16172" spans="1:2" x14ac:dyDescent="0.25">
      <c r="A16172" s="62">
        <v>71122001</v>
      </c>
      <c r="B16172" s="63" t="s">
        <v>16809</v>
      </c>
    </row>
    <row r="16173" spans="1:2" x14ac:dyDescent="0.25">
      <c r="A16173" s="62">
        <v>71122002</v>
      </c>
      <c r="B16173" s="63" t="s">
        <v>16810</v>
      </c>
    </row>
    <row r="16174" spans="1:2" x14ac:dyDescent="0.25">
      <c r="A16174" s="62">
        <v>71122003</v>
      </c>
      <c r="B16174" s="63" t="s">
        <v>16811</v>
      </c>
    </row>
    <row r="16175" spans="1:2" x14ac:dyDescent="0.25">
      <c r="A16175" s="62">
        <v>71122004</v>
      </c>
      <c r="B16175" s="63" t="s">
        <v>16812</v>
      </c>
    </row>
    <row r="16176" spans="1:2" x14ac:dyDescent="0.25">
      <c r="A16176" s="62">
        <v>71122005</v>
      </c>
      <c r="B16176" s="63" t="s">
        <v>16813</v>
      </c>
    </row>
    <row r="16177" spans="1:2" x14ac:dyDescent="0.25">
      <c r="A16177" s="62">
        <v>71122006</v>
      </c>
      <c r="B16177" s="63" t="s">
        <v>16814</v>
      </c>
    </row>
    <row r="16178" spans="1:2" x14ac:dyDescent="0.25">
      <c r="A16178" s="62">
        <v>71122101</v>
      </c>
      <c r="B16178" s="63" t="s">
        <v>16815</v>
      </c>
    </row>
    <row r="16179" spans="1:2" x14ac:dyDescent="0.25">
      <c r="A16179" s="62">
        <v>71122102</v>
      </c>
      <c r="B16179" s="63" t="s">
        <v>16816</v>
      </c>
    </row>
    <row r="16180" spans="1:2" x14ac:dyDescent="0.25">
      <c r="A16180" s="62">
        <v>71122103</v>
      </c>
      <c r="B16180" s="63" t="s">
        <v>16817</v>
      </c>
    </row>
    <row r="16181" spans="1:2" x14ac:dyDescent="0.25">
      <c r="A16181" s="62">
        <v>71122104</v>
      </c>
      <c r="B16181" s="63" t="s">
        <v>16818</v>
      </c>
    </row>
    <row r="16182" spans="1:2" x14ac:dyDescent="0.25">
      <c r="A16182" s="62">
        <v>71122105</v>
      </c>
      <c r="B16182" s="63" t="s">
        <v>16819</v>
      </c>
    </row>
    <row r="16183" spans="1:2" x14ac:dyDescent="0.25">
      <c r="A16183" s="62">
        <v>71122107</v>
      </c>
      <c r="B16183" s="63" t="s">
        <v>16820</v>
      </c>
    </row>
    <row r="16184" spans="1:2" x14ac:dyDescent="0.25">
      <c r="A16184" s="62">
        <v>71122108</v>
      </c>
      <c r="B16184" s="63" t="s">
        <v>16821</v>
      </c>
    </row>
    <row r="16185" spans="1:2" x14ac:dyDescent="0.25">
      <c r="A16185" s="62">
        <v>71122109</v>
      </c>
      <c r="B16185" s="63" t="s">
        <v>16822</v>
      </c>
    </row>
    <row r="16186" spans="1:2" x14ac:dyDescent="0.25">
      <c r="A16186" s="62">
        <v>71122110</v>
      </c>
      <c r="B16186" s="63" t="s">
        <v>16823</v>
      </c>
    </row>
    <row r="16187" spans="1:2" x14ac:dyDescent="0.25">
      <c r="A16187" s="62">
        <v>71122111</v>
      </c>
      <c r="B16187" s="63" t="s">
        <v>16824</v>
      </c>
    </row>
    <row r="16188" spans="1:2" x14ac:dyDescent="0.25">
      <c r="A16188" s="62">
        <v>71122112</v>
      </c>
      <c r="B16188" s="63" t="s">
        <v>16825</v>
      </c>
    </row>
    <row r="16189" spans="1:2" x14ac:dyDescent="0.25">
      <c r="A16189" s="62">
        <v>71122113</v>
      </c>
      <c r="B16189" s="63" t="s">
        <v>16826</v>
      </c>
    </row>
    <row r="16190" spans="1:2" x14ac:dyDescent="0.25">
      <c r="A16190" s="62">
        <v>71122114</v>
      </c>
      <c r="B16190" s="63" t="s">
        <v>16827</v>
      </c>
    </row>
    <row r="16191" spans="1:2" x14ac:dyDescent="0.25">
      <c r="A16191" s="62">
        <v>71122115</v>
      </c>
      <c r="B16191" s="63" t="s">
        <v>16828</v>
      </c>
    </row>
    <row r="16192" spans="1:2" x14ac:dyDescent="0.25">
      <c r="A16192" s="62">
        <v>71122116</v>
      </c>
      <c r="B16192" s="63" t="s">
        <v>16829</v>
      </c>
    </row>
    <row r="16193" spans="1:2" x14ac:dyDescent="0.25">
      <c r="A16193" s="62">
        <v>71122201</v>
      </c>
      <c r="B16193" s="63" t="s">
        <v>16830</v>
      </c>
    </row>
    <row r="16194" spans="1:2" x14ac:dyDescent="0.25">
      <c r="A16194" s="62">
        <v>71122202</v>
      </c>
      <c r="B16194" s="63" t="s">
        <v>16831</v>
      </c>
    </row>
    <row r="16195" spans="1:2" x14ac:dyDescent="0.25">
      <c r="A16195" s="62">
        <v>71122203</v>
      </c>
      <c r="B16195" s="63" t="s">
        <v>16832</v>
      </c>
    </row>
    <row r="16196" spans="1:2" x14ac:dyDescent="0.25">
      <c r="A16196" s="62">
        <v>71122301</v>
      </c>
      <c r="B16196" s="63" t="s">
        <v>16833</v>
      </c>
    </row>
    <row r="16197" spans="1:2" x14ac:dyDescent="0.25">
      <c r="A16197" s="62">
        <v>71122302</v>
      </c>
      <c r="B16197" s="63" t="s">
        <v>16834</v>
      </c>
    </row>
    <row r="16198" spans="1:2" x14ac:dyDescent="0.25">
      <c r="A16198" s="62">
        <v>71122303</v>
      </c>
      <c r="B16198" s="63" t="s">
        <v>16835</v>
      </c>
    </row>
    <row r="16199" spans="1:2" x14ac:dyDescent="0.25">
      <c r="A16199" s="62">
        <v>71122304</v>
      </c>
      <c r="B16199" s="63" t="s">
        <v>16836</v>
      </c>
    </row>
    <row r="16200" spans="1:2" x14ac:dyDescent="0.25">
      <c r="A16200" s="62">
        <v>71122305</v>
      </c>
      <c r="B16200" s="63" t="s">
        <v>16837</v>
      </c>
    </row>
    <row r="16201" spans="1:2" x14ac:dyDescent="0.25">
      <c r="A16201" s="62">
        <v>71122306</v>
      </c>
      <c r="B16201" s="63" t="s">
        <v>16838</v>
      </c>
    </row>
    <row r="16202" spans="1:2" x14ac:dyDescent="0.25">
      <c r="A16202" s="62">
        <v>71122401</v>
      </c>
      <c r="B16202" s="63" t="s">
        <v>16839</v>
      </c>
    </row>
    <row r="16203" spans="1:2" x14ac:dyDescent="0.25">
      <c r="A16203" s="62">
        <v>71122402</v>
      </c>
      <c r="B16203" s="63" t="s">
        <v>16840</v>
      </c>
    </row>
    <row r="16204" spans="1:2" x14ac:dyDescent="0.25">
      <c r="A16204" s="62">
        <v>71122403</v>
      </c>
      <c r="B16204" s="63" t="s">
        <v>16841</v>
      </c>
    </row>
    <row r="16205" spans="1:2" x14ac:dyDescent="0.25">
      <c r="A16205" s="62">
        <v>71122404</v>
      </c>
      <c r="B16205" s="63" t="s">
        <v>16842</v>
      </c>
    </row>
    <row r="16206" spans="1:2" x14ac:dyDescent="0.25">
      <c r="A16206" s="62">
        <v>71122405</v>
      </c>
      <c r="B16206" s="63" t="s">
        <v>16843</v>
      </c>
    </row>
    <row r="16207" spans="1:2" x14ac:dyDescent="0.25">
      <c r="A16207" s="62">
        <v>71122406</v>
      </c>
      <c r="B16207" s="63" t="s">
        <v>16844</v>
      </c>
    </row>
    <row r="16208" spans="1:2" x14ac:dyDescent="0.25">
      <c r="A16208" s="62">
        <v>71122407</v>
      </c>
      <c r="B16208" s="63" t="s">
        <v>16845</v>
      </c>
    </row>
    <row r="16209" spans="1:2" x14ac:dyDescent="0.25">
      <c r="A16209" s="62">
        <v>71122408</v>
      </c>
      <c r="B16209" s="63" t="s">
        <v>16846</v>
      </c>
    </row>
    <row r="16210" spans="1:2" x14ac:dyDescent="0.25">
      <c r="A16210" s="62">
        <v>71122409</v>
      </c>
      <c r="B16210" s="63" t="s">
        <v>16847</v>
      </c>
    </row>
    <row r="16211" spans="1:2" x14ac:dyDescent="0.25">
      <c r="A16211" s="62">
        <v>71122410</v>
      </c>
      <c r="B16211" s="63" t="s">
        <v>16848</v>
      </c>
    </row>
    <row r="16212" spans="1:2" x14ac:dyDescent="0.25">
      <c r="A16212" s="62">
        <v>71122501</v>
      </c>
      <c r="B16212" s="63" t="s">
        <v>16849</v>
      </c>
    </row>
    <row r="16213" spans="1:2" x14ac:dyDescent="0.25">
      <c r="A16213" s="62">
        <v>71122502</v>
      </c>
      <c r="B16213" s="63" t="s">
        <v>16850</v>
      </c>
    </row>
    <row r="16214" spans="1:2" x14ac:dyDescent="0.25">
      <c r="A16214" s="62">
        <v>71122503</v>
      </c>
      <c r="B16214" s="63" t="s">
        <v>16851</v>
      </c>
    </row>
    <row r="16215" spans="1:2" x14ac:dyDescent="0.25">
      <c r="A16215" s="62">
        <v>71122504</v>
      </c>
      <c r="B16215" s="63" t="s">
        <v>16852</v>
      </c>
    </row>
    <row r="16216" spans="1:2" x14ac:dyDescent="0.25">
      <c r="A16216" s="62">
        <v>71122505</v>
      </c>
      <c r="B16216" s="63" t="s">
        <v>16853</v>
      </c>
    </row>
    <row r="16217" spans="1:2" x14ac:dyDescent="0.25">
      <c r="A16217" s="62">
        <v>71122601</v>
      </c>
      <c r="B16217" s="63" t="s">
        <v>16854</v>
      </c>
    </row>
    <row r="16218" spans="1:2" x14ac:dyDescent="0.25">
      <c r="A16218" s="62">
        <v>71122602</v>
      </c>
      <c r="B16218" s="63" t="s">
        <v>16855</v>
      </c>
    </row>
    <row r="16219" spans="1:2" x14ac:dyDescent="0.25">
      <c r="A16219" s="62">
        <v>71122603</v>
      </c>
      <c r="B16219" s="63" t="s">
        <v>16856</v>
      </c>
    </row>
    <row r="16220" spans="1:2" x14ac:dyDescent="0.25">
      <c r="A16220" s="62">
        <v>71122604</v>
      </c>
      <c r="B16220" s="63" t="s">
        <v>16857</v>
      </c>
    </row>
    <row r="16221" spans="1:2" x14ac:dyDescent="0.25">
      <c r="A16221" s="62">
        <v>71122605</v>
      </c>
      <c r="B16221" s="63" t="s">
        <v>16858</v>
      </c>
    </row>
    <row r="16222" spans="1:2" x14ac:dyDescent="0.25">
      <c r="A16222" s="62">
        <v>71122606</v>
      </c>
      <c r="B16222" s="63" t="s">
        <v>16859</v>
      </c>
    </row>
    <row r="16223" spans="1:2" x14ac:dyDescent="0.25">
      <c r="A16223" s="62">
        <v>71122607</v>
      </c>
      <c r="B16223" s="63" t="s">
        <v>16860</v>
      </c>
    </row>
    <row r="16224" spans="1:2" x14ac:dyDescent="0.25">
      <c r="A16224" s="62">
        <v>71122608</v>
      </c>
      <c r="B16224" s="63" t="s">
        <v>16861</v>
      </c>
    </row>
    <row r="16225" spans="1:2" x14ac:dyDescent="0.25">
      <c r="A16225" s="62">
        <v>71122609</v>
      </c>
      <c r="B16225" s="63" t="s">
        <v>16862</v>
      </c>
    </row>
    <row r="16226" spans="1:2" x14ac:dyDescent="0.25">
      <c r="A16226" s="62">
        <v>71122610</v>
      </c>
      <c r="B16226" s="63" t="s">
        <v>16863</v>
      </c>
    </row>
    <row r="16227" spans="1:2" x14ac:dyDescent="0.25">
      <c r="A16227" s="62">
        <v>71122611</v>
      </c>
      <c r="B16227" s="63" t="s">
        <v>16864</v>
      </c>
    </row>
    <row r="16228" spans="1:2" x14ac:dyDescent="0.25">
      <c r="A16228" s="62">
        <v>71122612</v>
      </c>
      <c r="B16228" s="63" t="s">
        <v>16865</v>
      </c>
    </row>
    <row r="16229" spans="1:2" x14ac:dyDescent="0.25">
      <c r="A16229" s="62">
        <v>71122613</v>
      </c>
      <c r="B16229" s="63" t="s">
        <v>16866</v>
      </c>
    </row>
    <row r="16230" spans="1:2" x14ac:dyDescent="0.25">
      <c r="A16230" s="62">
        <v>71122701</v>
      </c>
      <c r="B16230" s="63" t="s">
        <v>16867</v>
      </c>
    </row>
    <row r="16231" spans="1:2" x14ac:dyDescent="0.25">
      <c r="A16231" s="62">
        <v>71122702</v>
      </c>
      <c r="B16231" s="63" t="s">
        <v>16868</v>
      </c>
    </row>
    <row r="16232" spans="1:2" x14ac:dyDescent="0.25">
      <c r="A16232" s="62">
        <v>71122703</v>
      </c>
      <c r="B16232" s="63" t="s">
        <v>16869</v>
      </c>
    </row>
    <row r="16233" spans="1:2" x14ac:dyDescent="0.25">
      <c r="A16233" s="62">
        <v>71122704</v>
      </c>
      <c r="B16233" s="63" t="s">
        <v>16870</v>
      </c>
    </row>
    <row r="16234" spans="1:2" x14ac:dyDescent="0.25">
      <c r="A16234" s="62">
        <v>71122705</v>
      </c>
      <c r="B16234" s="63" t="s">
        <v>16871</v>
      </c>
    </row>
    <row r="16235" spans="1:2" x14ac:dyDescent="0.25">
      <c r="A16235" s="62">
        <v>71122706</v>
      </c>
      <c r="B16235" s="63" t="s">
        <v>16872</v>
      </c>
    </row>
    <row r="16236" spans="1:2" x14ac:dyDescent="0.25">
      <c r="A16236" s="62">
        <v>71122707</v>
      </c>
      <c r="B16236" s="63" t="s">
        <v>16873</v>
      </c>
    </row>
    <row r="16237" spans="1:2" x14ac:dyDescent="0.25">
      <c r="A16237" s="62">
        <v>71122708</v>
      </c>
      <c r="B16237" s="63" t="s">
        <v>16874</v>
      </c>
    </row>
    <row r="16238" spans="1:2" x14ac:dyDescent="0.25">
      <c r="A16238" s="62">
        <v>71122801</v>
      </c>
      <c r="B16238" s="63" t="s">
        <v>16875</v>
      </c>
    </row>
    <row r="16239" spans="1:2" x14ac:dyDescent="0.25">
      <c r="A16239" s="62">
        <v>71122802</v>
      </c>
      <c r="B16239" s="63" t="s">
        <v>16876</v>
      </c>
    </row>
    <row r="16240" spans="1:2" x14ac:dyDescent="0.25">
      <c r="A16240" s="62">
        <v>71122803</v>
      </c>
      <c r="B16240" s="63" t="s">
        <v>16877</v>
      </c>
    </row>
    <row r="16241" spans="1:2" x14ac:dyDescent="0.25">
      <c r="A16241" s="62">
        <v>71122804</v>
      </c>
      <c r="B16241" s="63" t="s">
        <v>16878</v>
      </c>
    </row>
    <row r="16242" spans="1:2" x14ac:dyDescent="0.25">
      <c r="A16242" s="62">
        <v>71122805</v>
      </c>
      <c r="B16242" s="63" t="s">
        <v>16879</v>
      </c>
    </row>
    <row r="16243" spans="1:2" x14ac:dyDescent="0.25">
      <c r="A16243" s="62">
        <v>71122806</v>
      </c>
      <c r="B16243" s="63" t="s">
        <v>16880</v>
      </c>
    </row>
    <row r="16244" spans="1:2" x14ac:dyDescent="0.25">
      <c r="A16244" s="62">
        <v>71122807</v>
      </c>
      <c r="B16244" s="63" t="s">
        <v>16881</v>
      </c>
    </row>
    <row r="16245" spans="1:2" x14ac:dyDescent="0.25">
      <c r="A16245" s="62">
        <v>71122808</v>
      </c>
      <c r="B16245" s="63" t="s">
        <v>16882</v>
      </c>
    </row>
    <row r="16246" spans="1:2" x14ac:dyDescent="0.25">
      <c r="A16246" s="62">
        <v>71122810</v>
      </c>
      <c r="B16246" s="63" t="s">
        <v>16883</v>
      </c>
    </row>
    <row r="16247" spans="1:2" x14ac:dyDescent="0.25">
      <c r="A16247" s="62">
        <v>71122901</v>
      </c>
      <c r="B16247" s="63" t="s">
        <v>16884</v>
      </c>
    </row>
    <row r="16248" spans="1:2" x14ac:dyDescent="0.25">
      <c r="A16248" s="62">
        <v>71122902</v>
      </c>
      <c r="B16248" s="63" t="s">
        <v>16885</v>
      </c>
    </row>
    <row r="16249" spans="1:2" x14ac:dyDescent="0.25">
      <c r="A16249" s="62">
        <v>71122903</v>
      </c>
      <c r="B16249" s="63" t="s">
        <v>16886</v>
      </c>
    </row>
    <row r="16250" spans="1:2" x14ac:dyDescent="0.25">
      <c r="A16250" s="62">
        <v>71122904</v>
      </c>
      <c r="B16250" s="63" t="s">
        <v>16887</v>
      </c>
    </row>
    <row r="16251" spans="1:2" x14ac:dyDescent="0.25">
      <c r="A16251" s="62">
        <v>71122905</v>
      </c>
      <c r="B16251" s="63" t="s">
        <v>16888</v>
      </c>
    </row>
    <row r="16252" spans="1:2" x14ac:dyDescent="0.25">
      <c r="A16252" s="62">
        <v>71131001</v>
      </c>
      <c r="B16252" s="63" t="s">
        <v>16889</v>
      </c>
    </row>
    <row r="16253" spans="1:2" x14ac:dyDescent="0.25">
      <c r="A16253" s="62">
        <v>71131002</v>
      </c>
      <c r="B16253" s="63" t="s">
        <v>16890</v>
      </c>
    </row>
    <row r="16254" spans="1:2" x14ac:dyDescent="0.25">
      <c r="A16254" s="62">
        <v>71131003</v>
      </c>
      <c r="B16254" s="63" t="s">
        <v>16891</v>
      </c>
    </row>
    <row r="16255" spans="1:2" x14ac:dyDescent="0.25">
      <c r="A16255" s="62">
        <v>71131004</v>
      </c>
      <c r="B16255" s="63" t="s">
        <v>16892</v>
      </c>
    </row>
    <row r="16256" spans="1:2" x14ac:dyDescent="0.25">
      <c r="A16256" s="62">
        <v>71131005</v>
      </c>
      <c r="B16256" s="63" t="s">
        <v>16893</v>
      </c>
    </row>
    <row r="16257" spans="1:2" x14ac:dyDescent="0.25">
      <c r="A16257" s="62">
        <v>71131006</v>
      </c>
      <c r="B16257" s="63" t="s">
        <v>16894</v>
      </c>
    </row>
    <row r="16258" spans="1:2" x14ac:dyDescent="0.25">
      <c r="A16258" s="62">
        <v>71131007</v>
      </c>
      <c r="B16258" s="63" t="s">
        <v>16895</v>
      </c>
    </row>
    <row r="16259" spans="1:2" x14ac:dyDescent="0.25">
      <c r="A16259" s="62">
        <v>71131008</v>
      </c>
      <c r="B16259" s="63" t="s">
        <v>16896</v>
      </c>
    </row>
    <row r="16260" spans="1:2" x14ac:dyDescent="0.25">
      <c r="A16260" s="62">
        <v>71131009</v>
      </c>
      <c r="B16260" s="63" t="s">
        <v>16897</v>
      </c>
    </row>
    <row r="16261" spans="1:2" x14ac:dyDescent="0.25">
      <c r="A16261" s="62">
        <v>71131010</v>
      </c>
      <c r="B16261" s="63" t="s">
        <v>16898</v>
      </c>
    </row>
    <row r="16262" spans="1:2" x14ac:dyDescent="0.25">
      <c r="A16262" s="62">
        <v>71131011</v>
      </c>
      <c r="B16262" s="63" t="s">
        <v>16899</v>
      </c>
    </row>
    <row r="16263" spans="1:2" x14ac:dyDescent="0.25">
      <c r="A16263" s="62">
        <v>71131012</v>
      </c>
      <c r="B16263" s="63" t="s">
        <v>16900</v>
      </c>
    </row>
    <row r="16264" spans="1:2" x14ac:dyDescent="0.25">
      <c r="A16264" s="62">
        <v>71131013</v>
      </c>
      <c r="B16264" s="63" t="s">
        <v>16901</v>
      </c>
    </row>
    <row r="16265" spans="1:2" x14ac:dyDescent="0.25">
      <c r="A16265" s="62">
        <v>71131014</v>
      </c>
      <c r="B16265" s="63" t="s">
        <v>16902</v>
      </c>
    </row>
    <row r="16266" spans="1:2" x14ac:dyDescent="0.25">
      <c r="A16266" s="62">
        <v>71131015</v>
      </c>
      <c r="B16266" s="63" t="s">
        <v>16903</v>
      </c>
    </row>
    <row r="16267" spans="1:2" x14ac:dyDescent="0.25">
      <c r="A16267" s="62">
        <v>71131016</v>
      </c>
      <c r="B16267" s="63" t="s">
        <v>16904</v>
      </c>
    </row>
    <row r="16268" spans="1:2" x14ac:dyDescent="0.25">
      <c r="A16268" s="62">
        <v>71131017</v>
      </c>
      <c r="B16268" s="63" t="s">
        <v>16905</v>
      </c>
    </row>
    <row r="16269" spans="1:2" x14ac:dyDescent="0.25">
      <c r="A16269" s="62">
        <v>71131101</v>
      </c>
      <c r="B16269" s="63" t="s">
        <v>16906</v>
      </c>
    </row>
    <row r="16270" spans="1:2" x14ac:dyDescent="0.25">
      <c r="A16270" s="62">
        <v>71131102</v>
      </c>
      <c r="B16270" s="63" t="s">
        <v>16907</v>
      </c>
    </row>
    <row r="16271" spans="1:2" x14ac:dyDescent="0.25">
      <c r="A16271" s="62">
        <v>71131103</v>
      </c>
      <c r="B16271" s="63" t="s">
        <v>16908</v>
      </c>
    </row>
    <row r="16272" spans="1:2" x14ac:dyDescent="0.25">
      <c r="A16272" s="62">
        <v>71131104</v>
      </c>
      <c r="B16272" s="63" t="s">
        <v>16909</v>
      </c>
    </row>
    <row r="16273" spans="1:2" x14ac:dyDescent="0.25">
      <c r="A16273" s="62">
        <v>71131105</v>
      </c>
      <c r="B16273" s="63" t="s">
        <v>16910</v>
      </c>
    </row>
    <row r="16274" spans="1:2" x14ac:dyDescent="0.25">
      <c r="A16274" s="62">
        <v>71131106</v>
      </c>
      <c r="B16274" s="63" t="s">
        <v>16911</v>
      </c>
    </row>
    <row r="16275" spans="1:2" x14ac:dyDescent="0.25">
      <c r="A16275" s="62">
        <v>71131107</v>
      </c>
      <c r="B16275" s="63" t="s">
        <v>16912</v>
      </c>
    </row>
    <row r="16276" spans="1:2" x14ac:dyDescent="0.25">
      <c r="A16276" s="62">
        <v>71131108</v>
      </c>
      <c r="B16276" s="63" t="s">
        <v>16913</v>
      </c>
    </row>
    <row r="16277" spans="1:2" x14ac:dyDescent="0.25">
      <c r="A16277" s="62">
        <v>71131109</v>
      </c>
      <c r="B16277" s="63" t="s">
        <v>16914</v>
      </c>
    </row>
    <row r="16278" spans="1:2" x14ac:dyDescent="0.25">
      <c r="A16278" s="62">
        <v>71131110</v>
      </c>
      <c r="B16278" s="63" t="s">
        <v>16915</v>
      </c>
    </row>
    <row r="16279" spans="1:2" x14ac:dyDescent="0.25">
      <c r="A16279" s="62">
        <v>71131111</v>
      </c>
      <c r="B16279" s="63" t="s">
        <v>16916</v>
      </c>
    </row>
    <row r="16280" spans="1:2" x14ac:dyDescent="0.25">
      <c r="A16280" s="62">
        <v>71131201</v>
      </c>
      <c r="B16280" s="63" t="s">
        <v>16917</v>
      </c>
    </row>
    <row r="16281" spans="1:2" x14ac:dyDescent="0.25">
      <c r="A16281" s="62">
        <v>71131301</v>
      </c>
      <c r="B16281" s="63" t="s">
        <v>16918</v>
      </c>
    </row>
    <row r="16282" spans="1:2" x14ac:dyDescent="0.25">
      <c r="A16282" s="62">
        <v>71131302</v>
      </c>
      <c r="B16282" s="63" t="s">
        <v>16919</v>
      </c>
    </row>
    <row r="16283" spans="1:2" x14ac:dyDescent="0.25">
      <c r="A16283" s="62">
        <v>71131303</v>
      </c>
      <c r="B16283" s="63" t="s">
        <v>16920</v>
      </c>
    </row>
    <row r="16284" spans="1:2" x14ac:dyDescent="0.25">
      <c r="A16284" s="62">
        <v>71131304</v>
      </c>
      <c r="B16284" s="63" t="s">
        <v>16921</v>
      </c>
    </row>
    <row r="16285" spans="1:2" x14ac:dyDescent="0.25">
      <c r="A16285" s="62">
        <v>71131305</v>
      </c>
      <c r="B16285" s="63" t="s">
        <v>16922</v>
      </c>
    </row>
    <row r="16286" spans="1:2" x14ac:dyDescent="0.25">
      <c r="A16286" s="62">
        <v>71131306</v>
      </c>
      <c r="B16286" s="63" t="s">
        <v>16923</v>
      </c>
    </row>
    <row r="16287" spans="1:2" x14ac:dyDescent="0.25">
      <c r="A16287" s="62">
        <v>71131307</v>
      </c>
      <c r="B16287" s="63" t="s">
        <v>16924</v>
      </c>
    </row>
    <row r="16288" spans="1:2" x14ac:dyDescent="0.25">
      <c r="A16288" s="62">
        <v>71131308</v>
      </c>
      <c r="B16288" s="63" t="s">
        <v>16925</v>
      </c>
    </row>
    <row r="16289" spans="1:2" x14ac:dyDescent="0.25">
      <c r="A16289" s="62">
        <v>71131309</v>
      </c>
      <c r="B16289" s="63" t="s">
        <v>16926</v>
      </c>
    </row>
    <row r="16290" spans="1:2" x14ac:dyDescent="0.25">
      <c r="A16290" s="62">
        <v>71131310</v>
      </c>
      <c r="B16290" s="63" t="s">
        <v>16927</v>
      </c>
    </row>
    <row r="16291" spans="1:2" x14ac:dyDescent="0.25">
      <c r="A16291" s="62">
        <v>71131401</v>
      </c>
      <c r="B16291" s="63" t="s">
        <v>16928</v>
      </c>
    </row>
    <row r="16292" spans="1:2" x14ac:dyDescent="0.25">
      <c r="A16292" s="62">
        <v>71131402</v>
      </c>
      <c r="B16292" s="63" t="s">
        <v>16929</v>
      </c>
    </row>
    <row r="16293" spans="1:2" x14ac:dyDescent="0.25">
      <c r="A16293" s="62">
        <v>71131403</v>
      </c>
      <c r="B16293" s="63" t="s">
        <v>16930</v>
      </c>
    </row>
    <row r="16294" spans="1:2" x14ac:dyDescent="0.25">
      <c r="A16294" s="62">
        <v>71141001</v>
      </c>
      <c r="B16294" s="63" t="s">
        <v>16931</v>
      </c>
    </row>
    <row r="16295" spans="1:2" x14ac:dyDescent="0.25">
      <c r="A16295" s="62">
        <v>71141002</v>
      </c>
      <c r="B16295" s="63" t="s">
        <v>16932</v>
      </c>
    </row>
    <row r="16296" spans="1:2" x14ac:dyDescent="0.25">
      <c r="A16296" s="62">
        <v>71141003</v>
      </c>
      <c r="B16296" s="63" t="s">
        <v>16933</v>
      </c>
    </row>
    <row r="16297" spans="1:2" x14ac:dyDescent="0.25">
      <c r="A16297" s="62">
        <v>71141004</v>
      </c>
      <c r="B16297" s="63" t="s">
        <v>16934</v>
      </c>
    </row>
    <row r="16298" spans="1:2" x14ac:dyDescent="0.25">
      <c r="A16298" s="62">
        <v>71141101</v>
      </c>
      <c r="B16298" s="63" t="s">
        <v>16935</v>
      </c>
    </row>
    <row r="16299" spans="1:2" x14ac:dyDescent="0.25">
      <c r="A16299" s="62">
        <v>71141102</v>
      </c>
      <c r="B16299" s="63" t="s">
        <v>16936</v>
      </c>
    </row>
    <row r="16300" spans="1:2" x14ac:dyDescent="0.25">
      <c r="A16300" s="62">
        <v>71141201</v>
      </c>
      <c r="B16300" s="63" t="s">
        <v>16937</v>
      </c>
    </row>
    <row r="16301" spans="1:2" x14ac:dyDescent="0.25">
      <c r="A16301" s="62">
        <v>71141202</v>
      </c>
      <c r="B16301" s="63" t="s">
        <v>16938</v>
      </c>
    </row>
    <row r="16302" spans="1:2" x14ac:dyDescent="0.25">
      <c r="A16302" s="62">
        <v>71151001</v>
      </c>
      <c r="B16302" s="63" t="s">
        <v>16939</v>
      </c>
    </row>
    <row r="16303" spans="1:2" x14ac:dyDescent="0.25">
      <c r="A16303" s="62">
        <v>71151002</v>
      </c>
      <c r="B16303" s="63" t="s">
        <v>16940</v>
      </c>
    </row>
    <row r="16304" spans="1:2" x14ac:dyDescent="0.25">
      <c r="A16304" s="62">
        <v>71151003</v>
      </c>
      <c r="B16304" s="63" t="s">
        <v>16941</v>
      </c>
    </row>
    <row r="16305" spans="1:2" x14ac:dyDescent="0.25">
      <c r="A16305" s="62">
        <v>71151004</v>
      </c>
      <c r="B16305" s="63" t="s">
        <v>16942</v>
      </c>
    </row>
    <row r="16306" spans="1:2" x14ac:dyDescent="0.25">
      <c r="A16306" s="62">
        <v>71151005</v>
      </c>
      <c r="B16306" s="63" t="s">
        <v>16943</v>
      </c>
    </row>
    <row r="16307" spans="1:2" x14ac:dyDescent="0.25">
      <c r="A16307" s="62">
        <v>71151101</v>
      </c>
      <c r="B16307" s="63" t="s">
        <v>16944</v>
      </c>
    </row>
    <row r="16308" spans="1:2" x14ac:dyDescent="0.25">
      <c r="A16308" s="62">
        <v>71151102</v>
      </c>
      <c r="B16308" s="63" t="s">
        <v>16945</v>
      </c>
    </row>
    <row r="16309" spans="1:2" x14ac:dyDescent="0.25">
      <c r="A16309" s="62">
        <v>71151103</v>
      </c>
      <c r="B16309" s="63" t="s">
        <v>16946</v>
      </c>
    </row>
    <row r="16310" spans="1:2" x14ac:dyDescent="0.25">
      <c r="A16310" s="62">
        <v>71151104</v>
      </c>
      <c r="B16310" s="63" t="s">
        <v>16947</v>
      </c>
    </row>
    <row r="16311" spans="1:2" x14ac:dyDescent="0.25">
      <c r="A16311" s="62">
        <v>71151105</v>
      </c>
      <c r="B16311" s="63" t="s">
        <v>16948</v>
      </c>
    </row>
    <row r="16312" spans="1:2" x14ac:dyDescent="0.25">
      <c r="A16312" s="62">
        <v>71151201</v>
      </c>
      <c r="B16312" s="63" t="s">
        <v>16949</v>
      </c>
    </row>
    <row r="16313" spans="1:2" x14ac:dyDescent="0.25">
      <c r="A16313" s="62">
        <v>71151202</v>
      </c>
      <c r="B16313" s="63" t="s">
        <v>16950</v>
      </c>
    </row>
    <row r="16314" spans="1:2" x14ac:dyDescent="0.25">
      <c r="A16314" s="62">
        <v>71151203</v>
      </c>
      <c r="B16314" s="63" t="s">
        <v>16951</v>
      </c>
    </row>
    <row r="16315" spans="1:2" x14ac:dyDescent="0.25">
      <c r="A16315" s="62">
        <v>71151301</v>
      </c>
      <c r="B16315" s="63" t="s">
        <v>16952</v>
      </c>
    </row>
    <row r="16316" spans="1:2" x14ac:dyDescent="0.25">
      <c r="A16316" s="62">
        <v>71151302</v>
      </c>
      <c r="B16316" s="63" t="s">
        <v>16953</v>
      </c>
    </row>
    <row r="16317" spans="1:2" x14ac:dyDescent="0.25">
      <c r="A16317" s="62">
        <v>71151303</v>
      </c>
      <c r="B16317" s="63" t="s">
        <v>16954</v>
      </c>
    </row>
    <row r="16318" spans="1:2" x14ac:dyDescent="0.25">
      <c r="A16318" s="62">
        <v>71151304</v>
      </c>
      <c r="B16318" s="63" t="s">
        <v>16955</v>
      </c>
    </row>
    <row r="16319" spans="1:2" x14ac:dyDescent="0.25">
      <c r="A16319" s="62">
        <v>71151305</v>
      </c>
      <c r="B16319" s="63" t="s">
        <v>16956</v>
      </c>
    </row>
    <row r="16320" spans="1:2" x14ac:dyDescent="0.25">
      <c r="A16320" s="62">
        <v>71151306</v>
      </c>
      <c r="B16320" s="63" t="s">
        <v>16957</v>
      </c>
    </row>
    <row r="16321" spans="1:2" x14ac:dyDescent="0.25">
      <c r="A16321" s="62">
        <v>71151307</v>
      </c>
      <c r="B16321" s="63" t="s">
        <v>16958</v>
      </c>
    </row>
    <row r="16322" spans="1:2" x14ac:dyDescent="0.25">
      <c r="A16322" s="62">
        <v>71151308</v>
      </c>
      <c r="B16322" s="63" t="s">
        <v>16959</v>
      </c>
    </row>
    <row r="16323" spans="1:2" x14ac:dyDescent="0.25">
      <c r="A16323" s="62">
        <v>71151309</v>
      </c>
      <c r="B16323" s="63" t="s">
        <v>16960</v>
      </c>
    </row>
    <row r="16324" spans="1:2" x14ac:dyDescent="0.25">
      <c r="A16324" s="62">
        <v>71151310</v>
      </c>
      <c r="B16324" s="63" t="s">
        <v>16961</v>
      </c>
    </row>
    <row r="16325" spans="1:2" x14ac:dyDescent="0.25">
      <c r="A16325" s="62">
        <v>71151311</v>
      </c>
      <c r="B16325" s="63" t="s">
        <v>16962</v>
      </c>
    </row>
    <row r="16326" spans="1:2" x14ac:dyDescent="0.25">
      <c r="A16326" s="62">
        <v>71151312</v>
      </c>
      <c r="B16326" s="63" t="s">
        <v>16963</v>
      </c>
    </row>
    <row r="16327" spans="1:2" x14ac:dyDescent="0.25">
      <c r="A16327" s="62">
        <v>71151313</v>
      </c>
      <c r="B16327" s="63" t="s">
        <v>16964</v>
      </c>
    </row>
    <row r="16328" spans="1:2" x14ac:dyDescent="0.25">
      <c r="A16328" s="62">
        <v>71151314</v>
      </c>
      <c r="B16328" s="63" t="s">
        <v>16965</v>
      </c>
    </row>
    <row r="16329" spans="1:2" x14ac:dyDescent="0.25">
      <c r="A16329" s="62">
        <v>71151315</v>
      </c>
      <c r="B16329" s="63" t="s">
        <v>16966</v>
      </c>
    </row>
    <row r="16330" spans="1:2" x14ac:dyDescent="0.25">
      <c r="A16330" s="62">
        <v>71151401</v>
      </c>
      <c r="B16330" s="63" t="s">
        <v>16967</v>
      </c>
    </row>
    <row r="16331" spans="1:2" x14ac:dyDescent="0.25">
      <c r="A16331" s="62">
        <v>71151402</v>
      </c>
      <c r="B16331" s="63" t="s">
        <v>16968</v>
      </c>
    </row>
    <row r="16332" spans="1:2" x14ac:dyDescent="0.25">
      <c r="A16332" s="62">
        <v>71151403</v>
      </c>
      <c r="B16332" s="63" t="s">
        <v>16969</v>
      </c>
    </row>
    <row r="16333" spans="1:2" x14ac:dyDescent="0.25">
      <c r="A16333" s="62">
        <v>71151404</v>
      </c>
      <c r="B16333" s="63" t="s">
        <v>16970</v>
      </c>
    </row>
    <row r="16334" spans="1:2" x14ac:dyDescent="0.25">
      <c r="A16334" s="62">
        <v>71151405</v>
      </c>
      <c r="B16334" s="63" t="s">
        <v>16971</v>
      </c>
    </row>
    <row r="16335" spans="1:2" x14ac:dyDescent="0.25">
      <c r="A16335" s="62">
        <v>71151406</v>
      </c>
      <c r="B16335" s="63" t="s">
        <v>16972</v>
      </c>
    </row>
    <row r="16336" spans="1:2" x14ac:dyDescent="0.25">
      <c r="A16336" s="62">
        <v>71161001</v>
      </c>
      <c r="B16336" s="63" t="s">
        <v>16973</v>
      </c>
    </row>
    <row r="16337" spans="1:2" x14ac:dyDescent="0.25">
      <c r="A16337" s="62">
        <v>71161002</v>
      </c>
      <c r="B16337" s="63" t="s">
        <v>16974</v>
      </c>
    </row>
    <row r="16338" spans="1:2" x14ac:dyDescent="0.25">
      <c r="A16338" s="62">
        <v>71161003</v>
      </c>
      <c r="B16338" s="63" t="s">
        <v>16975</v>
      </c>
    </row>
    <row r="16339" spans="1:2" x14ac:dyDescent="0.25">
      <c r="A16339" s="62">
        <v>71161004</v>
      </c>
      <c r="B16339" s="63" t="s">
        <v>16976</v>
      </c>
    </row>
    <row r="16340" spans="1:2" x14ac:dyDescent="0.25">
      <c r="A16340" s="62">
        <v>71161005</v>
      </c>
      <c r="B16340" s="63" t="s">
        <v>16977</v>
      </c>
    </row>
    <row r="16341" spans="1:2" x14ac:dyDescent="0.25">
      <c r="A16341" s="62">
        <v>71161006</v>
      </c>
      <c r="B16341" s="63" t="s">
        <v>16978</v>
      </c>
    </row>
    <row r="16342" spans="1:2" x14ac:dyDescent="0.25">
      <c r="A16342" s="62">
        <v>71161101</v>
      </c>
      <c r="B16342" s="63" t="s">
        <v>16979</v>
      </c>
    </row>
    <row r="16343" spans="1:2" x14ac:dyDescent="0.25">
      <c r="A16343" s="62">
        <v>71161102</v>
      </c>
      <c r="B16343" s="63" t="s">
        <v>16980</v>
      </c>
    </row>
    <row r="16344" spans="1:2" x14ac:dyDescent="0.25">
      <c r="A16344" s="62">
        <v>71161103</v>
      </c>
      <c r="B16344" s="63" t="s">
        <v>16981</v>
      </c>
    </row>
    <row r="16345" spans="1:2" x14ac:dyDescent="0.25">
      <c r="A16345" s="62">
        <v>71161104</v>
      </c>
      <c r="B16345" s="63" t="s">
        <v>16982</v>
      </c>
    </row>
    <row r="16346" spans="1:2" x14ac:dyDescent="0.25">
      <c r="A16346" s="62">
        <v>71161105</v>
      </c>
      <c r="B16346" s="63" t="s">
        <v>16983</v>
      </c>
    </row>
    <row r="16347" spans="1:2" x14ac:dyDescent="0.25">
      <c r="A16347" s="62">
        <v>71161106</v>
      </c>
      <c r="B16347" s="63" t="s">
        <v>16984</v>
      </c>
    </row>
    <row r="16348" spans="1:2" x14ac:dyDescent="0.25">
      <c r="A16348" s="62">
        <v>71161107</v>
      </c>
      <c r="B16348" s="63" t="s">
        <v>16985</v>
      </c>
    </row>
    <row r="16349" spans="1:2" x14ac:dyDescent="0.25">
      <c r="A16349" s="62">
        <v>71161109</v>
      </c>
      <c r="B16349" s="63" t="s">
        <v>16986</v>
      </c>
    </row>
    <row r="16350" spans="1:2" x14ac:dyDescent="0.25">
      <c r="A16350" s="62">
        <v>71161110</v>
      </c>
      <c r="B16350" s="63" t="s">
        <v>16987</v>
      </c>
    </row>
    <row r="16351" spans="1:2" x14ac:dyDescent="0.25">
      <c r="A16351" s="62">
        <v>71161111</v>
      </c>
      <c r="B16351" s="63" t="s">
        <v>16988</v>
      </c>
    </row>
    <row r="16352" spans="1:2" x14ac:dyDescent="0.25">
      <c r="A16352" s="62">
        <v>71161201</v>
      </c>
      <c r="B16352" s="63" t="s">
        <v>16989</v>
      </c>
    </row>
    <row r="16353" spans="1:2" x14ac:dyDescent="0.25">
      <c r="A16353" s="62">
        <v>71161202</v>
      </c>
      <c r="B16353" s="63" t="s">
        <v>16990</v>
      </c>
    </row>
    <row r="16354" spans="1:2" x14ac:dyDescent="0.25">
      <c r="A16354" s="62">
        <v>71161203</v>
      </c>
      <c r="B16354" s="63" t="s">
        <v>16991</v>
      </c>
    </row>
    <row r="16355" spans="1:2" x14ac:dyDescent="0.25">
      <c r="A16355" s="62">
        <v>71161204</v>
      </c>
      <c r="B16355" s="63" t="s">
        <v>16992</v>
      </c>
    </row>
    <row r="16356" spans="1:2" x14ac:dyDescent="0.25">
      <c r="A16356" s="62">
        <v>71161205</v>
      </c>
      <c r="B16356" s="63" t="s">
        <v>16993</v>
      </c>
    </row>
    <row r="16357" spans="1:2" x14ac:dyDescent="0.25">
      <c r="A16357" s="62">
        <v>71161206</v>
      </c>
      <c r="B16357" s="63" t="s">
        <v>16994</v>
      </c>
    </row>
    <row r="16358" spans="1:2" x14ac:dyDescent="0.25">
      <c r="A16358" s="62">
        <v>71161301</v>
      </c>
      <c r="B16358" s="63" t="s">
        <v>16995</v>
      </c>
    </row>
    <row r="16359" spans="1:2" x14ac:dyDescent="0.25">
      <c r="A16359" s="62">
        <v>71161302</v>
      </c>
      <c r="B16359" s="63" t="s">
        <v>16996</v>
      </c>
    </row>
    <row r="16360" spans="1:2" x14ac:dyDescent="0.25">
      <c r="A16360" s="62">
        <v>71161303</v>
      </c>
      <c r="B16360" s="63" t="s">
        <v>16997</v>
      </c>
    </row>
    <row r="16361" spans="1:2" x14ac:dyDescent="0.25">
      <c r="A16361" s="62">
        <v>71161304</v>
      </c>
      <c r="B16361" s="63" t="s">
        <v>16998</v>
      </c>
    </row>
    <row r="16362" spans="1:2" x14ac:dyDescent="0.25">
      <c r="A16362" s="62">
        <v>71161305</v>
      </c>
      <c r="B16362" s="63" t="s">
        <v>16999</v>
      </c>
    </row>
    <row r="16363" spans="1:2" x14ac:dyDescent="0.25">
      <c r="A16363" s="62">
        <v>71161306</v>
      </c>
      <c r="B16363" s="63" t="s">
        <v>17000</v>
      </c>
    </row>
    <row r="16364" spans="1:2" x14ac:dyDescent="0.25">
      <c r="A16364" s="62">
        <v>71161307</v>
      </c>
      <c r="B16364" s="63" t="s">
        <v>17001</v>
      </c>
    </row>
    <row r="16365" spans="1:2" x14ac:dyDescent="0.25">
      <c r="A16365" s="62">
        <v>71161308</v>
      </c>
      <c r="B16365" s="63" t="s">
        <v>17002</v>
      </c>
    </row>
    <row r="16366" spans="1:2" x14ac:dyDescent="0.25">
      <c r="A16366" s="62">
        <v>71161402</v>
      </c>
      <c r="B16366" s="63" t="s">
        <v>17003</v>
      </c>
    </row>
    <row r="16367" spans="1:2" x14ac:dyDescent="0.25">
      <c r="A16367" s="62">
        <v>71161403</v>
      </c>
      <c r="B16367" s="63" t="s">
        <v>17004</v>
      </c>
    </row>
    <row r="16368" spans="1:2" x14ac:dyDescent="0.25">
      <c r="A16368" s="62">
        <v>71161405</v>
      </c>
      <c r="B16368" s="63" t="s">
        <v>17005</v>
      </c>
    </row>
    <row r="16369" spans="1:2" x14ac:dyDescent="0.25">
      <c r="A16369" s="62">
        <v>71161407</v>
      </c>
      <c r="B16369" s="63" t="s">
        <v>17006</v>
      </c>
    </row>
    <row r="16370" spans="1:2" x14ac:dyDescent="0.25">
      <c r="A16370" s="62">
        <v>71161408</v>
      </c>
      <c r="B16370" s="63" t="s">
        <v>17007</v>
      </c>
    </row>
    <row r="16371" spans="1:2" x14ac:dyDescent="0.25">
      <c r="A16371" s="62">
        <v>71161409</v>
      </c>
      <c r="B16371" s="63" t="s">
        <v>17008</v>
      </c>
    </row>
    <row r="16372" spans="1:2" x14ac:dyDescent="0.25">
      <c r="A16372" s="62">
        <v>71161410</v>
      </c>
      <c r="B16372" s="63" t="s">
        <v>17009</v>
      </c>
    </row>
    <row r="16373" spans="1:2" x14ac:dyDescent="0.25">
      <c r="A16373" s="62">
        <v>71161411</v>
      </c>
      <c r="B16373" s="63" t="s">
        <v>17010</v>
      </c>
    </row>
    <row r="16374" spans="1:2" x14ac:dyDescent="0.25">
      <c r="A16374" s="62">
        <v>71161412</v>
      </c>
      <c r="B16374" s="63" t="s">
        <v>17011</v>
      </c>
    </row>
    <row r="16375" spans="1:2" x14ac:dyDescent="0.25">
      <c r="A16375" s="62">
        <v>71161413</v>
      </c>
      <c r="B16375" s="63" t="s">
        <v>17012</v>
      </c>
    </row>
    <row r="16376" spans="1:2" x14ac:dyDescent="0.25">
      <c r="A16376" s="62">
        <v>71161501</v>
      </c>
      <c r="B16376" s="63" t="s">
        <v>17013</v>
      </c>
    </row>
    <row r="16377" spans="1:2" x14ac:dyDescent="0.25">
      <c r="A16377" s="62">
        <v>71161502</v>
      </c>
      <c r="B16377" s="63" t="s">
        <v>17014</v>
      </c>
    </row>
    <row r="16378" spans="1:2" x14ac:dyDescent="0.25">
      <c r="A16378" s="62">
        <v>71161503</v>
      </c>
      <c r="B16378" s="63" t="s">
        <v>17015</v>
      </c>
    </row>
    <row r="16379" spans="1:2" x14ac:dyDescent="0.25">
      <c r="A16379" s="62">
        <v>71161504</v>
      </c>
      <c r="B16379" s="63" t="s">
        <v>17016</v>
      </c>
    </row>
    <row r="16380" spans="1:2" x14ac:dyDescent="0.25">
      <c r="A16380" s="62">
        <v>71161505</v>
      </c>
      <c r="B16380" s="63" t="s">
        <v>17017</v>
      </c>
    </row>
    <row r="16381" spans="1:2" x14ac:dyDescent="0.25">
      <c r="A16381" s="62">
        <v>72101501</v>
      </c>
      <c r="B16381" s="63" t="s">
        <v>17018</v>
      </c>
    </row>
    <row r="16382" spans="1:2" x14ac:dyDescent="0.25">
      <c r="A16382" s="62">
        <v>72101502</v>
      </c>
      <c r="B16382" s="63" t="s">
        <v>17019</v>
      </c>
    </row>
    <row r="16383" spans="1:2" x14ac:dyDescent="0.25">
      <c r="A16383" s="62">
        <v>72101503</v>
      </c>
      <c r="B16383" s="63" t="s">
        <v>17020</v>
      </c>
    </row>
    <row r="16384" spans="1:2" x14ac:dyDescent="0.25">
      <c r="A16384" s="62">
        <v>72101504</v>
      </c>
      <c r="B16384" s="63" t="s">
        <v>17021</v>
      </c>
    </row>
    <row r="16385" spans="1:2" x14ac:dyDescent="0.25">
      <c r="A16385" s="62">
        <v>72101505</v>
      </c>
      <c r="B16385" s="63" t="s">
        <v>17022</v>
      </c>
    </row>
    <row r="16386" spans="1:2" x14ac:dyDescent="0.25">
      <c r="A16386" s="62">
        <v>72101506</v>
      </c>
      <c r="B16386" s="63" t="s">
        <v>17023</v>
      </c>
    </row>
    <row r="16387" spans="1:2" x14ac:dyDescent="0.25">
      <c r="A16387" s="62">
        <v>72101601</v>
      </c>
      <c r="B16387" s="63" t="s">
        <v>17024</v>
      </c>
    </row>
    <row r="16388" spans="1:2" x14ac:dyDescent="0.25">
      <c r="A16388" s="62">
        <v>72101602</v>
      </c>
      <c r="B16388" s="63" t="s">
        <v>17025</v>
      </c>
    </row>
    <row r="16389" spans="1:2" x14ac:dyDescent="0.25">
      <c r="A16389" s="62">
        <v>72101603</v>
      </c>
      <c r="B16389" s="63" t="s">
        <v>17026</v>
      </c>
    </row>
    <row r="16390" spans="1:2" x14ac:dyDescent="0.25">
      <c r="A16390" s="62">
        <v>72101604</v>
      </c>
      <c r="B16390" s="63" t="s">
        <v>17027</v>
      </c>
    </row>
    <row r="16391" spans="1:2" x14ac:dyDescent="0.25">
      <c r="A16391" s="62">
        <v>72101605</v>
      </c>
      <c r="B16391" s="63" t="s">
        <v>17028</v>
      </c>
    </row>
    <row r="16392" spans="1:2" x14ac:dyDescent="0.25">
      <c r="A16392" s="62">
        <v>72101606</v>
      </c>
      <c r="B16392" s="63" t="s">
        <v>17029</v>
      </c>
    </row>
    <row r="16393" spans="1:2" x14ac:dyDescent="0.25">
      <c r="A16393" s="62">
        <v>72101607</v>
      </c>
      <c r="B16393" s="63" t="s">
        <v>17030</v>
      </c>
    </row>
    <row r="16394" spans="1:2" x14ac:dyDescent="0.25">
      <c r="A16394" s="62">
        <v>72101701</v>
      </c>
      <c r="B16394" s="63" t="s">
        <v>17031</v>
      </c>
    </row>
    <row r="16395" spans="1:2" x14ac:dyDescent="0.25">
      <c r="A16395" s="62">
        <v>72101702</v>
      </c>
      <c r="B16395" s="63" t="s">
        <v>17032</v>
      </c>
    </row>
    <row r="16396" spans="1:2" x14ac:dyDescent="0.25">
      <c r="A16396" s="62">
        <v>72101703</v>
      </c>
      <c r="B16396" s="63" t="s">
        <v>17033</v>
      </c>
    </row>
    <row r="16397" spans="1:2" x14ac:dyDescent="0.25">
      <c r="A16397" s="62">
        <v>72101704</v>
      </c>
      <c r="B16397" s="63" t="s">
        <v>17034</v>
      </c>
    </row>
    <row r="16398" spans="1:2" x14ac:dyDescent="0.25">
      <c r="A16398" s="62">
        <v>72101801</v>
      </c>
      <c r="B16398" s="63" t="s">
        <v>17035</v>
      </c>
    </row>
    <row r="16399" spans="1:2" x14ac:dyDescent="0.25">
      <c r="A16399" s="62">
        <v>72101802</v>
      </c>
      <c r="B16399" s="63" t="s">
        <v>17036</v>
      </c>
    </row>
    <row r="16400" spans="1:2" x14ac:dyDescent="0.25">
      <c r="A16400" s="62">
        <v>72101803</v>
      </c>
      <c r="B16400" s="63" t="s">
        <v>17037</v>
      </c>
    </row>
    <row r="16401" spans="1:2" x14ac:dyDescent="0.25">
      <c r="A16401" s="62">
        <v>72101901</v>
      </c>
      <c r="B16401" s="63" t="s">
        <v>17038</v>
      </c>
    </row>
    <row r="16402" spans="1:2" x14ac:dyDescent="0.25">
      <c r="A16402" s="62">
        <v>72101902</v>
      </c>
      <c r="B16402" s="63" t="s">
        <v>17039</v>
      </c>
    </row>
    <row r="16403" spans="1:2" x14ac:dyDescent="0.25">
      <c r="A16403" s="62">
        <v>72101903</v>
      </c>
      <c r="B16403" s="63" t="s">
        <v>17040</v>
      </c>
    </row>
    <row r="16404" spans="1:2" x14ac:dyDescent="0.25">
      <c r="A16404" s="62">
        <v>72102001</v>
      </c>
      <c r="B16404" s="63" t="s">
        <v>17041</v>
      </c>
    </row>
    <row r="16405" spans="1:2" x14ac:dyDescent="0.25">
      <c r="A16405" s="62">
        <v>72102002</v>
      </c>
      <c r="B16405" s="63" t="s">
        <v>17042</v>
      </c>
    </row>
    <row r="16406" spans="1:2" x14ac:dyDescent="0.25">
      <c r="A16406" s="62">
        <v>72102003</v>
      </c>
      <c r="B16406" s="63" t="s">
        <v>17043</v>
      </c>
    </row>
    <row r="16407" spans="1:2" x14ac:dyDescent="0.25">
      <c r="A16407" s="62">
        <v>72102004</v>
      </c>
      <c r="B16407" s="63" t="s">
        <v>17044</v>
      </c>
    </row>
    <row r="16408" spans="1:2" x14ac:dyDescent="0.25">
      <c r="A16408" s="62">
        <v>72102005</v>
      </c>
      <c r="B16408" s="63" t="s">
        <v>17045</v>
      </c>
    </row>
    <row r="16409" spans="1:2" x14ac:dyDescent="0.25">
      <c r="A16409" s="62">
        <v>72102006</v>
      </c>
      <c r="B16409" s="63" t="s">
        <v>17046</v>
      </c>
    </row>
    <row r="16410" spans="1:2" x14ac:dyDescent="0.25">
      <c r="A16410" s="62">
        <v>72102101</v>
      </c>
      <c r="B16410" s="63" t="s">
        <v>17047</v>
      </c>
    </row>
    <row r="16411" spans="1:2" x14ac:dyDescent="0.25">
      <c r="A16411" s="62">
        <v>72102102</v>
      </c>
      <c r="B16411" s="63" t="s">
        <v>17048</v>
      </c>
    </row>
    <row r="16412" spans="1:2" x14ac:dyDescent="0.25">
      <c r="A16412" s="62">
        <v>72102103</v>
      </c>
      <c r="B16412" s="63" t="s">
        <v>650</v>
      </c>
    </row>
    <row r="16413" spans="1:2" x14ac:dyDescent="0.25">
      <c r="A16413" s="62">
        <v>72102104</v>
      </c>
      <c r="B16413" s="63" t="s">
        <v>17049</v>
      </c>
    </row>
    <row r="16414" spans="1:2" x14ac:dyDescent="0.25">
      <c r="A16414" s="62">
        <v>72102105</v>
      </c>
      <c r="B16414" s="63" t="s">
        <v>17050</v>
      </c>
    </row>
    <row r="16415" spans="1:2" x14ac:dyDescent="0.25">
      <c r="A16415" s="62">
        <v>72102106</v>
      </c>
      <c r="B16415" s="63" t="s">
        <v>17051</v>
      </c>
    </row>
    <row r="16416" spans="1:2" x14ac:dyDescent="0.25">
      <c r="A16416" s="62">
        <v>72102201</v>
      </c>
      <c r="B16416" s="63" t="s">
        <v>17052</v>
      </c>
    </row>
    <row r="16417" spans="1:2" x14ac:dyDescent="0.25">
      <c r="A16417" s="62">
        <v>72102202</v>
      </c>
      <c r="B16417" s="63" t="s">
        <v>17053</v>
      </c>
    </row>
    <row r="16418" spans="1:2" x14ac:dyDescent="0.25">
      <c r="A16418" s="62">
        <v>72102203</v>
      </c>
      <c r="B16418" s="63" t="s">
        <v>17054</v>
      </c>
    </row>
    <row r="16419" spans="1:2" x14ac:dyDescent="0.25">
      <c r="A16419" s="62">
        <v>72102204</v>
      </c>
      <c r="B16419" s="63" t="s">
        <v>17055</v>
      </c>
    </row>
    <row r="16420" spans="1:2" x14ac:dyDescent="0.25">
      <c r="A16420" s="62">
        <v>72102205</v>
      </c>
      <c r="B16420" s="63" t="s">
        <v>637</v>
      </c>
    </row>
    <row r="16421" spans="1:2" x14ac:dyDescent="0.25">
      <c r="A16421" s="62">
        <v>72102206</v>
      </c>
      <c r="B16421" s="63" t="s">
        <v>17056</v>
      </c>
    </row>
    <row r="16422" spans="1:2" x14ac:dyDescent="0.25">
      <c r="A16422" s="62">
        <v>72102207</v>
      </c>
      <c r="B16422" s="63" t="s">
        <v>17057</v>
      </c>
    </row>
    <row r="16423" spans="1:2" x14ac:dyDescent="0.25">
      <c r="A16423" s="62">
        <v>72102208</v>
      </c>
      <c r="B16423" s="63" t="s">
        <v>17058</v>
      </c>
    </row>
    <row r="16424" spans="1:2" x14ac:dyDescent="0.25">
      <c r="A16424" s="62">
        <v>72102209</v>
      </c>
      <c r="B16424" s="63" t="s">
        <v>17059</v>
      </c>
    </row>
    <row r="16425" spans="1:2" x14ac:dyDescent="0.25">
      <c r="A16425" s="62">
        <v>72102301</v>
      </c>
      <c r="B16425" s="63" t="s">
        <v>17060</v>
      </c>
    </row>
    <row r="16426" spans="1:2" x14ac:dyDescent="0.25">
      <c r="A16426" s="62">
        <v>72102302</v>
      </c>
      <c r="B16426" s="63" t="s">
        <v>17061</v>
      </c>
    </row>
    <row r="16427" spans="1:2" x14ac:dyDescent="0.25">
      <c r="A16427" s="62">
        <v>72102303</v>
      </c>
      <c r="B16427" s="63" t="s">
        <v>17062</v>
      </c>
    </row>
    <row r="16428" spans="1:2" x14ac:dyDescent="0.25">
      <c r="A16428" s="62">
        <v>72102304</v>
      </c>
      <c r="B16428" s="63" t="s">
        <v>17063</v>
      </c>
    </row>
    <row r="16429" spans="1:2" x14ac:dyDescent="0.25">
      <c r="A16429" s="62">
        <v>72102305</v>
      </c>
      <c r="B16429" s="63" t="s">
        <v>17064</v>
      </c>
    </row>
    <row r="16430" spans="1:2" x14ac:dyDescent="0.25">
      <c r="A16430" s="62">
        <v>72102401</v>
      </c>
      <c r="B16430" s="63" t="s">
        <v>17065</v>
      </c>
    </row>
    <row r="16431" spans="1:2" x14ac:dyDescent="0.25">
      <c r="A16431" s="62">
        <v>72102402</v>
      </c>
      <c r="B16431" s="63" t="s">
        <v>618</v>
      </c>
    </row>
    <row r="16432" spans="1:2" x14ac:dyDescent="0.25">
      <c r="A16432" s="62">
        <v>72102403</v>
      </c>
      <c r="B16432" s="63" t="s">
        <v>17066</v>
      </c>
    </row>
    <row r="16433" spans="1:2" x14ac:dyDescent="0.25">
      <c r="A16433" s="62">
        <v>72102404</v>
      </c>
      <c r="B16433" s="63" t="s">
        <v>17067</v>
      </c>
    </row>
    <row r="16434" spans="1:2" x14ac:dyDescent="0.25">
      <c r="A16434" s="62">
        <v>72102405</v>
      </c>
      <c r="B16434" s="63" t="s">
        <v>17068</v>
      </c>
    </row>
    <row r="16435" spans="1:2" x14ac:dyDescent="0.25">
      <c r="A16435" s="62">
        <v>72102501</v>
      </c>
      <c r="B16435" s="63" t="s">
        <v>17069</v>
      </c>
    </row>
    <row r="16436" spans="1:2" x14ac:dyDescent="0.25">
      <c r="A16436" s="62">
        <v>72102502</v>
      </c>
      <c r="B16436" s="63" t="s">
        <v>17070</v>
      </c>
    </row>
    <row r="16437" spans="1:2" x14ac:dyDescent="0.25">
      <c r="A16437" s="62">
        <v>72102503</v>
      </c>
      <c r="B16437" s="63" t="s">
        <v>17071</v>
      </c>
    </row>
    <row r="16438" spans="1:2" x14ac:dyDescent="0.25">
      <c r="A16438" s="62">
        <v>72102504</v>
      </c>
      <c r="B16438" s="63" t="s">
        <v>17072</v>
      </c>
    </row>
    <row r="16439" spans="1:2" x14ac:dyDescent="0.25">
      <c r="A16439" s="62">
        <v>72102505</v>
      </c>
      <c r="B16439" s="63" t="s">
        <v>17073</v>
      </c>
    </row>
    <row r="16440" spans="1:2" x14ac:dyDescent="0.25">
      <c r="A16440" s="62">
        <v>72102506</v>
      </c>
      <c r="B16440" s="63" t="s">
        <v>17074</v>
      </c>
    </row>
    <row r="16441" spans="1:2" x14ac:dyDescent="0.25">
      <c r="A16441" s="62">
        <v>72102507</v>
      </c>
      <c r="B16441" s="63" t="s">
        <v>17075</v>
      </c>
    </row>
    <row r="16442" spans="1:2" x14ac:dyDescent="0.25">
      <c r="A16442" s="62">
        <v>72102508</v>
      </c>
      <c r="B16442" s="63" t="s">
        <v>17076</v>
      </c>
    </row>
    <row r="16443" spans="1:2" x14ac:dyDescent="0.25">
      <c r="A16443" s="62">
        <v>72102601</v>
      </c>
      <c r="B16443" s="63" t="s">
        <v>17077</v>
      </c>
    </row>
    <row r="16444" spans="1:2" x14ac:dyDescent="0.25">
      <c r="A16444" s="62">
        <v>72102602</v>
      </c>
      <c r="B16444" s="63" t="s">
        <v>17078</v>
      </c>
    </row>
    <row r="16445" spans="1:2" x14ac:dyDescent="0.25">
      <c r="A16445" s="62">
        <v>72102701</v>
      </c>
      <c r="B16445" s="63" t="s">
        <v>17079</v>
      </c>
    </row>
    <row r="16446" spans="1:2" x14ac:dyDescent="0.25">
      <c r="A16446" s="62">
        <v>72102702</v>
      </c>
      <c r="B16446" s="63" t="s">
        <v>17080</v>
      </c>
    </row>
    <row r="16447" spans="1:2" x14ac:dyDescent="0.25">
      <c r="A16447" s="62">
        <v>72102703</v>
      </c>
      <c r="B16447" s="63" t="s">
        <v>17081</v>
      </c>
    </row>
    <row r="16448" spans="1:2" x14ac:dyDescent="0.25">
      <c r="A16448" s="62">
        <v>72102801</v>
      </c>
      <c r="B16448" s="63" t="s">
        <v>17082</v>
      </c>
    </row>
    <row r="16449" spans="1:2" x14ac:dyDescent="0.25">
      <c r="A16449" s="62">
        <v>72102802</v>
      </c>
      <c r="B16449" s="63" t="s">
        <v>17083</v>
      </c>
    </row>
    <row r="16450" spans="1:2" x14ac:dyDescent="0.25">
      <c r="A16450" s="62">
        <v>72102901</v>
      </c>
      <c r="B16450" s="63" t="s">
        <v>17084</v>
      </c>
    </row>
    <row r="16451" spans="1:2" x14ac:dyDescent="0.25">
      <c r="A16451" s="62">
        <v>72102902</v>
      </c>
      <c r="B16451" s="63" t="s">
        <v>17085</v>
      </c>
    </row>
    <row r="16452" spans="1:2" x14ac:dyDescent="0.25">
      <c r="A16452" s="62">
        <v>72102903</v>
      </c>
      <c r="B16452" s="63" t="s">
        <v>17086</v>
      </c>
    </row>
    <row r="16453" spans="1:2" x14ac:dyDescent="0.25">
      <c r="A16453" s="62">
        <v>72102904</v>
      </c>
      <c r="B16453" s="63" t="s">
        <v>17087</v>
      </c>
    </row>
    <row r="16454" spans="1:2" x14ac:dyDescent="0.25">
      <c r="A16454" s="62">
        <v>72102905</v>
      </c>
      <c r="B16454" s="63" t="s">
        <v>17088</v>
      </c>
    </row>
    <row r="16455" spans="1:2" x14ac:dyDescent="0.25">
      <c r="A16455" s="62">
        <v>72103001</v>
      </c>
      <c r="B16455" s="63" t="s">
        <v>17089</v>
      </c>
    </row>
    <row r="16456" spans="1:2" x14ac:dyDescent="0.25">
      <c r="A16456" s="62">
        <v>72103002</v>
      </c>
      <c r="B16456" s="63" t="s">
        <v>17090</v>
      </c>
    </row>
    <row r="16457" spans="1:2" x14ac:dyDescent="0.25">
      <c r="A16457" s="62">
        <v>72103003</v>
      </c>
      <c r="B16457" s="63" t="s">
        <v>17091</v>
      </c>
    </row>
    <row r="16458" spans="1:2" x14ac:dyDescent="0.25">
      <c r="A16458" s="62">
        <v>72103004</v>
      </c>
      <c r="B16458" s="63" t="s">
        <v>17092</v>
      </c>
    </row>
    <row r="16459" spans="1:2" x14ac:dyDescent="0.25">
      <c r="A16459" s="62">
        <v>72131501</v>
      </c>
      <c r="B16459" s="63" t="s">
        <v>17093</v>
      </c>
    </row>
    <row r="16460" spans="1:2" x14ac:dyDescent="0.25">
      <c r="A16460" s="62">
        <v>72131502</v>
      </c>
      <c r="B16460" s="63" t="s">
        <v>17094</v>
      </c>
    </row>
    <row r="16461" spans="1:2" x14ac:dyDescent="0.25">
      <c r="A16461" s="62">
        <v>72131601</v>
      </c>
      <c r="B16461" s="63" t="s">
        <v>17095</v>
      </c>
    </row>
    <row r="16462" spans="1:2" x14ac:dyDescent="0.25">
      <c r="A16462" s="62">
        <v>72131701</v>
      </c>
      <c r="B16462" s="63" t="s">
        <v>17096</v>
      </c>
    </row>
    <row r="16463" spans="1:2" x14ac:dyDescent="0.25">
      <c r="A16463" s="62">
        <v>72131702</v>
      </c>
      <c r="B16463" s="63" t="s">
        <v>17097</v>
      </c>
    </row>
    <row r="16464" spans="1:2" x14ac:dyDescent="0.25">
      <c r="A16464" s="62">
        <v>73101501</v>
      </c>
      <c r="B16464" s="63" t="s">
        <v>17098</v>
      </c>
    </row>
    <row r="16465" spans="1:2" x14ac:dyDescent="0.25">
      <c r="A16465" s="62">
        <v>73101502</v>
      </c>
      <c r="B16465" s="63" t="s">
        <v>17099</v>
      </c>
    </row>
    <row r="16466" spans="1:2" x14ac:dyDescent="0.25">
      <c r="A16466" s="62">
        <v>73101503</v>
      </c>
      <c r="B16466" s="63" t="s">
        <v>17100</v>
      </c>
    </row>
    <row r="16467" spans="1:2" x14ac:dyDescent="0.25">
      <c r="A16467" s="62">
        <v>73101504</v>
      </c>
      <c r="B16467" s="63" t="s">
        <v>17101</v>
      </c>
    </row>
    <row r="16468" spans="1:2" x14ac:dyDescent="0.25">
      <c r="A16468" s="62">
        <v>73101505</v>
      </c>
      <c r="B16468" s="63" t="s">
        <v>17102</v>
      </c>
    </row>
    <row r="16469" spans="1:2" x14ac:dyDescent="0.25">
      <c r="A16469" s="62">
        <v>73101601</v>
      </c>
      <c r="B16469" s="63" t="s">
        <v>17103</v>
      </c>
    </row>
    <row r="16470" spans="1:2" x14ac:dyDescent="0.25">
      <c r="A16470" s="62">
        <v>73101602</v>
      </c>
      <c r="B16470" s="63" t="s">
        <v>17104</v>
      </c>
    </row>
    <row r="16471" spans="1:2" x14ac:dyDescent="0.25">
      <c r="A16471" s="62">
        <v>73101603</v>
      </c>
      <c r="B16471" s="63" t="s">
        <v>17105</v>
      </c>
    </row>
    <row r="16472" spans="1:2" x14ac:dyDescent="0.25">
      <c r="A16472" s="62">
        <v>73101604</v>
      </c>
      <c r="B16472" s="63" t="s">
        <v>17106</v>
      </c>
    </row>
    <row r="16473" spans="1:2" x14ac:dyDescent="0.25">
      <c r="A16473" s="62">
        <v>73101605</v>
      </c>
      <c r="B16473" s="63" t="s">
        <v>17107</v>
      </c>
    </row>
    <row r="16474" spans="1:2" x14ac:dyDescent="0.25">
      <c r="A16474" s="62">
        <v>73101606</v>
      </c>
      <c r="B16474" s="63" t="s">
        <v>17108</v>
      </c>
    </row>
    <row r="16475" spans="1:2" x14ac:dyDescent="0.25">
      <c r="A16475" s="62">
        <v>73101607</v>
      </c>
      <c r="B16475" s="63" t="s">
        <v>17109</v>
      </c>
    </row>
    <row r="16476" spans="1:2" x14ac:dyDescent="0.25">
      <c r="A16476" s="62">
        <v>73101608</v>
      </c>
      <c r="B16476" s="63" t="s">
        <v>17110</v>
      </c>
    </row>
    <row r="16477" spans="1:2" x14ac:dyDescent="0.25">
      <c r="A16477" s="62">
        <v>73101609</v>
      </c>
      <c r="B16477" s="63" t="s">
        <v>17111</v>
      </c>
    </row>
    <row r="16478" spans="1:2" x14ac:dyDescent="0.25">
      <c r="A16478" s="62">
        <v>73101610</v>
      </c>
      <c r="B16478" s="63" t="s">
        <v>17112</v>
      </c>
    </row>
    <row r="16479" spans="1:2" x14ac:dyDescent="0.25">
      <c r="A16479" s="62">
        <v>73101611</v>
      </c>
      <c r="B16479" s="63" t="s">
        <v>17113</v>
      </c>
    </row>
    <row r="16480" spans="1:2" x14ac:dyDescent="0.25">
      <c r="A16480" s="62">
        <v>73101612</v>
      </c>
      <c r="B16480" s="63" t="s">
        <v>17114</v>
      </c>
    </row>
    <row r="16481" spans="1:2" x14ac:dyDescent="0.25">
      <c r="A16481" s="62">
        <v>73101613</v>
      </c>
      <c r="B16481" s="63" t="s">
        <v>17115</v>
      </c>
    </row>
    <row r="16482" spans="1:2" x14ac:dyDescent="0.25">
      <c r="A16482" s="62">
        <v>73101614</v>
      </c>
      <c r="B16482" s="63" t="s">
        <v>17116</v>
      </c>
    </row>
    <row r="16483" spans="1:2" x14ac:dyDescent="0.25">
      <c r="A16483" s="62">
        <v>73101701</v>
      </c>
      <c r="B16483" s="63" t="s">
        <v>17117</v>
      </c>
    </row>
    <row r="16484" spans="1:2" x14ac:dyDescent="0.25">
      <c r="A16484" s="62">
        <v>73101702</v>
      </c>
      <c r="B16484" s="63" t="s">
        <v>17118</v>
      </c>
    </row>
    <row r="16485" spans="1:2" x14ac:dyDescent="0.25">
      <c r="A16485" s="62">
        <v>73101703</v>
      </c>
      <c r="B16485" s="63" t="s">
        <v>17119</v>
      </c>
    </row>
    <row r="16486" spans="1:2" x14ac:dyDescent="0.25">
      <c r="A16486" s="62">
        <v>73101801</v>
      </c>
      <c r="B16486" s="63" t="s">
        <v>17120</v>
      </c>
    </row>
    <row r="16487" spans="1:2" x14ac:dyDescent="0.25">
      <c r="A16487" s="62">
        <v>73101802</v>
      </c>
      <c r="B16487" s="63" t="s">
        <v>17121</v>
      </c>
    </row>
    <row r="16488" spans="1:2" x14ac:dyDescent="0.25">
      <c r="A16488" s="62">
        <v>73101901</v>
      </c>
      <c r="B16488" s="63" t="s">
        <v>17122</v>
      </c>
    </row>
    <row r="16489" spans="1:2" x14ac:dyDescent="0.25">
      <c r="A16489" s="62">
        <v>73101902</v>
      </c>
      <c r="B16489" s="63" t="s">
        <v>17123</v>
      </c>
    </row>
    <row r="16490" spans="1:2" x14ac:dyDescent="0.25">
      <c r="A16490" s="62">
        <v>73101903</v>
      </c>
      <c r="B16490" s="63" t="s">
        <v>17124</v>
      </c>
    </row>
    <row r="16491" spans="1:2" x14ac:dyDescent="0.25">
      <c r="A16491" s="62">
        <v>73111501</v>
      </c>
      <c r="B16491" s="63" t="s">
        <v>17125</v>
      </c>
    </row>
    <row r="16492" spans="1:2" x14ac:dyDescent="0.25">
      <c r="A16492" s="62">
        <v>73111502</v>
      </c>
      <c r="B16492" s="63" t="s">
        <v>17126</v>
      </c>
    </row>
    <row r="16493" spans="1:2" x14ac:dyDescent="0.25">
      <c r="A16493" s="62">
        <v>73111503</v>
      </c>
      <c r="B16493" s="63" t="s">
        <v>17127</v>
      </c>
    </row>
    <row r="16494" spans="1:2" x14ac:dyDescent="0.25">
      <c r="A16494" s="62">
        <v>73111504</v>
      </c>
      <c r="B16494" s="63" t="s">
        <v>17128</v>
      </c>
    </row>
    <row r="16495" spans="1:2" x14ac:dyDescent="0.25">
      <c r="A16495" s="62">
        <v>73111505</v>
      </c>
      <c r="B16495" s="63" t="s">
        <v>17129</v>
      </c>
    </row>
    <row r="16496" spans="1:2" x14ac:dyDescent="0.25">
      <c r="A16496" s="62">
        <v>73111506</v>
      </c>
      <c r="B16496" s="63" t="s">
        <v>17130</v>
      </c>
    </row>
    <row r="16497" spans="1:2" x14ac:dyDescent="0.25">
      <c r="A16497" s="62">
        <v>73111507</v>
      </c>
      <c r="B16497" s="63" t="s">
        <v>17131</v>
      </c>
    </row>
    <row r="16498" spans="1:2" x14ac:dyDescent="0.25">
      <c r="A16498" s="62">
        <v>73111601</v>
      </c>
      <c r="B16498" s="63" t="s">
        <v>17132</v>
      </c>
    </row>
    <row r="16499" spans="1:2" x14ac:dyDescent="0.25">
      <c r="A16499" s="62">
        <v>73111602</v>
      </c>
      <c r="B16499" s="63" t="s">
        <v>17133</v>
      </c>
    </row>
    <row r="16500" spans="1:2" x14ac:dyDescent="0.25">
      <c r="A16500" s="62">
        <v>73111603</v>
      </c>
      <c r="B16500" s="63" t="s">
        <v>17134</v>
      </c>
    </row>
    <row r="16501" spans="1:2" x14ac:dyDescent="0.25">
      <c r="A16501" s="62">
        <v>73111604</v>
      </c>
      <c r="B16501" s="63" t="s">
        <v>17135</v>
      </c>
    </row>
    <row r="16502" spans="1:2" x14ac:dyDescent="0.25">
      <c r="A16502" s="62">
        <v>73121501</v>
      </c>
      <c r="B16502" s="63" t="s">
        <v>17136</v>
      </c>
    </row>
    <row r="16503" spans="1:2" x14ac:dyDescent="0.25">
      <c r="A16503" s="62">
        <v>73121502</v>
      </c>
      <c r="B16503" s="63" t="s">
        <v>17137</v>
      </c>
    </row>
    <row r="16504" spans="1:2" x14ac:dyDescent="0.25">
      <c r="A16504" s="62">
        <v>73121503</v>
      </c>
      <c r="B16504" s="63" t="s">
        <v>17138</v>
      </c>
    </row>
    <row r="16505" spans="1:2" x14ac:dyDescent="0.25">
      <c r="A16505" s="62">
        <v>73121504</v>
      </c>
      <c r="B16505" s="63" t="s">
        <v>17139</v>
      </c>
    </row>
    <row r="16506" spans="1:2" x14ac:dyDescent="0.25">
      <c r="A16506" s="62">
        <v>73121505</v>
      </c>
      <c r="B16506" s="63" t="s">
        <v>17140</v>
      </c>
    </row>
    <row r="16507" spans="1:2" x14ac:dyDescent="0.25">
      <c r="A16507" s="62">
        <v>73121506</v>
      </c>
      <c r="B16507" s="63" t="s">
        <v>17141</v>
      </c>
    </row>
    <row r="16508" spans="1:2" x14ac:dyDescent="0.25">
      <c r="A16508" s="62">
        <v>73121507</v>
      </c>
      <c r="B16508" s="63" t="s">
        <v>17142</v>
      </c>
    </row>
    <row r="16509" spans="1:2" x14ac:dyDescent="0.25">
      <c r="A16509" s="62">
        <v>73121508</v>
      </c>
      <c r="B16509" s="63" t="s">
        <v>17143</v>
      </c>
    </row>
    <row r="16510" spans="1:2" x14ac:dyDescent="0.25">
      <c r="A16510" s="62">
        <v>73121509</v>
      </c>
      <c r="B16510" s="63" t="s">
        <v>17144</v>
      </c>
    </row>
    <row r="16511" spans="1:2" x14ac:dyDescent="0.25">
      <c r="A16511" s="62">
        <v>73121601</v>
      </c>
      <c r="B16511" s="63" t="s">
        <v>17145</v>
      </c>
    </row>
    <row r="16512" spans="1:2" x14ac:dyDescent="0.25">
      <c r="A16512" s="62">
        <v>73121602</v>
      </c>
      <c r="B16512" s="63" t="s">
        <v>17146</v>
      </c>
    </row>
    <row r="16513" spans="1:2" x14ac:dyDescent="0.25">
      <c r="A16513" s="62">
        <v>73121603</v>
      </c>
      <c r="B16513" s="63" t="s">
        <v>17147</v>
      </c>
    </row>
    <row r="16514" spans="1:2" x14ac:dyDescent="0.25">
      <c r="A16514" s="62">
        <v>73121606</v>
      </c>
      <c r="B16514" s="63" t="s">
        <v>17148</v>
      </c>
    </row>
    <row r="16515" spans="1:2" x14ac:dyDescent="0.25">
      <c r="A16515" s="62">
        <v>73121607</v>
      </c>
      <c r="B16515" s="63" t="s">
        <v>17149</v>
      </c>
    </row>
    <row r="16516" spans="1:2" x14ac:dyDescent="0.25">
      <c r="A16516" s="62">
        <v>73121608</v>
      </c>
      <c r="B16516" s="63" t="s">
        <v>17150</v>
      </c>
    </row>
    <row r="16517" spans="1:2" x14ac:dyDescent="0.25">
      <c r="A16517" s="62">
        <v>73121610</v>
      </c>
      <c r="B16517" s="63" t="s">
        <v>17146</v>
      </c>
    </row>
    <row r="16518" spans="1:2" x14ac:dyDescent="0.25">
      <c r="A16518" s="62">
        <v>73121611</v>
      </c>
      <c r="B16518" s="63" t="s">
        <v>17151</v>
      </c>
    </row>
    <row r="16519" spans="1:2" x14ac:dyDescent="0.25">
      <c r="A16519" s="62">
        <v>73121612</v>
      </c>
      <c r="B16519" s="63" t="s">
        <v>17152</v>
      </c>
    </row>
    <row r="16520" spans="1:2" x14ac:dyDescent="0.25">
      <c r="A16520" s="62">
        <v>73121613</v>
      </c>
      <c r="B16520" s="63" t="s">
        <v>17143</v>
      </c>
    </row>
    <row r="16521" spans="1:2" x14ac:dyDescent="0.25">
      <c r="A16521" s="62">
        <v>73121801</v>
      </c>
      <c r="B16521" s="63" t="s">
        <v>17153</v>
      </c>
    </row>
    <row r="16522" spans="1:2" x14ac:dyDescent="0.25">
      <c r="A16522" s="62">
        <v>73121802</v>
      </c>
      <c r="B16522" s="63" t="s">
        <v>17154</v>
      </c>
    </row>
    <row r="16523" spans="1:2" x14ac:dyDescent="0.25">
      <c r="A16523" s="62">
        <v>73121803</v>
      </c>
      <c r="B16523" s="63" t="s">
        <v>17155</v>
      </c>
    </row>
    <row r="16524" spans="1:2" x14ac:dyDescent="0.25">
      <c r="A16524" s="62">
        <v>73121804</v>
      </c>
      <c r="B16524" s="63" t="s">
        <v>17156</v>
      </c>
    </row>
    <row r="16525" spans="1:2" x14ac:dyDescent="0.25">
      <c r="A16525" s="62">
        <v>73121805</v>
      </c>
      <c r="B16525" s="63" t="s">
        <v>17157</v>
      </c>
    </row>
    <row r="16526" spans="1:2" x14ac:dyDescent="0.25">
      <c r="A16526" s="62">
        <v>73121806</v>
      </c>
      <c r="B16526" s="63" t="s">
        <v>17158</v>
      </c>
    </row>
    <row r="16527" spans="1:2" x14ac:dyDescent="0.25">
      <c r="A16527" s="62">
        <v>73121807</v>
      </c>
      <c r="B16527" s="63" t="s">
        <v>17159</v>
      </c>
    </row>
    <row r="16528" spans="1:2" x14ac:dyDescent="0.25">
      <c r="A16528" s="62">
        <v>73131501</v>
      </c>
      <c r="B16528" s="63" t="s">
        <v>17160</v>
      </c>
    </row>
    <row r="16529" spans="1:2" x14ac:dyDescent="0.25">
      <c r="A16529" s="62">
        <v>73131502</v>
      </c>
      <c r="B16529" s="63" t="s">
        <v>17161</v>
      </c>
    </row>
    <row r="16530" spans="1:2" x14ac:dyDescent="0.25">
      <c r="A16530" s="62">
        <v>73131503</v>
      </c>
      <c r="B16530" s="63" t="s">
        <v>17162</v>
      </c>
    </row>
    <row r="16531" spans="1:2" x14ac:dyDescent="0.25">
      <c r="A16531" s="62">
        <v>73131504</v>
      </c>
      <c r="B16531" s="63" t="s">
        <v>17163</v>
      </c>
    </row>
    <row r="16532" spans="1:2" x14ac:dyDescent="0.25">
      <c r="A16532" s="62">
        <v>73131505</v>
      </c>
      <c r="B16532" s="63" t="s">
        <v>17164</v>
      </c>
    </row>
    <row r="16533" spans="1:2" x14ac:dyDescent="0.25">
      <c r="A16533" s="62">
        <v>73131506</v>
      </c>
      <c r="B16533" s="63" t="s">
        <v>17165</v>
      </c>
    </row>
    <row r="16534" spans="1:2" x14ac:dyDescent="0.25">
      <c r="A16534" s="62">
        <v>73131507</v>
      </c>
      <c r="B16534" s="63" t="s">
        <v>17166</v>
      </c>
    </row>
    <row r="16535" spans="1:2" x14ac:dyDescent="0.25">
      <c r="A16535" s="62">
        <v>73131508</v>
      </c>
      <c r="B16535" s="63" t="s">
        <v>17167</v>
      </c>
    </row>
    <row r="16536" spans="1:2" x14ac:dyDescent="0.25">
      <c r="A16536" s="62">
        <v>73131601</v>
      </c>
      <c r="B16536" s="63" t="s">
        <v>17168</v>
      </c>
    </row>
    <row r="16537" spans="1:2" x14ac:dyDescent="0.25">
      <c r="A16537" s="62">
        <v>73131602</v>
      </c>
      <c r="B16537" s="63" t="s">
        <v>17169</v>
      </c>
    </row>
    <row r="16538" spans="1:2" x14ac:dyDescent="0.25">
      <c r="A16538" s="62">
        <v>73131603</v>
      </c>
      <c r="B16538" s="63" t="s">
        <v>17170</v>
      </c>
    </row>
    <row r="16539" spans="1:2" x14ac:dyDescent="0.25">
      <c r="A16539" s="62">
        <v>73131604</v>
      </c>
      <c r="B16539" s="63" t="s">
        <v>17171</v>
      </c>
    </row>
    <row r="16540" spans="1:2" x14ac:dyDescent="0.25">
      <c r="A16540" s="62">
        <v>73131605</v>
      </c>
      <c r="B16540" s="63" t="s">
        <v>17172</v>
      </c>
    </row>
    <row r="16541" spans="1:2" x14ac:dyDescent="0.25">
      <c r="A16541" s="62">
        <v>73131606</v>
      </c>
      <c r="B16541" s="63" t="s">
        <v>17173</v>
      </c>
    </row>
    <row r="16542" spans="1:2" x14ac:dyDescent="0.25">
      <c r="A16542" s="62">
        <v>73131607</v>
      </c>
      <c r="B16542" s="63" t="s">
        <v>17174</v>
      </c>
    </row>
    <row r="16543" spans="1:2" x14ac:dyDescent="0.25">
      <c r="A16543" s="62">
        <v>73131608</v>
      </c>
      <c r="B16543" s="63" t="s">
        <v>17175</v>
      </c>
    </row>
    <row r="16544" spans="1:2" x14ac:dyDescent="0.25">
      <c r="A16544" s="62">
        <v>73131701</v>
      </c>
      <c r="B16544" s="63" t="s">
        <v>17176</v>
      </c>
    </row>
    <row r="16545" spans="1:2" x14ac:dyDescent="0.25">
      <c r="A16545" s="62">
        <v>73131702</v>
      </c>
      <c r="B16545" s="63" t="s">
        <v>17177</v>
      </c>
    </row>
    <row r="16546" spans="1:2" x14ac:dyDescent="0.25">
      <c r="A16546" s="62">
        <v>73131703</v>
      </c>
      <c r="B16546" s="63" t="s">
        <v>17178</v>
      </c>
    </row>
    <row r="16547" spans="1:2" x14ac:dyDescent="0.25">
      <c r="A16547" s="62">
        <v>73131801</v>
      </c>
      <c r="B16547" s="63" t="s">
        <v>17179</v>
      </c>
    </row>
    <row r="16548" spans="1:2" x14ac:dyDescent="0.25">
      <c r="A16548" s="62">
        <v>73131802</v>
      </c>
      <c r="B16548" s="63" t="s">
        <v>17180</v>
      </c>
    </row>
    <row r="16549" spans="1:2" x14ac:dyDescent="0.25">
      <c r="A16549" s="62">
        <v>73131803</v>
      </c>
      <c r="B16549" s="63" t="s">
        <v>17181</v>
      </c>
    </row>
    <row r="16550" spans="1:2" x14ac:dyDescent="0.25">
      <c r="A16550" s="62">
        <v>73131804</v>
      </c>
      <c r="B16550" s="63" t="s">
        <v>17182</v>
      </c>
    </row>
    <row r="16551" spans="1:2" x14ac:dyDescent="0.25">
      <c r="A16551" s="62">
        <v>73131902</v>
      </c>
      <c r="B16551" s="63" t="s">
        <v>17183</v>
      </c>
    </row>
    <row r="16552" spans="1:2" x14ac:dyDescent="0.25">
      <c r="A16552" s="62">
        <v>73131903</v>
      </c>
      <c r="B16552" s="63" t="s">
        <v>17184</v>
      </c>
    </row>
    <row r="16553" spans="1:2" x14ac:dyDescent="0.25">
      <c r="A16553" s="62">
        <v>73131904</v>
      </c>
      <c r="B16553" s="63" t="s">
        <v>17185</v>
      </c>
    </row>
    <row r="16554" spans="1:2" x14ac:dyDescent="0.25">
      <c r="A16554" s="62">
        <v>73131905</v>
      </c>
      <c r="B16554" s="63" t="s">
        <v>17186</v>
      </c>
    </row>
    <row r="16555" spans="1:2" x14ac:dyDescent="0.25">
      <c r="A16555" s="62">
        <v>73131906</v>
      </c>
      <c r="B16555" s="63" t="s">
        <v>17187</v>
      </c>
    </row>
    <row r="16556" spans="1:2" x14ac:dyDescent="0.25">
      <c r="A16556" s="62">
        <v>73141501</v>
      </c>
      <c r="B16556" s="63" t="s">
        <v>17188</v>
      </c>
    </row>
    <row r="16557" spans="1:2" x14ac:dyDescent="0.25">
      <c r="A16557" s="62">
        <v>73141502</v>
      </c>
      <c r="B16557" s="63" t="s">
        <v>17189</v>
      </c>
    </row>
    <row r="16558" spans="1:2" x14ac:dyDescent="0.25">
      <c r="A16558" s="62">
        <v>73141503</v>
      </c>
      <c r="B16558" s="63" t="s">
        <v>17190</v>
      </c>
    </row>
    <row r="16559" spans="1:2" x14ac:dyDescent="0.25">
      <c r="A16559" s="62">
        <v>73141504</v>
      </c>
      <c r="B16559" s="63" t="s">
        <v>17191</v>
      </c>
    </row>
    <row r="16560" spans="1:2" x14ac:dyDescent="0.25">
      <c r="A16560" s="62">
        <v>73141505</v>
      </c>
      <c r="B16560" s="63" t="s">
        <v>17192</v>
      </c>
    </row>
    <row r="16561" spans="1:2" x14ac:dyDescent="0.25">
      <c r="A16561" s="62">
        <v>73141506</v>
      </c>
      <c r="B16561" s="63" t="s">
        <v>17193</v>
      </c>
    </row>
    <row r="16562" spans="1:2" x14ac:dyDescent="0.25">
      <c r="A16562" s="62">
        <v>73141507</v>
      </c>
      <c r="B16562" s="63" t="s">
        <v>17194</v>
      </c>
    </row>
    <row r="16563" spans="1:2" x14ac:dyDescent="0.25">
      <c r="A16563" s="62">
        <v>73141508</v>
      </c>
      <c r="B16563" s="63" t="s">
        <v>17195</v>
      </c>
    </row>
    <row r="16564" spans="1:2" x14ac:dyDescent="0.25">
      <c r="A16564" s="62">
        <v>73141601</v>
      </c>
      <c r="B16564" s="63" t="s">
        <v>17196</v>
      </c>
    </row>
    <row r="16565" spans="1:2" x14ac:dyDescent="0.25">
      <c r="A16565" s="62">
        <v>73141602</v>
      </c>
      <c r="B16565" s="63" t="s">
        <v>17197</v>
      </c>
    </row>
    <row r="16566" spans="1:2" x14ac:dyDescent="0.25">
      <c r="A16566" s="62">
        <v>73141701</v>
      </c>
      <c r="B16566" s="63" t="s">
        <v>17198</v>
      </c>
    </row>
    <row r="16567" spans="1:2" x14ac:dyDescent="0.25">
      <c r="A16567" s="62">
        <v>73141702</v>
      </c>
      <c r="B16567" s="63" t="s">
        <v>17199</v>
      </c>
    </row>
    <row r="16568" spans="1:2" x14ac:dyDescent="0.25">
      <c r="A16568" s="62">
        <v>73141703</v>
      </c>
      <c r="B16568" s="63" t="s">
        <v>17200</v>
      </c>
    </row>
    <row r="16569" spans="1:2" x14ac:dyDescent="0.25">
      <c r="A16569" s="62">
        <v>73141704</v>
      </c>
      <c r="B16569" s="63" t="s">
        <v>17201</v>
      </c>
    </row>
    <row r="16570" spans="1:2" x14ac:dyDescent="0.25">
      <c r="A16570" s="62">
        <v>73141705</v>
      </c>
      <c r="B16570" s="63" t="s">
        <v>17202</v>
      </c>
    </row>
    <row r="16571" spans="1:2" x14ac:dyDescent="0.25">
      <c r="A16571" s="62">
        <v>73141706</v>
      </c>
      <c r="B16571" s="63" t="s">
        <v>17203</v>
      </c>
    </row>
    <row r="16572" spans="1:2" x14ac:dyDescent="0.25">
      <c r="A16572" s="62">
        <v>73141707</v>
      </c>
      <c r="B16572" s="63" t="s">
        <v>17204</v>
      </c>
    </row>
    <row r="16573" spans="1:2" x14ac:dyDescent="0.25">
      <c r="A16573" s="62">
        <v>73141708</v>
      </c>
      <c r="B16573" s="63" t="s">
        <v>17205</v>
      </c>
    </row>
    <row r="16574" spans="1:2" x14ac:dyDescent="0.25">
      <c r="A16574" s="62">
        <v>73141709</v>
      </c>
      <c r="B16574" s="63" t="s">
        <v>17206</v>
      </c>
    </row>
    <row r="16575" spans="1:2" x14ac:dyDescent="0.25">
      <c r="A16575" s="62">
        <v>73141710</v>
      </c>
      <c r="B16575" s="63" t="s">
        <v>17207</v>
      </c>
    </row>
    <row r="16576" spans="1:2" x14ac:dyDescent="0.25">
      <c r="A16576" s="62">
        <v>73141711</v>
      </c>
      <c r="B16576" s="63" t="s">
        <v>17208</v>
      </c>
    </row>
    <row r="16577" spans="1:2" x14ac:dyDescent="0.25">
      <c r="A16577" s="62">
        <v>73141712</v>
      </c>
      <c r="B16577" s="63" t="s">
        <v>17209</v>
      </c>
    </row>
    <row r="16578" spans="1:2" x14ac:dyDescent="0.25">
      <c r="A16578" s="62">
        <v>73141713</v>
      </c>
      <c r="B16578" s="63" t="s">
        <v>17210</v>
      </c>
    </row>
    <row r="16579" spans="1:2" x14ac:dyDescent="0.25">
      <c r="A16579" s="62">
        <v>73141714</v>
      </c>
      <c r="B16579" s="63" t="s">
        <v>17211</v>
      </c>
    </row>
    <row r="16580" spans="1:2" x14ac:dyDescent="0.25">
      <c r="A16580" s="62">
        <v>73141715</v>
      </c>
      <c r="B16580" s="63" t="s">
        <v>17212</v>
      </c>
    </row>
    <row r="16581" spans="1:2" x14ac:dyDescent="0.25">
      <c r="A16581" s="62">
        <v>73151501</v>
      </c>
      <c r="B16581" s="63" t="s">
        <v>17213</v>
      </c>
    </row>
    <row r="16582" spans="1:2" x14ac:dyDescent="0.25">
      <c r="A16582" s="62">
        <v>73151502</v>
      </c>
      <c r="B16582" s="63" t="s">
        <v>17214</v>
      </c>
    </row>
    <row r="16583" spans="1:2" x14ac:dyDescent="0.25">
      <c r="A16583" s="62">
        <v>73151601</v>
      </c>
      <c r="B16583" s="63" t="s">
        <v>17215</v>
      </c>
    </row>
    <row r="16584" spans="1:2" x14ac:dyDescent="0.25">
      <c r="A16584" s="62">
        <v>73151602</v>
      </c>
      <c r="B16584" s="63" t="s">
        <v>17216</v>
      </c>
    </row>
    <row r="16585" spans="1:2" x14ac:dyDescent="0.25">
      <c r="A16585" s="62">
        <v>73151603</v>
      </c>
      <c r="B16585" s="63" t="s">
        <v>17217</v>
      </c>
    </row>
    <row r="16586" spans="1:2" x14ac:dyDescent="0.25">
      <c r="A16586" s="62">
        <v>73151604</v>
      </c>
      <c r="B16586" s="63" t="s">
        <v>17218</v>
      </c>
    </row>
    <row r="16587" spans="1:2" x14ac:dyDescent="0.25">
      <c r="A16587" s="62">
        <v>73151605</v>
      </c>
      <c r="B16587" s="63" t="s">
        <v>17219</v>
      </c>
    </row>
    <row r="16588" spans="1:2" x14ac:dyDescent="0.25">
      <c r="A16588" s="62">
        <v>73151606</v>
      </c>
      <c r="B16588" s="63" t="s">
        <v>17220</v>
      </c>
    </row>
    <row r="16589" spans="1:2" x14ac:dyDescent="0.25">
      <c r="A16589" s="62">
        <v>73151607</v>
      </c>
      <c r="B16589" s="63" t="s">
        <v>17221</v>
      </c>
    </row>
    <row r="16590" spans="1:2" x14ac:dyDescent="0.25">
      <c r="A16590" s="62">
        <v>73151701</v>
      </c>
      <c r="B16590" s="63" t="s">
        <v>17222</v>
      </c>
    </row>
    <row r="16591" spans="1:2" x14ac:dyDescent="0.25">
      <c r="A16591" s="62">
        <v>73151702</v>
      </c>
      <c r="B16591" s="63" t="s">
        <v>17223</v>
      </c>
    </row>
    <row r="16592" spans="1:2" x14ac:dyDescent="0.25">
      <c r="A16592" s="62">
        <v>73151703</v>
      </c>
      <c r="B16592" s="63" t="s">
        <v>17224</v>
      </c>
    </row>
    <row r="16593" spans="1:2" x14ac:dyDescent="0.25">
      <c r="A16593" s="62">
        <v>73151801</v>
      </c>
      <c r="B16593" s="63" t="s">
        <v>17225</v>
      </c>
    </row>
    <row r="16594" spans="1:2" x14ac:dyDescent="0.25">
      <c r="A16594" s="62">
        <v>73151802</v>
      </c>
      <c r="B16594" s="63" t="s">
        <v>17226</v>
      </c>
    </row>
    <row r="16595" spans="1:2" x14ac:dyDescent="0.25">
      <c r="A16595" s="62">
        <v>73151803</v>
      </c>
      <c r="B16595" s="63" t="s">
        <v>17227</v>
      </c>
    </row>
    <row r="16596" spans="1:2" x14ac:dyDescent="0.25">
      <c r="A16596" s="62">
        <v>73151804</v>
      </c>
      <c r="B16596" s="63" t="s">
        <v>17228</v>
      </c>
    </row>
    <row r="16597" spans="1:2" x14ac:dyDescent="0.25">
      <c r="A16597" s="62">
        <v>73151805</v>
      </c>
      <c r="B16597" s="63" t="s">
        <v>17229</v>
      </c>
    </row>
    <row r="16598" spans="1:2" x14ac:dyDescent="0.25">
      <c r="A16598" s="62">
        <v>73151901</v>
      </c>
      <c r="B16598" s="63" t="s">
        <v>17230</v>
      </c>
    </row>
    <row r="16599" spans="1:2" x14ac:dyDescent="0.25">
      <c r="A16599" s="62">
        <v>73151902</v>
      </c>
      <c r="B16599" s="63" t="s">
        <v>17231</v>
      </c>
    </row>
    <row r="16600" spans="1:2" x14ac:dyDescent="0.25">
      <c r="A16600" s="62">
        <v>73151903</v>
      </c>
      <c r="B16600" s="63" t="s">
        <v>17232</v>
      </c>
    </row>
    <row r="16601" spans="1:2" x14ac:dyDescent="0.25">
      <c r="A16601" s="62">
        <v>73151904</v>
      </c>
      <c r="B16601" s="63" t="s">
        <v>17233</v>
      </c>
    </row>
    <row r="16602" spans="1:2" x14ac:dyDescent="0.25">
      <c r="A16602" s="62">
        <v>73151905</v>
      </c>
      <c r="B16602" s="63" t="s">
        <v>17234</v>
      </c>
    </row>
    <row r="16603" spans="1:2" x14ac:dyDescent="0.25">
      <c r="A16603" s="62">
        <v>73151906</v>
      </c>
      <c r="B16603" s="63" t="s">
        <v>17235</v>
      </c>
    </row>
    <row r="16604" spans="1:2" x14ac:dyDescent="0.25">
      <c r="A16604" s="62">
        <v>73151907</v>
      </c>
      <c r="B16604" s="63" t="s">
        <v>17236</v>
      </c>
    </row>
    <row r="16605" spans="1:2" x14ac:dyDescent="0.25">
      <c r="A16605" s="62">
        <v>73152001</v>
      </c>
      <c r="B16605" s="63" t="s">
        <v>17237</v>
      </c>
    </row>
    <row r="16606" spans="1:2" x14ac:dyDescent="0.25">
      <c r="A16606" s="62">
        <v>73152002</v>
      </c>
      <c r="B16606" s="63" t="s">
        <v>17238</v>
      </c>
    </row>
    <row r="16607" spans="1:2" x14ac:dyDescent="0.25">
      <c r="A16607" s="62">
        <v>73152003</v>
      </c>
      <c r="B16607" s="63" t="s">
        <v>17239</v>
      </c>
    </row>
    <row r="16608" spans="1:2" x14ac:dyDescent="0.25">
      <c r="A16608" s="62">
        <v>73152004</v>
      </c>
      <c r="B16608" s="63" t="s">
        <v>17240</v>
      </c>
    </row>
    <row r="16609" spans="1:2" x14ac:dyDescent="0.25">
      <c r="A16609" s="62">
        <v>73152101</v>
      </c>
      <c r="B16609" s="63" t="s">
        <v>17241</v>
      </c>
    </row>
    <row r="16610" spans="1:2" x14ac:dyDescent="0.25">
      <c r="A16610" s="62">
        <v>73152102</v>
      </c>
      <c r="B16610" s="63" t="s">
        <v>17242</v>
      </c>
    </row>
    <row r="16611" spans="1:2" x14ac:dyDescent="0.25">
      <c r="A16611" s="62">
        <v>73161501</v>
      </c>
      <c r="B16611" s="63" t="s">
        <v>17243</v>
      </c>
    </row>
    <row r="16612" spans="1:2" x14ac:dyDescent="0.25">
      <c r="A16612" s="62">
        <v>73161502</v>
      </c>
      <c r="B16612" s="63" t="s">
        <v>17244</v>
      </c>
    </row>
    <row r="16613" spans="1:2" x14ac:dyDescent="0.25">
      <c r="A16613" s="62">
        <v>73161503</v>
      </c>
      <c r="B16613" s="63" t="s">
        <v>17245</v>
      </c>
    </row>
    <row r="16614" spans="1:2" x14ac:dyDescent="0.25">
      <c r="A16614" s="62">
        <v>73161504</v>
      </c>
      <c r="B16614" s="63" t="s">
        <v>17246</v>
      </c>
    </row>
    <row r="16615" spans="1:2" x14ac:dyDescent="0.25">
      <c r="A16615" s="62">
        <v>73161505</v>
      </c>
      <c r="B16615" s="63" t="s">
        <v>17247</v>
      </c>
    </row>
    <row r="16616" spans="1:2" x14ac:dyDescent="0.25">
      <c r="A16616" s="62">
        <v>73161506</v>
      </c>
      <c r="B16616" s="63" t="s">
        <v>17248</v>
      </c>
    </row>
    <row r="16617" spans="1:2" x14ac:dyDescent="0.25">
      <c r="A16617" s="62">
        <v>73161507</v>
      </c>
      <c r="B16617" s="63" t="s">
        <v>17249</v>
      </c>
    </row>
    <row r="16618" spans="1:2" x14ac:dyDescent="0.25">
      <c r="A16618" s="62">
        <v>73161508</v>
      </c>
      <c r="B16618" s="63" t="s">
        <v>17250</v>
      </c>
    </row>
    <row r="16619" spans="1:2" x14ac:dyDescent="0.25">
      <c r="A16619" s="62">
        <v>73161509</v>
      </c>
      <c r="B16619" s="63" t="s">
        <v>17251</v>
      </c>
    </row>
    <row r="16620" spans="1:2" x14ac:dyDescent="0.25">
      <c r="A16620" s="62">
        <v>73161510</v>
      </c>
      <c r="B16620" s="63" t="s">
        <v>17252</v>
      </c>
    </row>
    <row r="16621" spans="1:2" x14ac:dyDescent="0.25">
      <c r="A16621" s="62">
        <v>73161511</v>
      </c>
      <c r="B16621" s="63" t="s">
        <v>17253</v>
      </c>
    </row>
    <row r="16622" spans="1:2" x14ac:dyDescent="0.25">
      <c r="A16622" s="62">
        <v>73161512</v>
      </c>
      <c r="B16622" s="63" t="s">
        <v>17254</v>
      </c>
    </row>
    <row r="16623" spans="1:2" x14ac:dyDescent="0.25">
      <c r="A16623" s="62">
        <v>73161513</v>
      </c>
      <c r="B16623" s="63" t="s">
        <v>17255</v>
      </c>
    </row>
    <row r="16624" spans="1:2" x14ac:dyDescent="0.25">
      <c r="A16624" s="62">
        <v>73161514</v>
      </c>
      <c r="B16624" s="63" t="s">
        <v>17256</v>
      </c>
    </row>
    <row r="16625" spans="1:2" x14ac:dyDescent="0.25">
      <c r="A16625" s="62">
        <v>73161515</v>
      </c>
      <c r="B16625" s="63" t="s">
        <v>17257</v>
      </c>
    </row>
    <row r="16626" spans="1:2" x14ac:dyDescent="0.25">
      <c r="A16626" s="62">
        <v>73161516</v>
      </c>
      <c r="B16626" s="63" t="s">
        <v>17258</v>
      </c>
    </row>
    <row r="16627" spans="1:2" x14ac:dyDescent="0.25">
      <c r="A16627" s="62">
        <v>73161517</v>
      </c>
      <c r="B16627" s="63" t="s">
        <v>17259</v>
      </c>
    </row>
    <row r="16628" spans="1:2" x14ac:dyDescent="0.25">
      <c r="A16628" s="62">
        <v>73161518</v>
      </c>
      <c r="B16628" s="63" t="s">
        <v>17260</v>
      </c>
    </row>
    <row r="16629" spans="1:2" x14ac:dyDescent="0.25">
      <c r="A16629" s="62">
        <v>73161519</v>
      </c>
      <c r="B16629" s="63" t="s">
        <v>17261</v>
      </c>
    </row>
    <row r="16630" spans="1:2" x14ac:dyDescent="0.25">
      <c r="A16630" s="62">
        <v>73161601</v>
      </c>
      <c r="B16630" s="63" t="s">
        <v>17262</v>
      </c>
    </row>
    <row r="16631" spans="1:2" x14ac:dyDescent="0.25">
      <c r="A16631" s="62">
        <v>73161602</v>
      </c>
      <c r="B16631" s="63" t="s">
        <v>17263</v>
      </c>
    </row>
    <row r="16632" spans="1:2" x14ac:dyDescent="0.25">
      <c r="A16632" s="62">
        <v>73161603</v>
      </c>
      <c r="B16632" s="63" t="s">
        <v>17264</v>
      </c>
    </row>
    <row r="16633" spans="1:2" x14ac:dyDescent="0.25">
      <c r="A16633" s="62">
        <v>73161604</v>
      </c>
      <c r="B16633" s="63" t="s">
        <v>17265</v>
      </c>
    </row>
    <row r="16634" spans="1:2" x14ac:dyDescent="0.25">
      <c r="A16634" s="62">
        <v>73161605</v>
      </c>
      <c r="B16634" s="63" t="s">
        <v>17266</v>
      </c>
    </row>
    <row r="16635" spans="1:2" x14ac:dyDescent="0.25">
      <c r="A16635" s="62">
        <v>73161606</v>
      </c>
      <c r="B16635" s="63" t="s">
        <v>17267</v>
      </c>
    </row>
    <row r="16636" spans="1:2" x14ac:dyDescent="0.25">
      <c r="A16636" s="62">
        <v>73161607</v>
      </c>
      <c r="B16636" s="63" t="s">
        <v>17268</v>
      </c>
    </row>
    <row r="16637" spans="1:2" x14ac:dyDescent="0.25">
      <c r="A16637" s="62">
        <v>73171501</v>
      </c>
      <c r="B16637" s="63" t="s">
        <v>17269</v>
      </c>
    </row>
    <row r="16638" spans="1:2" x14ac:dyDescent="0.25">
      <c r="A16638" s="62">
        <v>73171502</v>
      </c>
      <c r="B16638" s="63" t="s">
        <v>17270</v>
      </c>
    </row>
    <row r="16639" spans="1:2" x14ac:dyDescent="0.25">
      <c r="A16639" s="62">
        <v>73171503</v>
      </c>
      <c r="B16639" s="63" t="s">
        <v>17271</v>
      </c>
    </row>
    <row r="16640" spans="1:2" x14ac:dyDescent="0.25">
      <c r="A16640" s="62">
        <v>73171504</v>
      </c>
      <c r="B16640" s="63" t="s">
        <v>17272</v>
      </c>
    </row>
    <row r="16641" spans="1:2" x14ac:dyDescent="0.25">
      <c r="A16641" s="62">
        <v>73171505</v>
      </c>
      <c r="B16641" s="63" t="s">
        <v>17273</v>
      </c>
    </row>
    <row r="16642" spans="1:2" x14ac:dyDescent="0.25">
      <c r="A16642" s="62">
        <v>73171506</v>
      </c>
      <c r="B16642" s="63" t="s">
        <v>17274</v>
      </c>
    </row>
    <row r="16643" spans="1:2" x14ac:dyDescent="0.25">
      <c r="A16643" s="62">
        <v>73171507</v>
      </c>
      <c r="B16643" s="63" t="s">
        <v>17275</v>
      </c>
    </row>
    <row r="16644" spans="1:2" x14ac:dyDescent="0.25">
      <c r="A16644" s="62">
        <v>73171508</v>
      </c>
      <c r="B16644" s="63" t="s">
        <v>17276</v>
      </c>
    </row>
    <row r="16645" spans="1:2" x14ac:dyDescent="0.25">
      <c r="A16645" s="62">
        <v>73171510</v>
      </c>
      <c r="B16645" s="63" t="s">
        <v>17277</v>
      </c>
    </row>
    <row r="16646" spans="1:2" x14ac:dyDescent="0.25">
      <c r="A16646" s="62">
        <v>73171511</v>
      </c>
      <c r="B16646" s="63" t="s">
        <v>17278</v>
      </c>
    </row>
    <row r="16647" spans="1:2" x14ac:dyDescent="0.25">
      <c r="A16647" s="62">
        <v>73171512</v>
      </c>
      <c r="B16647" s="63" t="s">
        <v>17279</v>
      </c>
    </row>
    <row r="16648" spans="1:2" x14ac:dyDescent="0.25">
      <c r="A16648" s="62">
        <v>73171601</v>
      </c>
      <c r="B16648" s="63" t="s">
        <v>17280</v>
      </c>
    </row>
    <row r="16649" spans="1:2" x14ac:dyDescent="0.25">
      <c r="A16649" s="62">
        <v>73171602</v>
      </c>
      <c r="B16649" s="63" t="s">
        <v>17281</v>
      </c>
    </row>
    <row r="16650" spans="1:2" x14ac:dyDescent="0.25">
      <c r="A16650" s="62">
        <v>73171603</v>
      </c>
      <c r="B16650" s="63" t="s">
        <v>17282</v>
      </c>
    </row>
    <row r="16651" spans="1:2" x14ac:dyDescent="0.25">
      <c r="A16651" s="62">
        <v>73171604</v>
      </c>
      <c r="B16651" s="63" t="s">
        <v>17283</v>
      </c>
    </row>
    <row r="16652" spans="1:2" x14ac:dyDescent="0.25">
      <c r="A16652" s="62">
        <v>73171605</v>
      </c>
      <c r="B16652" s="63" t="s">
        <v>17284</v>
      </c>
    </row>
    <row r="16653" spans="1:2" x14ac:dyDescent="0.25">
      <c r="A16653" s="62">
        <v>73181001</v>
      </c>
      <c r="B16653" s="63" t="s">
        <v>17285</v>
      </c>
    </row>
    <row r="16654" spans="1:2" x14ac:dyDescent="0.25">
      <c r="A16654" s="62">
        <v>73181002</v>
      </c>
      <c r="B16654" s="63" t="s">
        <v>17286</v>
      </c>
    </row>
    <row r="16655" spans="1:2" x14ac:dyDescent="0.25">
      <c r="A16655" s="62">
        <v>73181003</v>
      </c>
      <c r="B16655" s="63" t="s">
        <v>17287</v>
      </c>
    </row>
    <row r="16656" spans="1:2" x14ac:dyDescent="0.25">
      <c r="A16656" s="62">
        <v>73181004</v>
      </c>
      <c r="B16656" s="63" t="s">
        <v>17288</v>
      </c>
    </row>
    <row r="16657" spans="1:2" x14ac:dyDescent="0.25">
      <c r="A16657" s="62">
        <v>73181005</v>
      </c>
      <c r="B16657" s="63" t="s">
        <v>17289</v>
      </c>
    </row>
    <row r="16658" spans="1:2" x14ac:dyDescent="0.25">
      <c r="A16658" s="62">
        <v>73181006</v>
      </c>
      <c r="B16658" s="63" t="s">
        <v>17290</v>
      </c>
    </row>
    <row r="16659" spans="1:2" x14ac:dyDescent="0.25">
      <c r="A16659" s="62">
        <v>73181007</v>
      </c>
      <c r="B16659" s="63" t="s">
        <v>17291</v>
      </c>
    </row>
    <row r="16660" spans="1:2" x14ac:dyDescent="0.25">
      <c r="A16660" s="62">
        <v>73181008</v>
      </c>
      <c r="B16660" s="63" t="s">
        <v>17292</v>
      </c>
    </row>
    <row r="16661" spans="1:2" x14ac:dyDescent="0.25">
      <c r="A16661" s="62">
        <v>73181009</v>
      </c>
      <c r="B16661" s="63" t="s">
        <v>17293</v>
      </c>
    </row>
    <row r="16662" spans="1:2" x14ac:dyDescent="0.25">
      <c r="A16662" s="62">
        <v>73181010</v>
      </c>
      <c r="B16662" s="63" t="s">
        <v>17294</v>
      </c>
    </row>
    <row r="16663" spans="1:2" x14ac:dyDescent="0.25">
      <c r="A16663" s="62">
        <v>73181011</v>
      </c>
      <c r="B16663" s="63" t="s">
        <v>17295</v>
      </c>
    </row>
    <row r="16664" spans="1:2" x14ac:dyDescent="0.25">
      <c r="A16664" s="62">
        <v>73181012</v>
      </c>
      <c r="B16664" s="63" t="s">
        <v>17296</v>
      </c>
    </row>
    <row r="16665" spans="1:2" x14ac:dyDescent="0.25">
      <c r="A16665" s="62">
        <v>73181013</v>
      </c>
      <c r="B16665" s="63" t="s">
        <v>17297</v>
      </c>
    </row>
    <row r="16666" spans="1:2" x14ac:dyDescent="0.25">
      <c r="A16666" s="62">
        <v>73181014</v>
      </c>
      <c r="B16666" s="63" t="s">
        <v>17298</v>
      </c>
    </row>
    <row r="16667" spans="1:2" x14ac:dyDescent="0.25">
      <c r="A16667" s="62">
        <v>73181015</v>
      </c>
      <c r="B16667" s="63" t="s">
        <v>17299</v>
      </c>
    </row>
    <row r="16668" spans="1:2" x14ac:dyDescent="0.25">
      <c r="A16668" s="62">
        <v>73181016</v>
      </c>
      <c r="B16668" s="63" t="s">
        <v>17300</v>
      </c>
    </row>
    <row r="16669" spans="1:2" x14ac:dyDescent="0.25">
      <c r="A16669" s="62">
        <v>73181017</v>
      </c>
      <c r="B16669" s="63" t="s">
        <v>17301</v>
      </c>
    </row>
    <row r="16670" spans="1:2" x14ac:dyDescent="0.25">
      <c r="A16670" s="62">
        <v>73181018</v>
      </c>
      <c r="B16670" s="63" t="s">
        <v>17302</v>
      </c>
    </row>
    <row r="16671" spans="1:2" x14ac:dyDescent="0.25">
      <c r="A16671" s="62">
        <v>73181019</v>
      </c>
      <c r="B16671" s="63" t="s">
        <v>17303</v>
      </c>
    </row>
    <row r="16672" spans="1:2" x14ac:dyDescent="0.25">
      <c r="A16672" s="62">
        <v>73181020</v>
      </c>
      <c r="B16672" s="63" t="s">
        <v>17304</v>
      </c>
    </row>
    <row r="16673" spans="1:2" x14ac:dyDescent="0.25">
      <c r="A16673" s="62">
        <v>73181021</v>
      </c>
      <c r="B16673" s="63" t="s">
        <v>17296</v>
      </c>
    </row>
    <row r="16674" spans="1:2" x14ac:dyDescent="0.25">
      <c r="A16674" s="62">
        <v>73181022</v>
      </c>
      <c r="B16674" s="63" t="s">
        <v>17305</v>
      </c>
    </row>
    <row r="16675" spans="1:2" x14ac:dyDescent="0.25">
      <c r="A16675" s="62">
        <v>73181023</v>
      </c>
      <c r="B16675" s="63" t="s">
        <v>17306</v>
      </c>
    </row>
    <row r="16676" spans="1:2" x14ac:dyDescent="0.25">
      <c r="A16676" s="62">
        <v>73181101</v>
      </c>
      <c r="B16676" s="63" t="s">
        <v>17307</v>
      </c>
    </row>
    <row r="16677" spans="1:2" x14ac:dyDescent="0.25">
      <c r="A16677" s="62">
        <v>73181102</v>
      </c>
      <c r="B16677" s="63" t="s">
        <v>17308</v>
      </c>
    </row>
    <row r="16678" spans="1:2" x14ac:dyDescent="0.25">
      <c r="A16678" s="62">
        <v>73181103</v>
      </c>
      <c r="B16678" s="63" t="s">
        <v>17309</v>
      </c>
    </row>
    <row r="16679" spans="1:2" x14ac:dyDescent="0.25">
      <c r="A16679" s="62">
        <v>73181104</v>
      </c>
      <c r="B16679" s="63" t="s">
        <v>17310</v>
      </c>
    </row>
    <row r="16680" spans="1:2" x14ac:dyDescent="0.25">
      <c r="A16680" s="62">
        <v>73181105</v>
      </c>
      <c r="B16680" s="63" t="s">
        <v>17311</v>
      </c>
    </row>
    <row r="16681" spans="1:2" x14ac:dyDescent="0.25">
      <c r="A16681" s="62">
        <v>73181106</v>
      </c>
      <c r="B16681" s="63" t="s">
        <v>17312</v>
      </c>
    </row>
    <row r="16682" spans="1:2" x14ac:dyDescent="0.25">
      <c r="A16682" s="62">
        <v>73181201</v>
      </c>
      <c r="B16682" s="63" t="s">
        <v>17313</v>
      </c>
    </row>
    <row r="16683" spans="1:2" x14ac:dyDescent="0.25">
      <c r="A16683" s="62">
        <v>73181202</v>
      </c>
      <c r="B16683" s="63" t="s">
        <v>17314</v>
      </c>
    </row>
    <row r="16684" spans="1:2" x14ac:dyDescent="0.25">
      <c r="A16684" s="62">
        <v>73181203</v>
      </c>
      <c r="B16684" s="63" t="s">
        <v>17315</v>
      </c>
    </row>
    <row r="16685" spans="1:2" x14ac:dyDescent="0.25">
      <c r="A16685" s="62">
        <v>73181204</v>
      </c>
      <c r="B16685" s="63" t="s">
        <v>17316</v>
      </c>
    </row>
    <row r="16686" spans="1:2" x14ac:dyDescent="0.25">
      <c r="A16686" s="62">
        <v>73181205</v>
      </c>
      <c r="B16686" s="63" t="s">
        <v>17317</v>
      </c>
    </row>
    <row r="16687" spans="1:2" x14ac:dyDescent="0.25">
      <c r="A16687" s="62">
        <v>73181206</v>
      </c>
      <c r="B16687" s="63" t="s">
        <v>17318</v>
      </c>
    </row>
    <row r="16688" spans="1:2" x14ac:dyDescent="0.25">
      <c r="A16688" s="62">
        <v>73181301</v>
      </c>
      <c r="B16688" s="63" t="s">
        <v>17319</v>
      </c>
    </row>
    <row r="16689" spans="1:2" x14ac:dyDescent="0.25">
      <c r="A16689" s="62">
        <v>73181302</v>
      </c>
      <c r="B16689" s="63" t="s">
        <v>17320</v>
      </c>
    </row>
    <row r="16690" spans="1:2" x14ac:dyDescent="0.25">
      <c r="A16690" s="62">
        <v>73181303</v>
      </c>
      <c r="B16690" s="63" t="s">
        <v>17321</v>
      </c>
    </row>
    <row r="16691" spans="1:2" x14ac:dyDescent="0.25">
      <c r="A16691" s="62">
        <v>73181304</v>
      </c>
      <c r="B16691" s="63" t="s">
        <v>17322</v>
      </c>
    </row>
    <row r="16692" spans="1:2" x14ac:dyDescent="0.25">
      <c r="A16692" s="62">
        <v>73181901</v>
      </c>
      <c r="B16692" s="63" t="s">
        <v>17323</v>
      </c>
    </row>
    <row r="16693" spans="1:2" x14ac:dyDescent="0.25">
      <c r="A16693" s="62">
        <v>73181902</v>
      </c>
      <c r="B16693" s="63" t="s">
        <v>17324</v>
      </c>
    </row>
    <row r="16694" spans="1:2" x14ac:dyDescent="0.25">
      <c r="A16694" s="62">
        <v>73181903</v>
      </c>
      <c r="B16694" s="63" t="s">
        <v>17325</v>
      </c>
    </row>
    <row r="16695" spans="1:2" x14ac:dyDescent="0.25">
      <c r="A16695" s="62">
        <v>73181904</v>
      </c>
      <c r="B16695" s="63" t="s">
        <v>17326</v>
      </c>
    </row>
    <row r="16696" spans="1:2" x14ac:dyDescent="0.25">
      <c r="A16696" s="62">
        <v>73181905</v>
      </c>
      <c r="B16696" s="63" t="s">
        <v>17327</v>
      </c>
    </row>
    <row r="16697" spans="1:2" x14ac:dyDescent="0.25">
      <c r="A16697" s="62">
        <v>73181906</v>
      </c>
      <c r="B16697" s="63" t="s">
        <v>17328</v>
      </c>
    </row>
    <row r="16698" spans="1:2" x14ac:dyDescent="0.25">
      <c r="A16698" s="62">
        <v>73181907</v>
      </c>
      <c r="B16698" s="63" t="s">
        <v>17329</v>
      </c>
    </row>
    <row r="16699" spans="1:2" x14ac:dyDescent="0.25">
      <c r="A16699" s="62">
        <v>73181908</v>
      </c>
      <c r="B16699" s="63" t="s">
        <v>17330</v>
      </c>
    </row>
    <row r="16700" spans="1:2" x14ac:dyDescent="0.25">
      <c r="A16700" s="62">
        <v>76101501</v>
      </c>
      <c r="B16700" s="63" t="s">
        <v>17331</v>
      </c>
    </row>
    <row r="16701" spans="1:2" x14ac:dyDescent="0.25">
      <c r="A16701" s="62">
        <v>76101502</v>
      </c>
      <c r="B16701" s="63" t="s">
        <v>17332</v>
      </c>
    </row>
    <row r="16702" spans="1:2" x14ac:dyDescent="0.25">
      <c r="A16702" s="62">
        <v>76101503</v>
      </c>
      <c r="B16702" s="63" t="s">
        <v>17333</v>
      </c>
    </row>
    <row r="16703" spans="1:2" x14ac:dyDescent="0.25">
      <c r="A16703" s="62">
        <v>76101601</v>
      </c>
      <c r="B16703" s="63" t="s">
        <v>17334</v>
      </c>
    </row>
    <row r="16704" spans="1:2" x14ac:dyDescent="0.25">
      <c r="A16704" s="62">
        <v>76101602</v>
      </c>
      <c r="B16704" s="63" t="s">
        <v>17335</v>
      </c>
    </row>
    <row r="16705" spans="1:2" x14ac:dyDescent="0.25">
      <c r="A16705" s="62">
        <v>76111501</v>
      </c>
      <c r="B16705" s="63" t="s">
        <v>17336</v>
      </c>
    </row>
    <row r="16706" spans="1:2" x14ac:dyDescent="0.25">
      <c r="A16706" s="62">
        <v>76111503</v>
      </c>
      <c r="B16706" s="63" t="s">
        <v>17337</v>
      </c>
    </row>
    <row r="16707" spans="1:2" x14ac:dyDescent="0.25">
      <c r="A16707" s="62">
        <v>76111504</v>
      </c>
      <c r="B16707" s="63" t="s">
        <v>17338</v>
      </c>
    </row>
    <row r="16708" spans="1:2" x14ac:dyDescent="0.25">
      <c r="A16708" s="62">
        <v>76111505</v>
      </c>
      <c r="B16708" s="63" t="s">
        <v>17339</v>
      </c>
    </row>
    <row r="16709" spans="1:2" x14ac:dyDescent="0.25">
      <c r="A16709" s="62">
        <v>76111601</v>
      </c>
      <c r="B16709" s="63" t="s">
        <v>17340</v>
      </c>
    </row>
    <row r="16710" spans="1:2" x14ac:dyDescent="0.25">
      <c r="A16710" s="62">
        <v>76111602</v>
      </c>
      <c r="B16710" s="63" t="s">
        <v>17341</v>
      </c>
    </row>
    <row r="16711" spans="1:2" x14ac:dyDescent="0.25">
      <c r="A16711" s="62">
        <v>76111603</v>
      </c>
      <c r="B16711" s="63" t="s">
        <v>17342</v>
      </c>
    </row>
    <row r="16712" spans="1:2" x14ac:dyDescent="0.25">
      <c r="A16712" s="62">
        <v>76111604</v>
      </c>
      <c r="B16712" s="63" t="s">
        <v>17343</v>
      </c>
    </row>
    <row r="16713" spans="1:2" x14ac:dyDescent="0.25">
      <c r="A16713" s="62">
        <v>76111605</v>
      </c>
      <c r="B16713" s="63" t="s">
        <v>17344</v>
      </c>
    </row>
    <row r="16714" spans="1:2" x14ac:dyDescent="0.25">
      <c r="A16714" s="62">
        <v>76111701</v>
      </c>
      <c r="B16714" s="63" t="s">
        <v>17345</v>
      </c>
    </row>
    <row r="16715" spans="1:2" x14ac:dyDescent="0.25">
      <c r="A16715" s="62">
        <v>76111702</v>
      </c>
      <c r="B16715" s="63" t="s">
        <v>17346</v>
      </c>
    </row>
    <row r="16716" spans="1:2" x14ac:dyDescent="0.25">
      <c r="A16716" s="62">
        <v>76111801</v>
      </c>
      <c r="B16716" s="63" t="s">
        <v>17347</v>
      </c>
    </row>
    <row r="16717" spans="1:2" x14ac:dyDescent="0.25">
      <c r="A16717" s="62">
        <v>76121501</v>
      </c>
      <c r="B16717" s="63" t="s">
        <v>17348</v>
      </c>
    </row>
    <row r="16718" spans="1:2" x14ac:dyDescent="0.25">
      <c r="A16718" s="62">
        <v>76121502</v>
      </c>
      <c r="B16718" s="63" t="s">
        <v>17349</v>
      </c>
    </row>
    <row r="16719" spans="1:2" x14ac:dyDescent="0.25">
      <c r="A16719" s="62">
        <v>76121503</v>
      </c>
      <c r="B16719" s="63" t="s">
        <v>17350</v>
      </c>
    </row>
    <row r="16720" spans="1:2" x14ac:dyDescent="0.25">
      <c r="A16720" s="62">
        <v>76121601</v>
      </c>
      <c r="B16720" s="63" t="s">
        <v>17351</v>
      </c>
    </row>
    <row r="16721" spans="1:2" x14ac:dyDescent="0.25">
      <c r="A16721" s="62">
        <v>76121602</v>
      </c>
      <c r="B16721" s="63" t="s">
        <v>17352</v>
      </c>
    </row>
    <row r="16722" spans="1:2" x14ac:dyDescent="0.25">
      <c r="A16722" s="62">
        <v>76121603</v>
      </c>
      <c r="B16722" s="63" t="s">
        <v>17353</v>
      </c>
    </row>
    <row r="16723" spans="1:2" x14ac:dyDescent="0.25">
      <c r="A16723" s="62">
        <v>76121604</v>
      </c>
      <c r="B16723" s="63" t="s">
        <v>17354</v>
      </c>
    </row>
    <row r="16724" spans="1:2" x14ac:dyDescent="0.25">
      <c r="A16724" s="62">
        <v>76121701</v>
      </c>
      <c r="B16724" s="63" t="s">
        <v>17355</v>
      </c>
    </row>
    <row r="16725" spans="1:2" x14ac:dyDescent="0.25">
      <c r="A16725" s="62">
        <v>76121702</v>
      </c>
      <c r="B16725" s="63" t="s">
        <v>17356</v>
      </c>
    </row>
    <row r="16726" spans="1:2" x14ac:dyDescent="0.25">
      <c r="A16726" s="62">
        <v>76121801</v>
      </c>
      <c r="B16726" s="63" t="s">
        <v>17357</v>
      </c>
    </row>
    <row r="16727" spans="1:2" x14ac:dyDescent="0.25">
      <c r="A16727" s="62">
        <v>76121901</v>
      </c>
      <c r="B16727" s="63" t="s">
        <v>17358</v>
      </c>
    </row>
    <row r="16728" spans="1:2" x14ac:dyDescent="0.25">
      <c r="A16728" s="62">
        <v>76121902</v>
      </c>
      <c r="B16728" s="63" t="s">
        <v>17359</v>
      </c>
    </row>
    <row r="16729" spans="1:2" x14ac:dyDescent="0.25">
      <c r="A16729" s="62">
        <v>76121903</v>
      </c>
      <c r="B16729" s="63" t="s">
        <v>17360</v>
      </c>
    </row>
    <row r="16730" spans="1:2" x14ac:dyDescent="0.25">
      <c r="A16730" s="62">
        <v>76131501</v>
      </c>
      <c r="B16730" s="63" t="s">
        <v>17361</v>
      </c>
    </row>
    <row r="16731" spans="1:2" x14ac:dyDescent="0.25">
      <c r="A16731" s="62">
        <v>76131502</v>
      </c>
      <c r="B16731" s="63" t="s">
        <v>17362</v>
      </c>
    </row>
    <row r="16732" spans="1:2" x14ac:dyDescent="0.25">
      <c r="A16732" s="62">
        <v>76131601</v>
      </c>
      <c r="B16732" s="63" t="s">
        <v>17363</v>
      </c>
    </row>
    <row r="16733" spans="1:2" x14ac:dyDescent="0.25">
      <c r="A16733" s="62">
        <v>76131602</v>
      </c>
      <c r="B16733" s="63" t="s">
        <v>17364</v>
      </c>
    </row>
    <row r="16734" spans="1:2" x14ac:dyDescent="0.25">
      <c r="A16734" s="62">
        <v>76131701</v>
      </c>
      <c r="B16734" s="63" t="s">
        <v>17365</v>
      </c>
    </row>
    <row r="16735" spans="1:2" x14ac:dyDescent="0.25">
      <c r="A16735" s="62">
        <v>76131702</v>
      </c>
      <c r="B16735" s="63" t="s">
        <v>17366</v>
      </c>
    </row>
    <row r="16736" spans="1:2" x14ac:dyDescent="0.25">
      <c r="A16736" s="62">
        <v>77101501</v>
      </c>
      <c r="B16736" s="63" t="s">
        <v>17367</v>
      </c>
    </row>
    <row r="16737" spans="1:2" x14ac:dyDescent="0.25">
      <c r="A16737" s="62">
        <v>77101502</v>
      </c>
      <c r="B16737" s="63" t="s">
        <v>17368</v>
      </c>
    </row>
    <row r="16738" spans="1:2" x14ac:dyDescent="0.25">
      <c r="A16738" s="62">
        <v>77101503</v>
      </c>
      <c r="B16738" s="63" t="s">
        <v>17369</v>
      </c>
    </row>
    <row r="16739" spans="1:2" x14ac:dyDescent="0.25">
      <c r="A16739" s="62">
        <v>77101504</v>
      </c>
      <c r="B16739" s="63" t="s">
        <v>17370</v>
      </c>
    </row>
    <row r="16740" spans="1:2" x14ac:dyDescent="0.25">
      <c r="A16740" s="62">
        <v>77101505</v>
      </c>
      <c r="B16740" s="63" t="s">
        <v>17371</v>
      </c>
    </row>
    <row r="16741" spans="1:2" x14ac:dyDescent="0.25">
      <c r="A16741" s="62">
        <v>77101601</v>
      </c>
      <c r="B16741" s="63" t="s">
        <v>17372</v>
      </c>
    </row>
    <row r="16742" spans="1:2" x14ac:dyDescent="0.25">
      <c r="A16742" s="62">
        <v>77101602</v>
      </c>
      <c r="B16742" s="63" t="s">
        <v>17373</v>
      </c>
    </row>
    <row r="16743" spans="1:2" x14ac:dyDescent="0.25">
      <c r="A16743" s="62">
        <v>77101603</v>
      </c>
      <c r="B16743" s="63" t="s">
        <v>17374</v>
      </c>
    </row>
    <row r="16744" spans="1:2" x14ac:dyDescent="0.25">
      <c r="A16744" s="62">
        <v>77101604</v>
      </c>
      <c r="B16744" s="63" t="s">
        <v>17375</v>
      </c>
    </row>
    <row r="16745" spans="1:2" x14ac:dyDescent="0.25">
      <c r="A16745" s="62">
        <v>77101605</v>
      </c>
      <c r="B16745" s="63" t="s">
        <v>17376</v>
      </c>
    </row>
    <row r="16746" spans="1:2" x14ac:dyDescent="0.25">
      <c r="A16746" s="62">
        <v>77101701</v>
      </c>
      <c r="B16746" s="63" t="s">
        <v>17377</v>
      </c>
    </row>
    <row r="16747" spans="1:2" x14ac:dyDescent="0.25">
      <c r="A16747" s="62">
        <v>77101702</v>
      </c>
      <c r="B16747" s="63" t="s">
        <v>17378</v>
      </c>
    </row>
    <row r="16748" spans="1:2" x14ac:dyDescent="0.25">
      <c r="A16748" s="62">
        <v>77101703</v>
      </c>
      <c r="B16748" s="63" t="s">
        <v>17379</v>
      </c>
    </row>
    <row r="16749" spans="1:2" x14ac:dyDescent="0.25">
      <c r="A16749" s="62">
        <v>77101704</v>
      </c>
      <c r="B16749" s="63" t="s">
        <v>17380</v>
      </c>
    </row>
    <row r="16750" spans="1:2" x14ac:dyDescent="0.25">
      <c r="A16750" s="62">
        <v>77101705</v>
      </c>
      <c r="B16750" s="63" t="s">
        <v>17381</v>
      </c>
    </row>
    <row r="16751" spans="1:2" x14ac:dyDescent="0.25">
      <c r="A16751" s="62">
        <v>77101706</v>
      </c>
      <c r="B16751" s="63" t="s">
        <v>17382</v>
      </c>
    </row>
    <row r="16752" spans="1:2" x14ac:dyDescent="0.25">
      <c r="A16752" s="62">
        <v>77101707</v>
      </c>
      <c r="B16752" s="63" t="s">
        <v>17383</v>
      </c>
    </row>
    <row r="16753" spans="1:2" x14ac:dyDescent="0.25">
      <c r="A16753" s="62">
        <v>77101801</v>
      </c>
      <c r="B16753" s="63" t="s">
        <v>17384</v>
      </c>
    </row>
    <row r="16754" spans="1:2" x14ac:dyDescent="0.25">
      <c r="A16754" s="62">
        <v>77101802</v>
      </c>
      <c r="B16754" s="63" t="s">
        <v>17385</v>
      </c>
    </row>
    <row r="16755" spans="1:2" x14ac:dyDescent="0.25">
      <c r="A16755" s="62">
        <v>77101803</v>
      </c>
      <c r="B16755" s="63" t="s">
        <v>17386</v>
      </c>
    </row>
    <row r="16756" spans="1:2" x14ac:dyDescent="0.25">
      <c r="A16756" s="62">
        <v>77101804</v>
      </c>
      <c r="B16756" s="63" t="s">
        <v>17387</v>
      </c>
    </row>
    <row r="16757" spans="1:2" x14ac:dyDescent="0.25">
      <c r="A16757" s="62">
        <v>77101805</v>
      </c>
      <c r="B16757" s="63" t="s">
        <v>17388</v>
      </c>
    </row>
    <row r="16758" spans="1:2" x14ac:dyDescent="0.25">
      <c r="A16758" s="62">
        <v>77101806</v>
      </c>
      <c r="B16758" s="63" t="s">
        <v>17389</v>
      </c>
    </row>
    <row r="16759" spans="1:2" x14ac:dyDescent="0.25">
      <c r="A16759" s="62">
        <v>77101901</v>
      </c>
      <c r="B16759" s="63" t="s">
        <v>17390</v>
      </c>
    </row>
    <row r="16760" spans="1:2" x14ac:dyDescent="0.25">
      <c r="A16760" s="62">
        <v>77101902</v>
      </c>
      <c r="B16760" s="63" t="s">
        <v>17391</v>
      </c>
    </row>
    <row r="16761" spans="1:2" x14ac:dyDescent="0.25">
      <c r="A16761" s="62">
        <v>77101903</v>
      </c>
      <c r="B16761" s="63" t="s">
        <v>17392</v>
      </c>
    </row>
    <row r="16762" spans="1:2" x14ac:dyDescent="0.25">
      <c r="A16762" s="62">
        <v>77101904</v>
      </c>
      <c r="B16762" s="63" t="s">
        <v>17393</v>
      </c>
    </row>
    <row r="16763" spans="1:2" x14ac:dyDescent="0.25">
      <c r="A16763" s="62">
        <v>77101905</v>
      </c>
      <c r="B16763" s="63" t="s">
        <v>17394</v>
      </c>
    </row>
    <row r="16764" spans="1:2" x14ac:dyDescent="0.25">
      <c r="A16764" s="62">
        <v>77101906</v>
      </c>
      <c r="B16764" s="63" t="s">
        <v>17395</v>
      </c>
    </row>
    <row r="16765" spans="1:2" x14ac:dyDescent="0.25">
      <c r="A16765" s="62">
        <v>77101907</v>
      </c>
      <c r="B16765" s="63" t="s">
        <v>17396</v>
      </c>
    </row>
    <row r="16766" spans="1:2" x14ac:dyDescent="0.25">
      <c r="A16766" s="62">
        <v>77101908</v>
      </c>
      <c r="B16766" s="63" t="s">
        <v>17397</v>
      </c>
    </row>
    <row r="16767" spans="1:2" x14ac:dyDescent="0.25">
      <c r="A16767" s="62">
        <v>77101909</v>
      </c>
      <c r="B16767" s="63" t="s">
        <v>17398</v>
      </c>
    </row>
    <row r="16768" spans="1:2" x14ac:dyDescent="0.25">
      <c r="A16768" s="62">
        <v>77101910</v>
      </c>
      <c r="B16768" s="63" t="s">
        <v>17399</v>
      </c>
    </row>
    <row r="16769" spans="1:2" x14ac:dyDescent="0.25">
      <c r="A16769" s="62">
        <v>77111501</v>
      </c>
      <c r="B16769" s="63" t="s">
        <v>17400</v>
      </c>
    </row>
    <row r="16770" spans="1:2" x14ac:dyDescent="0.25">
      <c r="A16770" s="62">
        <v>77111502</v>
      </c>
      <c r="B16770" s="63" t="s">
        <v>17401</v>
      </c>
    </row>
    <row r="16771" spans="1:2" x14ac:dyDescent="0.25">
      <c r="A16771" s="62">
        <v>77111503</v>
      </c>
      <c r="B16771" s="63" t="s">
        <v>17402</v>
      </c>
    </row>
    <row r="16772" spans="1:2" x14ac:dyDescent="0.25">
      <c r="A16772" s="62">
        <v>77111504</v>
      </c>
      <c r="B16772" s="63" t="s">
        <v>17403</v>
      </c>
    </row>
    <row r="16773" spans="1:2" x14ac:dyDescent="0.25">
      <c r="A16773" s="62">
        <v>77111505</v>
      </c>
      <c r="B16773" s="63" t="s">
        <v>17404</v>
      </c>
    </row>
    <row r="16774" spans="1:2" x14ac:dyDescent="0.25">
      <c r="A16774" s="62">
        <v>77111506</v>
      </c>
      <c r="B16774" s="63" t="s">
        <v>17405</v>
      </c>
    </row>
    <row r="16775" spans="1:2" x14ac:dyDescent="0.25">
      <c r="A16775" s="62">
        <v>77111507</v>
      </c>
      <c r="B16775" s="63" t="s">
        <v>17406</v>
      </c>
    </row>
    <row r="16776" spans="1:2" x14ac:dyDescent="0.25">
      <c r="A16776" s="62">
        <v>77111508</v>
      </c>
      <c r="B16776" s="63" t="s">
        <v>17407</v>
      </c>
    </row>
    <row r="16777" spans="1:2" x14ac:dyDescent="0.25">
      <c r="A16777" s="62">
        <v>77111601</v>
      </c>
      <c r="B16777" s="63" t="s">
        <v>17408</v>
      </c>
    </row>
    <row r="16778" spans="1:2" x14ac:dyDescent="0.25">
      <c r="A16778" s="62">
        <v>77111602</v>
      </c>
      <c r="B16778" s="63" t="s">
        <v>17409</v>
      </c>
    </row>
    <row r="16779" spans="1:2" x14ac:dyDescent="0.25">
      <c r="A16779" s="62">
        <v>77111603</v>
      </c>
      <c r="B16779" s="63" t="s">
        <v>17410</v>
      </c>
    </row>
    <row r="16780" spans="1:2" x14ac:dyDescent="0.25">
      <c r="A16780" s="62">
        <v>77121501</v>
      </c>
      <c r="B16780" s="63" t="s">
        <v>17411</v>
      </c>
    </row>
    <row r="16781" spans="1:2" x14ac:dyDescent="0.25">
      <c r="A16781" s="62">
        <v>77121502</v>
      </c>
      <c r="B16781" s="63" t="s">
        <v>17412</v>
      </c>
    </row>
    <row r="16782" spans="1:2" x14ac:dyDescent="0.25">
      <c r="A16782" s="62">
        <v>77121503</v>
      </c>
      <c r="B16782" s="63" t="s">
        <v>17413</v>
      </c>
    </row>
    <row r="16783" spans="1:2" x14ac:dyDescent="0.25">
      <c r="A16783" s="62">
        <v>77121504</v>
      </c>
      <c r="B16783" s="63" t="s">
        <v>17414</v>
      </c>
    </row>
    <row r="16784" spans="1:2" x14ac:dyDescent="0.25">
      <c r="A16784" s="62">
        <v>77121505</v>
      </c>
      <c r="B16784" s="63" t="s">
        <v>17415</v>
      </c>
    </row>
    <row r="16785" spans="1:2" x14ac:dyDescent="0.25">
      <c r="A16785" s="62">
        <v>77121506</v>
      </c>
      <c r="B16785" s="63" t="s">
        <v>17416</v>
      </c>
    </row>
    <row r="16786" spans="1:2" x14ac:dyDescent="0.25">
      <c r="A16786" s="62">
        <v>77121507</v>
      </c>
      <c r="B16786" s="63" t="s">
        <v>17417</v>
      </c>
    </row>
    <row r="16787" spans="1:2" x14ac:dyDescent="0.25">
      <c r="A16787" s="62">
        <v>77121508</v>
      </c>
      <c r="B16787" s="63" t="s">
        <v>17418</v>
      </c>
    </row>
    <row r="16788" spans="1:2" x14ac:dyDescent="0.25">
      <c r="A16788" s="62">
        <v>77121509</v>
      </c>
      <c r="B16788" s="63" t="s">
        <v>17419</v>
      </c>
    </row>
    <row r="16789" spans="1:2" x14ac:dyDescent="0.25">
      <c r="A16789" s="62">
        <v>77121601</v>
      </c>
      <c r="B16789" s="63" t="s">
        <v>17420</v>
      </c>
    </row>
    <row r="16790" spans="1:2" x14ac:dyDescent="0.25">
      <c r="A16790" s="62">
        <v>77121602</v>
      </c>
      <c r="B16790" s="63" t="s">
        <v>17421</v>
      </c>
    </row>
    <row r="16791" spans="1:2" x14ac:dyDescent="0.25">
      <c r="A16791" s="62">
        <v>77121603</v>
      </c>
      <c r="B16791" s="63" t="s">
        <v>17422</v>
      </c>
    </row>
    <row r="16792" spans="1:2" x14ac:dyDescent="0.25">
      <c r="A16792" s="62">
        <v>77121604</v>
      </c>
      <c r="B16792" s="63" t="s">
        <v>17423</v>
      </c>
    </row>
    <row r="16793" spans="1:2" x14ac:dyDescent="0.25">
      <c r="A16793" s="62">
        <v>77121605</v>
      </c>
      <c r="B16793" s="63" t="s">
        <v>17424</v>
      </c>
    </row>
    <row r="16794" spans="1:2" x14ac:dyDescent="0.25">
      <c r="A16794" s="62">
        <v>77121606</v>
      </c>
      <c r="B16794" s="63" t="s">
        <v>17425</v>
      </c>
    </row>
    <row r="16795" spans="1:2" x14ac:dyDescent="0.25">
      <c r="A16795" s="62">
        <v>77121607</v>
      </c>
      <c r="B16795" s="63" t="s">
        <v>17426</v>
      </c>
    </row>
    <row r="16796" spans="1:2" x14ac:dyDescent="0.25">
      <c r="A16796" s="62">
        <v>77121608</v>
      </c>
      <c r="B16796" s="63" t="s">
        <v>17427</v>
      </c>
    </row>
    <row r="16797" spans="1:2" x14ac:dyDescent="0.25">
      <c r="A16797" s="62">
        <v>77121609</v>
      </c>
      <c r="B16797" s="63" t="s">
        <v>17428</v>
      </c>
    </row>
    <row r="16798" spans="1:2" x14ac:dyDescent="0.25">
      <c r="A16798" s="62">
        <v>77121610</v>
      </c>
      <c r="B16798" s="63" t="s">
        <v>17429</v>
      </c>
    </row>
    <row r="16799" spans="1:2" x14ac:dyDescent="0.25">
      <c r="A16799" s="62">
        <v>77121701</v>
      </c>
      <c r="B16799" s="63" t="s">
        <v>17430</v>
      </c>
    </row>
    <row r="16800" spans="1:2" x14ac:dyDescent="0.25">
      <c r="A16800" s="62">
        <v>77121702</v>
      </c>
      <c r="B16800" s="63" t="s">
        <v>17431</v>
      </c>
    </row>
    <row r="16801" spans="1:2" x14ac:dyDescent="0.25">
      <c r="A16801" s="62">
        <v>77121703</v>
      </c>
      <c r="B16801" s="63" t="s">
        <v>17432</v>
      </c>
    </row>
    <row r="16802" spans="1:2" x14ac:dyDescent="0.25">
      <c r="A16802" s="62">
        <v>77121704</v>
      </c>
      <c r="B16802" s="63" t="s">
        <v>17433</v>
      </c>
    </row>
    <row r="16803" spans="1:2" x14ac:dyDescent="0.25">
      <c r="A16803" s="62">
        <v>77121705</v>
      </c>
      <c r="B16803" s="63" t="s">
        <v>17434</v>
      </c>
    </row>
    <row r="16804" spans="1:2" x14ac:dyDescent="0.25">
      <c r="A16804" s="62">
        <v>77121706</v>
      </c>
      <c r="B16804" s="63" t="s">
        <v>17435</v>
      </c>
    </row>
    <row r="16805" spans="1:2" x14ac:dyDescent="0.25">
      <c r="A16805" s="62">
        <v>77121707</v>
      </c>
      <c r="B16805" s="63" t="s">
        <v>17436</v>
      </c>
    </row>
    <row r="16806" spans="1:2" x14ac:dyDescent="0.25">
      <c r="A16806" s="62">
        <v>77121708</v>
      </c>
      <c r="B16806" s="63" t="s">
        <v>17437</v>
      </c>
    </row>
    <row r="16807" spans="1:2" x14ac:dyDescent="0.25">
      <c r="A16807" s="62">
        <v>77121709</v>
      </c>
      <c r="B16807" s="63" t="s">
        <v>17438</v>
      </c>
    </row>
    <row r="16808" spans="1:2" x14ac:dyDescent="0.25">
      <c r="A16808" s="62">
        <v>77131501</v>
      </c>
      <c r="B16808" s="63" t="s">
        <v>17439</v>
      </c>
    </row>
    <row r="16809" spans="1:2" x14ac:dyDescent="0.25">
      <c r="A16809" s="62">
        <v>77131502</v>
      </c>
      <c r="B16809" s="63" t="s">
        <v>17440</v>
      </c>
    </row>
    <row r="16810" spans="1:2" x14ac:dyDescent="0.25">
      <c r="A16810" s="62">
        <v>77131503</v>
      </c>
      <c r="B16810" s="63" t="s">
        <v>17441</v>
      </c>
    </row>
    <row r="16811" spans="1:2" x14ac:dyDescent="0.25">
      <c r="A16811" s="62">
        <v>77131601</v>
      </c>
      <c r="B16811" s="63" t="s">
        <v>17442</v>
      </c>
    </row>
    <row r="16812" spans="1:2" x14ac:dyDescent="0.25">
      <c r="A16812" s="62">
        <v>77131602</v>
      </c>
      <c r="B16812" s="63" t="s">
        <v>17443</v>
      </c>
    </row>
    <row r="16813" spans="1:2" x14ac:dyDescent="0.25">
      <c r="A16813" s="62">
        <v>77131603</v>
      </c>
      <c r="B16813" s="63" t="s">
        <v>17444</v>
      </c>
    </row>
    <row r="16814" spans="1:2" x14ac:dyDescent="0.25">
      <c r="A16814" s="62">
        <v>77131604</v>
      </c>
      <c r="B16814" s="63" t="s">
        <v>17445</v>
      </c>
    </row>
    <row r="16815" spans="1:2" x14ac:dyDescent="0.25">
      <c r="A16815" s="62">
        <v>77131701</v>
      </c>
      <c r="B16815" s="63" t="s">
        <v>17446</v>
      </c>
    </row>
    <row r="16816" spans="1:2" x14ac:dyDescent="0.25">
      <c r="A16816" s="62">
        <v>77131702</v>
      </c>
      <c r="B16816" s="63" t="s">
        <v>17447</v>
      </c>
    </row>
    <row r="16817" spans="1:2" x14ac:dyDescent="0.25">
      <c r="A16817" s="62">
        <v>78101501</v>
      </c>
      <c r="B16817" s="63" t="s">
        <v>17448</v>
      </c>
    </row>
    <row r="16818" spans="1:2" x14ac:dyDescent="0.25">
      <c r="A16818" s="62">
        <v>78101502</v>
      </c>
      <c r="B16818" s="63" t="s">
        <v>17449</v>
      </c>
    </row>
    <row r="16819" spans="1:2" x14ac:dyDescent="0.25">
      <c r="A16819" s="62">
        <v>78101503</v>
      </c>
      <c r="B16819" s="63" t="s">
        <v>17450</v>
      </c>
    </row>
    <row r="16820" spans="1:2" x14ac:dyDescent="0.25">
      <c r="A16820" s="62">
        <v>78101601</v>
      </c>
      <c r="B16820" s="63" t="s">
        <v>17451</v>
      </c>
    </row>
    <row r="16821" spans="1:2" x14ac:dyDescent="0.25">
      <c r="A16821" s="62">
        <v>78101602</v>
      </c>
      <c r="B16821" s="63" t="s">
        <v>17452</v>
      </c>
    </row>
    <row r="16822" spans="1:2" x14ac:dyDescent="0.25">
      <c r="A16822" s="62">
        <v>78101603</v>
      </c>
      <c r="B16822" s="63" t="s">
        <v>17453</v>
      </c>
    </row>
    <row r="16823" spans="1:2" x14ac:dyDescent="0.25">
      <c r="A16823" s="62">
        <v>78101604</v>
      </c>
      <c r="B16823" s="63" t="s">
        <v>17454</v>
      </c>
    </row>
    <row r="16824" spans="1:2" x14ac:dyDescent="0.25">
      <c r="A16824" s="62">
        <v>78101701</v>
      </c>
      <c r="B16824" s="63" t="s">
        <v>17455</v>
      </c>
    </row>
    <row r="16825" spans="1:2" x14ac:dyDescent="0.25">
      <c r="A16825" s="62">
        <v>78101702</v>
      </c>
      <c r="B16825" s="63" t="s">
        <v>17456</v>
      </c>
    </row>
    <row r="16826" spans="1:2" x14ac:dyDescent="0.25">
      <c r="A16826" s="62">
        <v>78101703</v>
      </c>
      <c r="B16826" s="63" t="s">
        <v>17457</v>
      </c>
    </row>
    <row r="16827" spans="1:2" x14ac:dyDescent="0.25">
      <c r="A16827" s="62">
        <v>78101704</v>
      </c>
      <c r="B16827" s="63" t="s">
        <v>17458</v>
      </c>
    </row>
    <row r="16828" spans="1:2" x14ac:dyDescent="0.25">
      <c r="A16828" s="62">
        <v>78101705</v>
      </c>
      <c r="B16828" s="63" t="s">
        <v>17459</v>
      </c>
    </row>
    <row r="16829" spans="1:2" x14ac:dyDescent="0.25">
      <c r="A16829" s="62">
        <v>78101801</v>
      </c>
      <c r="B16829" s="63" t="s">
        <v>17460</v>
      </c>
    </row>
    <row r="16830" spans="1:2" x14ac:dyDescent="0.25">
      <c r="A16830" s="62">
        <v>78101802</v>
      </c>
      <c r="B16830" s="63" t="s">
        <v>17461</v>
      </c>
    </row>
    <row r="16831" spans="1:2" x14ac:dyDescent="0.25">
      <c r="A16831" s="62">
        <v>78101803</v>
      </c>
      <c r="B16831" s="63" t="s">
        <v>17462</v>
      </c>
    </row>
    <row r="16832" spans="1:2" x14ac:dyDescent="0.25">
      <c r="A16832" s="62">
        <v>78101804</v>
      </c>
      <c r="B16832" s="63" t="s">
        <v>17463</v>
      </c>
    </row>
    <row r="16833" spans="1:2" x14ac:dyDescent="0.25">
      <c r="A16833" s="62">
        <v>78101901</v>
      </c>
      <c r="B16833" s="63" t="s">
        <v>17464</v>
      </c>
    </row>
    <row r="16834" spans="1:2" x14ac:dyDescent="0.25">
      <c r="A16834" s="62">
        <v>78101902</v>
      </c>
      <c r="B16834" s="63" t="s">
        <v>17465</v>
      </c>
    </row>
    <row r="16835" spans="1:2" x14ac:dyDescent="0.25">
      <c r="A16835" s="62">
        <v>78101903</v>
      </c>
      <c r="B16835" s="63" t="s">
        <v>17466</v>
      </c>
    </row>
    <row r="16836" spans="1:2" x14ac:dyDescent="0.25">
      <c r="A16836" s="62">
        <v>78101904</v>
      </c>
      <c r="B16836" s="63" t="s">
        <v>17467</v>
      </c>
    </row>
    <row r="16837" spans="1:2" x14ac:dyDescent="0.25">
      <c r="A16837" s="62">
        <v>78101905</v>
      </c>
      <c r="B16837" s="63" t="s">
        <v>17468</v>
      </c>
    </row>
    <row r="16838" spans="1:2" x14ac:dyDescent="0.25">
      <c r="A16838" s="62">
        <v>78102001</v>
      </c>
      <c r="B16838" s="63" t="s">
        <v>17469</v>
      </c>
    </row>
    <row r="16839" spans="1:2" x14ac:dyDescent="0.25">
      <c r="A16839" s="62">
        <v>78102002</v>
      </c>
      <c r="B16839" s="63" t="s">
        <v>17470</v>
      </c>
    </row>
    <row r="16840" spans="1:2" x14ac:dyDescent="0.25">
      <c r="A16840" s="62">
        <v>78102101</v>
      </c>
      <c r="B16840" s="63" t="s">
        <v>17471</v>
      </c>
    </row>
    <row r="16841" spans="1:2" x14ac:dyDescent="0.25">
      <c r="A16841" s="62">
        <v>78102102</v>
      </c>
      <c r="B16841" s="63" t="s">
        <v>17472</v>
      </c>
    </row>
    <row r="16842" spans="1:2" x14ac:dyDescent="0.25">
      <c r="A16842" s="62">
        <v>78102201</v>
      </c>
      <c r="B16842" s="63" t="s">
        <v>17473</v>
      </c>
    </row>
    <row r="16843" spans="1:2" x14ac:dyDescent="0.25">
      <c r="A16843" s="62">
        <v>78102202</v>
      </c>
      <c r="B16843" s="63" t="s">
        <v>17474</v>
      </c>
    </row>
    <row r="16844" spans="1:2" x14ac:dyDescent="0.25">
      <c r="A16844" s="62">
        <v>78102203</v>
      </c>
      <c r="B16844" s="63" t="s">
        <v>17475</v>
      </c>
    </row>
    <row r="16845" spans="1:2" x14ac:dyDescent="0.25">
      <c r="A16845" s="62">
        <v>78102204</v>
      </c>
      <c r="B16845" s="63" t="s">
        <v>17476</v>
      </c>
    </row>
    <row r="16846" spans="1:2" x14ac:dyDescent="0.25">
      <c r="A16846" s="62">
        <v>78102205</v>
      </c>
      <c r="B16846" s="63" t="s">
        <v>17477</v>
      </c>
    </row>
    <row r="16847" spans="1:2" x14ac:dyDescent="0.25">
      <c r="A16847" s="62">
        <v>78102206</v>
      </c>
      <c r="B16847" s="63" t="s">
        <v>17478</v>
      </c>
    </row>
    <row r="16848" spans="1:2" x14ac:dyDescent="0.25">
      <c r="A16848" s="62">
        <v>78111501</v>
      </c>
      <c r="B16848" s="63" t="s">
        <v>17479</v>
      </c>
    </row>
    <row r="16849" spans="1:2" x14ac:dyDescent="0.25">
      <c r="A16849" s="62">
        <v>78111502</v>
      </c>
      <c r="B16849" s="63" t="s">
        <v>17480</v>
      </c>
    </row>
    <row r="16850" spans="1:2" x14ac:dyDescent="0.25">
      <c r="A16850" s="62">
        <v>78111503</v>
      </c>
      <c r="B16850" s="63" t="s">
        <v>17481</v>
      </c>
    </row>
    <row r="16851" spans="1:2" x14ac:dyDescent="0.25">
      <c r="A16851" s="62">
        <v>78111601</v>
      </c>
      <c r="B16851" s="63" t="s">
        <v>17482</v>
      </c>
    </row>
    <row r="16852" spans="1:2" x14ac:dyDescent="0.25">
      <c r="A16852" s="62">
        <v>78111602</v>
      </c>
      <c r="B16852" s="63" t="s">
        <v>17483</v>
      </c>
    </row>
    <row r="16853" spans="1:2" x14ac:dyDescent="0.25">
      <c r="A16853" s="62">
        <v>78111603</v>
      </c>
      <c r="B16853" s="63" t="s">
        <v>17484</v>
      </c>
    </row>
    <row r="16854" spans="1:2" x14ac:dyDescent="0.25">
      <c r="A16854" s="62">
        <v>78111701</v>
      </c>
      <c r="B16854" s="63" t="s">
        <v>17485</v>
      </c>
    </row>
    <row r="16855" spans="1:2" x14ac:dyDescent="0.25">
      <c r="A16855" s="62">
        <v>78111702</v>
      </c>
      <c r="B16855" s="63" t="s">
        <v>17486</v>
      </c>
    </row>
    <row r="16856" spans="1:2" x14ac:dyDescent="0.25">
      <c r="A16856" s="62">
        <v>78111703</v>
      </c>
      <c r="B16856" s="63" t="s">
        <v>17487</v>
      </c>
    </row>
    <row r="16857" spans="1:2" x14ac:dyDescent="0.25">
      <c r="A16857" s="62">
        <v>78111802</v>
      </c>
      <c r="B16857" s="63" t="s">
        <v>17488</v>
      </c>
    </row>
    <row r="16858" spans="1:2" x14ac:dyDescent="0.25">
      <c r="A16858" s="62">
        <v>78111803</v>
      </c>
      <c r="B16858" s="63" t="s">
        <v>17489</v>
      </c>
    </row>
    <row r="16859" spans="1:2" x14ac:dyDescent="0.25">
      <c r="A16859" s="62">
        <v>78111804</v>
      </c>
      <c r="B16859" s="63" t="s">
        <v>17490</v>
      </c>
    </row>
    <row r="16860" spans="1:2" x14ac:dyDescent="0.25">
      <c r="A16860" s="62">
        <v>78111807</v>
      </c>
      <c r="B16860" s="63" t="s">
        <v>17491</v>
      </c>
    </row>
    <row r="16861" spans="1:2" x14ac:dyDescent="0.25">
      <c r="A16861" s="62">
        <v>78111808</v>
      </c>
      <c r="B16861" s="63" t="s">
        <v>17492</v>
      </c>
    </row>
    <row r="16862" spans="1:2" x14ac:dyDescent="0.25">
      <c r="A16862" s="62">
        <v>78111809</v>
      </c>
      <c r="B16862" s="63" t="s">
        <v>17493</v>
      </c>
    </row>
    <row r="16863" spans="1:2" x14ac:dyDescent="0.25">
      <c r="A16863" s="62">
        <v>78111901</v>
      </c>
      <c r="B16863" s="63" t="s">
        <v>17494</v>
      </c>
    </row>
    <row r="16864" spans="1:2" x14ac:dyDescent="0.25">
      <c r="A16864" s="62">
        <v>78121501</v>
      </c>
      <c r="B16864" s="63" t="s">
        <v>17495</v>
      </c>
    </row>
    <row r="16865" spans="1:2" x14ac:dyDescent="0.25">
      <c r="A16865" s="62">
        <v>78121502</v>
      </c>
      <c r="B16865" s="63" t="s">
        <v>17496</v>
      </c>
    </row>
    <row r="16866" spans="1:2" x14ac:dyDescent="0.25">
      <c r="A16866" s="62">
        <v>78121601</v>
      </c>
      <c r="B16866" s="63" t="s">
        <v>17497</v>
      </c>
    </row>
    <row r="16867" spans="1:2" x14ac:dyDescent="0.25">
      <c r="A16867" s="62">
        <v>78121602</v>
      </c>
      <c r="B16867" s="63" t="s">
        <v>17498</v>
      </c>
    </row>
    <row r="16868" spans="1:2" x14ac:dyDescent="0.25">
      <c r="A16868" s="62">
        <v>78131501</v>
      </c>
      <c r="B16868" s="63" t="s">
        <v>17499</v>
      </c>
    </row>
    <row r="16869" spans="1:2" x14ac:dyDescent="0.25">
      <c r="A16869" s="62">
        <v>78131502</v>
      </c>
      <c r="B16869" s="63" t="s">
        <v>17500</v>
      </c>
    </row>
    <row r="16870" spans="1:2" x14ac:dyDescent="0.25">
      <c r="A16870" s="62">
        <v>78131601</v>
      </c>
      <c r="B16870" s="63" t="s">
        <v>17501</v>
      </c>
    </row>
    <row r="16871" spans="1:2" x14ac:dyDescent="0.25">
      <c r="A16871" s="62">
        <v>78131602</v>
      </c>
      <c r="B16871" s="63" t="s">
        <v>17502</v>
      </c>
    </row>
    <row r="16872" spans="1:2" x14ac:dyDescent="0.25">
      <c r="A16872" s="62">
        <v>78131603</v>
      </c>
      <c r="B16872" s="63" t="s">
        <v>17503</v>
      </c>
    </row>
    <row r="16873" spans="1:2" x14ac:dyDescent="0.25">
      <c r="A16873" s="62">
        <v>78131701</v>
      </c>
      <c r="B16873" s="63" t="s">
        <v>17504</v>
      </c>
    </row>
    <row r="16874" spans="1:2" x14ac:dyDescent="0.25">
      <c r="A16874" s="62">
        <v>78131801</v>
      </c>
      <c r="B16874" s="63" t="s">
        <v>17505</v>
      </c>
    </row>
    <row r="16875" spans="1:2" x14ac:dyDescent="0.25">
      <c r="A16875" s="62">
        <v>78131802</v>
      </c>
      <c r="B16875" s="63" t="s">
        <v>17506</v>
      </c>
    </row>
    <row r="16876" spans="1:2" x14ac:dyDescent="0.25">
      <c r="A16876" s="62">
        <v>78131803</v>
      </c>
      <c r="B16876" s="63" t="s">
        <v>17507</v>
      </c>
    </row>
    <row r="16877" spans="1:2" x14ac:dyDescent="0.25">
      <c r="A16877" s="62">
        <v>78131804</v>
      </c>
      <c r="B16877" s="63" t="s">
        <v>17508</v>
      </c>
    </row>
    <row r="16878" spans="1:2" x14ac:dyDescent="0.25">
      <c r="A16878" s="62">
        <v>78131805</v>
      </c>
      <c r="B16878" s="63" t="s">
        <v>17509</v>
      </c>
    </row>
    <row r="16879" spans="1:2" x14ac:dyDescent="0.25">
      <c r="A16879" s="62">
        <v>78141501</v>
      </c>
      <c r="B16879" s="63" t="s">
        <v>17510</v>
      </c>
    </row>
    <row r="16880" spans="1:2" x14ac:dyDescent="0.25">
      <c r="A16880" s="62">
        <v>78141502</v>
      </c>
      <c r="B16880" s="63" t="s">
        <v>17511</v>
      </c>
    </row>
    <row r="16881" spans="1:2" x14ac:dyDescent="0.25">
      <c r="A16881" s="62">
        <v>78141503</v>
      </c>
      <c r="B16881" s="63" t="s">
        <v>17512</v>
      </c>
    </row>
    <row r="16882" spans="1:2" x14ac:dyDescent="0.25">
      <c r="A16882" s="62">
        <v>78141601</v>
      </c>
      <c r="B16882" s="63" t="s">
        <v>17513</v>
      </c>
    </row>
    <row r="16883" spans="1:2" x14ac:dyDescent="0.25">
      <c r="A16883" s="62">
        <v>78141602</v>
      </c>
      <c r="B16883" s="63" t="s">
        <v>17514</v>
      </c>
    </row>
    <row r="16884" spans="1:2" x14ac:dyDescent="0.25">
      <c r="A16884" s="62">
        <v>78141603</v>
      </c>
      <c r="B16884" s="63" t="s">
        <v>17515</v>
      </c>
    </row>
    <row r="16885" spans="1:2" x14ac:dyDescent="0.25">
      <c r="A16885" s="62">
        <v>78141701</v>
      </c>
      <c r="B16885" s="63" t="s">
        <v>17516</v>
      </c>
    </row>
    <row r="16886" spans="1:2" x14ac:dyDescent="0.25">
      <c r="A16886" s="62">
        <v>78141702</v>
      </c>
      <c r="B16886" s="63" t="s">
        <v>17517</v>
      </c>
    </row>
    <row r="16887" spans="1:2" x14ac:dyDescent="0.25">
      <c r="A16887" s="62">
        <v>78141703</v>
      </c>
      <c r="B16887" s="63" t="s">
        <v>17518</v>
      </c>
    </row>
    <row r="16888" spans="1:2" x14ac:dyDescent="0.25">
      <c r="A16888" s="62">
        <v>78141801</v>
      </c>
      <c r="B16888" s="63" t="s">
        <v>17519</v>
      </c>
    </row>
    <row r="16889" spans="1:2" x14ac:dyDescent="0.25">
      <c r="A16889" s="62">
        <v>78141802</v>
      </c>
      <c r="B16889" s="63" t="s">
        <v>17520</v>
      </c>
    </row>
    <row r="16890" spans="1:2" x14ac:dyDescent="0.25">
      <c r="A16890" s="62">
        <v>78141803</v>
      </c>
      <c r="B16890" s="63" t="s">
        <v>17521</v>
      </c>
    </row>
    <row r="16891" spans="1:2" x14ac:dyDescent="0.25">
      <c r="A16891" s="62">
        <v>78180101</v>
      </c>
      <c r="B16891" s="63" t="s">
        <v>17522</v>
      </c>
    </row>
    <row r="16892" spans="1:2" x14ac:dyDescent="0.25">
      <c r="A16892" s="62">
        <v>78180102</v>
      </c>
      <c r="B16892" s="63" t="s">
        <v>17523</v>
      </c>
    </row>
    <row r="16893" spans="1:2" x14ac:dyDescent="0.25">
      <c r="A16893" s="62">
        <v>78180103</v>
      </c>
      <c r="B16893" s="63" t="s">
        <v>17524</v>
      </c>
    </row>
    <row r="16894" spans="1:2" x14ac:dyDescent="0.25">
      <c r="A16894" s="62">
        <v>78180104</v>
      </c>
      <c r="B16894" s="63" t="s">
        <v>17525</v>
      </c>
    </row>
    <row r="16895" spans="1:2" x14ac:dyDescent="0.25">
      <c r="A16895" s="62">
        <v>78180201</v>
      </c>
      <c r="B16895" s="63" t="s">
        <v>17526</v>
      </c>
    </row>
    <row r="16896" spans="1:2" x14ac:dyDescent="0.25">
      <c r="A16896" s="62">
        <v>78180301</v>
      </c>
      <c r="B16896" s="63" t="s">
        <v>17527</v>
      </c>
    </row>
    <row r="16897" spans="1:2" x14ac:dyDescent="0.25">
      <c r="A16897" s="62">
        <v>78180302</v>
      </c>
      <c r="B16897" s="63" t="s">
        <v>17528</v>
      </c>
    </row>
    <row r="16898" spans="1:2" x14ac:dyDescent="0.25">
      <c r="A16898" s="62">
        <v>78180303</v>
      </c>
      <c r="B16898" s="63" t="s">
        <v>17529</v>
      </c>
    </row>
    <row r="16899" spans="1:2" x14ac:dyDescent="0.25">
      <c r="A16899" s="62">
        <v>80101501</v>
      </c>
      <c r="B16899" s="63" t="s">
        <v>17530</v>
      </c>
    </row>
    <row r="16900" spans="1:2" x14ac:dyDescent="0.25">
      <c r="A16900" s="62">
        <v>80101502</v>
      </c>
      <c r="B16900" s="63" t="s">
        <v>17531</v>
      </c>
    </row>
    <row r="16901" spans="1:2" x14ac:dyDescent="0.25">
      <c r="A16901" s="62">
        <v>80101503</v>
      </c>
      <c r="B16901" s="63" t="s">
        <v>17532</v>
      </c>
    </row>
    <row r="16902" spans="1:2" x14ac:dyDescent="0.25">
      <c r="A16902" s="62">
        <v>80101504</v>
      </c>
      <c r="B16902" s="63" t="s">
        <v>17533</v>
      </c>
    </row>
    <row r="16903" spans="1:2" x14ac:dyDescent="0.25">
      <c r="A16903" s="62">
        <v>80101505</v>
      </c>
      <c r="B16903" s="63" t="s">
        <v>17534</v>
      </c>
    </row>
    <row r="16904" spans="1:2" x14ac:dyDescent="0.25">
      <c r="A16904" s="62">
        <v>80101506</v>
      </c>
      <c r="B16904" s="63" t="s">
        <v>17535</v>
      </c>
    </row>
    <row r="16905" spans="1:2" x14ac:dyDescent="0.25">
      <c r="A16905" s="62">
        <v>80101507</v>
      </c>
      <c r="B16905" s="63" t="s">
        <v>17536</v>
      </c>
    </row>
    <row r="16906" spans="1:2" x14ac:dyDescent="0.25">
      <c r="A16906" s="62">
        <v>80101508</v>
      </c>
      <c r="B16906" s="63" t="s">
        <v>17537</v>
      </c>
    </row>
    <row r="16907" spans="1:2" x14ac:dyDescent="0.25">
      <c r="A16907" s="62">
        <v>80101601</v>
      </c>
      <c r="B16907" s="63" t="s">
        <v>17538</v>
      </c>
    </row>
    <row r="16908" spans="1:2" x14ac:dyDescent="0.25">
      <c r="A16908" s="62">
        <v>80101602</v>
      </c>
      <c r="B16908" s="63" t="s">
        <v>17539</v>
      </c>
    </row>
    <row r="16909" spans="1:2" x14ac:dyDescent="0.25">
      <c r="A16909" s="62">
        <v>80101603</v>
      </c>
      <c r="B16909" s="63" t="s">
        <v>17540</v>
      </c>
    </row>
    <row r="16910" spans="1:2" x14ac:dyDescent="0.25">
      <c r="A16910" s="62">
        <v>80101604</v>
      </c>
      <c r="B16910" s="63" t="s">
        <v>17541</v>
      </c>
    </row>
    <row r="16911" spans="1:2" x14ac:dyDescent="0.25">
      <c r="A16911" s="62">
        <v>80101701</v>
      </c>
      <c r="B16911" s="63" t="s">
        <v>17542</v>
      </c>
    </row>
    <row r="16912" spans="1:2" x14ac:dyDescent="0.25">
      <c r="A16912" s="62">
        <v>80101702</v>
      </c>
      <c r="B16912" s="63" t="s">
        <v>17543</v>
      </c>
    </row>
    <row r="16913" spans="1:2" x14ac:dyDescent="0.25">
      <c r="A16913" s="62">
        <v>80101703</v>
      </c>
      <c r="B16913" s="63" t="s">
        <v>17544</v>
      </c>
    </row>
    <row r="16914" spans="1:2" x14ac:dyDescent="0.25">
      <c r="A16914" s="62">
        <v>80101704</v>
      </c>
      <c r="B16914" s="63" t="s">
        <v>17545</v>
      </c>
    </row>
    <row r="16915" spans="1:2" x14ac:dyDescent="0.25">
      <c r="A16915" s="62">
        <v>80101705</v>
      </c>
      <c r="B16915" s="63" t="s">
        <v>17546</v>
      </c>
    </row>
    <row r="16916" spans="1:2" x14ac:dyDescent="0.25">
      <c r="A16916" s="62">
        <v>80101706</v>
      </c>
      <c r="B16916" s="63" t="s">
        <v>17547</v>
      </c>
    </row>
    <row r="16917" spans="1:2" x14ac:dyDescent="0.25">
      <c r="A16917" s="62">
        <v>80101707</v>
      </c>
      <c r="B16917" s="63" t="s">
        <v>17548</v>
      </c>
    </row>
    <row r="16918" spans="1:2" x14ac:dyDescent="0.25">
      <c r="A16918" s="62">
        <v>80111501</v>
      </c>
      <c r="B16918" s="63" t="s">
        <v>17549</v>
      </c>
    </row>
    <row r="16919" spans="1:2" x14ac:dyDescent="0.25">
      <c r="A16919" s="62">
        <v>80111502</v>
      </c>
      <c r="B16919" s="63" t="s">
        <v>17550</v>
      </c>
    </row>
    <row r="16920" spans="1:2" x14ac:dyDescent="0.25">
      <c r="A16920" s="62">
        <v>80111503</v>
      </c>
      <c r="B16920" s="63" t="s">
        <v>17551</v>
      </c>
    </row>
    <row r="16921" spans="1:2" x14ac:dyDescent="0.25">
      <c r="A16921" s="62">
        <v>80111504</v>
      </c>
      <c r="B16921" s="63" t="s">
        <v>17552</v>
      </c>
    </row>
    <row r="16922" spans="1:2" x14ac:dyDescent="0.25">
      <c r="A16922" s="62">
        <v>80111505</v>
      </c>
      <c r="B16922" s="63" t="s">
        <v>17553</v>
      </c>
    </row>
    <row r="16923" spans="1:2" x14ac:dyDescent="0.25">
      <c r="A16923" s="62">
        <v>80111506</v>
      </c>
      <c r="B16923" s="63" t="s">
        <v>17554</v>
      </c>
    </row>
    <row r="16924" spans="1:2" x14ac:dyDescent="0.25">
      <c r="A16924" s="62">
        <v>80111507</v>
      </c>
      <c r="B16924" s="63" t="s">
        <v>17555</v>
      </c>
    </row>
    <row r="16925" spans="1:2" x14ac:dyDescent="0.25">
      <c r="A16925" s="62">
        <v>80111508</v>
      </c>
      <c r="B16925" s="63" t="s">
        <v>17556</v>
      </c>
    </row>
    <row r="16926" spans="1:2" x14ac:dyDescent="0.25">
      <c r="A16926" s="62">
        <v>80111601</v>
      </c>
      <c r="B16926" s="63" t="s">
        <v>17557</v>
      </c>
    </row>
    <row r="16927" spans="1:2" x14ac:dyDescent="0.25">
      <c r="A16927" s="62">
        <v>80111602</v>
      </c>
      <c r="B16927" s="63" t="s">
        <v>17558</v>
      </c>
    </row>
    <row r="16928" spans="1:2" x14ac:dyDescent="0.25">
      <c r="A16928" s="62">
        <v>80111603</v>
      </c>
      <c r="B16928" s="63" t="s">
        <v>17559</v>
      </c>
    </row>
    <row r="16929" spans="1:2" x14ac:dyDescent="0.25">
      <c r="A16929" s="62">
        <v>80111604</v>
      </c>
      <c r="B16929" s="63" t="s">
        <v>17560</v>
      </c>
    </row>
    <row r="16930" spans="1:2" x14ac:dyDescent="0.25">
      <c r="A16930" s="62">
        <v>80111605</v>
      </c>
      <c r="B16930" s="63" t="s">
        <v>17561</v>
      </c>
    </row>
    <row r="16931" spans="1:2" x14ac:dyDescent="0.25">
      <c r="A16931" s="62">
        <v>80111606</v>
      </c>
      <c r="B16931" s="63" t="s">
        <v>17562</v>
      </c>
    </row>
    <row r="16932" spans="1:2" x14ac:dyDescent="0.25">
      <c r="A16932" s="62">
        <v>80111607</v>
      </c>
      <c r="B16932" s="63" t="s">
        <v>17563</v>
      </c>
    </row>
    <row r="16933" spans="1:2" x14ac:dyDescent="0.25">
      <c r="A16933" s="62">
        <v>80111608</v>
      </c>
      <c r="B16933" s="63" t="s">
        <v>17564</v>
      </c>
    </row>
    <row r="16934" spans="1:2" x14ac:dyDescent="0.25">
      <c r="A16934" s="62">
        <v>80111609</v>
      </c>
      <c r="B16934" s="63" t="s">
        <v>17565</v>
      </c>
    </row>
    <row r="16935" spans="1:2" x14ac:dyDescent="0.25">
      <c r="A16935" s="62">
        <v>80111610</v>
      </c>
      <c r="B16935" s="63" t="s">
        <v>17566</v>
      </c>
    </row>
    <row r="16936" spans="1:2" x14ac:dyDescent="0.25">
      <c r="A16936" s="62">
        <v>80111611</v>
      </c>
      <c r="B16936" s="63" t="s">
        <v>17567</v>
      </c>
    </row>
    <row r="16937" spans="1:2" x14ac:dyDescent="0.25">
      <c r="A16937" s="62">
        <v>80111612</v>
      </c>
      <c r="B16937" s="63" t="s">
        <v>17568</v>
      </c>
    </row>
    <row r="16938" spans="1:2" x14ac:dyDescent="0.25">
      <c r="A16938" s="62">
        <v>80111613</v>
      </c>
      <c r="B16938" s="63" t="s">
        <v>17569</v>
      </c>
    </row>
    <row r="16939" spans="1:2" x14ac:dyDescent="0.25">
      <c r="A16939" s="62">
        <v>80111614</v>
      </c>
      <c r="B16939" s="63" t="s">
        <v>17570</v>
      </c>
    </row>
    <row r="16940" spans="1:2" x14ac:dyDescent="0.25">
      <c r="A16940" s="62">
        <v>80111615</v>
      </c>
      <c r="B16940" s="63" t="s">
        <v>17571</v>
      </c>
    </row>
    <row r="16941" spans="1:2" x14ac:dyDescent="0.25">
      <c r="A16941" s="62">
        <v>80111616</v>
      </c>
      <c r="B16941" s="63" t="s">
        <v>17572</v>
      </c>
    </row>
    <row r="16942" spans="1:2" x14ac:dyDescent="0.25">
      <c r="A16942" s="62">
        <v>80111617</v>
      </c>
      <c r="B16942" s="63" t="s">
        <v>17573</v>
      </c>
    </row>
    <row r="16943" spans="1:2" x14ac:dyDescent="0.25">
      <c r="A16943" s="62">
        <v>80111618</v>
      </c>
      <c r="B16943" s="63" t="s">
        <v>17574</v>
      </c>
    </row>
    <row r="16944" spans="1:2" x14ac:dyDescent="0.25">
      <c r="A16944" s="62">
        <v>80111619</v>
      </c>
      <c r="B16944" s="63" t="s">
        <v>17575</v>
      </c>
    </row>
    <row r="16945" spans="1:2" x14ac:dyDescent="0.25">
      <c r="A16945" s="62">
        <v>80111701</v>
      </c>
      <c r="B16945" s="63" t="s">
        <v>17576</v>
      </c>
    </row>
    <row r="16946" spans="1:2" x14ac:dyDescent="0.25">
      <c r="A16946" s="62">
        <v>80111702</v>
      </c>
      <c r="B16946" s="63" t="s">
        <v>17577</v>
      </c>
    </row>
    <row r="16947" spans="1:2" x14ac:dyDescent="0.25">
      <c r="A16947" s="62">
        <v>80111703</v>
      </c>
      <c r="B16947" s="63" t="s">
        <v>17578</v>
      </c>
    </row>
    <row r="16948" spans="1:2" x14ac:dyDescent="0.25">
      <c r="A16948" s="62">
        <v>80111704</v>
      </c>
      <c r="B16948" s="63" t="s">
        <v>17579</v>
      </c>
    </row>
    <row r="16949" spans="1:2" x14ac:dyDescent="0.25">
      <c r="A16949" s="62">
        <v>80111705</v>
      </c>
      <c r="B16949" s="63" t="s">
        <v>17580</v>
      </c>
    </row>
    <row r="16950" spans="1:2" x14ac:dyDescent="0.25">
      <c r="A16950" s="62">
        <v>80111706</v>
      </c>
      <c r="B16950" s="63" t="s">
        <v>17581</v>
      </c>
    </row>
    <row r="16951" spans="1:2" x14ac:dyDescent="0.25">
      <c r="A16951" s="62">
        <v>80111707</v>
      </c>
      <c r="B16951" s="63" t="s">
        <v>17582</v>
      </c>
    </row>
    <row r="16952" spans="1:2" x14ac:dyDescent="0.25">
      <c r="A16952" s="62">
        <v>80111708</v>
      </c>
      <c r="B16952" s="63" t="s">
        <v>17583</v>
      </c>
    </row>
    <row r="16953" spans="1:2" x14ac:dyDescent="0.25">
      <c r="A16953" s="62">
        <v>80111709</v>
      </c>
      <c r="B16953" s="63" t="s">
        <v>17584</v>
      </c>
    </row>
    <row r="16954" spans="1:2" x14ac:dyDescent="0.25">
      <c r="A16954" s="62">
        <v>80111710</v>
      </c>
      <c r="B16954" s="63" t="s">
        <v>17585</v>
      </c>
    </row>
    <row r="16955" spans="1:2" x14ac:dyDescent="0.25">
      <c r="A16955" s="62">
        <v>80111711</v>
      </c>
      <c r="B16955" s="63" t="s">
        <v>17586</v>
      </c>
    </row>
    <row r="16956" spans="1:2" x14ac:dyDescent="0.25">
      <c r="A16956" s="62">
        <v>80111712</v>
      </c>
      <c r="B16956" s="63" t="s">
        <v>17587</v>
      </c>
    </row>
    <row r="16957" spans="1:2" x14ac:dyDescent="0.25">
      <c r="A16957" s="62">
        <v>80111713</v>
      </c>
      <c r="B16957" s="63" t="s">
        <v>17588</v>
      </c>
    </row>
    <row r="16958" spans="1:2" x14ac:dyDescent="0.25">
      <c r="A16958" s="62">
        <v>80111714</v>
      </c>
      <c r="B16958" s="63" t="s">
        <v>17589</v>
      </c>
    </row>
    <row r="16959" spans="1:2" x14ac:dyDescent="0.25">
      <c r="A16959" s="62">
        <v>80111715</v>
      </c>
      <c r="B16959" s="63" t="s">
        <v>17590</v>
      </c>
    </row>
    <row r="16960" spans="1:2" x14ac:dyDescent="0.25">
      <c r="A16960" s="62">
        <v>80111716</v>
      </c>
      <c r="B16960" s="63" t="s">
        <v>17591</v>
      </c>
    </row>
    <row r="16961" spans="1:2" x14ac:dyDescent="0.25">
      <c r="A16961" s="62">
        <v>80111801</v>
      </c>
      <c r="B16961" s="63" t="s">
        <v>17592</v>
      </c>
    </row>
    <row r="16962" spans="1:2" x14ac:dyDescent="0.25">
      <c r="A16962" s="62">
        <v>80121501</v>
      </c>
      <c r="B16962" s="63" t="s">
        <v>17593</v>
      </c>
    </row>
    <row r="16963" spans="1:2" x14ac:dyDescent="0.25">
      <c r="A16963" s="62">
        <v>80121502</v>
      </c>
      <c r="B16963" s="63" t="s">
        <v>17594</v>
      </c>
    </row>
    <row r="16964" spans="1:2" x14ac:dyDescent="0.25">
      <c r="A16964" s="62">
        <v>80121503</v>
      </c>
      <c r="B16964" s="63" t="s">
        <v>17595</v>
      </c>
    </row>
    <row r="16965" spans="1:2" x14ac:dyDescent="0.25">
      <c r="A16965" s="62">
        <v>80121601</v>
      </c>
      <c r="B16965" s="63" t="s">
        <v>17596</v>
      </c>
    </row>
    <row r="16966" spans="1:2" x14ac:dyDescent="0.25">
      <c r="A16966" s="62">
        <v>80121602</v>
      </c>
      <c r="B16966" s="63" t="s">
        <v>17597</v>
      </c>
    </row>
    <row r="16967" spans="1:2" x14ac:dyDescent="0.25">
      <c r="A16967" s="62">
        <v>80121603</v>
      </c>
      <c r="B16967" s="63" t="s">
        <v>17598</v>
      </c>
    </row>
    <row r="16968" spans="1:2" x14ac:dyDescent="0.25">
      <c r="A16968" s="62">
        <v>80121604</v>
      </c>
      <c r="B16968" s="63" t="s">
        <v>17599</v>
      </c>
    </row>
    <row r="16969" spans="1:2" x14ac:dyDescent="0.25">
      <c r="A16969" s="62">
        <v>80121605</v>
      </c>
      <c r="B16969" s="63" t="s">
        <v>17600</v>
      </c>
    </row>
    <row r="16970" spans="1:2" x14ac:dyDescent="0.25">
      <c r="A16970" s="62">
        <v>80121606</v>
      </c>
      <c r="B16970" s="63" t="s">
        <v>17601</v>
      </c>
    </row>
    <row r="16971" spans="1:2" x14ac:dyDescent="0.25">
      <c r="A16971" s="62">
        <v>80121607</v>
      </c>
      <c r="B16971" s="63" t="s">
        <v>17602</v>
      </c>
    </row>
    <row r="16972" spans="1:2" x14ac:dyDescent="0.25">
      <c r="A16972" s="62">
        <v>80121608</v>
      </c>
      <c r="B16972" s="63" t="s">
        <v>17603</v>
      </c>
    </row>
    <row r="16973" spans="1:2" x14ac:dyDescent="0.25">
      <c r="A16973" s="62">
        <v>80121609</v>
      </c>
      <c r="B16973" s="63" t="s">
        <v>17604</v>
      </c>
    </row>
    <row r="16974" spans="1:2" x14ac:dyDescent="0.25">
      <c r="A16974" s="62">
        <v>80121610</v>
      </c>
      <c r="B16974" s="63" t="s">
        <v>17605</v>
      </c>
    </row>
    <row r="16975" spans="1:2" x14ac:dyDescent="0.25">
      <c r="A16975" s="62">
        <v>80121611</v>
      </c>
      <c r="B16975" s="63" t="s">
        <v>17606</v>
      </c>
    </row>
    <row r="16976" spans="1:2" x14ac:dyDescent="0.25">
      <c r="A16976" s="62">
        <v>80121701</v>
      </c>
      <c r="B16976" s="63" t="s">
        <v>17607</v>
      </c>
    </row>
    <row r="16977" spans="1:2" x14ac:dyDescent="0.25">
      <c r="A16977" s="62">
        <v>80121702</v>
      </c>
      <c r="B16977" s="63" t="s">
        <v>17608</v>
      </c>
    </row>
    <row r="16978" spans="1:2" x14ac:dyDescent="0.25">
      <c r="A16978" s="62">
        <v>80121703</v>
      </c>
      <c r="B16978" s="63" t="s">
        <v>17609</v>
      </c>
    </row>
    <row r="16979" spans="1:2" x14ac:dyDescent="0.25">
      <c r="A16979" s="62">
        <v>80121704</v>
      </c>
      <c r="B16979" s="63" t="s">
        <v>17610</v>
      </c>
    </row>
    <row r="16980" spans="1:2" x14ac:dyDescent="0.25">
      <c r="A16980" s="62">
        <v>80121705</v>
      </c>
      <c r="B16980" s="63" t="s">
        <v>17611</v>
      </c>
    </row>
    <row r="16981" spans="1:2" x14ac:dyDescent="0.25">
      <c r="A16981" s="62">
        <v>80121706</v>
      </c>
      <c r="B16981" s="63" t="s">
        <v>17612</v>
      </c>
    </row>
    <row r="16982" spans="1:2" x14ac:dyDescent="0.25">
      <c r="A16982" s="62">
        <v>80121707</v>
      </c>
      <c r="B16982" s="63" t="s">
        <v>17613</v>
      </c>
    </row>
    <row r="16983" spans="1:2" x14ac:dyDescent="0.25">
      <c r="A16983" s="62">
        <v>80121801</v>
      </c>
      <c r="B16983" s="63" t="s">
        <v>17614</v>
      </c>
    </row>
    <row r="16984" spans="1:2" x14ac:dyDescent="0.25">
      <c r="A16984" s="62">
        <v>80121802</v>
      </c>
      <c r="B16984" s="63" t="s">
        <v>17615</v>
      </c>
    </row>
    <row r="16985" spans="1:2" x14ac:dyDescent="0.25">
      <c r="A16985" s="62">
        <v>80121803</v>
      </c>
      <c r="B16985" s="63" t="s">
        <v>17616</v>
      </c>
    </row>
    <row r="16986" spans="1:2" x14ac:dyDescent="0.25">
      <c r="A16986" s="62">
        <v>80121804</v>
      </c>
      <c r="B16986" s="63" t="s">
        <v>17617</v>
      </c>
    </row>
    <row r="16987" spans="1:2" x14ac:dyDescent="0.25">
      <c r="A16987" s="62">
        <v>80131501</v>
      </c>
      <c r="B16987" s="63" t="s">
        <v>17618</v>
      </c>
    </row>
    <row r="16988" spans="1:2" x14ac:dyDescent="0.25">
      <c r="A16988" s="62">
        <v>80131502</v>
      </c>
      <c r="B16988" s="63" t="s">
        <v>17619</v>
      </c>
    </row>
    <row r="16989" spans="1:2" x14ac:dyDescent="0.25">
      <c r="A16989" s="62">
        <v>80131503</v>
      </c>
      <c r="B16989" s="63" t="s">
        <v>17620</v>
      </c>
    </row>
    <row r="16990" spans="1:2" x14ac:dyDescent="0.25">
      <c r="A16990" s="62">
        <v>80131601</v>
      </c>
      <c r="B16990" s="63" t="s">
        <v>17621</v>
      </c>
    </row>
    <row r="16991" spans="1:2" x14ac:dyDescent="0.25">
      <c r="A16991" s="62">
        <v>80131602</v>
      </c>
      <c r="B16991" s="63" t="s">
        <v>17622</v>
      </c>
    </row>
    <row r="16992" spans="1:2" x14ac:dyDescent="0.25">
      <c r="A16992" s="62">
        <v>80131603</v>
      </c>
      <c r="B16992" s="63" t="s">
        <v>17623</v>
      </c>
    </row>
    <row r="16993" spans="1:2" x14ac:dyDescent="0.25">
      <c r="A16993" s="62">
        <v>80131604</v>
      </c>
      <c r="B16993" s="63" t="s">
        <v>17624</v>
      </c>
    </row>
    <row r="16994" spans="1:2" x14ac:dyDescent="0.25">
      <c r="A16994" s="62">
        <v>80131605</v>
      </c>
      <c r="B16994" s="63" t="s">
        <v>17625</v>
      </c>
    </row>
    <row r="16995" spans="1:2" x14ac:dyDescent="0.25">
      <c r="A16995" s="62">
        <v>80131701</v>
      </c>
      <c r="B16995" s="63" t="s">
        <v>17626</v>
      </c>
    </row>
    <row r="16996" spans="1:2" x14ac:dyDescent="0.25">
      <c r="A16996" s="62">
        <v>80131702</v>
      </c>
      <c r="B16996" s="63" t="s">
        <v>17627</v>
      </c>
    </row>
    <row r="16997" spans="1:2" x14ac:dyDescent="0.25">
      <c r="A16997" s="62">
        <v>80131703</v>
      </c>
      <c r="B16997" s="63" t="s">
        <v>17628</v>
      </c>
    </row>
    <row r="16998" spans="1:2" x14ac:dyDescent="0.25">
      <c r="A16998" s="62">
        <v>80131801</v>
      </c>
      <c r="B16998" s="63" t="s">
        <v>17629</v>
      </c>
    </row>
    <row r="16999" spans="1:2" x14ac:dyDescent="0.25">
      <c r="A16999" s="62">
        <v>80131802</v>
      </c>
      <c r="B16999" s="63" t="s">
        <v>17630</v>
      </c>
    </row>
    <row r="17000" spans="1:2" x14ac:dyDescent="0.25">
      <c r="A17000" s="62">
        <v>80131803</v>
      </c>
      <c r="B17000" s="63" t="s">
        <v>17631</v>
      </c>
    </row>
    <row r="17001" spans="1:2" x14ac:dyDescent="0.25">
      <c r="A17001" s="62">
        <v>80141501</v>
      </c>
      <c r="B17001" s="63" t="s">
        <v>17632</v>
      </c>
    </row>
    <row r="17002" spans="1:2" x14ac:dyDescent="0.25">
      <c r="A17002" s="62">
        <v>80141502</v>
      </c>
      <c r="B17002" s="63" t="s">
        <v>17633</v>
      </c>
    </row>
    <row r="17003" spans="1:2" x14ac:dyDescent="0.25">
      <c r="A17003" s="62">
        <v>80141503</v>
      </c>
      <c r="B17003" s="63" t="s">
        <v>17634</v>
      </c>
    </row>
    <row r="17004" spans="1:2" x14ac:dyDescent="0.25">
      <c r="A17004" s="62">
        <v>80141504</v>
      </c>
      <c r="B17004" s="63" t="s">
        <v>17635</v>
      </c>
    </row>
    <row r="17005" spans="1:2" x14ac:dyDescent="0.25">
      <c r="A17005" s="62">
        <v>80141505</v>
      </c>
      <c r="B17005" s="63" t="s">
        <v>17636</v>
      </c>
    </row>
    <row r="17006" spans="1:2" x14ac:dyDescent="0.25">
      <c r="A17006" s="62">
        <v>80141506</v>
      </c>
      <c r="B17006" s="63" t="s">
        <v>17637</v>
      </c>
    </row>
    <row r="17007" spans="1:2" x14ac:dyDescent="0.25">
      <c r="A17007" s="62">
        <v>80141507</v>
      </c>
      <c r="B17007" s="63" t="s">
        <v>17638</v>
      </c>
    </row>
    <row r="17008" spans="1:2" x14ac:dyDescent="0.25">
      <c r="A17008" s="62">
        <v>80141508</v>
      </c>
      <c r="B17008" s="63" t="s">
        <v>17639</v>
      </c>
    </row>
    <row r="17009" spans="1:2" x14ac:dyDescent="0.25">
      <c r="A17009" s="62">
        <v>80141509</v>
      </c>
      <c r="B17009" s="63" t="s">
        <v>17640</v>
      </c>
    </row>
    <row r="17010" spans="1:2" x14ac:dyDescent="0.25">
      <c r="A17010" s="62">
        <v>80141510</v>
      </c>
      <c r="B17010" s="63" t="s">
        <v>17641</v>
      </c>
    </row>
    <row r="17011" spans="1:2" x14ac:dyDescent="0.25">
      <c r="A17011" s="62">
        <v>80141511</v>
      </c>
      <c r="B17011" s="63" t="s">
        <v>17642</v>
      </c>
    </row>
    <row r="17012" spans="1:2" x14ac:dyDescent="0.25">
      <c r="A17012" s="62">
        <v>80141512</v>
      </c>
      <c r="B17012" s="63" t="s">
        <v>17643</v>
      </c>
    </row>
    <row r="17013" spans="1:2" x14ac:dyDescent="0.25">
      <c r="A17013" s="62">
        <v>80141513</v>
      </c>
      <c r="B17013" s="63" t="s">
        <v>17644</v>
      </c>
    </row>
    <row r="17014" spans="1:2" x14ac:dyDescent="0.25">
      <c r="A17014" s="62">
        <v>80141514</v>
      </c>
      <c r="B17014" s="63" t="s">
        <v>17645</v>
      </c>
    </row>
    <row r="17015" spans="1:2" x14ac:dyDescent="0.25">
      <c r="A17015" s="62">
        <v>80141601</v>
      </c>
      <c r="B17015" s="63" t="s">
        <v>17646</v>
      </c>
    </row>
    <row r="17016" spans="1:2" x14ac:dyDescent="0.25">
      <c r="A17016" s="62">
        <v>80141602</v>
      </c>
      <c r="B17016" s="63" t="s">
        <v>17647</v>
      </c>
    </row>
    <row r="17017" spans="1:2" x14ac:dyDescent="0.25">
      <c r="A17017" s="62">
        <v>80141603</v>
      </c>
      <c r="B17017" s="63" t="s">
        <v>17648</v>
      </c>
    </row>
    <row r="17018" spans="1:2" x14ac:dyDescent="0.25">
      <c r="A17018" s="62">
        <v>80141604</v>
      </c>
      <c r="B17018" s="63" t="s">
        <v>17649</v>
      </c>
    </row>
    <row r="17019" spans="1:2" x14ac:dyDescent="0.25">
      <c r="A17019" s="62">
        <v>80141605</v>
      </c>
      <c r="B17019" s="63" t="s">
        <v>17650</v>
      </c>
    </row>
    <row r="17020" spans="1:2" x14ac:dyDescent="0.25">
      <c r="A17020" s="62">
        <v>80141606</v>
      </c>
      <c r="B17020" s="63" t="s">
        <v>17651</v>
      </c>
    </row>
    <row r="17021" spans="1:2" x14ac:dyDescent="0.25">
      <c r="A17021" s="62">
        <v>80141607</v>
      </c>
      <c r="B17021" s="63" t="s">
        <v>48</v>
      </c>
    </row>
    <row r="17022" spans="1:2" x14ac:dyDescent="0.25">
      <c r="A17022" s="62">
        <v>80141609</v>
      </c>
      <c r="B17022" s="63" t="s">
        <v>17652</v>
      </c>
    </row>
    <row r="17023" spans="1:2" x14ac:dyDescent="0.25">
      <c r="A17023" s="62">
        <v>80141610</v>
      </c>
      <c r="B17023" s="63" t="s">
        <v>17653</v>
      </c>
    </row>
    <row r="17024" spans="1:2" x14ac:dyDescent="0.25">
      <c r="A17024" s="62">
        <v>80141611</v>
      </c>
      <c r="B17024" s="63" t="s">
        <v>488</v>
      </c>
    </row>
    <row r="17025" spans="1:2" x14ac:dyDescent="0.25">
      <c r="A17025" s="62">
        <v>80141612</v>
      </c>
      <c r="B17025" s="63" t="s">
        <v>17654</v>
      </c>
    </row>
    <row r="17026" spans="1:2" x14ac:dyDescent="0.25">
      <c r="A17026" s="62">
        <v>80141613</v>
      </c>
      <c r="B17026" s="63" t="s">
        <v>17655</v>
      </c>
    </row>
    <row r="17027" spans="1:2" x14ac:dyDescent="0.25">
      <c r="A17027" s="62">
        <v>80141614</v>
      </c>
      <c r="B17027" s="63" t="s">
        <v>17656</v>
      </c>
    </row>
    <row r="17028" spans="1:2" x14ac:dyDescent="0.25">
      <c r="A17028" s="62">
        <v>80141615</v>
      </c>
      <c r="B17028" s="63" t="s">
        <v>17657</v>
      </c>
    </row>
    <row r="17029" spans="1:2" x14ac:dyDescent="0.25">
      <c r="A17029" s="62">
        <v>80141616</v>
      </c>
      <c r="B17029" s="63" t="s">
        <v>17658</v>
      </c>
    </row>
    <row r="17030" spans="1:2" x14ac:dyDescent="0.25">
      <c r="A17030" s="62">
        <v>80141617</v>
      </c>
      <c r="B17030" s="63" t="s">
        <v>17659</v>
      </c>
    </row>
    <row r="17031" spans="1:2" x14ac:dyDescent="0.25">
      <c r="A17031" s="62">
        <v>80141618</v>
      </c>
      <c r="B17031" s="63" t="s">
        <v>17660</v>
      </c>
    </row>
    <row r="17032" spans="1:2" x14ac:dyDescent="0.25">
      <c r="A17032" s="62">
        <v>80141619</v>
      </c>
      <c r="B17032" s="63" t="s">
        <v>17661</v>
      </c>
    </row>
    <row r="17033" spans="1:2" x14ac:dyDescent="0.25">
      <c r="A17033" s="62">
        <v>80141620</v>
      </c>
      <c r="B17033" s="63" t="s">
        <v>17662</v>
      </c>
    </row>
    <row r="17034" spans="1:2" x14ac:dyDescent="0.25">
      <c r="A17034" s="62">
        <v>80141621</v>
      </c>
      <c r="B17034" s="63" t="s">
        <v>17663</v>
      </c>
    </row>
    <row r="17035" spans="1:2" x14ac:dyDescent="0.25">
      <c r="A17035" s="62">
        <v>80141622</v>
      </c>
      <c r="B17035" s="63" t="s">
        <v>17664</v>
      </c>
    </row>
    <row r="17036" spans="1:2" x14ac:dyDescent="0.25">
      <c r="A17036" s="62">
        <v>80141701</v>
      </c>
      <c r="B17036" s="63" t="s">
        <v>17665</v>
      </c>
    </row>
    <row r="17037" spans="1:2" x14ac:dyDescent="0.25">
      <c r="A17037" s="62">
        <v>80141702</v>
      </c>
      <c r="B17037" s="63" t="s">
        <v>17666</v>
      </c>
    </row>
    <row r="17038" spans="1:2" x14ac:dyDescent="0.25">
      <c r="A17038" s="62">
        <v>80141703</v>
      </c>
      <c r="B17038" s="63" t="s">
        <v>17667</v>
      </c>
    </row>
    <row r="17039" spans="1:2" x14ac:dyDescent="0.25">
      <c r="A17039" s="62">
        <v>80141704</v>
      </c>
      <c r="B17039" s="63" t="s">
        <v>17668</v>
      </c>
    </row>
    <row r="17040" spans="1:2" x14ac:dyDescent="0.25">
      <c r="A17040" s="62">
        <v>80141705</v>
      </c>
      <c r="B17040" s="63" t="s">
        <v>17669</v>
      </c>
    </row>
    <row r="17041" spans="1:2" x14ac:dyDescent="0.25">
      <c r="A17041" s="62">
        <v>80141801</v>
      </c>
      <c r="B17041" s="63" t="s">
        <v>17670</v>
      </c>
    </row>
    <row r="17042" spans="1:2" x14ac:dyDescent="0.25">
      <c r="A17042" s="62">
        <v>80141802</v>
      </c>
      <c r="B17042" s="63" t="s">
        <v>17671</v>
      </c>
    </row>
    <row r="17043" spans="1:2" x14ac:dyDescent="0.25">
      <c r="A17043" s="62">
        <v>80141803</v>
      </c>
      <c r="B17043" s="63" t="s">
        <v>17672</v>
      </c>
    </row>
    <row r="17044" spans="1:2" x14ac:dyDescent="0.25">
      <c r="A17044" s="62">
        <v>80141901</v>
      </c>
      <c r="B17044" s="63" t="s">
        <v>17673</v>
      </c>
    </row>
    <row r="17045" spans="1:2" x14ac:dyDescent="0.25">
      <c r="A17045" s="62">
        <v>80141902</v>
      </c>
      <c r="B17045" s="63" t="s">
        <v>17674</v>
      </c>
    </row>
    <row r="17046" spans="1:2" x14ac:dyDescent="0.25">
      <c r="A17046" s="62">
        <v>80141903</v>
      </c>
      <c r="B17046" s="63" t="s">
        <v>17675</v>
      </c>
    </row>
    <row r="17047" spans="1:2" x14ac:dyDescent="0.25">
      <c r="A17047" s="62">
        <v>80151501</v>
      </c>
      <c r="B17047" s="63" t="s">
        <v>17676</v>
      </c>
    </row>
    <row r="17048" spans="1:2" x14ac:dyDescent="0.25">
      <c r="A17048" s="62">
        <v>80151502</v>
      </c>
      <c r="B17048" s="63" t="s">
        <v>17677</v>
      </c>
    </row>
    <row r="17049" spans="1:2" x14ac:dyDescent="0.25">
      <c r="A17049" s="62">
        <v>80151503</v>
      </c>
      <c r="B17049" s="63" t="s">
        <v>17678</v>
      </c>
    </row>
    <row r="17050" spans="1:2" x14ac:dyDescent="0.25">
      <c r="A17050" s="62">
        <v>80151504</v>
      </c>
      <c r="B17050" s="63" t="s">
        <v>17679</v>
      </c>
    </row>
    <row r="17051" spans="1:2" x14ac:dyDescent="0.25">
      <c r="A17051" s="62">
        <v>80151505</v>
      </c>
      <c r="B17051" s="63" t="s">
        <v>17680</v>
      </c>
    </row>
    <row r="17052" spans="1:2" x14ac:dyDescent="0.25">
      <c r="A17052" s="62">
        <v>80151601</v>
      </c>
      <c r="B17052" s="63" t="s">
        <v>17681</v>
      </c>
    </row>
    <row r="17053" spans="1:2" x14ac:dyDescent="0.25">
      <c r="A17053" s="62">
        <v>80151602</v>
      </c>
      <c r="B17053" s="63" t="s">
        <v>17682</v>
      </c>
    </row>
    <row r="17054" spans="1:2" x14ac:dyDescent="0.25">
      <c r="A17054" s="62">
        <v>80151603</v>
      </c>
      <c r="B17054" s="63" t="s">
        <v>17683</v>
      </c>
    </row>
    <row r="17055" spans="1:2" x14ac:dyDescent="0.25">
      <c r="A17055" s="62">
        <v>80151604</v>
      </c>
      <c r="B17055" s="63" t="s">
        <v>17684</v>
      </c>
    </row>
    <row r="17056" spans="1:2" x14ac:dyDescent="0.25">
      <c r="A17056" s="62">
        <v>80161501</v>
      </c>
      <c r="B17056" s="63" t="s">
        <v>17685</v>
      </c>
    </row>
    <row r="17057" spans="1:2" x14ac:dyDescent="0.25">
      <c r="A17057" s="62">
        <v>80161502</v>
      </c>
      <c r="B17057" s="63" t="s">
        <v>17686</v>
      </c>
    </row>
    <row r="17058" spans="1:2" x14ac:dyDescent="0.25">
      <c r="A17058" s="62">
        <v>80161503</v>
      </c>
      <c r="B17058" s="63" t="s">
        <v>17687</v>
      </c>
    </row>
    <row r="17059" spans="1:2" x14ac:dyDescent="0.25">
      <c r="A17059" s="62">
        <v>80161504</v>
      </c>
      <c r="B17059" s="63" t="s">
        <v>17688</v>
      </c>
    </row>
    <row r="17060" spans="1:2" x14ac:dyDescent="0.25">
      <c r="A17060" s="62">
        <v>80161505</v>
      </c>
      <c r="B17060" s="63" t="s">
        <v>17689</v>
      </c>
    </row>
    <row r="17061" spans="1:2" x14ac:dyDescent="0.25">
      <c r="A17061" s="62">
        <v>80161506</v>
      </c>
      <c r="B17061" s="63" t="s">
        <v>17690</v>
      </c>
    </row>
    <row r="17062" spans="1:2" x14ac:dyDescent="0.25">
      <c r="A17062" s="62">
        <v>80161507</v>
      </c>
      <c r="B17062" s="63" t="s">
        <v>17691</v>
      </c>
    </row>
    <row r="17063" spans="1:2" x14ac:dyDescent="0.25">
      <c r="A17063" s="62">
        <v>80161508</v>
      </c>
      <c r="B17063" s="63" t="s">
        <v>606</v>
      </c>
    </row>
    <row r="17064" spans="1:2" x14ac:dyDescent="0.25">
      <c r="A17064" s="62">
        <v>80161601</v>
      </c>
      <c r="B17064" s="63" t="s">
        <v>17692</v>
      </c>
    </row>
    <row r="17065" spans="1:2" x14ac:dyDescent="0.25">
      <c r="A17065" s="62">
        <v>80161602</v>
      </c>
      <c r="B17065" s="63" t="s">
        <v>17693</v>
      </c>
    </row>
    <row r="17066" spans="1:2" x14ac:dyDescent="0.25">
      <c r="A17066" s="62">
        <v>80161603</v>
      </c>
      <c r="B17066" s="63" t="s">
        <v>17694</v>
      </c>
    </row>
    <row r="17067" spans="1:2" x14ac:dyDescent="0.25">
      <c r="A17067" s="62">
        <v>81101501</v>
      </c>
      <c r="B17067" s="63" t="s">
        <v>17695</v>
      </c>
    </row>
    <row r="17068" spans="1:2" x14ac:dyDescent="0.25">
      <c r="A17068" s="62">
        <v>81101502</v>
      </c>
      <c r="B17068" s="63" t="s">
        <v>17696</v>
      </c>
    </row>
    <row r="17069" spans="1:2" x14ac:dyDescent="0.25">
      <c r="A17069" s="62">
        <v>81101503</v>
      </c>
      <c r="B17069" s="63" t="s">
        <v>17697</v>
      </c>
    </row>
    <row r="17070" spans="1:2" x14ac:dyDescent="0.25">
      <c r="A17070" s="62">
        <v>81101505</v>
      </c>
      <c r="B17070" s="63" t="s">
        <v>559</v>
      </c>
    </row>
    <row r="17071" spans="1:2" x14ac:dyDescent="0.25">
      <c r="A17071" s="62">
        <v>81101506</v>
      </c>
      <c r="B17071" s="63" t="s">
        <v>17698</v>
      </c>
    </row>
    <row r="17072" spans="1:2" x14ac:dyDescent="0.25">
      <c r="A17072" s="62">
        <v>81101507</v>
      </c>
      <c r="B17072" s="63" t="s">
        <v>17699</v>
      </c>
    </row>
    <row r="17073" spans="1:2" x14ac:dyDescent="0.25">
      <c r="A17073" s="62">
        <v>81101508</v>
      </c>
      <c r="B17073" s="63" t="s">
        <v>17700</v>
      </c>
    </row>
    <row r="17074" spans="1:2" x14ac:dyDescent="0.25">
      <c r="A17074" s="62">
        <v>81101509</v>
      </c>
      <c r="B17074" s="63" t="s">
        <v>17701</v>
      </c>
    </row>
    <row r="17075" spans="1:2" x14ac:dyDescent="0.25">
      <c r="A17075" s="62">
        <v>81101510</v>
      </c>
      <c r="B17075" s="63" t="s">
        <v>17702</v>
      </c>
    </row>
    <row r="17076" spans="1:2" x14ac:dyDescent="0.25">
      <c r="A17076" s="62">
        <v>81101511</v>
      </c>
      <c r="B17076" s="63" t="s">
        <v>17703</v>
      </c>
    </row>
    <row r="17077" spans="1:2" x14ac:dyDescent="0.25">
      <c r="A17077" s="62">
        <v>81101512</v>
      </c>
      <c r="B17077" s="63" t="s">
        <v>17704</v>
      </c>
    </row>
    <row r="17078" spans="1:2" x14ac:dyDescent="0.25">
      <c r="A17078" s="62">
        <v>81101513</v>
      </c>
      <c r="B17078" s="63" t="s">
        <v>17705</v>
      </c>
    </row>
    <row r="17079" spans="1:2" x14ac:dyDescent="0.25">
      <c r="A17079" s="62">
        <v>81101601</v>
      </c>
      <c r="B17079" s="63" t="s">
        <v>17706</v>
      </c>
    </row>
    <row r="17080" spans="1:2" x14ac:dyDescent="0.25">
      <c r="A17080" s="62">
        <v>81101602</v>
      </c>
      <c r="B17080" s="63" t="s">
        <v>17707</v>
      </c>
    </row>
    <row r="17081" spans="1:2" x14ac:dyDescent="0.25">
      <c r="A17081" s="62">
        <v>81101603</v>
      </c>
      <c r="B17081" s="63" t="s">
        <v>17708</v>
      </c>
    </row>
    <row r="17082" spans="1:2" x14ac:dyDescent="0.25">
      <c r="A17082" s="62">
        <v>81101604</v>
      </c>
      <c r="B17082" s="63" t="s">
        <v>17709</v>
      </c>
    </row>
    <row r="17083" spans="1:2" x14ac:dyDescent="0.25">
      <c r="A17083" s="62">
        <v>81101605</v>
      </c>
      <c r="B17083" s="63" t="s">
        <v>17710</v>
      </c>
    </row>
    <row r="17084" spans="1:2" x14ac:dyDescent="0.25">
      <c r="A17084" s="62">
        <v>81101701</v>
      </c>
      <c r="B17084" s="63" t="s">
        <v>17711</v>
      </c>
    </row>
    <row r="17085" spans="1:2" x14ac:dyDescent="0.25">
      <c r="A17085" s="62">
        <v>81101702</v>
      </c>
      <c r="B17085" s="63" t="s">
        <v>17712</v>
      </c>
    </row>
    <row r="17086" spans="1:2" x14ac:dyDescent="0.25">
      <c r="A17086" s="62">
        <v>81101703</v>
      </c>
      <c r="B17086" s="63" t="s">
        <v>17713</v>
      </c>
    </row>
    <row r="17087" spans="1:2" x14ac:dyDescent="0.25">
      <c r="A17087" s="62">
        <v>81101801</v>
      </c>
      <c r="B17087" s="63" t="s">
        <v>17714</v>
      </c>
    </row>
    <row r="17088" spans="1:2" x14ac:dyDescent="0.25">
      <c r="A17088" s="62">
        <v>81101902</v>
      </c>
      <c r="B17088" s="63" t="s">
        <v>17715</v>
      </c>
    </row>
    <row r="17089" spans="1:2" x14ac:dyDescent="0.25">
      <c r="A17089" s="62">
        <v>81102001</v>
      </c>
      <c r="B17089" s="63" t="s">
        <v>17716</v>
      </c>
    </row>
    <row r="17090" spans="1:2" x14ac:dyDescent="0.25">
      <c r="A17090" s="62">
        <v>81102101</v>
      </c>
      <c r="B17090" s="63" t="s">
        <v>17717</v>
      </c>
    </row>
    <row r="17091" spans="1:2" x14ac:dyDescent="0.25">
      <c r="A17091" s="62">
        <v>81102201</v>
      </c>
      <c r="B17091" s="63" t="s">
        <v>17718</v>
      </c>
    </row>
    <row r="17092" spans="1:2" x14ac:dyDescent="0.25">
      <c r="A17092" s="62">
        <v>81102202</v>
      </c>
      <c r="B17092" s="63" t="s">
        <v>17719</v>
      </c>
    </row>
    <row r="17093" spans="1:2" x14ac:dyDescent="0.25">
      <c r="A17093" s="62">
        <v>81102203</v>
      </c>
      <c r="B17093" s="63" t="s">
        <v>17720</v>
      </c>
    </row>
    <row r="17094" spans="1:2" x14ac:dyDescent="0.25">
      <c r="A17094" s="62">
        <v>81102301</v>
      </c>
      <c r="B17094" s="63" t="s">
        <v>17721</v>
      </c>
    </row>
    <row r="17095" spans="1:2" x14ac:dyDescent="0.25">
      <c r="A17095" s="62">
        <v>81111501</v>
      </c>
      <c r="B17095" s="63" t="s">
        <v>17722</v>
      </c>
    </row>
    <row r="17096" spans="1:2" x14ac:dyDescent="0.25">
      <c r="A17096" s="62">
        <v>81111502</v>
      </c>
      <c r="B17096" s="63" t="s">
        <v>17723</v>
      </c>
    </row>
    <row r="17097" spans="1:2" x14ac:dyDescent="0.25">
      <c r="A17097" s="62">
        <v>81111503</v>
      </c>
      <c r="B17097" s="63" t="s">
        <v>17724</v>
      </c>
    </row>
    <row r="17098" spans="1:2" x14ac:dyDescent="0.25">
      <c r="A17098" s="62">
        <v>81111504</v>
      </c>
      <c r="B17098" s="63" t="s">
        <v>17725</v>
      </c>
    </row>
    <row r="17099" spans="1:2" x14ac:dyDescent="0.25">
      <c r="A17099" s="62">
        <v>81111505</v>
      </c>
      <c r="B17099" s="63" t="s">
        <v>17726</v>
      </c>
    </row>
    <row r="17100" spans="1:2" x14ac:dyDescent="0.25">
      <c r="A17100" s="62">
        <v>81111506</v>
      </c>
      <c r="B17100" s="63" t="s">
        <v>17727</v>
      </c>
    </row>
    <row r="17101" spans="1:2" x14ac:dyDescent="0.25">
      <c r="A17101" s="62">
        <v>81111507</v>
      </c>
      <c r="B17101" s="63" t="s">
        <v>17728</v>
      </c>
    </row>
    <row r="17102" spans="1:2" x14ac:dyDescent="0.25">
      <c r="A17102" s="62">
        <v>81111508</v>
      </c>
      <c r="B17102" s="63" t="s">
        <v>17729</v>
      </c>
    </row>
    <row r="17103" spans="1:2" x14ac:dyDescent="0.25">
      <c r="A17103" s="62">
        <v>81111509</v>
      </c>
      <c r="B17103" s="63" t="s">
        <v>17730</v>
      </c>
    </row>
    <row r="17104" spans="1:2" x14ac:dyDescent="0.25">
      <c r="A17104" s="62">
        <v>81111510</v>
      </c>
      <c r="B17104" s="63" t="s">
        <v>17731</v>
      </c>
    </row>
    <row r="17105" spans="1:2" x14ac:dyDescent="0.25">
      <c r="A17105" s="62">
        <v>81111601</v>
      </c>
      <c r="B17105" s="63" t="s">
        <v>17732</v>
      </c>
    </row>
    <row r="17106" spans="1:2" x14ac:dyDescent="0.25">
      <c r="A17106" s="62">
        <v>81111602</v>
      </c>
      <c r="B17106" s="63" t="s">
        <v>17733</v>
      </c>
    </row>
    <row r="17107" spans="1:2" x14ac:dyDescent="0.25">
      <c r="A17107" s="62">
        <v>81111603</v>
      </c>
      <c r="B17107" s="63" t="s">
        <v>17734</v>
      </c>
    </row>
    <row r="17108" spans="1:2" x14ac:dyDescent="0.25">
      <c r="A17108" s="62">
        <v>81111604</v>
      </c>
      <c r="B17108" s="63" t="s">
        <v>17735</v>
      </c>
    </row>
    <row r="17109" spans="1:2" x14ac:dyDescent="0.25">
      <c r="A17109" s="62">
        <v>81111605</v>
      </c>
      <c r="B17109" s="63" t="s">
        <v>17736</v>
      </c>
    </row>
    <row r="17110" spans="1:2" x14ac:dyDescent="0.25">
      <c r="A17110" s="62">
        <v>81111606</v>
      </c>
      <c r="B17110" s="63" t="s">
        <v>17737</v>
      </c>
    </row>
    <row r="17111" spans="1:2" x14ac:dyDescent="0.25">
      <c r="A17111" s="62">
        <v>81111607</v>
      </c>
      <c r="B17111" s="63" t="s">
        <v>17738</v>
      </c>
    </row>
    <row r="17112" spans="1:2" x14ac:dyDescent="0.25">
      <c r="A17112" s="62">
        <v>81111608</v>
      </c>
      <c r="B17112" s="63" t="s">
        <v>17739</v>
      </c>
    </row>
    <row r="17113" spans="1:2" x14ac:dyDescent="0.25">
      <c r="A17113" s="62">
        <v>81111609</v>
      </c>
      <c r="B17113" s="63" t="s">
        <v>17740</v>
      </c>
    </row>
    <row r="17114" spans="1:2" x14ac:dyDescent="0.25">
      <c r="A17114" s="62">
        <v>81111610</v>
      </c>
      <c r="B17114" s="63" t="s">
        <v>17741</v>
      </c>
    </row>
    <row r="17115" spans="1:2" x14ac:dyDescent="0.25">
      <c r="A17115" s="62">
        <v>81111611</v>
      </c>
      <c r="B17115" s="63" t="s">
        <v>17742</v>
      </c>
    </row>
    <row r="17116" spans="1:2" x14ac:dyDescent="0.25">
      <c r="A17116" s="62">
        <v>81111612</v>
      </c>
      <c r="B17116" s="63" t="s">
        <v>17743</v>
      </c>
    </row>
    <row r="17117" spans="1:2" x14ac:dyDescent="0.25">
      <c r="A17117" s="62">
        <v>81111613</v>
      </c>
      <c r="B17117" s="63" t="s">
        <v>17744</v>
      </c>
    </row>
    <row r="17118" spans="1:2" x14ac:dyDescent="0.25">
      <c r="A17118" s="62">
        <v>81111701</v>
      </c>
      <c r="B17118" s="63" t="s">
        <v>17745</v>
      </c>
    </row>
    <row r="17119" spans="1:2" x14ac:dyDescent="0.25">
      <c r="A17119" s="62">
        <v>81111702</v>
      </c>
      <c r="B17119" s="63" t="s">
        <v>17746</v>
      </c>
    </row>
    <row r="17120" spans="1:2" x14ac:dyDescent="0.25">
      <c r="A17120" s="62">
        <v>81111703</v>
      </c>
      <c r="B17120" s="63" t="s">
        <v>17747</v>
      </c>
    </row>
    <row r="17121" spans="1:2" x14ac:dyDescent="0.25">
      <c r="A17121" s="62">
        <v>81111704</v>
      </c>
      <c r="B17121" s="63" t="s">
        <v>17748</v>
      </c>
    </row>
    <row r="17122" spans="1:2" x14ac:dyDescent="0.25">
      <c r="A17122" s="62">
        <v>81111705</v>
      </c>
      <c r="B17122" s="63" t="s">
        <v>17749</v>
      </c>
    </row>
    <row r="17123" spans="1:2" x14ac:dyDescent="0.25">
      <c r="A17123" s="62">
        <v>81111801</v>
      </c>
      <c r="B17123" s="63" t="s">
        <v>17750</v>
      </c>
    </row>
    <row r="17124" spans="1:2" x14ac:dyDescent="0.25">
      <c r="A17124" s="62">
        <v>81111802</v>
      </c>
      <c r="B17124" s="63" t="s">
        <v>17751</v>
      </c>
    </row>
    <row r="17125" spans="1:2" x14ac:dyDescent="0.25">
      <c r="A17125" s="62">
        <v>81111803</v>
      </c>
      <c r="B17125" s="63" t="s">
        <v>17752</v>
      </c>
    </row>
    <row r="17126" spans="1:2" x14ac:dyDescent="0.25">
      <c r="A17126" s="62">
        <v>81111804</v>
      </c>
      <c r="B17126" s="63" t="s">
        <v>17753</v>
      </c>
    </row>
    <row r="17127" spans="1:2" x14ac:dyDescent="0.25">
      <c r="A17127" s="62">
        <v>81111805</v>
      </c>
      <c r="B17127" s="63" t="s">
        <v>17754</v>
      </c>
    </row>
    <row r="17128" spans="1:2" x14ac:dyDescent="0.25">
      <c r="A17128" s="62">
        <v>81111806</v>
      </c>
      <c r="B17128" s="63" t="s">
        <v>17755</v>
      </c>
    </row>
    <row r="17129" spans="1:2" x14ac:dyDescent="0.25">
      <c r="A17129" s="62">
        <v>81111807</v>
      </c>
      <c r="B17129" s="63" t="s">
        <v>17756</v>
      </c>
    </row>
    <row r="17130" spans="1:2" x14ac:dyDescent="0.25">
      <c r="A17130" s="62">
        <v>81111808</v>
      </c>
      <c r="B17130" s="63" t="s">
        <v>17757</v>
      </c>
    </row>
    <row r="17131" spans="1:2" x14ac:dyDescent="0.25">
      <c r="A17131" s="62">
        <v>81111809</v>
      </c>
      <c r="B17131" s="63" t="s">
        <v>17758</v>
      </c>
    </row>
    <row r="17132" spans="1:2" x14ac:dyDescent="0.25">
      <c r="A17132" s="62">
        <v>81111810</v>
      </c>
      <c r="B17132" s="63" t="s">
        <v>17759</v>
      </c>
    </row>
    <row r="17133" spans="1:2" x14ac:dyDescent="0.25">
      <c r="A17133" s="62">
        <v>81111811</v>
      </c>
      <c r="B17133" s="63" t="s">
        <v>17760</v>
      </c>
    </row>
    <row r="17134" spans="1:2" x14ac:dyDescent="0.25">
      <c r="A17134" s="62">
        <v>81111812</v>
      </c>
      <c r="B17134" s="63" t="s">
        <v>17761</v>
      </c>
    </row>
    <row r="17135" spans="1:2" x14ac:dyDescent="0.25">
      <c r="A17135" s="62">
        <v>81111814</v>
      </c>
      <c r="B17135" s="63" t="s">
        <v>17762</v>
      </c>
    </row>
    <row r="17136" spans="1:2" x14ac:dyDescent="0.25">
      <c r="A17136" s="62">
        <v>81111818</v>
      </c>
      <c r="B17136" s="63" t="s">
        <v>17763</v>
      </c>
    </row>
    <row r="17137" spans="1:2" x14ac:dyDescent="0.25">
      <c r="A17137" s="62">
        <v>81111901</v>
      </c>
      <c r="B17137" s="63" t="s">
        <v>17764</v>
      </c>
    </row>
    <row r="17138" spans="1:2" x14ac:dyDescent="0.25">
      <c r="A17138" s="62">
        <v>81111902</v>
      </c>
      <c r="B17138" s="63" t="s">
        <v>17765</v>
      </c>
    </row>
    <row r="17139" spans="1:2" x14ac:dyDescent="0.25">
      <c r="A17139" s="62">
        <v>81112001</v>
      </c>
      <c r="B17139" s="63" t="s">
        <v>17766</v>
      </c>
    </row>
    <row r="17140" spans="1:2" x14ac:dyDescent="0.25">
      <c r="A17140" s="62">
        <v>81112002</v>
      </c>
      <c r="B17140" s="63" t="s">
        <v>17767</v>
      </c>
    </row>
    <row r="17141" spans="1:2" x14ac:dyDescent="0.25">
      <c r="A17141" s="62">
        <v>81112003</v>
      </c>
      <c r="B17141" s="63" t="s">
        <v>17768</v>
      </c>
    </row>
    <row r="17142" spans="1:2" x14ac:dyDescent="0.25">
      <c r="A17142" s="62">
        <v>81112004</v>
      </c>
      <c r="B17142" s="63" t="s">
        <v>17769</v>
      </c>
    </row>
    <row r="17143" spans="1:2" x14ac:dyDescent="0.25">
      <c r="A17143" s="62">
        <v>81112005</v>
      </c>
      <c r="B17143" s="63" t="s">
        <v>17770</v>
      </c>
    </row>
    <row r="17144" spans="1:2" x14ac:dyDescent="0.25">
      <c r="A17144" s="62">
        <v>81112006</v>
      </c>
      <c r="B17144" s="63" t="s">
        <v>17771</v>
      </c>
    </row>
    <row r="17145" spans="1:2" x14ac:dyDescent="0.25">
      <c r="A17145" s="62">
        <v>81112007</v>
      </c>
      <c r="B17145" s="63" t="s">
        <v>17772</v>
      </c>
    </row>
    <row r="17146" spans="1:2" x14ac:dyDescent="0.25">
      <c r="A17146" s="62">
        <v>81112008</v>
      </c>
      <c r="B17146" s="63" t="s">
        <v>17773</v>
      </c>
    </row>
    <row r="17147" spans="1:2" x14ac:dyDescent="0.25">
      <c r="A17147" s="62">
        <v>81112009</v>
      </c>
      <c r="B17147" s="63" t="s">
        <v>17774</v>
      </c>
    </row>
    <row r="17148" spans="1:2" x14ac:dyDescent="0.25">
      <c r="A17148" s="62">
        <v>81112010</v>
      </c>
      <c r="B17148" s="63" t="s">
        <v>17775</v>
      </c>
    </row>
    <row r="17149" spans="1:2" x14ac:dyDescent="0.25">
      <c r="A17149" s="62">
        <v>81112101</v>
      </c>
      <c r="B17149" s="63" t="s">
        <v>17776</v>
      </c>
    </row>
    <row r="17150" spans="1:2" x14ac:dyDescent="0.25">
      <c r="A17150" s="62">
        <v>81112102</v>
      </c>
      <c r="B17150" s="63" t="s">
        <v>17777</v>
      </c>
    </row>
    <row r="17151" spans="1:2" x14ac:dyDescent="0.25">
      <c r="A17151" s="62">
        <v>81112103</v>
      </c>
      <c r="B17151" s="63" t="s">
        <v>17778</v>
      </c>
    </row>
    <row r="17152" spans="1:2" x14ac:dyDescent="0.25">
      <c r="A17152" s="62">
        <v>81112104</v>
      </c>
      <c r="B17152" s="63" t="s">
        <v>17779</v>
      </c>
    </row>
    <row r="17153" spans="1:2" x14ac:dyDescent="0.25">
      <c r="A17153" s="62">
        <v>81112105</v>
      </c>
      <c r="B17153" s="63" t="s">
        <v>17780</v>
      </c>
    </row>
    <row r="17154" spans="1:2" x14ac:dyDescent="0.25">
      <c r="A17154" s="62">
        <v>81112106</v>
      </c>
      <c r="B17154" s="63" t="s">
        <v>17781</v>
      </c>
    </row>
    <row r="17155" spans="1:2" x14ac:dyDescent="0.25">
      <c r="A17155" s="62">
        <v>81112107</v>
      </c>
      <c r="B17155" s="63" t="s">
        <v>17782</v>
      </c>
    </row>
    <row r="17156" spans="1:2" x14ac:dyDescent="0.25">
      <c r="A17156" s="62">
        <v>81112201</v>
      </c>
      <c r="B17156" s="63" t="s">
        <v>17783</v>
      </c>
    </row>
    <row r="17157" spans="1:2" x14ac:dyDescent="0.25">
      <c r="A17157" s="62">
        <v>81112202</v>
      </c>
      <c r="B17157" s="63" t="s">
        <v>17784</v>
      </c>
    </row>
    <row r="17158" spans="1:2" x14ac:dyDescent="0.25">
      <c r="A17158" s="62">
        <v>81121501</v>
      </c>
      <c r="B17158" s="63" t="s">
        <v>17785</v>
      </c>
    </row>
    <row r="17159" spans="1:2" x14ac:dyDescent="0.25">
      <c r="A17159" s="62">
        <v>81121502</v>
      </c>
      <c r="B17159" s="63" t="s">
        <v>17786</v>
      </c>
    </row>
    <row r="17160" spans="1:2" x14ac:dyDescent="0.25">
      <c r="A17160" s="62">
        <v>81121503</v>
      </c>
      <c r="B17160" s="63" t="s">
        <v>17787</v>
      </c>
    </row>
    <row r="17161" spans="1:2" x14ac:dyDescent="0.25">
      <c r="A17161" s="62">
        <v>81121504</v>
      </c>
      <c r="B17161" s="63" t="s">
        <v>17788</v>
      </c>
    </row>
    <row r="17162" spans="1:2" x14ac:dyDescent="0.25">
      <c r="A17162" s="62">
        <v>81121601</v>
      </c>
      <c r="B17162" s="63" t="s">
        <v>17789</v>
      </c>
    </row>
    <row r="17163" spans="1:2" x14ac:dyDescent="0.25">
      <c r="A17163" s="62">
        <v>81121602</v>
      </c>
      <c r="B17163" s="63" t="s">
        <v>17790</v>
      </c>
    </row>
    <row r="17164" spans="1:2" x14ac:dyDescent="0.25">
      <c r="A17164" s="62">
        <v>81121603</v>
      </c>
      <c r="B17164" s="63" t="s">
        <v>17791</v>
      </c>
    </row>
    <row r="17165" spans="1:2" x14ac:dyDescent="0.25">
      <c r="A17165" s="62">
        <v>81121604</v>
      </c>
      <c r="B17165" s="63" t="s">
        <v>17792</v>
      </c>
    </row>
    <row r="17166" spans="1:2" x14ac:dyDescent="0.25">
      <c r="A17166" s="62">
        <v>81121605</v>
      </c>
      <c r="B17166" s="63" t="s">
        <v>17793</v>
      </c>
    </row>
    <row r="17167" spans="1:2" x14ac:dyDescent="0.25">
      <c r="A17167" s="62">
        <v>81121606</v>
      </c>
      <c r="B17167" s="63" t="s">
        <v>17794</v>
      </c>
    </row>
    <row r="17168" spans="1:2" x14ac:dyDescent="0.25">
      <c r="A17168" s="62">
        <v>81121607</v>
      </c>
      <c r="B17168" s="63" t="s">
        <v>17795</v>
      </c>
    </row>
    <row r="17169" spans="1:2" x14ac:dyDescent="0.25">
      <c r="A17169" s="62">
        <v>81131501</v>
      </c>
      <c r="B17169" s="63" t="s">
        <v>17796</v>
      </c>
    </row>
    <row r="17170" spans="1:2" x14ac:dyDescent="0.25">
      <c r="A17170" s="62">
        <v>81131502</v>
      </c>
      <c r="B17170" s="63" t="s">
        <v>17797</v>
      </c>
    </row>
    <row r="17171" spans="1:2" x14ac:dyDescent="0.25">
      <c r="A17171" s="62">
        <v>81131503</v>
      </c>
      <c r="B17171" s="63" t="s">
        <v>17798</v>
      </c>
    </row>
    <row r="17172" spans="1:2" x14ac:dyDescent="0.25">
      <c r="A17172" s="62">
        <v>81131504</v>
      </c>
      <c r="B17172" s="63" t="s">
        <v>17799</v>
      </c>
    </row>
    <row r="17173" spans="1:2" x14ac:dyDescent="0.25">
      <c r="A17173" s="62">
        <v>81131505</v>
      </c>
      <c r="B17173" s="63" t="s">
        <v>17800</v>
      </c>
    </row>
    <row r="17174" spans="1:2" x14ac:dyDescent="0.25">
      <c r="A17174" s="62">
        <v>81141501</v>
      </c>
      <c r="B17174" s="63" t="s">
        <v>17801</v>
      </c>
    </row>
    <row r="17175" spans="1:2" x14ac:dyDescent="0.25">
      <c r="A17175" s="62">
        <v>81141502</v>
      </c>
      <c r="B17175" s="63" t="s">
        <v>17802</v>
      </c>
    </row>
    <row r="17176" spans="1:2" x14ac:dyDescent="0.25">
      <c r="A17176" s="62">
        <v>81141503</v>
      </c>
      <c r="B17176" s="63" t="s">
        <v>17803</v>
      </c>
    </row>
    <row r="17177" spans="1:2" x14ac:dyDescent="0.25">
      <c r="A17177" s="62">
        <v>81141504</v>
      </c>
      <c r="B17177" s="63" t="s">
        <v>17804</v>
      </c>
    </row>
    <row r="17178" spans="1:2" x14ac:dyDescent="0.25">
      <c r="A17178" s="62">
        <v>81141505</v>
      </c>
      <c r="B17178" s="63" t="s">
        <v>17805</v>
      </c>
    </row>
    <row r="17179" spans="1:2" x14ac:dyDescent="0.25">
      <c r="A17179" s="62">
        <v>81141506</v>
      </c>
      <c r="B17179" s="63" t="s">
        <v>17806</v>
      </c>
    </row>
    <row r="17180" spans="1:2" x14ac:dyDescent="0.25">
      <c r="A17180" s="62">
        <v>81141601</v>
      </c>
      <c r="B17180" s="63" t="s">
        <v>17807</v>
      </c>
    </row>
    <row r="17181" spans="1:2" x14ac:dyDescent="0.25">
      <c r="A17181" s="62">
        <v>81141602</v>
      </c>
      <c r="B17181" s="63" t="s">
        <v>17808</v>
      </c>
    </row>
    <row r="17182" spans="1:2" x14ac:dyDescent="0.25">
      <c r="A17182" s="62">
        <v>81141603</v>
      </c>
      <c r="B17182" s="63" t="s">
        <v>17809</v>
      </c>
    </row>
    <row r="17183" spans="1:2" x14ac:dyDescent="0.25">
      <c r="A17183" s="62">
        <v>81141604</v>
      </c>
      <c r="B17183" s="63" t="s">
        <v>17810</v>
      </c>
    </row>
    <row r="17184" spans="1:2" x14ac:dyDescent="0.25">
      <c r="A17184" s="62">
        <v>81141605</v>
      </c>
      <c r="B17184" s="63" t="s">
        <v>17811</v>
      </c>
    </row>
    <row r="17185" spans="1:2" x14ac:dyDescent="0.25">
      <c r="A17185" s="62">
        <v>81141606</v>
      </c>
      <c r="B17185" s="63" t="s">
        <v>17812</v>
      </c>
    </row>
    <row r="17186" spans="1:2" x14ac:dyDescent="0.25">
      <c r="A17186" s="62">
        <v>81141701</v>
      </c>
      <c r="B17186" s="63" t="s">
        <v>17813</v>
      </c>
    </row>
    <row r="17187" spans="1:2" x14ac:dyDescent="0.25">
      <c r="A17187" s="62">
        <v>81141702</v>
      </c>
      <c r="B17187" s="63" t="s">
        <v>17814</v>
      </c>
    </row>
    <row r="17188" spans="1:2" x14ac:dyDescent="0.25">
      <c r="A17188" s="62">
        <v>81141703</v>
      </c>
      <c r="B17188" s="63" t="s">
        <v>17815</v>
      </c>
    </row>
    <row r="17189" spans="1:2" x14ac:dyDescent="0.25">
      <c r="A17189" s="62">
        <v>81141704</v>
      </c>
      <c r="B17189" s="63" t="s">
        <v>17816</v>
      </c>
    </row>
    <row r="17190" spans="1:2" x14ac:dyDescent="0.25">
      <c r="A17190" s="62">
        <v>81141801</v>
      </c>
      <c r="B17190" s="63" t="s">
        <v>17817</v>
      </c>
    </row>
    <row r="17191" spans="1:2" x14ac:dyDescent="0.25">
      <c r="A17191" s="62">
        <v>81141802</v>
      </c>
      <c r="B17191" s="63" t="s">
        <v>17818</v>
      </c>
    </row>
    <row r="17192" spans="1:2" x14ac:dyDescent="0.25">
      <c r="A17192" s="62">
        <v>81141803</v>
      </c>
      <c r="B17192" s="63" t="s">
        <v>17819</v>
      </c>
    </row>
    <row r="17193" spans="1:2" x14ac:dyDescent="0.25">
      <c r="A17193" s="62">
        <v>81141804</v>
      </c>
      <c r="B17193" s="63" t="s">
        <v>17820</v>
      </c>
    </row>
    <row r="17194" spans="1:2" x14ac:dyDescent="0.25">
      <c r="A17194" s="62">
        <v>81141805</v>
      </c>
      <c r="B17194" s="63" t="s">
        <v>17821</v>
      </c>
    </row>
    <row r="17195" spans="1:2" x14ac:dyDescent="0.25">
      <c r="A17195" s="62">
        <v>81141806</v>
      </c>
      <c r="B17195" s="63" t="s">
        <v>17822</v>
      </c>
    </row>
    <row r="17196" spans="1:2" x14ac:dyDescent="0.25">
      <c r="A17196" s="62">
        <v>81141807</v>
      </c>
      <c r="B17196" s="63" t="s">
        <v>17823</v>
      </c>
    </row>
    <row r="17197" spans="1:2" x14ac:dyDescent="0.25">
      <c r="A17197" s="62">
        <v>81151501</v>
      </c>
      <c r="B17197" s="63" t="s">
        <v>17824</v>
      </c>
    </row>
    <row r="17198" spans="1:2" x14ac:dyDescent="0.25">
      <c r="A17198" s="62">
        <v>81151502</v>
      </c>
      <c r="B17198" s="63" t="s">
        <v>17825</v>
      </c>
    </row>
    <row r="17199" spans="1:2" x14ac:dyDescent="0.25">
      <c r="A17199" s="62">
        <v>81151503</v>
      </c>
      <c r="B17199" s="63" t="s">
        <v>17826</v>
      </c>
    </row>
    <row r="17200" spans="1:2" x14ac:dyDescent="0.25">
      <c r="A17200" s="62">
        <v>81151601</v>
      </c>
      <c r="B17200" s="63" t="s">
        <v>17827</v>
      </c>
    </row>
    <row r="17201" spans="1:2" x14ac:dyDescent="0.25">
      <c r="A17201" s="62">
        <v>81151602</v>
      </c>
      <c r="B17201" s="63" t="s">
        <v>17828</v>
      </c>
    </row>
    <row r="17202" spans="1:2" x14ac:dyDescent="0.25">
      <c r="A17202" s="62">
        <v>81151603</v>
      </c>
      <c r="B17202" s="63" t="s">
        <v>17829</v>
      </c>
    </row>
    <row r="17203" spans="1:2" x14ac:dyDescent="0.25">
      <c r="A17203" s="62">
        <v>81151604</v>
      </c>
      <c r="B17203" s="63" t="s">
        <v>17830</v>
      </c>
    </row>
    <row r="17204" spans="1:2" x14ac:dyDescent="0.25">
      <c r="A17204" s="62">
        <v>81151701</v>
      </c>
      <c r="B17204" s="63" t="s">
        <v>17831</v>
      </c>
    </row>
    <row r="17205" spans="1:2" x14ac:dyDescent="0.25">
      <c r="A17205" s="62">
        <v>81151702</v>
      </c>
      <c r="B17205" s="63" t="s">
        <v>17832</v>
      </c>
    </row>
    <row r="17206" spans="1:2" x14ac:dyDescent="0.25">
      <c r="A17206" s="62">
        <v>81151703</v>
      </c>
      <c r="B17206" s="63" t="s">
        <v>17833</v>
      </c>
    </row>
    <row r="17207" spans="1:2" x14ac:dyDescent="0.25">
      <c r="A17207" s="62">
        <v>81151704</v>
      </c>
      <c r="B17207" s="63" t="s">
        <v>17834</v>
      </c>
    </row>
    <row r="17208" spans="1:2" x14ac:dyDescent="0.25">
      <c r="A17208" s="62">
        <v>81151705</v>
      </c>
      <c r="B17208" s="63" t="s">
        <v>17835</v>
      </c>
    </row>
    <row r="17209" spans="1:2" x14ac:dyDescent="0.25">
      <c r="A17209" s="62">
        <v>81151801</v>
      </c>
      <c r="B17209" s="63" t="s">
        <v>17836</v>
      </c>
    </row>
    <row r="17210" spans="1:2" x14ac:dyDescent="0.25">
      <c r="A17210" s="62">
        <v>81151802</v>
      </c>
      <c r="B17210" s="63" t="s">
        <v>17837</v>
      </c>
    </row>
    <row r="17211" spans="1:2" x14ac:dyDescent="0.25">
      <c r="A17211" s="62">
        <v>81151803</v>
      </c>
      <c r="B17211" s="63" t="s">
        <v>17838</v>
      </c>
    </row>
    <row r="17212" spans="1:2" x14ac:dyDescent="0.25">
      <c r="A17212" s="62">
        <v>81151804</v>
      </c>
      <c r="B17212" s="63" t="s">
        <v>17839</v>
      </c>
    </row>
    <row r="17213" spans="1:2" x14ac:dyDescent="0.25">
      <c r="A17213" s="62">
        <v>81151805</v>
      </c>
      <c r="B17213" s="63" t="s">
        <v>17840</v>
      </c>
    </row>
    <row r="17214" spans="1:2" x14ac:dyDescent="0.25">
      <c r="A17214" s="62">
        <v>81151806</v>
      </c>
      <c r="B17214" s="63" t="s">
        <v>17841</v>
      </c>
    </row>
    <row r="17215" spans="1:2" x14ac:dyDescent="0.25">
      <c r="A17215" s="62">
        <v>81151901</v>
      </c>
      <c r="B17215" s="63" t="s">
        <v>17842</v>
      </c>
    </row>
    <row r="17216" spans="1:2" x14ac:dyDescent="0.25">
      <c r="A17216" s="62">
        <v>81151902</v>
      </c>
      <c r="B17216" s="63" t="s">
        <v>17843</v>
      </c>
    </row>
    <row r="17217" spans="1:2" x14ac:dyDescent="0.25">
      <c r="A17217" s="62">
        <v>81151903</v>
      </c>
      <c r="B17217" s="63" t="s">
        <v>17844</v>
      </c>
    </row>
    <row r="17218" spans="1:2" x14ac:dyDescent="0.25">
      <c r="A17218" s="62">
        <v>81151904</v>
      </c>
      <c r="B17218" s="63" t="s">
        <v>17845</v>
      </c>
    </row>
    <row r="17219" spans="1:2" x14ac:dyDescent="0.25">
      <c r="A17219" s="62">
        <v>82101501</v>
      </c>
      <c r="B17219" s="63" t="s">
        <v>17846</v>
      </c>
    </row>
    <row r="17220" spans="1:2" x14ac:dyDescent="0.25">
      <c r="A17220" s="62">
        <v>82101502</v>
      </c>
      <c r="B17220" s="63" t="s">
        <v>17847</v>
      </c>
    </row>
    <row r="17221" spans="1:2" x14ac:dyDescent="0.25">
      <c r="A17221" s="62">
        <v>82101503</v>
      </c>
      <c r="B17221" s="63" t="s">
        <v>17848</v>
      </c>
    </row>
    <row r="17222" spans="1:2" x14ac:dyDescent="0.25">
      <c r="A17222" s="62">
        <v>82101504</v>
      </c>
      <c r="B17222" s="63" t="s">
        <v>556</v>
      </c>
    </row>
    <row r="17223" spans="1:2" x14ac:dyDescent="0.25">
      <c r="A17223" s="62">
        <v>82101505</v>
      </c>
      <c r="B17223" s="63" t="s">
        <v>17849</v>
      </c>
    </row>
    <row r="17224" spans="1:2" x14ac:dyDescent="0.25">
      <c r="A17224" s="62">
        <v>82101506</v>
      </c>
      <c r="B17224" s="63" t="s">
        <v>17850</v>
      </c>
    </row>
    <row r="17225" spans="1:2" x14ac:dyDescent="0.25">
      <c r="A17225" s="62">
        <v>82101507</v>
      </c>
      <c r="B17225" s="63" t="s">
        <v>17851</v>
      </c>
    </row>
    <row r="17226" spans="1:2" x14ac:dyDescent="0.25">
      <c r="A17226" s="62">
        <v>82101508</v>
      </c>
      <c r="B17226" s="63" t="s">
        <v>17852</v>
      </c>
    </row>
    <row r="17227" spans="1:2" x14ac:dyDescent="0.25">
      <c r="A17227" s="62">
        <v>82101601</v>
      </c>
      <c r="B17227" s="63" t="s">
        <v>17853</v>
      </c>
    </row>
    <row r="17228" spans="1:2" x14ac:dyDescent="0.25">
      <c r="A17228" s="62">
        <v>82101602</v>
      </c>
      <c r="B17228" s="63" t="s">
        <v>17854</v>
      </c>
    </row>
    <row r="17229" spans="1:2" x14ac:dyDescent="0.25">
      <c r="A17229" s="62">
        <v>82101603</v>
      </c>
      <c r="B17229" s="63" t="s">
        <v>17855</v>
      </c>
    </row>
    <row r="17230" spans="1:2" x14ac:dyDescent="0.25">
      <c r="A17230" s="62">
        <v>82101604</v>
      </c>
      <c r="B17230" s="63" t="s">
        <v>17856</v>
      </c>
    </row>
    <row r="17231" spans="1:2" x14ac:dyDescent="0.25">
      <c r="A17231" s="62">
        <v>82101701</v>
      </c>
      <c r="B17231" s="63" t="s">
        <v>17857</v>
      </c>
    </row>
    <row r="17232" spans="1:2" x14ac:dyDescent="0.25">
      <c r="A17232" s="62">
        <v>82101702</v>
      </c>
      <c r="B17232" s="63" t="s">
        <v>17858</v>
      </c>
    </row>
    <row r="17233" spans="1:2" x14ac:dyDescent="0.25">
      <c r="A17233" s="62">
        <v>82101801</v>
      </c>
      <c r="B17233" s="63" t="s">
        <v>17859</v>
      </c>
    </row>
    <row r="17234" spans="1:2" x14ac:dyDescent="0.25">
      <c r="A17234" s="62">
        <v>82101901</v>
      </c>
      <c r="B17234" s="63" t="s">
        <v>17860</v>
      </c>
    </row>
    <row r="17235" spans="1:2" x14ac:dyDescent="0.25">
      <c r="A17235" s="62">
        <v>82101902</v>
      </c>
      <c r="B17235" s="63" t="s">
        <v>17861</v>
      </c>
    </row>
    <row r="17236" spans="1:2" x14ac:dyDescent="0.25">
      <c r="A17236" s="62">
        <v>82101903</v>
      </c>
      <c r="B17236" s="63" t="s">
        <v>17862</v>
      </c>
    </row>
    <row r="17237" spans="1:2" x14ac:dyDescent="0.25">
      <c r="A17237" s="62">
        <v>82101904</v>
      </c>
      <c r="B17237" s="63" t="s">
        <v>17863</v>
      </c>
    </row>
    <row r="17238" spans="1:2" x14ac:dyDescent="0.25">
      <c r="A17238" s="62">
        <v>82101905</v>
      </c>
      <c r="B17238" s="63" t="s">
        <v>17864</v>
      </c>
    </row>
    <row r="17239" spans="1:2" x14ac:dyDescent="0.25">
      <c r="A17239" s="62">
        <v>82111501</v>
      </c>
      <c r="B17239" s="63" t="s">
        <v>17865</v>
      </c>
    </row>
    <row r="17240" spans="1:2" x14ac:dyDescent="0.25">
      <c r="A17240" s="62">
        <v>82111502</v>
      </c>
      <c r="B17240" s="63" t="s">
        <v>17866</v>
      </c>
    </row>
    <row r="17241" spans="1:2" x14ac:dyDescent="0.25">
      <c r="A17241" s="62">
        <v>82111503</v>
      </c>
      <c r="B17241" s="63" t="s">
        <v>17867</v>
      </c>
    </row>
    <row r="17242" spans="1:2" x14ac:dyDescent="0.25">
      <c r="A17242" s="62">
        <v>82111601</v>
      </c>
      <c r="B17242" s="63" t="s">
        <v>17868</v>
      </c>
    </row>
    <row r="17243" spans="1:2" x14ac:dyDescent="0.25">
      <c r="A17243" s="62">
        <v>82111602</v>
      </c>
      <c r="B17243" s="63" t="s">
        <v>17869</v>
      </c>
    </row>
    <row r="17244" spans="1:2" x14ac:dyDescent="0.25">
      <c r="A17244" s="62">
        <v>82111603</v>
      </c>
      <c r="B17244" s="63" t="s">
        <v>17870</v>
      </c>
    </row>
    <row r="17245" spans="1:2" x14ac:dyDescent="0.25">
      <c r="A17245" s="62">
        <v>82111604</v>
      </c>
      <c r="B17245" s="63" t="s">
        <v>17871</v>
      </c>
    </row>
    <row r="17246" spans="1:2" x14ac:dyDescent="0.25">
      <c r="A17246" s="62">
        <v>82111701</v>
      </c>
      <c r="B17246" s="63" t="s">
        <v>17872</v>
      </c>
    </row>
    <row r="17247" spans="1:2" x14ac:dyDescent="0.25">
      <c r="A17247" s="62">
        <v>82111702</v>
      </c>
      <c r="B17247" s="63" t="s">
        <v>17873</v>
      </c>
    </row>
    <row r="17248" spans="1:2" x14ac:dyDescent="0.25">
      <c r="A17248" s="62">
        <v>82111703</v>
      </c>
      <c r="B17248" s="63" t="s">
        <v>17874</v>
      </c>
    </row>
    <row r="17249" spans="1:2" x14ac:dyDescent="0.25">
      <c r="A17249" s="62">
        <v>82111704</v>
      </c>
      <c r="B17249" s="63" t="s">
        <v>17875</v>
      </c>
    </row>
    <row r="17250" spans="1:2" x14ac:dyDescent="0.25">
      <c r="A17250" s="62">
        <v>82111705</v>
      </c>
      <c r="B17250" s="63" t="s">
        <v>17876</v>
      </c>
    </row>
    <row r="17251" spans="1:2" x14ac:dyDescent="0.25">
      <c r="A17251" s="62">
        <v>82111801</v>
      </c>
      <c r="B17251" s="63" t="s">
        <v>17877</v>
      </c>
    </row>
    <row r="17252" spans="1:2" x14ac:dyDescent="0.25">
      <c r="A17252" s="62">
        <v>82111802</v>
      </c>
      <c r="B17252" s="63" t="s">
        <v>17878</v>
      </c>
    </row>
    <row r="17253" spans="1:2" x14ac:dyDescent="0.25">
      <c r="A17253" s="62">
        <v>82111803</v>
      </c>
      <c r="B17253" s="63" t="s">
        <v>17879</v>
      </c>
    </row>
    <row r="17254" spans="1:2" x14ac:dyDescent="0.25">
      <c r="A17254" s="62">
        <v>82111804</v>
      </c>
      <c r="B17254" s="63" t="s">
        <v>17880</v>
      </c>
    </row>
    <row r="17255" spans="1:2" x14ac:dyDescent="0.25">
      <c r="A17255" s="62">
        <v>82111901</v>
      </c>
      <c r="B17255" s="63" t="s">
        <v>17881</v>
      </c>
    </row>
    <row r="17256" spans="1:2" x14ac:dyDescent="0.25">
      <c r="A17256" s="62">
        <v>82111902</v>
      </c>
      <c r="B17256" s="63" t="s">
        <v>17882</v>
      </c>
    </row>
    <row r="17257" spans="1:2" x14ac:dyDescent="0.25">
      <c r="A17257" s="62">
        <v>82111903</v>
      </c>
      <c r="B17257" s="63" t="s">
        <v>17883</v>
      </c>
    </row>
    <row r="17258" spans="1:2" x14ac:dyDescent="0.25">
      <c r="A17258" s="62">
        <v>82111904</v>
      </c>
      <c r="B17258" s="63" t="s">
        <v>17884</v>
      </c>
    </row>
    <row r="17259" spans="1:2" x14ac:dyDescent="0.25">
      <c r="A17259" s="62">
        <v>82121501</v>
      </c>
      <c r="B17259" s="63" t="s">
        <v>17885</v>
      </c>
    </row>
    <row r="17260" spans="1:2" x14ac:dyDescent="0.25">
      <c r="A17260" s="62">
        <v>82121502</v>
      </c>
      <c r="B17260" s="63" t="s">
        <v>17886</v>
      </c>
    </row>
    <row r="17261" spans="1:2" x14ac:dyDescent="0.25">
      <c r="A17261" s="62">
        <v>82121503</v>
      </c>
      <c r="B17261" s="63" t="s">
        <v>17887</v>
      </c>
    </row>
    <row r="17262" spans="1:2" x14ac:dyDescent="0.25">
      <c r="A17262" s="62">
        <v>82121504</v>
      </c>
      <c r="B17262" s="63" t="s">
        <v>17888</v>
      </c>
    </row>
    <row r="17263" spans="1:2" x14ac:dyDescent="0.25">
      <c r="A17263" s="62">
        <v>82121505</v>
      </c>
      <c r="B17263" s="63" t="s">
        <v>17889</v>
      </c>
    </row>
    <row r="17264" spans="1:2" x14ac:dyDescent="0.25">
      <c r="A17264" s="62">
        <v>82121506</v>
      </c>
      <c r="B17264" s="63" t="s">
        <v>17890</v>
      </c>
    </row>
    <row r="17265" spans="1:2" x14ac:dyDescent="0.25">
      <c r="A17265" s="62">
        <v>82121507</v>
      </c>
      <c r="B17265" s="63" t="s">
        <v>17891</v>
      </c>
    </row>
    <row r="17266" spans="1:2" x14ac:dyDescent="0.25">
      <c r="A17266" s="62">
        <v>82121508</v>
      </c>
      <c r="B17266" s="63" t="s">
        <v>17892</v>
      </c>
    </row>
    <row r="17267" spans="1:2" x14ac:dyDescent="0.25">
      <c r="A17267" s="62">
        <v>82121509</v>
      </c>
      <c r="B17267" s="63" t="s">
        <v>17893</v>
      </c>
    </row>
    <row r="17268" spans="1:2" x14ac:dyDescent="0.25">
      <c r="A17268" s="62">
        <v>82121510</v>
      </c>
      <c r="B17268" s="63" t="s">
        <v>17894</v>
      </c>
    </row>
    <row r="17269" spans="1:2" x14ac:dyDescent="0.25">
      <c r="A17269" s="62">
        <v>82121511</v>
      </c>
      <c r="B17269" s="63" t="s">
        <v>17895</v>
      </c>
    </row>
    <row r="17270" spans="1:2" x14ac:dyDescent="0.25">
      <c r="A17270" s="62">
        <v>82121512</v>
      </c>
      <c r="B17270" s="63" t="s">
        <v>17896</v>
      </c>
    </row>
    <row r="17271" spans="1:2" x14ac:dyDescent="0.25">
      <c r="A17271" s="62">
        <v>82121601</v>
      </c>
      <c r="B17271" s="63" t="s">
        <v>17897</v>
      </c>
    </row>
    <row r="17272" spans="1:2" x14ac:dyDescent="0.25">
      <c r="A17272" s="62">
        <v>82121602</v>
      </c>
      <c r="B17272" s="63" t="s">
        <v>17898</v>
      </c>
    </row>
    <row r="17273" spans="1:2" x14ac:dyDescent="0.25">
      <c r="A17273" s="62">
        <v>82121603</v>
      </c>
      <c r="B17273" s="63" t="s">
        <v>17899</v>
      </c>
    </row>
    <row r="17274" spans="1:2" x14ac:dyDescent="0.25">
      <c r="A17274" s="62">
        <v>82121701</v>
      </c>
      <c r="B17274" s="63" t="s">
        <v>17900</v>
      </c>
    </row>
    <row r="17275" spans="1:2" x14ac:dyDescent="0.25">
      <c r="A17275" s="62">
        <v>82121702</v>
      </c>
      <c r="B17275" s="63" t="s">
        <v>17901</v>
      </c>
    </row>
    <row r="17276" spans="1:2" x14ac:dyDescent="0.25">
      <c r="A17276" s="62">
        <v>82121801</v>
      </c>
      <c r="B17276" s="63" t="s">
        <v>17902</v>
      </c>
    </row>
    <row r="17277" spans="1:2" x14ac:dyDescent="0.25">
      <c r="A17277" s="62">
        <v>82121802</v>
      </c>
      <c r="B17277" s="63" t="s">
        <v>17903</v>
      </c>
    </row>
    <row r="17278" spans="1:2" x14ac:dyDescent="0.25">
      <c r="A17278" s="62">
        <v>82121901</v>
      </c>
      <c r="B17278" s="63" t="s">
        <v>17904</v>
      </c>
    </row>
    <row r="17279" spans="1:2" x14ac:dyDescent="0.25">
      <c r="A17279" s="62">
        <v>82121902</v>
      </c>
      <c r="B17279" s="63" t="s">
        <v>17905</v>
      </c>
    </row>
    <row r="17280" spans="1:2" x14ac:dyDescent="0.25">
      <c r="A17280" s="62">
        <v>82121903</v>
      </c>
      <c r="B17280" s="63" t="s">
        <v>17906</v>
      </c>
    </row>
    <row r="17281" spans="1:2" x14ac:dyDescent="0.25">
      <c r="A17281" s="62">
        <v>82121904</v>
      </c>
      <c r="B17281" s="63" t="s">
        <v>17907</v>
      </c>
    </row>
    <row r="17282" spans="1:2" x14ac:dyDescent="0.25">
      <c r="A17282" s="62">
        <v>82121905</v>
      </c>
      <c r="B17282" s="63" t="s">
        <v>17908</v>
      </c>
    </row>
    <row r="17283" spans="1:2" x14ac:dyDescent="0.25">
      <c r="A17283" s="62">
        <v>82121906</v>
      </c>
      <c r="B17283" s="63" t="s">
        <v>17909</v>
      </c>
    </row>
    <row r="17284" spans="1:2" x14ac:dyDescent="0.25">
      <c r="A17284" s="62">
        <v>82121907</v>
      </c>
      <c r="B17284" s="63" t="s">
        <v>17910</v>
      </c>
    </row>
    <row r="17285" spans="1:2" x14ac:dyDescent="0.25">
      <c r="A17285" s="62">
        <v>82121908</v>
      </c>
      <c r="B17285" s="63" t="s">
        <v>17911</v>
      </c>
    </row>
    <row r="17286" spans="1:2" x14ac:dyDescent="0.25">
      <c r="A17286" s="62">
        <v>82131501</v>
      </c>
      <c r="B17286" s="63" t="s">
        <v>17912</v>
      </c>
    </row>
    <row r="17287" spans="1:2" x14ac:dyDescent="0.25">
      <c r="A17287" s="62">
        <v>82131502</v>
      </c>
      <c r="B17287" s="63" t="s">
        <v>17913</v>
      </c>
    </row>
    <row r="17288" spans="1:2" x14ac:dyDescent="0.25">
      <c r="A17288" s="62">
        <v>82131503</v>
      </c>
      <c r="B17288" s="63" t="s">
        <v>17914</v>
      </c>
    </row>
    <row r="17289" spans="1:2" x14ac:dyDescent="0.25">
      <c r="A17289" s="62">
        <v>82131504</v>
      </c>
      <c r="B17289" s="63" t="s">
        <v>17915</v>
      </c>
    </row>
    <row r="17290" spans="1:2" x14ac:dyDescent="0.25">
      <c r="A17290" s="62">
        <v>82131601</v>
      </c>
      <c r="B17290" s="63" t="s">
        <v>17916</v>
      </c>
    </row>
    <row r="17291" spans="1:2" x14ac:dyDescent="0.25">
      <c r="A17291" s="62">
        <v>82131602</v>
      </c>
      <c r="B17291" s="63" t="s">
        <v>17917</v>
      </c>
    </row>
    <row r="17292" spans="1:2" x14ac:dyDescent="0.25">
      <c r="A17292" s="62">
        <v>82131603</v>
      </c>
      <c r="B17292" s="63" t="s">
        <v>17918</v>
      </c>
    </row>
    <row r="17293" spans="1:2" x14ac:dyDescent="0.25">
      <c r="A17293" s="62">
        <v>82131604</v>
      </c>
      <c r="B17293" s="63" t="s">
        <v>17919</v>
      </c>
    </row>
    <row r="17294" spans="1:2" x14ac:dyDescent="0.25">
      <c r="A17294" s="62">
        <v>82141501</v>
      </c>
      <c r="B17294" s="63" t="s">
        <v>17920</v>
      </c>
    </row>
    <row r="17295" spans="1:2" x14ac:dyDescent="0.25">
      <c r="A17295" s="62">
        <v>82141502</v>
      </c>
      <c r="B17295" s="63" t="s">
        <v>17921</v>
      </c>
    </row>
    <row r="17296" spans="1:2" x14ac:dyDescent="0.25">
      <c r="A17296" s="62">
        <v>82141503</v>
      </c>
      <c r="B17296" s="63" t="s">
        <v>17922</v>
      </c>
    </row>
    <row r="17297" spans="1:2" x14ac:dyDescent="0.25">
      <c r="A17297" s="62">
        <v>82141504</v>
      </c>
      <c r="B17297" s="63" t="s">
        <v>17923</v>
      </c>
    </row>
    <row r="17298" spans="1:2" x14ac:dyDescent="0.25">
      <c r="A17298" s="62">
        <v>82141505</v>
      </c>
      <c r="B17298" s="63" t="s">
        <v>17924</v>
      </c>
    </row>
    <row r="17299" spans="1:2" x14ac:dyDescent="0.25">
      <c r="A17299" s="62">
        <v>82141506</v>
      </c>
      <c r="B17299" s="63" t="s">
        <v>17925</v>
      </c>
    </row>
    <row r="17300" spans="1:2" x14ac:dyDescent="0.25">
      <c r="A17300" s="62">
        <v>82141507</v>
      </c>
      <c r="B17300" s="63" t="s">
        <v>17926</v>
      </c>
    </row>
    <row r="17301" spans="1:2" x14ac:dyDescent="0.25">
      <c r="A17301" s="62">
        <v>82141601</v>
      </c>
      <c r="B17301" s="63" t="s">
        <v>17927</v>
      </c>
    </row>
    <row r="17302" spans="1:2" x14ac:dyDescent="0.25">
      <c r="A17302" s="62">
        <v>82141602</v>
      </c>
      <c r="B17302" s="63" t="s">
        <v>17928</v>
      </c>
    </row>
    <row r="17303" spans="1:2" x14ac:dyDescent="0.25">
      <c r="A17303" s="62">
        <v>82151501</v>
      </c>
      <c r="B17303" s="63" t="s">
        <v>17929</v>
      </c>
    </row>
    <row r="17304" spans="1:2" x14ac:dyDescent="0.25">
      <c r="A17304" s="62">
        <v>82151502</v>
      </c>
      <c r="B17304" s="63" t="s">
        <v>17930</v>
      </c>
    </row>
    <row r="17305" spans="1:2" x14ac:dyDescent="0.25">
      <c r="A17305" s="62">
        <v>82151503</v>
      </c>
      <c r="B17305" s="63" t="s">
        <v>17931</v>
      </c>
    </row>
    <row r="17306" spans="1:2" x14ac:dyDescent="0.25">
      <c r="A17306" s="62">
        <v>82151504</v>
      </c>
      <c r="B17306" s="63" t="s">
        <v>17932</v>
      </c>
    </row>
    <row r="17307" spans="1:2" x14ac:dyDescent="0.25">
      <c r="A17307" s="62">
        <v>82151505</v>
      </c>
      <c r="B17307" s="63" t="s">
        <v>17933</v>
      </c>
    </row>
    <row r="17308" spans="1:2" x14ac:dyDescent="0.25">
      <c r="A17308" s="62">
        <v>82151506</v>
      </c>
      <c r="B17308" s="63" t="s">
        <v>17934</v>
      </c>
    </row>
    <row r="17309" spans="1:2" x14ac:dyDescent="0.25">
      <c r="A17309" s="62">
        <v>82151507</v>
      </c>
      <c r="B17309" s="63" t="s">
        <v>17935</v>
      </c>
    </row>
    <row r="17310" spans="1:2" x14ac:dyDescent="0.25">
      <c r="A17310" s="62">
        <v>82151508</v>
      </c>
      <c r="B17310" s="63" t="s">
        <v>17936</v>
      </c>
    </row>
    <row r="17311" spans="1:2" x14ac:dyDescent="0.25">
      <c r="A17311" s="62">
        <v>82151601</v>
      </c>
      <c r="B17311" s="63" t="s">
        <v>17937</v>
      </c>
    </row>
    <row r="17312" spans="1:2" x14ac:dyDescent="0.25">
      <c r="A17312" s="62">
        <v>82151602</v>
      </c>
      <c r="B17312" s="63" t="s">
        <v>17938</v>
      </c>
    </row>
    <row r="17313" spans="1:2" x14ac:dyDescent="0.25">
      <c r="A17313" s="62">
        <v>82151603</v>
      </c>
      <c r="B17313" s="63" t="s">
        <v>17939</v>
      </c>
    </row>
    <row r="17314" spans="1:2" x14ac:dyDescent="0.25">
      <c r="A17314" s="62">
        <v>82151604</v>
      </c>
      <c r="B17314" s="63" t="s">
        <v>17940</v>
      </c>
    </row>
    <row r="17315" spans="1:2" x14ac:dyDescent="0.25">
      <c r="A17315" s="62">
        <v>82151701</v>
      </c>
      <c r="B17315" s="63" t="s">
        <v>17941</v>
      </c>
    </row>
    <row r="17316" spans="1:2" x14ac:dyDescent="0.25">
      <c r="A17316" s="62">
        <v>82151702</v>
      </c>
      <c r="B17316" s="63" t="s">
        <v>17942</v>
      </c>
    </row>
    <row r="17317" spans="1:2" x14ac:dyDescent="0.25">
      <c r="A17317" s="62">
        <v>82151703</v>
      </c>
      <c r="B17317" s="63" t="s">
        <v>17943</v>
      </c>
    </row>
    <row r="17318" spans="1:2" x14ac:dyDescent="0.25">
      <c r="A17318" s="62">
        <v>82151704</v>
      </c>
      <c r="B17318" s="63" t="s">
        <v>17944</v>
      </c>
    </row>
    <row r="17319" spans="1:2" x14ac:dyDescent="0.25">
      <c r="A17319" s="62">
        <v>82151705</v>
      </c>
      <c r="B17319" s="63" t="s">
        <v>17945</v>
      </c>
    </row>
    <row r="17320" spans="1:2" x14ac:dyDescent="0.25">
      <c r="A17320" s="62">
        <v>82151706</v>
      </c>
      <c r="B17320" s="63" t="s">
        <v>17946</v>
      </c>
    </row>
    <row r="17321" spans="1:2" x14ac:dyDescent="0.25">
      <c r="A17321" s="62">
        <v>83101501</v>
      </c>
      <c r="B17321" s="63" t="s">
        <v>17947</v>
      </c>
    </row>
    <row r="17322" spans="1:2" x14ac:dyDescent="0.25">
      <c r="A17322" s="62">
        <v>83101502</v>
      </c>
      <c r="B17322" s="63" t="s">
        <v>17948</v>
      </c>
    </row>
    <row r="17323" spans="1:2" x14ac:dyDescent="0.25">
      <c r="A17323" s="62">
        <v>83101503</v>
      </c>
      <c r="B17323" s="63" t="s">
        <v>17949</v>
      </c>
    </row>
    <row r="17324" spans="1:2" x14ac:dyDescent="0.25">
      <c r="A17324" s="62">
        <v>83101504</v>
      </c>
      <c r="B17324" s="63" t="s">
        <v>17950</v>
      </c>
    </row>
    <row r="17325" spans="1:2" x14ac:dyDescent="0.25">
      <c r="A17325" s="62">
        <v>83101505</v>
      </c>
      <c r="B17325" s="63" t="s">
        <v>17951</v>
      </c>
    </row>
    <row r="17326" spans="1:2" x14ac:dyDescent="0.25">
      <c r="A17326" s="62">
        <v>83101506</v>
      </c>
      <c r="B17326" s="63" t="s">
        <v>17952</v>
      </c>
    </row>
    <row r="17327" spans="1:2" x14ac:dyDescent="0.25">
      <c r="A17327" s="62">
        <v>83101507</v>
      </c>
      <c r="B17327" s="63" t="s">
        <v>17953</v>
      </c>
    </row>
    <row r="17328" spans="1:2" x14ac:dyDescent="0.25">
      <c r="A17328" s="62">
        <v>83101508</v>
      </c>
      <c r="B17328" s="63" t="s">
        <v>17954</v>
      </c>
    </row>
    <row r="17329" spans="1:2" x14ac:dyDescent="0.25">
      <c r="A17329" s="62">
        <v>83101509</v>
      </c>
      <c r="B17329" s="63" t="s">
        <v>17955</v>
      </c>
    </row>
    <row r="17330" spans="1:2" x14ac:dyDescent="0.25">
      <c r="A17330" s="62">
        <v>83101510</v>
      </c>
      <c r="B17330" s="63" t="s">
        <v>17956</v>
      </c>
    </row>
    <row r="17331" spans="1:2" x14ac:dyDescent="0.25">
      <c r="A17331" s="62">
        <v>83101601</v>
      </c>
      <c r="B17331" s="63" t="s">
        <v>17957</v>
      </c>
    </row>
    <row r="17332" spans="1:2" x14ac:dyDescent="0.25">
      <c r="A17332" s="62">
        <v>83101602</v>
      </c>
      <c r="B17332" s="63" t="s">
        <v>17958</v>
      </c>
    </row>
    <row r="17333" spans="1:2" x14ac:dyDescent="0.25">
      <c r="A17333" s="62">
        <v>83101603</v>
      </c>
      <c r="B17333" s="63" t="s">
        <v>17959</v>
      </c>
    </row>
    <row r="17334" spans="1:2" x14ac:dyDescent="0.25">
      <c r="A17334" s="62">
        <v>83101604</v>
      </c>
      <c r="B17334" s="63" t="s">
        <v>17960</v>
      </c>
    </row>
    <row r="17335" spans="1:2" x14ac:dyDescent="0.25">
      <c r="A17335" s="62">
        <v>83101605</v>
      </c>
      <c r="B17335" s="63" t="s">
        <v>17961</v>
      </c>
    </row>
    <row r="17336" spans="1:2" x14ac:dyDescent="0.25">
      <c r="A17336" s="62">
        <v>83101801</v>
      </c>
      <c r="B17336" s="63" t="s">
        <v>17962</v>
      </c>
    </row>
    <row r="17337" spans="1:2" x14ac:dyDescent="0.25">
      <c r="A17337" s="62">
        <v>83101802</v>
      </c>
      <c r="B17337" s="63" t="s">
        <v>17963</v>
      </c>
    </row>
    <row r="17338" spans="1:2" x14ac:dyDescent="0.25">
      <c r="A17338" s="62">
        <v>83101803</v>
      </c>
      <c r="B17338" s="63" t="s">
        <v>17964</v>
      </c>
    </row>
    <row r="17339" spans="1:2" x14ac:dyDescent="0.25">
      <c r="A17339" s="62">
        <v>83101804</v>
      </c>
      <c r="B17339" s="63" t="s">
        <v>17965</v>
      </c>
    </row>
    <row r="17340" spans="1:2" x14ac:dyDescent="0.25">
      <c r="A17340" s="62">
        <v>83101805</v>
      </c>
      <c r="B17340" s="63" t="s">
        <v>17966</v>
      </c>
    </row>
    <row r="17341" spans="1:2" x14ac:dyDescent="0.25">
      <c r="A17341" s="62">
        <v>83101806</v>
      </c>
      <c r="B17341" s="63" t="s">
        <v>17967</v>
      </c>
    </row>
    <row r="17342" spans="1:2" x14ac:dyDescent="0.25">
      <c r="A17342" s="62">
        <v>83101807</v>
      </c>
      <c r="B17342" s="63" t="s">
        <v>17968</v>
      </c>
    </row>
    <row r="17343" spans="1:2" x14ac:dyDescent="0.25">
      <c r="A17343" s="62">
        <v>83101808</v>
      </c>
      <c r="B17343" s="63" t="s">
        <v>17969</v>
      </c>
    </row>
    <row r="17344" spans="1:2" x14ac:dyDescent="0.25">
      <c r="A17344" s="62">
        <v>83101901</v>
      </c>
      <c r="B17344" s="63" t="s">
        <v>17970</v>
      </c>
    </row>
    <row r="17345" spans="1:2" x14ac:dyDescent="0.25">
      <c r="A17345" s="62">
        <v>83101902</v>
      </c>
      <c r="B17345" s="63" t="s">
        <v>17971</v>
      </c>
    </row>
    <row r="17346" spans="1:2" x14ac:dyDescent="0.25">
      <c r="A17346" s="62">
        <v>83101903</v>
      </c>
      <c r="B17346" s="63" t="s">
        <v>17972</v>
      </c>
    </row>
    <row r="17347" spans="1:2" x14ac:dyDescent="0.25">
      <c r="A17347" s="62">
        <v>83102001</v>
      </c>
      <c r="B17347" s="63" t="s">
        <v>17973</v>
      </c>
    </row>
    <row r="17348" spans="1:2" x14ac:dyDescent="0.25">
      <c r="A17348" s="62">
        <v>83111501</v>
      </c>
      <c r="B17348" s="63" t="s">
        <v>17974</v>
      </c>
    </row>
    <row r="17349" spans="1:2" x14ac:dyDescent="0.25">
      <c r="A17349" s="62">
        <v>83111502</v>
      </c>
      <c r="B17349" s="63" t="s">
        <v>17975</v>
      </c>
    </row>
    <row r="17350" spans="1:2" x14ac:dyDescent="0.25">
      <c r="A17350" s="62">
        <v>83111503</v>
      </c>
      <c r="B17350" s="63" t="s">
        <v>17976</v>
      </c>
    </row>
    <row r="17351" spans="1:2" x14ac:dyDescent="0.25">
      <c r="A17351" s="62">
        <v>83111504</v>
      </c>
      <c r="B17351" s="63" t="s">
        <v>17977</v>
      </c>
    </row>
    <row r="17352" spans="1:2" x14ac:dyDescent="0.25">
      <c r="A17352" s="62">
        <v>83111505</v>
      </c>
      <c r="B17352" s="63" t="s">
        <v>17978</v>
      </c>
    </row>
    <row r="17353" spans="1:2" x14ac:dyDescent="0.25">
      <c r="A17353" s="62">
        <v>83111506</v>
      </c>
      <c r="B17353" s="63" t="s">
        <v>17979</v>
      </c>
    </row>
    <row r="17354" spans="1:2" x14ac:dyDescent="0.25">
      <c r="A17354" s="62">
        <v>83111507</v>
      </c>
      <c r="B17354" s="63" t="s">
        <v>17980</v>
      </c>
    </row>
    <row r="17355" spans="1:2" x14ac:dyDescent="0.25">
      <c r="A17355" s="62">
        <v>83111508</v>
      </c>
      <c r="B17355" s="63" t="s">
        <v>17981</v>
      </c>
    </row>
    <row r="17356" spans="1:2" x14ac:dyDescent="0.25">
      <c r="A17356" s="62">
        <v>83111510</v>
      </c>
      <c r="B17356" s="63" t="s">
        <v>17982</v>
      </c>
    </row>
    <row r="17357" spans="1:2" x14ac:dyDescent="0.25">
      <c r="A17357" s="62">
        <v>83111511</v>
      </c>
      <c r="B17357" s="63" t="s">
        <v>17983</v>
      </c>
    </row>
    <row r="17358" spans="1:2" x14ac:dyDescent="0.25">
      <c r="A17358" s="62">
        <v>83111601</v>
      </c>
      <c r="B17358" s="63" t="s">
        <v>17984</v>
      </c>
    </row>
    <row r="17359" spans="1:2" x14ac:dyDescent="0.25">
      <c r="A17359" s="62">
        <v>83111602</v>
      </c>
      <c r="B17359" s="63" t="s">
        <v>17985</v>
      </c>
    </row>
    <row r="17360" spans="1:2" x14ac:dyDescent="0.25">
      <c r="A17360" s="62">
        <v>83111603</v>
      </c>
      <c r="B17360" s="63" t="s">
        <v>17986</v>
      </c>
    </row>
    <row r="17361" spans="1:2" x14ac:dyDescent="0.25">
      <c r="A17361" s="62">
        <v>83111604</v>
      </c>
      <c r="B17361" s="63" t="s">
        <v>17987</v>
      </c>
    </row>
    <row r="17362" spans="1:2" x14ac:dyDescent="0.25">
      <c r="A17362" s="62">
        <v>83111605</v>
      </c>
      <c r="B17362" s="63" t="s">
        <v>17988</v>
      </c>
    </row>
    <row r="17363" spans="1:2" x14ac:dyDescent="0.25">
      <c r="A17363" s="62">
        <v>83111701</v>
      </c>
      <c r="B17363" s="63" t="s">
        <v>17989</v>
      </c>
    </row>
    <row r="17364" spans="1:2" x14ac:dyDescent="0.25">
      <c r="A17364" s="62">
        <v>83111702</v>
      </c>
      <c r="B17364" s="63" t="s">
        <v>17990</v>
      </c>
    </row>
    <row r="17365" spans="1:2" x14ac:dyDescent="0.25">
      <c r="A17365" s="62">
        <v>83111703</v>
      </c>
      <c r="B17365" s="63" t="s">
        <v>17991</v>
      </c>
    </row>
    <row r="17366" spans="1:2" x14ac:dyDescent="0.25">
      <c r="A17366" s="62">
        <v>83111801</v>
      </c>
      <c r="B17366" s="63" t="s">
        <v>17992</v>
      </c>
    </row>
    <row r="17367" spans="1:2" x14ac:dyDescent="0.25">
      <c r="A17367" s="62">
        <v>83111802</v>
      </c>
      <c r="B17367" s="63" t="s">
        <v>17993</v>
      </c>
    </row>
    <row r="17368" spans="1:2" x14ac:dyDescent="0.25">
      <c r="A17368" s="62">
        <v>83111803</v>
      </c>
      <c r="B17368" s="63" t="s">
        <v>17994</v>
      </c>
    </row>
    <row r="17369" spans="1:2" x14ac:dyDescent="0.25">
      <c r="A17369" s="62">
        <v>83111804</v>
      </c>
      <c r="B17369" s="63" t="s">
        <v>17995</v>
      </c>
    </row>
    <row r="17370" spans="1:2" x14ac:dyDescent="0.25">
      <c r="A17370" s="62">
        <v>83111901</v>
      </c>
      <c r="B17370" s="63" t="s">
        <v>17996</v>
      </c>
    </row>
    <row r="17371" spans="1:2" x14ac:dyDescent="0.25">
      <c r="A17371" s="62">
        <v>83111902</v>
      </c>
      <c r="B17371" s="63" t="s">
        <v>17997</v>
      </c>
    </row>
    <row r="17372" spans="1:2" x14ac:dyDescent="0.25">
      <c r="A17372" s="62">
        <v>83111903</v>
      </c>
      <c r="B17372" s="63" t="s">
        <v>17998</v>
      </c>
    </row>
    <row r="17373" spans="1:2" x14ac:dyDescent="0.25">
      <c r="A17373" s="62">
        <v>83111904</v>
      </c>
      <c r="B17373" s="63" t="s">
        <v>17999</v>
      </c>
    </row>
    <row r="17374" spans="1:2" x14ac:dyDescent="0.25">
      <c r="A17374" s="62">
        <v>83111905</v>
      </c>
      <c r="B17374" s="63" t="s">
        <v>18000</v>
      </c>
    </row>
    <row r="17375" spans="1:2" x14ac:dyDescent="0.25">
      <c r="A17375" s="62">
        <v>83112201</v>
      </c>
      <c r="B17375" s="63" t="s">
        <v>18001</v>
      </c>
    </row>
    <row r="17376" spans="1:2" x14ac:dyDescent="0.25">
      <c r="A17376" s="62">
        <v>83112202</v>
      </c>
      <c r="B17376" s="63" t="s">
        <v>18002</v>
      </c>
    </row>
    <row r="17377" spans="1:2" x14ac:dyDescent="0.25">
      <c r="A17377" s="62">
        <v>83112203</v>
      </c>
      <c r="B17377" s="63" t="s">
        <v>18003</v>
      </c>
    </row>
    <row r="17378" spans="1:2" x14ac:dyDescent="0.25">
      <c r="A17378" s="62">
        <v>83112204</v>
      </c>
      <c r="B17378" s="63" t="s">
        <v>18004</v>
      </c>
    </row>
    <row r="17379" spans="1:2" x14ac:dyDescent="0.25">
      <c r="A17379" s="62">
        <v>83112205</v>
      </c>
      <c r="B17379" s="63" t="s">
        <v>18005</v>
      </c>
    </row>
    <row r="17380" spans="1:2" x14ac:dyDescent="0.25">
      <c r="A17380" s="62">
        <v>83112301</v>
      </c>
      <c r="B17380" s="63" t="s">
        <v>18006</v>
      </c>
    </row>
    <row r="17381" spans="1:2" x14ac:dyDescent="0.25">
      <c r="A17381" s="62">
        <v>83112302</v>
      </c>
      <c r="B17381" s="63" t="s">
        <v>18007</v>
      </c>
    </row>
    <row r="17382" spans="1:2" x14ac:dyDescent="0.25">
      <c r="A17382" s="62">
        <v>83112303</v>
      </c>
      <c r="B17382" s="63" t="s">
        <v>18008</v>
      </c>
    </row>
    <row r="17383" spans="1:2" x14ac:dyDescent="0.25">
      <c r="A17383" s="62">
        <v>83112304</v>
      </c>
      <c r="B17383" s="63" t="s">
        <v>18009</v>
      </c>
    </row>
    <row r="17384" spans="1:2" x14ac:dyDescent="0.25">
      <c r="A17384" s="62">
        <v>83112401</v>
      </c>
      <c r="B17384" s="63" t="s">
        <v>18010</v>
      </c>
    </row>
    <row r="17385" spans="1:2" x14ac:dyDescent="0.25">
      <c r="A17385" s="62">
        <v>83112402</v>
      </c>
      <c r="B17385" s="63" t="s">
        <v>18011</v>
      </c>
    </row>
    <row r="17386" spans="1:2" x14ac:dyDescent="0.25">
      <c r="A17386" s="62">
        <v>83112403</v>
      </c>
      <c r="B17386" s="63" t="s">
        <v>18012</v>
      </c>
    </row>
    <row r="17387" spans="1:2" x14ac:dyDescent="0.25">
      <c r="A17387" s="62">
        <v>83112404</v>
      </c>
      <c r="B17387" s="63" t="s">
        <v>18013</v>
      </c>
    </row>
    <row r="17388" spans="1:2" x14ac:dyDescent="0.25">
      <c r="A17388" s="62">
        <v>83112405</v>
      </c>
      <c r="B17388" s="63" t="s">
        <v>18014</v>
      </c>
    </row>
    <row r="17389" spans="1:2" x14ac:dyDescent="0.25">
      <c r="A17389" s="62">
        <v>83112406</v>
      </c>
      <c r="B17389" s="63" t="s">
        <v>18015</v>
      </c>
    </row>
    <row r="17390" spans="1:2" x14ac:dyDescent="0.25">
      <c r="A17390" s="62">
        <v>83112501</v>
      </c>
      <c r="B17390" s="63" t="s">
        <v>18016</v>
      </c>
    </row>
    <row r="17391" spans="1:2" x14ac:dyDescent="0.25">
      <c r="A17391" s="62">
        <v>83112502</v>
      </c>
      <c r="B17391" s="63" t="s">
        <v>18017</v>
      </c>
    </row>
    <row r="17392" spans="1:2" x14ac:dyDescent="0.25">
      <c r="A17392" s="62">
        <v>83112503</v>
      </c>
      <c r="B17392" s="63" t="s">
        <v>18018</v>
      </c>
    </row>
    <row r="17393" spans="1:2" x14ac:dyDescent="0.25">
      <c r="A17393" s="62">
        <v>83112504</v>
      </c>
      <c r="B17393" s="63" t="s">
        <v>18019</v>
      </c>
    </row>
    <row r="17394" spans="1:2" x14ac:dyDescent="0.25">
      <c r="A17394" s="62">
        <v>83112505</v>
      </c>
      <c r="B17394" s="63" t="s">
        <v>18020</v>
      </c>
    </row>
    <row r="17395" spans="1:2" x14ac:dyDescent="0.25">
      <c r="A17395" s="62">
        <v>83112601</v>
      </c>
      <c r="B17395" s="63" t="s">
        <v>18021</v>
      </c>
    </row>
    <row r="17396" spans="1:2" x14ac:dyDescent="0.25">
      <c r="A17396" s="62">
        <v>83112602</v>
      </c>
      <c r="B17396" s="63" t="s">
        <v>18022</v>
      </c>
    </row>
    <row r="17397" spans="1:2" x14ac:dyDescent="0.25">
      <c r="A17397" s="62">
        <v>83112603</v>
      </c>
      <c r="B17397" s="63" t="s">
        <v>18023</v>
      </c>
    </row>
    <row r="17398" spans="1:2" x14ac:dyDescent="0.25">
      <c r="A17398" s="62">
        <v>83112604</v>
      </c>
      <c r="B17398" s="63" t="s">
        <v>18024</v>
      </c>
    </row>
    <row r="17399" spans="1:2" x14ac:dyDescent="0.25">
      <c r="A17399" s="62">
        <v>83112605</v>
      </c>
      <c r="B17399" s="63" t="s">
        <v>18025</v>
      </c>
    </row>
    <row r="17400" spans="1:2" x14ac:dyDescent="0.25">
      <c r="A17400" s="62">
        <v>83121501</v>
      </c>
      <c r="B17400" s="63" t="s">
        <v>18026</v>
      </c>
    </row>
    <row r="17401" spans="1:2" x14ac:dyDescent="0.25">
      <c r="A17401" s="62">
        <v>83121502</v>
      </c>
      <c r="B17401" s="63" t="s">
        <v>18027</v>
      </c>
    </row>
    <row r="17402" spans="1:2" x14ac:dyDescent="0.25">
      <c r="A17402" s="62">
        <v>83121503</v>
      </c>
      <c r="B17402" s="63" t="s">
        <v>18028</v>
      </c>
    </row>
    <row r="17403" spans="1:2" x14ac:dyDescent="0.25">
      <c r="A17403" s="62">
        <v>83121504</v>
      </c>
      <c r="B17403" s="63" t="s">
        <v>18029</v>
      </c>
    </row>
    <row r="17404" spans="1:2" x14ac:dyDescent="0.25">
      <c r="A17404" s="62">
        <v>83121601</v>
      </c>
      <c r="B17404" s="63" t="s">
        <v>18030</v>
      </c>
    </row>
    <row r="17405" spans="1:2" x14ac:dyDescent="0.25">
      <c r="A17405" s="62">
        <v>83121602</v>
      </c>
      <c r="B17405" s="63" t="s">
        <v>18031</v>
      </c>
    </row>
    <row r="17406" spans="1:2" x14ac:dyDescent="0.25">
      <c r="A17406" s="62">
        <v>83121603</v>
      </c>
      <c r="B17406" s="63" t="s">
        <v>18032</v>
      </c>
    </row>
    <row r="17407" spans="1:2" x14ac:dyDescent="0.25">
      <c r="A17407" s="62">
        <v>83121604</v>
      </c>
      <c r="B17407" s="63" t="s">
        <v>18033</v>
      </c>
    </row>
    <row r="17408" spans="1:2" x14ac:dyDescent="0.25">
      <c r="A17408" s="62">
        <v>83121605</v>
      </c>
      <c r="B17408" s="63" t="s">
        <v>18034</v>
      </c>
    </row>
    <row r="17409" spans="1:2" x14ac:dyDescent="0.25">
      <c r="A17409" s="62">
        <v>83121606</v>
      </c>
      <c r="B17409" s="63" t="s">
        <v>18035</v>
      </c>
    </row>
    <row r="17410" spans="1:2" x14ac:dyDescent="0.25">
      <c r="A17410" s="62">
        <v>83121701</v>
      </c>
      <c r="B17410" s="63" t="s">
        <v>18036</v>
      </c>
    </row>
    <row r="17411" spans="1:2" x14ac:dyDescent="0.25">
      <c r="A17411" s="62">
        <v>83121702</v>
      </c>
      <c r="B17411" s="63" t="s">
        <v>18037</v>
      </c>
    </row>
    <row r="17412" spans="1:2" x14ac:dyDescent="0.25">
      <c r="A17412" s="62">
        <v>83121703</v>
      </c>
      <c r="B17412" s="63" t="s">
        <v>18038</v>
      </c>
    </row>
    <row r="17413" spans="1:2" x14ac:dyDescent="0.25">
      <c r="A17413" s="62">
        <v>83121704</v>
      </c>
      <c r="B17413" s="63" t="s">
        <v>18039</v>
      </c>
    </row>
    <row r="17414" spans="1:2" x14ac:dyDescent="0.25">
      <c r="A17414" s="62">
        <v>84101501</v>
      </c>
      <c r="B17414" s="63" t="s">
        <v>18040</v>
      </c>
    </row>
    <row r="17415" spans="1:2" x14ac:dyDescent="0.25">
      <c r="A17415" s="62">
        <v>84101502</v>
      </c>
      <c r="B17415" s="63" t="s">
        <v>18041</v>
      </c>
    </row>
    <row r="17416" spans="1:2" x14ac:dyDescent="0.25">
      <c r="A17416" s="62">
        <v>84101503</v>
      </c>
      <c r="B17416" s="63" t="s">
        <v>18042</v>
      </c>
    </row>
    <row r="17417" spans="1:2" x14ac:dyDescent="0.25">
      <c r="A17417" s="62">
        <v>84101601</v>
      </c>
      <c r="B17417" s="63" t="s">
        <v>18043</v>
      </c>
    </row>
    <row r="17418" spans="1:2" x14ac:dyDescent="0.25">
      <c r="A17418" s="62">
        <v>84101602</v>
      </c>
      <c r="B17418" s="63" t="s">
        <v>18044</v>
      </c>
    </row>
    <row r="17419" spans="1:2" x14ac:dyDescent="0.25">
      <c r="A17419" s="62">
        <v>84101603</v>
      </c>
      <c r="B17419" s="63" t="s">
        <v>18045</v>
      </c>
    </row>
    <row r="17420" spans="1:2" x14ac:dyDescent="0.25">
      <c r="A17420" s="62">
        <v>84101604</v>
      </c>
      <c r="B17420" s="63" t="s">
        <v>18046</v>
      </c>
    </row>
    <row r="17421" spans="1:2" x14ac:dyDescent="0.25">
      <c r="A17421" s="62">
        <v>84101701</v>
      </c>
      <c r="B17421" s="63" t="s">
        <v>18047</v>
      </c>
    </row>
    <row r="17422" spans="1:2" x14ac:dyDescent="0.25">
      <c r="A17422" s="62">
        <v>84101702</v>
      </c>
      <c r="B17422" s="63" t="s">
        <v>18048</v>
      </c>
    </row>
    <row r="17423" spans="1:2" x14ac:dyDescent="0.25">
      <c r="A17423" s="62">
        <v>84101703</v>
      </c>
      <c r="B17423" s="63" t="s">
        <v>18049</v>
      </c>
    </row>
    <row r="17424" spans="1:2" x14ac:dyDescent="0.25">
      <c r="A17424" s="62">
        <v>84101704</v>
      </c>
      <c r="B17424" s="63" t="s">
        <v>18050</v>
      </c>
    </row>
    <row r="17425" spans="1:2" x14ac:dyDescent="0.25">
      <c r="A17425" s="62">
        <v>84101705</v>
      </c>
      <c r="B17425" s="63" t="s">
        <v>18051</v>
      </c>
    </row>
    <row r="17426" spans="1:2" x14ac:dyDescent="0.25">
      <c r="A17426" s="62">
        <v>84111501</v>
      </c>
      <c r="B17426" s="63" t="s">
        <v>18052</v>
      </c>
    </row>
    <row r="17427" spans="1:2" x14ac:dyDescent="0.25">
      <c r="A17427" s="62">
        <v>84111502</v>
      </c>
      <c r="B17427" s="63" t="s">
        <v>18053</v>
      </c>
    </row>
    <row r="17428" spans="1:2" x14ac:dyDescent="0.25">
      <c r="A17428" s="62">
        <v>84111503</v>
      </c>
      <c r="B17428" s="63" t="s">
        <v>18054</v>
      </c>
    </row>
    <row r="17429" spans="1:2" x14ac:dyDescent="0.25">
      <c r="A17429" s="62">
        <v>84111504</v>
      </c>
      <c r="B17429" s="63" t="s">
        <v>18055</v>
      </c>
    </row>
    <row r="17430" spans="1:2" x14ac:dyDescent="0.25">
      <c r="A17430" s="62">
        <v>84111505</v>
      </c>
      <c r="B17430" s="63" t="s">
        <v>18056</v>
      </c>
    </row>
    <row r="17431" spans="1:2" x14ac:dyDescent="0.25">
      <c r="A17431" s="62">
        <v>84111506</v>
      </c>
      <c r="B17431" s="63" t="s">
        <v>18057</v>
      </c>
    </row>
    <row r="17432" spans="1:2" x14ac:dyDescent="0.25">
      <c r="A17432" s="62">
        <v>84111507</v>
      </c>
      <c r="B17432" s="63" t="s">
        <v>18058</v>
      </c>
    </row>
    <row r="17433" spans="1:2" x14ac:dyDescent="0.25">
      <c r="A17433" s="62">
        <v>84111601</v>
      </c>
      <c r="B17433" s="63" t="s">
        <v>18059</v>
      </c>
    </row>
    <row r="17434" spans="1:2" x14ac:dyDescent="0.25">
      <c r="A17434" s="62">
        <v>84111602</v>
      </c>
      <c r="B17434" s="63" t="s">
        <v>18060</v>
      </c>
    </row>
    <row r="17435" spans="1:2" x14ac:dyDescent="0.25">
      <c r="A17435" s="62">
        <v>84111603</v>
      </c>
      <c r="B17435" s="63" t="s">
        <v>18061</v>
      </c>
    </row>
    <row r="17436" spans="1:2" x14ac:dyDescent="0.25">
      <c r="A17436" s="62">
        <v>84111701</v>
      </c>
      <c r="B17436" s="63" t="s">
        <v>18062</v>
      </c>
    </row>
    <row r="17437" spans="1:2" x14ac:dyDescent="0.25">
      <c r="A17437" s="62">
        <v>84111702</v>
      </c>
      <c r="B17437" s="63" t="s">
        <v>18063</v>
      </c>
    </row>
    <row r="17438" spans="1:2" x14ac:dyDescent="0.25">
      <c r="A17438" s="62">
        <v>84111703</v>
      </c>
      <c r="B17438" s="63" t="s">
        <v>18064</v>
      </c>
    </row>
    <row r="17439" spans="1:2" x14ac:dyDescent="0.25">
      <c r="A17439" s="62">
        <v>84111801</v>
      </c>
      <c r="B17439" s="63" t="s">
        <v>18065</v>
      </c>
    </row>
    <row r="17440" spans="1:2" x14ac:dyDescent="0.25">
      <c r="A17440" s="62">
        <v>84111802</v>
      </c>
      <c r="B17440" s="63" t="s">
        <v>18066</v>
      </c>
    </row>
    <row r="17441" spans="1:2" x14ac:dyDescent="0.25">
      <c r="A17441" s="62">
        <v>84121501</v>
      </c>
      <c r="B17441" s="63" t="s">
        <v>18067</v>
      </c>
    </row>
    <row r="17442" spans="1:2" x14ac:dyDescent="0.25">
      <c r="A17442" s="62">
        <v>84121502</v>
      </c>
      <c r="B17442" s="63" t="s">
        <v>18068</v>
      </c>
    </row>
    <row r="17443" spans="1:2" x14ac:dyDescent="0.25">
      <c r="A17443" s="62">
        <v>84121503</v>
      </c>
      <c r="B17443" s="63" t="s">
        <v>18069</v>
      </c>
    </row>
    <row r="17444" spans="1:2" x14ac:dyDescent="0.25">
      <c r="A17444" s="62">
        <v>84121504</v>
      </c>
      <c r="B17444" s="63" t="s">
        <v>18070</v>
      </c>
    </row>
    <row r="17445" spans="1:2" x14ac:dyDescent="0.25">
      <c r="A17445" s="62">
        <v>84121601</v>
      </c>
      <c r="B17445" s="63" t="s">
        <v>18071</v>
      </c>
    </row>
    <row r="17446" spans="1:2" x14ac:dyDescent="0.25">
      <c r="A17446" s="62">
        <v>84121602</v>
      </c>
      <c r="B17446" s="63" t="s">
        <v>18072</v>
      </c>
    </row>
    <row r="17447" spans="1:2" x14ac:dyDescent="0.25">
      <c r="A17447" s="62">
        <v>84121603</v>
      </c>
      <c r="B17447" s="63" t="s">
        <v>18073</v>
      </c>
    </row>
    <row r="17448" spans="1:2" x14ac:dyDescent="0.25">
      <c r="A17448" s="62">
        <v>84121604</v>
      </c>
      <c r="B17448" s="63" t="s">
        <v>18074</v>
      </c>
    </row>
    <row r="17449" spans="1:2" x14ac:dyDescent="0.25">
      <c r="A17449" s="62">
        <v>84121605</v>
      </c>
      <c r="B17449" s="63" t="s">
        <v>18075</v>
      </c>
    </row>
    <row r="17450" spans="1:2" x14ac:dyDescent="0.25">
      <c r="A17450" s="62">
        <v>84121606</v>
      </c>
      <c r="B17450" s="63" t="s">
        <v>18076</v>
      </c>
    </row>
    <row r="17451" spans="1:2" x14ac:dyDescent="0.25">
      <c r="A17451" s="62">
        <v>84121607</v>
      </c>
      <c r="B17451" s="63" t="s">
        <v>18077</v>
      </c>
    </row>
    <row r="17452" spans="1:2" x14ac:dyDescent="0.25">
      <c r="A17452" s="62">
        <v>84121701</v>
      </c>
      <c r="B17452" s="63" t="s">
        <v>18078</v>
      </c>
    </row>
    <row r="17453" spans="1:2" x14ac:dyDescent="0.25">
      <c r="A17453" s="62">
        <v>84121702</v>
      </c>
      <c r="B17453" s="63" t="s">
        <v>18079</v>
      </c>
    </row>
    <row r="17454" spans="1:2" x14ac:dyDescent="0.25">
      <c r="A17454" s="62">
        <v>84121703</v>
      </c>
      <c r="B17454" s="63" t="s">
        <v>18080</v>
      </c>
    </row>
    <row r="17455" spans="1:2" x14ac:dyDescent="0.25">
      <c r="A17455" s="62">
        <v>84121704</v>
      </c>
      <c r="B17455" s="63" t="s">
        <v>18081</v>
      </c>
    </row>
    <row r="17456" spans="1:2" x14ac:dyDescent="0.25">
      <c r="A17456" s="62">
        <v>84121705</v>
      </c>
      <c r="B17456" s="63" t="s">
        <v>18082</v>
      </c>
    </row>
    <row r="17457" spans="1:2" x14ac:dyDescent="0.25">
      <c r="A17457" s="62">
        <v>84121801</v>
      </c>
      <c r="B17457" s="63" t="s">
        <v>18083</v>
      </c>
    </row>
    <row r="17458" spans="1:2" x14ac:dyDescent="0.25">
      <c r="A17458" s="62">
        <v>84121802</v>
      </c>
      <c r="B17458" s="63" t="s">
        <v>18084</v>
      </c>
    </row>
    <row r="17459" spans="1:2" x14ac:dyDescent="0.25">
      <c r="A17459" s="62">
        <v>84121803</v>
      </c>
      <c r="B17459" s="63" t="s">
        <v>18085</v>
      </c>
    </row>
    <row r="17460" spans="1:2" x14ac:dyDescent="0.25">
      <c r="A17460" s="62">
        <v>84121804</v>
      </c>
      <c r="B17460" s="63" t="s">
        <v>18086</v>
      </c>
    </row>
    <row r="17461" spans="1:2" x14ac:dyDescent="0.25">
      <c r="A17461" s="62">
        <v>84121805</v>
      </c>
      <c r="B17461" s="63" t="s">
        <v>18087</v>
      </c>
    </row>
    <row r="17462" spans="1:2" x14ac:dyDescent="0.25">
      <c r="A17462" s="62">
        <v>84121806</v>
      </c>
      <c r="B17462" s="63" t="s">
        <v>18088</v>
      </c>
    </row>
    <row r="17463" spans="1:2" x14ac:dyDescent="0.25">
      <c r="A17463" s="62">
        <v>84121901</v>
      </c>
      <c r="B17463" s="63" t="s">
        <v>18089</v>
      </c>
    </row>
    <row r="17464" spans="1:2" x14ac:dyDescent="0.25">
      <c r="A17464" s="62">
        <v>84121902</v>
      </c>
      <c r="B17464" s="63" t="s">
        <v>18090</v>
      </c>
    </row>
    <row r="17465" spans="1:2" x14ac:dyDescent="0.25">
      <c r="A17465" s="62">
        <v>84121903</v>
      </c>
      <c r="B17465" s="63" t="s">
        <v>18091</v>
      </c>
    </row>
    <row r="17466" spans="1:2" x14ac:dyDescent="0.25">
      <c r="A17466" s="62">
        <v>84122001</v>
      </c>
      <c r="B17466" s="63" t="s">
        <v>18092</v>
      </c>
    </row>
    <row r="17467" spans="1:2" x14ac:dyDescent="0.25">
      <c r="A17467" s="62">
        <v>84131501</v>
      </c>
      <c r="B17467" s="63" t="s">
        <v>18093</v>
      </c>
    </row>
    <row r="17468" spans="1:2" x14ac:dyDescent="0.25">
      <c r="A17468" s="62">
        <v>84131502</v>
      </c>
      <c r="B17468" s="63" t="s">
        <v>18094</v>
      </c>
    </row>
    <row r="17469" spans="1:2" x14ac:dyDescent="0.25">
      <c r="A17469" s="62">
        <v>84131503</v>
      </c>
      <c r="B17469" s="63" t="s">
        <v>18095</v>
      </c>
    </row>
    <row r="17470" spans="1:2" x14ac:dyDescent="0.25">
      <c r="A17470" s="62">
        <v>84131504</v>
      </c>
      <c r="B17470" s="63" t="s">
        <v>18096</v>
      </c>
    </row>
    <row r="17471" spans="1:2" x14ac:dyDescent="0.25">
      <c r="A17471" s="62">
        <v>84131505</v>
      </c>
      <c r="B17471" s="63" t="s">
        <v>18097</v>
      </c>
    </row>
    <row r="17472" spans="1:2" x14ac:dyDescent="0.25">
      <c r="A17472" s="62">
        <v>84131506</v>
      </c>
      <c r="B17472" s="63" t="s">
        <v>18098</v>
      </c>
    </row>
    <row r="17473" spans="1:2" x14ac:dyDescent="0.25">
      <c r="A17473" s="62">
        <v>84131507</v>
      </c>
      <c r="B17473" s="63" t="s">
        <v>18099</v>
      </c>
    </row>
    <row r="17474" spans="1:2" x14ac:dyDescent="0.25">
      <c r="A17474" s="62">
        <v>84131508</v>
      </c>
      <c r="B17474" s="63" t="s">
        <v>18100</v>
      </c>
    </row>
    <row r="17475" spans="1:2" x14ac:dyDescent="0.25">
      <c r="A17475" s="62">
        <v>84131509</v>
      </c>
      <c r="B17475" s="63" t="s">
        <v>18101</v>
      </c>
    </row>
    <row r="17476" spans="1:2" x14ac:dyDescent="0.25">
      <c r="A17476" s="62">
        <v>84131510</v>
      </c>
      <c r="B17476" s="63" t="s">
        <v>18102</v>
      </c>
    </row>
    <row r="17477" spans="1:2" x14ac:dyDescent="0.25">
      <c r="A17477" s="62">
        <v>84131511</v>
      </c>
      <c r="B17477" s="63" t="s">
        <v>18103</v>
      </c>
    </row>
    <row r="17478" spans="1:2" x14ac:dyDescent="0.25">
      <c r="A17478" s="62">
        <v>84131512</v>
      </c>
      <c r="B17478" s="63" t="s">
        <v>18104</v>
      </c>
    </row>
    <row r="17479" spans="1:2" x14ac:dyDescent="0.25">
      <c r="A17479" s="62">
        <v>84131513</v>
      </c>
      <c r="B17479" s="63" t="s">
        <v>18105</v>
      </c>
    </row>
    <row r="17480" spans="1:2" x14ac:dyDescent="0.25">
      <c r="A17480" s="62">
        <v>84131514</v>
      </c>
      <c r="B17480" s="63" t="s">
        <v>18106</v>
      </c>
    </row>
    <row r="17481" spans="1:2" x14ac:dyDescent="0.25">
      <c r="A17481" s="62">
        <v>84131515</v>
      </c>
      <c r="B17481" s="63" t="s">
        <v>18107</v>
      </c>
    </row>
    <row r="17482" spans="1:2" x14ac:dyDescent="0.25">
      <c r="A17482" s="62">
        <v>84131516</v>
      </c>
      <c r="B17482" s="63" t="s">
        <v>18108</v>
      </c>
    </row>
    <row r="17483" spans="1:2" x14ac:dyDescent="0.25">
      <c r="A17483" s="62">
        <v>84131517</v>
      </c>
      <c r="B17483" s="63" t="s">
        <v>18109</v>
      </c>
    </row>
    <row r="17484" spans="1:2" x14ac:dyDescent="0.25">
      <c r="A17484" s="62">
        <v>84131601</v>
      </c>
      <c r="B17484" s="63" t="s">
        <v>18110</v>
      </c>
    </row>
    <row r="17485" spans="1:2" x14ac:dyDescent="0.25">
      <c r="A17485" s="62">
        <v>84131602</v>
      </c>
      <c r="B17485" s="63" t="s">
        <v>18111</v>
      </c>
    </row>
    <row r="17486" spans="1:2" x14ac:dyDescent="0.25">
      <c r="A17486" s="62">
        <v>84131603</v>
      </c>
      <c r="B17486" s="63" t="s">
        <v>18112</v>
      </c>
    </row>
    <row r="17487" spans="1:2" x14ac:dyDescent="0.25">
      <c r="A17487" s="62">
        <v>84131604</v>
      </c>
      <c r="B17487" s="63" t="s">
        <v>18113</v>
      </c>
    </row>
    <row r="17488" spans="1:2" x14ac:dyDescent="0.25">
      <c r="A17488" s="62">
        <v>84131605</v>
      </c>
      <c r="B17488" s="63" t="s">
        <v>18114</v>
      </c>
    </row>
    <row r="17489" spans="1:2" x14ac:dyDescent="0.25">
      <c r="A17489" s="62">
        <v>84131606</v>
      </c>
      <c r="B17489" s="63" t="s">
        <v>18115</v>
      </c>
    </row>
    <row r="17490" spans="1:2" x14ac:dyDescent="0.25">
      <c r="A17490" s="62">
        <v>84131607</v>
      </c>
      <c r="B17490" s="63" t="s">
        <v>18116</v>
      </c>
    </row>
    <row r="17491" spans="1:2" x14ac:dyDescent="0.25">
      <c r="A17491" s="62">
        <v>84131608</v>
      </c>
      <c r="B17491" s="63" t="s">
        <v>18117</v>
      </c>
    </row>
    <row r="17492" spans="1:2" x14ac:dyDescent="0.25">
      <c r="A17492" s="62">
        <v>84131609</v>
      </c>
      <c r="B17492" s="63" t="s">
        <v>18118</v>
      </c>
    </row>
    <row r="17493" spans="1:2" x14ac:dyDescent="0.25">
      <c r="A17493" s="62">
        <v>84131610</v>
      </c>
      <c r="B17493" s="63" t="s">
        <v>18119</v>
      </c>
    </row>
    <row r="17494" spans="1:2" x14ac:dyDescent="0.25">
      <c r="A17494" s="62">
        <v>84131701</v>
      </c>
      <c r="B17494" s="63" t="s">
        <v>18120</v>
      </c>
    </row>
    <row r="17495" spans="1:2" x14ac:dyDescent="0.25">
      <c r="A17495" s="62">
        <v>84131702</v>
      </c>
      <c r="B17495" s="63" t="s">
        <v>18121</v>
      </c>
    </row>
    <row r="17496" spans="1:2" x14ac:dyDescent="0.25">
      <c r="A17496" s="62">
        <v>84131801</v>
      </c>
      <c r="B17496" s="63" t="s">
        <v>18122</v>
      </c>
    </row>
    <row r="17497" spans="1:2" x14ac:dyDescent="0.25">
      <c r="A17497" s="62">
        <v>84131802</v>
      </c>
      <c r="B17497" s="63" t="s">
        <v>18123</v>
      </c>
    </row>
    <row r="17498" spans="1:2" x14ac:dyDescent="0.25">
      <c r="A17498" s="62">
        <v>84141501</v>
      </c>
      <c r="B17498" s="63" t="s">
        <v>18124</v>
      </c>
    </row>
    <row r="17499" spans="1:2" x14ac:dyDescent="0.25">
      <c r="A17499" s="62">
        <v>84141502</v>
      </c>
      <c r="B17499" s="63" t="s">
        <v>18125</v>
      </c>
    </row>
    <row r="17500" spans="1:2" x14ac:dyDescent="0.25">
      <c r="A17500" s="62">
        <v>84141503</v>
      </c>
      <c r="B17500" s="63" t="s">
        <v>18126</v>
      </c>
    </row>
    <row r="17501" spans="1:2" x14ac:dyDescent="0.25">
      <c r="A17501" s="62">
        <v>84141601</v>
      </c>
      <c r="B17501" s="63" t="s">
        <v>18127</v>
      </c>
    </row>
    <row r="17502" spans="1:2" x14ac:dyDescent="0.25">
      <c r="A17502" s="62">
        <v>84141602</v>
      </c>
      <c r="B17502" s="63" t="s">
        <v>18128</v>
      </c>
    </row>
    <row r="17503" spans="1:2" x14ac:dyDescent="0.25">
      <c r="A17503" s="62">
        <v>84141701</v>
      </c>
      <c r="B17503" s="63" t="s">
        <v>18129</v>
      </c>
    </row>
    <row r="17504" spans="1:2" x14ac:dyDescent="0.25">
      <c r="A17504" s="62">
        <v>84141702</v>
      </c>
      <c r="B17504" s="63" t="s">
        <v>18130</v>
      </c>
    </row>
    <row r="17505" spans="1:2" x14ac:dyDescent="0.25">
      <c r="A17505" s="62">
        <v>85101501</v>
      </c>
      <c r="B17505" s="63" t="s">
        <v>18131</v>
      </c>
    </row>
    <row r="17506" spans="1:2" x14ac:dyDescent="0.25">
      <c r="A17506" s="62">
        <v>85101502</v>
      </c>
      <c r="B17506" s="63" t="s">
        <v>18132</v>
      </c>
    </row>
    <row r="17507" spans="1:2" x14ac:dyDescent="0.25">
      <c r="A17507" s="62">
        <v>85101503</v>
      </c>
      <c r="B17507" s="63" t="s">
        <v>18133</v>
      </c>
    </row>
    <row r="17508" spans="1:2" x14ac:dyDescent="0.25">
      <c r="A17508" s="62">
        <v>85101504</v>
      </c>
      <c r="B17508" s="63" t="s">
        <v>18134</v>
      </c>
    </row>
    <row r="17509" spans="1:2" x14ac:dyDescent="0.25">
      <c r="A17509" s="62">
        <v>85101505</v>
      </c>
      <c r="B17509" s="63" t="s">
        <v>18135</v>
      </c>
    </row>
    <row r="17510" spans="1:2" x14ac:dyDescent="0.25">
      <c r="A17510" s="62">
        <v>85101506</v>
      </c>
      <c r="B17510" s="63" t="s">
        <v>18136</v>
      </c>
    </row>
    <row r="17511" spans="1:2" x14ac:dyDescent="0.25">
      <c r="A17511" s="62">
        <v>85101507</v>
      </c>
      <c r="B17511" s="63" t="s">
        <v>18137</v>
      </c>
    </row>
    <row r="17512" spans="1:2" x14ac:dyDescent="0.25">
      <c r="A17512" s="62">
        <v>85101508</v>
      </c>
      <c r="B17512" s="63" t="s">
        <v>18138</v>
      </c>
    </row>
    <row r="17513" spans="1:2" x14ac:dyDescent="0.25">
      <c r="A17513" s="62">
        <v>85101509</v>
      </c>
      <c r="B17513" s="63" t="s">
        <v>18139</v>
      </c>
    </row>
    <row r="17514" spans="1:2" x14ac:dyDescent="0.25">
      <c r="A17514" s="62">
        <v>85101601</v>
      </c>
      <c r="B17514" s="63" t="s">
        <v>18140</v>
      </c>
    </row>
    <row r="17515" spans="1:2" x14ac:dyDescent="0.25">
      <c r="A17515" s="62">
        <v>85101602</v>
      </c>
      <c r="B17515" s="63" t="s">
        <v>18141</v>
      </c>
    </row>
    <row r="17516" spans="1:2" x14ac:dyDescent="0.25">
      <c r="A17516" s="62">
        <v>85101603</v>
      </c>
      <c r="B17516" s="63" t="s">
        <v>18142</v>
      </c>
    </row>
    <row r="17517" spans="1:2" x14ac:dyDescent="0.25">
      <c r="A17517" s="62">
        <v>85101604</v>
      </c>
      <c r="B17517" s="63" t="s">
        <v>18143</v>
      </c>
    </row>
    <row r="17518" spans="1:2" x14ac:dyDescent="0.25">
      <c r="A17518" s="62">
        <v>85101605</v>
      </c>
      <c r="B17518" s="63" t="s">
        <v>18144</v>
      </c>
    </row>
    <row r="17519" spans="1:2" x14ac:dyDescent="0.25">
      <c r="A17519" s="62">
        <v>85101701</v>
      </c>
      <c r="B17519" s="63" t="s">
        <v>18145</v>
      </c>
    </row>
    <row r="17520" spans="1:2" x14ac:dyDescent="0.25">
      <c r="A17520" s="62">
        <v>85101702</v>
      </c>
      <c r="B17520" s="63" t="s">
        <v>18146</v>
      </c>
    </row>
    <row r="17521" spans="1:2" x14ac:dyDescent="0.25">
      <c r="A17521" s="62">
        <v>85101703</v>
      </c>
      <c r="B17521" s="63" t="s">
        <v>18147</v>
      </c>
    </row>
    <row r="17522" spans="1:2" x14ac:dyDescent="0.25">
      <c r="A17522" s="62">
        <v>85101704</v>
      </c>
      <c r="B17522" s="63" t="s">
        <v>18148</v>
      </c>
    </row>
    <row r="17523" spans="1:2" x14ac:dyDescent="0.25">
      <c r="A17523" s="62">
        <v>85101705</v>
      </c>
      <c r="B17523" s="63" t="s">
        <v>18149</v>
      </c>
    </row>
    <row r="17524" spans="1:2" x14ac:dyDescent="0.25">
      <c r="A17524" s="62">
        <v>85101706</v>
      </c>
      <c r="B17524" s="63" t="s">
        <v>18150</v>
      </c>
    </row>
    <row r="17525" spans="1:2" x14ac:dyDescent="0.25">
      <c r="A17525" s="62">
        <v>85101707</v>
      </c>
      <c r="B17525" s="63" t="s">
        <v>18151</v>
      </c>
    </row>
    <row r="17526" spans="1:2" x14ac:dyDescent="0.25">
      <c r="A17526" s="62">
        <v>85111501</v>
      </c>
      <c r="B17526" s="63" t="s">
        <v>18152</v>
      </c>
    </row>
    <row r="17527" spans="1:2" x14ac:dyDescent="0.25">
      <c r="A17527" s="62">
        <v>85111502</v>
      </c>
      <c r="B17527" s="63" t="s">
        <v>18153</v>
      </c>
    </row>
    <row r="17528" spans="1:2" x14ac:dyDescent="0.25">
      <c r="A17528" s="62">
        <v>85111503</v>
      </c>
      <c r="B17528" s="63" t="s">
        <v>18154</v>
      </c>
    </row>
    <row r="17529" spans="1:2" x14ac:dyDescent="0.25">
      <c r="A17529" s="62">
        <v>85111504</v>
      </c>
      <c r="B17529" s="63" t="s">
        <v>18155</v>
      </c>
    </row>
    <row r="17530" spans="1:2" x14ac:dyDescent="0.25">
      <c r="A17530" s="62">
        <v>85111505</v>
      </c>
      <c r="B17530" s="63" t="s">
        <v>18156</v>
      </c>
    </row>
    <row r="17531" spans="1:2" x14ac:dyDescent="0.25">
      <c r="A17531" s="62">
        <v>85111506</v>
      </c>
      <c r="B17531" s="63" t="s">
        <v>18157</v>
      </c>
    </row>
    <row r="17532" spans="1:2" x14ac:dyDescent="0.25">
      <c r="A17532" s="62">
        <v>85111507</v>
      </c>
      <c r="B17532" s="63" t="s">
        <v>18158</v>
      </c>
    </row>
    <row r="17533" spans="1:2" x14ac:dyDescent="0.25">
      <c r="A17533" s="62">
        <v>85111508</v>
      </c>
      <c r="B17533" s="63" t="s">
        <v>18159</v>
      </c>
    </row>
    <row r="17534" spans="1:2" x14ac:dyDescent="0.25">
      <c r="A17534" s="62">
        <v>85111509</v>
      </c>
      <c r="B17534" s="63" t="s">
        <v>18160</v>
      </c>
    </row>
    <row r="17535" spans="1:2" x14ac:dyDescent="0.25">
      <c r="A17535" s="62">
        <v>85111510</v>
      </c>
      <c r="B17535" s="63" t="s">
        <v>18161</v>
      </c>
    </row>
    <row r="17536" spans="1:2" x14ac:dyDescent="0.25">
      <c r="A17536" s="62">
        <v>85111511</v>
      </c>
      <c r="B17536" s="63" t="s">
        <v>18162</v>
      </c>
    </row>
    <row r="17537" spans="1:2" x14ac:dyDescent="0.25">
      <c r="A17537" s="62">
        <v>85111512</v>
      </c>
      <c r="B17537" s="63" t="s">
        <v>18163</v>
      </c>
    </row>
    <row r="17538" spans="1:2" x14ac:dyDescent="0.25">
      <c r="A17538" s="62">
        <v>85111513</v>
      </c>
      <c r="B17538" s="63" t="s">
        <v>18164</v>
      </c>
    </row>
    <row r="17539" spans="1:2" x14ac:dyDescent="0.25">
      <c r="A17539" s="62">
        <v>85111514</v>
      </c>
      <c r="B17539" s="63" t="s">
        <v>18165</v>
      </c>
    </row>
    <row r="17540" spans="1:2" x14ac:dyDescent="0.25">
      <c r="A17540" s="62">
        <v>85111601</v>
      </c>
      <c r="B17540" s="63" t="s">
        <v>18166</v>
      </c>
    </row>
    <row r="17541" spans="1:2" x14ac:dyDescent="0.25">
      <c r="A17541" s="62">
        <v>85111602</v>
      </c>
      <c r="B17541" s="63" t="s">
        <v>18167</v>
      </c>
    </row>
    <row r="17542" spans="1:2" x14ac:dyDescent="0.25">
      <c r="A17542" s="62">
        <v>85111603</v>
      </c>
      <c r="B17542" s="63" t="s">
        <v>18168</v>
      </c>
    </row>
    <row r="17543" spans="1:2" x14ac:dyDescent="0.25">
      <c r="A17543" s="62">
        <v>85111604</v>
      </c>
      <c r="B17543" s="63" t="s">
        <v>18169</v>
      </c>
    </row>
    <row r="17544" spans="1:2" x14ac:dyDescent="0.25">
      <c r="A17544" s="62">
        <v>85111605</v>
      </c>
      <c r="B17544" s="63" t="s">
        <v>18170</v>
      </c>
    </row>
    <row r="17545" spans="1:2" x14ac:dyDescent="0.25">
      <c r="A17545" s="62">
        <v>85111606</v>
      </c>
      <c r="B17545" s="63" t="s">
        <v>18171</v>
      </c>
    </row>
    <row r="17546" spans="1:2" x14ac:dyDescent="0.25">
      <c r="A17546" s="62">
        <v>85111607</v>
      </c>
      <c r="B17546" s="63" t="s">
        <v>18172</v>
      </c>
    </row>
    <row r="17547" spans="1:2" x14ac:dyDescent="0.25">
      <c r="A17547" s="62">
        <v>85111608</v>
      </c>
      <c r="B17547" s="63" t="s">
        <v>18173</v>
      </c>
    </row>
    <row r="17548" spans="1:2" x14ac:dyDescent="0.25">
      <c r="A17548" s="62">
        <v>85111609</v>
      </c>
      <c r="B17548" s="63" t="s">
        <v>18174</v>
      </c>
    </row>
    <row r="17549" spans="1:2" x14ac:dyDescent="0.25">
      <c r="A17549" s="62">
        <v>85111610</v>
      </c>
      <c r="B17549" s="63" t="s">
        <v>18175</v>
      </c>
    </row>
    <row r="17550" spans="1:2" x14ac:dyDescent="0.25">
      <c r="A17550" s="62">
        <v>85111611</v>
      </c>
      <c r="B17550" s="63" t="s">
        <v>18176</v>
      </c>
    </row>
    <row r="17551" spans="1:2" x14ac:dyDescent="0.25">
      <c r="A17551" s="62">
        <v>85111612</v>
      </c>
      <c r="B17551" s="63" t="s">
        <v>18177</v>
      </c>
    </row>
    <row r="17552" spans="1:2" x14ac:dyDescent="0.25">
      <c r="A17552" s="62">
        <v>85111613</v>
      </c>
      <c r="B17552" s="63" t="s">
        <v>18178</v>
      </c>
    </row>
    <row r="17553" spans="1:2" x14ac:dyDescent="0.25">
      <c r="A17553" s="62">
        <v>85111614</v>
      </c>
      <c r="B17553" s="63" t="s">
        <v>18179</v>
      </c>
    </row>
    <row r="17554" spans="1:2" x14ac:dyDescent="0.25">
      <c r="A17554" s="62">
        <v>85111615</v>
      </c>
      <c r="B17554" s="63" t="s">
        <v>18180</v>
      </c>
    </row>
    <row r="17555" spans="1:2" x14ac:dyDescent="0.25">
      <c r="A17555" s="62">
        <v>85111616</v>
      </c>
      <c r="B17555" s="63" t="s">
        <v>18181</v>
      </c>
    </row>
    <row r="17556" spans="1:2" x14ac:dyDescent="0.25">
      <c r="A17556" s="62">
        <v>85111617</v>
      </c>
      <c r="B17556" s="63" t="s">
        <v>18182</v>
      </c>
    </row>
    <row r="17557" spans="1:2" x14ac:dyDescent="0.25">
      <c r="A17557" s="62">
        <v>85111701</v>
      </c>
      <c r="B17557" s="63" t="s">
        <v>18183</v>
      </c>
    </row>
    <row r="17558" spans="1:2" x14ac:dyDescent="0.25">
      <c r="A17558" s="62">
        <v>85111702</v>
      </c>
      <c r="B17558" s="63" t="s">
        <v>18184</v>
      </c>
    </row>
    <row r="17559" spans="1:2" x14ac:dyDescent="0.25">
      <c r="A17559" s="62">
        <v>85111703</v>
      </c>
      <c r="B17559" s="63" t="s">
        <v>18185</v>
      </c>
    </row>
    <row r="17560" spans="1:2" x14ac:dyDescent="0.25">
      <c r="A17560" s="62">
        <v>85111704</v>
      </c>
      <c r="B17560" s="63" t="s">
        <v>18186</v>
      </c>
    </row>
    <row r="17561" spans="1:2" x14ac:dyDescent="0.25">
      <c r="A17561" s="62">
        <v>85121501</v>
      </c>
      <c r="B17561" s="63" t="s">
        <v>18187</v>
      </c>
    </row>
    <row r="17562" spans="1:2" x14ac:dyDescent="0.25">
      <c r="A17562" s="62">
        <v>85121502</v>
      </c>
      <c r="B17562" s="63" t="s">
        <v>18188</v>
      </c>
    </row>
    <row r="17563" spans="1:2" x14ac:dyDescent="0.25">
      <c r="A17563" s="62">
        <v>85121503</v>
      </c>
      <c r="B17563" s="63" t="s">
        <v>18189</v>
      </c>
    </row>
    <row r="17564" spans="1:2" x14ac:dyDescent="0.25">
      <c r="A17564" s="62">
        <v>85121504</v>
      </c>
      <c r="B17564" s="63" t="s">
        <v>18190</v>
      </c>
    </row>
    <row r="17565" spans="1:2" x14ac:dyDescent="0.25">
      <c r="A17565" s="62">
        <v>85121601</v>
      </c>
      <c r="B17565" s="63" t="s">
        <v>18191</v>
      </c>
    </row>
    <row r="17566" spans="1:2" x14ac:dyDescent="0.25">
      <c r="A17566" s="62">
        <v>85121602</v>
      </c>
      <c r="B17566" s="63" t="s">
        <v>18192</v>
      </c>
    </row>
    <row r="17567" spans="1:2" x14ac:dyDescent="0.25">
      <c r="A17567" s="62">
        <v>85121603</v>
      </c>
      <c r="B17567" s="63" t="s">
        <v>18193</v>
      </c>
    </row>
    <row r="17568" spans="1:2" x14ac:dyDescent="0.25">
      <c r="A17568" s="62">
        <v>85121604</v>
      </c>
      <c r="B17568" s="63" t="s">
        <v>18194</v>
      </c>
    </row>
    <row r="17569" spans="1:2" x14ac:dyDescent="0.25">
      <c r="A17569" s="62">
        <v>85121605</v>
      </c>
      <c r="B17569" s="63" t="s">
        <v>18195</v>
      </c>
    </row>
    <row r="17570" spans="1:2" x14ac:dyDescent="0.25">
      <c r="A17570" s="62">
        <v>85121606</v>
      </c>
      <c r="B17570" s="63" t="s">
        <v>18196</v>
      </c>
    </row>
    <row r="17571" spans="1:2" x14ac:dyDescent="0.25">
      <c r="A17571" s="62">
        <v>85121607</v>
      </c>
      <c r="B17571" s="63" t="s">
        <v>18197</v>
      </c>
    </row>
    <row r="17572" spans="1:2" x14ac:dyDescent="0.25">
      <c r="A17572" s="62">
        <v>85121608</v>
      </c>
      <c r="B17572" s="63" t="s">
        <v>18198</v>
      </c>
    </row>
    <row r="17573" spans="1:2" x14ac:dyDescent="0.25">
      <c r="A17573" s="62">
        <v>85121609</v>
      </c>
      <c r="B17573" s="63" t="s">
        <v>18199</v>
      </c>
    </row>
    <row r="17574" spans="1:2" x14ac:dyDescent="0.25">
      <c r="A17574" s="62">
        <v>85121610</v>
      </c>
      <c r="B17574" s="63" t="s">
        <v>18200</v>
      </c>
    </row>
    <row r="17575" spans="1:2" x14ac:dyDescent="0.25">
      <c r="A17575" s="62">
        <v>85121611</v>
      </c>
      <c r="B17575" s="63" t="s">
        <v>18201</v>
      </c>
    </row>
    <row r="17576" spans="1:2" x14ac:dyDescent="0.25">
      <c r="A17576" s="62">
        <v>85121612</v>
      </c>
      <c r="B17576" s="63" t="s">
        <v>18202</v>
      </c>
    </row>
    <row r="17577" spans="1:2" x14ac:dyDescent="0.25">
      <c r="A17577" s="62">
        <v>85121613</v>
      </c>
      <c r="B17577" s="63" t="s">
        <v>18203</v>
      </c>
    </row>
    <row r="17578" spans="1:2" x14ac:dyDescent="0.25">
      <c r="A17578" s="62">
        <v>85121614</v>
      </c>
      <c r="B17578" s="63" t="s">
        <v>18204</v>
      </c>
    </row>
    <row r="17579" spans="1:2" x14ac:dyDescent="0.25">
      <c r="A17579" s="62">
        <v>85121701</v>
      </c>
      <c r="B17579" s="63" t="s">
        <v>18205</v>
      </c>
    </row>
    <row r="17580" spans="1:2" x14ac:dyDescent="0.25">
      <c r="A17580" s="62">
        <v>85121702</v>
      </c>
      <c r="B17580" s="63" t="s">
        <v>18206</v>
      </c>
    </row>
    <row r="17581" spans="1:2" x14ac:dyDescent="0.25">
      <c r="A17581" s="62">
        <v>85121703</v>
      </c>
      <c r="B17581" s="63" t="s">
        <v>18207</v>
      </c>
    </row>
    <row r="17582" spans="1:2" x14ac:dyDescent="0.25">
      <c r="A17582" s="62">
        <v>85121704</v>
      </c>
      <c r="B17582" s="63" t="s">
        <v>18208</v>
      </c>
    </row>
    <row r="17583" spans="1:2" x14ac:dyDescent="0.25">
      <c r="A17583" s="62">
        <v>85121705</v>
      </c>
      <c r="B17583" s="63" t="s">
        <v>18209</v>
      </c>
    </row>
    <row r="17584" spans="1:2" x14ac:dyDescent="0.25">
      <c r="A17584" s="62">
        <v>85121706</v>
      </c>
      <c r="B17584" s="63" t="s">
        <v>18210</v>
      </c>
    </row>
    <row r="17585" spans="1:2" x14ac:dyDescent="0.25">
      <c r="A17585" s="62">
        <v>85121801</v>
      </c>
      <c r="B17585" s="63" t="s">
        <v>18211</v>
      </c>
    </row>
    <row r="17586" spans="1:2" x14ac:dyDescent="0.25">
      <c r="A17586" s="62">
        <v>85121802</v>
      </c>
      <c r="B17586" s="63" t="s">
        <v>18212</v>
      </c>
    </row>
    <row r="17587" spans="1:2" x14ac:dyDescent="0.25">
      <c r="A17587" s="62">
        <v>85121803</v>
      </c>
      <c r="B17587" s="63" t="s">
        <v>18213</v>
      </c>
    </row>
    <row r="17588" spans="1:2" x14ac:dyDescent="0.25">
      <c r="A17588" s="62">
        <v>85121804</v>
      </c>
      <c r="B17588" s="63" t="s">
        <v>18214</v>
      </c>
    </row>
    <row r="17589" spans="1:2" x14ac:dyDescent="0.25">
      <c r="A17589" s="62">
        <v>85121805</v>
      </c>
      <c r="B17589" s="63" t="s">
        <v>18215</v>
      </c>
    </row>
    <row r="17590" spans="1:2" x14ac:dyDescent="0.25">
      <c r="A17590" s="62">
        <v>85121806</v>
      </c>
      <c r="B17590" s="63" t="s">
        <v>18216</v>
      </c>
    </row>
    <row r="17591" spans="1:2" x14ac:dyDescent="0.25">
      <c r="A17591" s="62">
        <v>85121807</v>
      </c>
      <c r="B17591" s="63" t="s">
        <v>18217</v>
      </c>
    </row>
    <row r="17592" spans="1:2" x14ac:dyDescent="0.25">
      <c r="A17592" s="62">
        <v>85121808</v>
      </c>
      <c r="B17592" s="63" t="s">
        <v>18218</v>
      </c>
    </row>
    <row r="17593" spans="1:2" x14ac:dyDescent="0.25">
      <c r="A17593" s="62">
        <v>85121809</v>
      </c>
      <c r="B17593" s="63" t="s">
        <v>18219</v>
      </c>
    </row>
    <row r="17594" spans="1:2" x14ac:dyDescent="0.25">
      <c r="A17594" s="62">
        <v>85121810</v>
      </c>
      <c r="B17594" s="63" t="s">
        <v>18220</v>
      </c>
    </row>
    <row r="17595" spans="1:2" x14ac:dyDescent="0.25">
      <c r="A17595" s="62">
        <v>85121901</v>
      </c>
      <c r="B17595" s="63" t="s">
        <v>18221</v>
      </c>
    </row>
    <row r="17596" spans="1:2" x14ac:dyDescent="0.25">
      <c r="A17596" s="62">
        <v>85121902</v>
      </c>
      <c r="B17596" s="63" t="s">
        <v>18222</v>
      </c>
    </row>
    <row r="17597" spans="1:2" x14ac:dyDescent="0.25">
      <c r="A17597" s="62">
        <v>85122001</v>
      </c>
      <c r="B17597" s="63" t="s">
        <v>18223</v>
      </c>
    </row>
    <row r="17598" spans="1:2" x14ac:dyDescent="0.25">
      <c r="A17598" s="62">
        <v>85122002</v>
      </c>
      <c r="B17598" s="63" t="s">
        <v>18224</v>
      </c>
    </row>
    <row r="17599" spans="1:2" x14ac:dyDescent="0.25">
      <c r="A17599" s="62">
        <v>85122003</v>
      </c>
      <c r="B17599" s="63" t="s">
        <v>18225</v>
      </c>
    </row>
    <row r="17600" spans="1:2" x14ac:dyDescent="0.25">
      <c r="A17600" s="62">
        <v>85122004</v>
      </c>
      <c r="B17600" s="63" t="s">
        <v>18226</v>
      </c>
    </row>
    <row r="17601" spans="1:2" x14ac:dyDescent="0.25">
      <c r="A17601" s="62">
        <v>85122005</v>
      </c>
      <c r="B17601" s="63" t="s">
        <v>18227</v>
      </c>
    </row>
    <row r="17602" spans="1:2" x14ac:dyDescent="0.25">
      <c r="A17602" s="62">
        <v>85122101</v>
      </c>
      <c r="B17602" s="63" t="s">
        <v>18228</v>
      </c>
    </row>
    <row r="17603" spans="1:2" x14ac:dyDescent="0.25">
      <c r="A17603" s="62">
        <v>85122102</v>
      </c>
      <c r="B17603" s="63" t="s">
        <v>18229</v>
      </c>
    </row>
    <row r="17604" spans="1:2" x14ac:dyDescent="0.25">
      <c r="A17604" s="62">
        <v>85122103</v>
      </c>
      <c r="B17604" s="63" t="s">
        <v>18230</v>
      </c>
    </row>
    <row r="17605" spans="1:2" x14ac:dyDescent="0.25">
      <c r="A17605" s="62">
        <v>85122104</v>
      </c>
      <c r="B17605" s="63" t="s">
        <v>18231</v>
      </c>
    </row>
    <row r="17606" spans="1:2" x14ac:dyDescent="0.25">
      <c r="A17606" s="62">
        <v>85122105</v>
      </c>
      <c r="B17606" s="63" t="s">
        <v>18232</v>
      </c>
    </row>
    <row r="17607" spans="1:2" x14ac:dyDescent="0.25">
      <c r="A17607" s="62">
        <v>85122106</v>
      </c>
      <c r="B17607" s="63" t="s">
        <v>18233</v>
      </c>
    </row>
    <row r="17608" spans="1:2" x14ac:dyDescent="0.25">
      <c r="A17608" s="62">
        <v>85122107</v>
      </c>
      <c r="B17608" s="63" t="s">
        <v>18234</v>
      </c>
    </row>
    <row r="17609" spans="1:2" x14ac:dyDescent="0.25">
      <c r="A17609" s="62">
        <v>85122108</v>
      </c>
      <c r="B17609" s="63" t="s">
        <v>18235</v>
      </c>
    </row>
    <row r="17610" spans="1:2" x14ac:dyDescent="0.25">
      <c r="A17610" s="62">
        <v>85122109</v>
      </c>
      <c r="B17610" s="63" t="s">
        <v>18236</v>
      </c>
    </row>
    <row r="17611" spans="1:2" x14ac:dyDescent="0.25">
      <c r="A17611" s="62">
        <v>85122201</v>
      </c>
      <c r="B17611" s="63" t="s">
        <v>18237</v>
      </c>
    </row>
    <row r="17612" spans="1:2" x14ac:dyDescent="0.25">
      <c r="A17612" s="62">
        <v>85131501</v>
      </c>
      <c r="B17612" s="63" t="s">
        <v>18238</v>
      </c>
    </row>
    <row r="17613" spans="1:2" x14ac:dyDescent="0.25">
      <c r="A17613" s="62">
        <v>85131502</v>
      </c>
      <c r="B17613" s="63" t="s">
        <v>18239</v>
      </c>
    </row>
    <row r="17614" spans="1:2" x14ac:dyDescent="0.25">
      <c r="A17614" s="62">
        <v>85131503</v>
      </c>
      <c r="B17614" s="63" t="s">
        <v>18240</v>
      </c>
    </row>
    <row r="17615" spans="1:2" x14ac:dyDescent="0.25">
      <c r="A17615" s="62">
        <v>85131504</v>
      </c>
      <c r="B17615" s="63" t="s">
        <v>18241</v>
      </c>
    </row>
    <row r="17616" spans="1:2" x14ac:dyDescent="0.25">
      <c r="A17616" s="62">
        <v>85131505</v>
      </c>
      <c r="B17616" s="63" t="s">
        <v>18242</v>
      </c>
    </row>
    <row r="17617" spans="1:2" x14ac:dyDescent="0.25">
      <c r="A17617" s="62">
        <v>85131601</v>
      </c>
      <c r="B17617" s="63" t="s">
        <v>18243</v>
      </c>
    </row>
    <row r="17618" spans="1:2" x14ac:dyDescent="0.25">
      <c r="A17618" s="62">
        <v>85131602</v>
      </c>
      <c r="B17618" s="63" t="s">
        <v>18244</v>
      </c>
    </row>
    <row r="17619" spans="1:2" x14ac:dyDescent="0.25">
      <c r="A17619" s="62">
        <v>85131603</v>
      </c>
      <c r="B17619" s="63" t="s">
        <v>18245</v>
      </c>
    </row>
    <row r="17620" spans="1:2" x14ac:dyDescent="0.25">
      <c r="A17620" s="62">
        <v>85131604</v>
      </c>
      <c r="B17620" s="63" t="s">
        <v>18246</v>
      </c>
    </row>
    <row r="17621" spans="1:2" x14ac:dyDescent="0.25">
      <c r="A17621" s="62">
        <v>85131701</v>
      </c>
      <c r="B17621" s="63" t="s">
        <v>18247</v>
      </c>
    </row>
    <row r="17622" spans="1:2" x14ac:dyDescent="0.25">
      <c r="A17622" s="62">
        <v>85131702</v>
      </c>
      <c r="B17622" s="63" t="s">
        <v>18248</v>
      </c>
    </row>
    <row r="17623" spans="1:2" x14ac:dyDescent="0.25">
      <c r="A17623" s="62">
        <v>85131703</v>
      </c>
      <c r="B17623" s="63" t="s">
        <v>18249</v>
      </c>
    </row>
    <row r="17624" spans="1:2" x14ac:dyDescent="0.25">
      <c r="A17624" s="62">
        <v>85131704</v>
      </c>
      <c r="B17624" s="63" t="s">
        <v>18250</v>
      </c>
    </row>
    <row r="17625" spans="1:2" x14ac:dyDescent="0.25">
      <c r="A17625" s="62">
        <v>85131705</v>
      </c>
      <c r="B17625" s="63" t="s">
        <v>18251</v>
      </c>
    </row>
    <row r="17626" spans="1:2" x14ac:dyDescent="0.25">
      <c r="A17626" s="62">
        <v>85131706</v>
      </c>
      <c r="B17626" s="63" t="s">
        <v>18252</v>
      </c>
    </row>
    <row r="17627" spans="1:2" x14ac:dyDescent="0.25">
      <c r="A17627" s="62">
        <v>85131707</v>
      </c>
      <c r="B17627" s="63" t="s">
        <v>18253</v>
      </c>
    </row>
    <row r="17628" spans="1:2" x14ac:dyDescent="0.25">
      <c r="A17628" s="62">
        <v>85131708</v>
      </c>
      <c r="B17628" s="63" t="s">
        <v>18254</v>
      </c>
    </row>
    <row r="17629" spans="1:2" x14ac:dyDescent="0.25">
      <c r="A17629" s="62">
        <v>85131709</v>
      </c>
      <c r="B17629" s="63" t="s">
        <v>18255</v>
      </c>
    </row>
    <row r="17630" spans="1:2" x14ac:dyDescent="0.25">
      <c r="A17630" s="62">
        <v>85131710</v>
      </c>
      <c r="B17630" s="63" t="s">
        <v>18256</v>
      </c>
    </row>
    <row r="17631" spans="1:2" x14ac:dyDescent="0.25">
      <c r="A17631" s="62">
        <v>85131711</v>
      </c>
      <c r="B17631" s="63" t="s">
        <v>18257</v>
      </c>
    </row>
    <row r="17632" spans="1:2" x14ac:dyDescent="0.25">
      <c r="A17632" s="62">
        <v>85131712</v>
      </c>
      <c r="B17632" s="63" t="s">
        <v>18258</v>
      </c>
    </row>
    <row r="17633" spans="1:2" x14ac:dyDescent="0.25">
      <c r="A17633" s="62">
        <v>85131713</v>
      </c>
      <c r="B17633" s="63" t="s">
        <v>18259</v>
      </c>
    </row>
    <row r="17634" spans="1:2" x14ac:dyDescent="0.25">
      <c r="A17634" s="62">
        <v>85141501</v>
      </c>
      <c r="B17634" s="63" t="s">
        <v>18260</v>
      </c>
    </row>
    <row r="17635" spans="1:2" x14ac:dyDescent="0.25">
      <c r="A17635" s="62">
        <v>85141502</v>
      </c>
      <c r="B17635" s="63" t="s">
        <v>18261</v>
      </c>
    </row>
    <row r="17636" spans="1:2" x14ac:dyDescent="0.25">
      <c r="A17636" s="62">
        <v>85141503</v>
      </c>
      <c r="B17636" s="63" t="s">
        <v>18262</v>
      </c>
    </row>
    <row r="17637" spans="1:2" x14ac:dyDescent="0.25">
      <c r="A17637" s="62">
        <v>85141504</v>
      </c>
      <c r="B17637" s="63" t="s">
        <v>18263</v>
      </c>
    </row>
    <row r="17638" spans="1:2" x14ac:dyDescent="0.25">
      <c r="A17638" s="62">
        <v>85141601</v>
      </c>
      <c r="B17638" s="63" t="s">
        <v>18264</v>
      </c>
    </row>
    <row r="17639" spans="1:2" x14ac:dyDescent="0.25">
      <c r="A17639" s="62">
        <v>85141602</v>
      </c>
      <c r="B17639" s="63" t="s">
        <v>18265</v>
      </c>
    </row>
    <row r="17640" spans="1:2" x14ac:dyDescent="0.25">
      <c r="A17640" s="62">
        <v>85141603</v>
      </c>
      <c r="B17640" s="63" t="s">
        <v>18266</v>
      </c>
    </row>
    <row r="17641" spans="1:2" x14ac:dyDescent="0.25">
      <c r="A17641" s="62">
        <v>85141701</v>
      </c>
      <c r="B17641" s="63" t="s">
        <v>18267</v>
      </c>
    </row>
    <row r="17642" spans="1:2" x14ac:dyDescent="0.25">
      <c r="A17642" s="62">
        <v>85141702</v>
      </c>
      <c r="B17642" s="63" t="s">
        <v>18268</v>
      </c>
    </row>
    <row r="17643" spans="1:2" x14ac:dyDescent="0.25">
      <c r="A17643" s="62">
        <v>85151501</v>
      </c>
      <c r="B17643" s="63" t="s">
        <v>18269</v>
      </c>
    </row>
    <row r="17644" spans="1:2" x14ac:dyDescent="0.25">
      <c r="A17644" s="62">
        <v>85151502</v>
      </c>
      <c r="B17644" s="63" t="s">
        <v>18270</v>
      </c>
    </row>
    <row r="17645" spans="1:2" x14ac:dyDescent="0.25">
      <c r="A17645" s="62">
        <v>85151503</v>
      </c>
      <c r="B17645" s="63" t="s">
        <v>18271</v>
      </c>
    </row>
    <row r="17646" spans="1:2" x14ac:dyDescent="0.25">
      <c r="A17646" s="62">
        <v>85151504</v>
      </c>
      <c r="B17646" s="63" t="s">
        <v>18272</v>
      </c>
    </row>
    <row r="17647" spans="1:2" x14ac:dyDescent="0.25">
      <c r="A17647" s="62">
        <v>85151505</v>
      </c>
      <c r="B17647" s="63" t="s">
        <v>18273</v>
      </c>
    </row>
    <row r="17648" spans="1:2" x14ac:dyDescent="0.25">
      <c r="A17648" s="62">
        <v>85151506</v>
      </c>
      <c r="B17648" s="63" t="s">
        <v>18274</v>
      </c>
    </row>
    <row r="17649" spans="1:2" x14ac:dyDescent="0.25">
      <c r="A17649" s="62">
        <v>85151507</v>
      </c>
      <c r="B17649" s="63" t="s">
        <v>18275</v>
      </c>
    </row>
    <row r="17650" spans="1:2" x14ac:dyDescent="0.25">
      <c r="A17650" s="62">
        <v>85151508</v>
      </c>
      <c r="B17650" s="63" t="s">
        <v>18276</v>
      </c>
    </row>
    <row r="17651" spans="1:2" x14ac:dyDescent="0.25">
      <c r="A17651" s="62">
        <v>85151509</v>
      </c>
      <c r="B17651" s="63" t="s">
        <v>18277</v>
      </c>
    </row>
    <row r="17652" spans="1:2" x14ac:dyDescent="0.25">
      <c r="A17652" s="62">
        <v>85151601</v>
      </c>
      <c r="B17652" s="63" t="s">
        <v>18278</v>
      </c>
    </row>
    <row r="17653" spans="1:2" x14ac:dyDescent="0.25">
      <c r="A17653" s="62">
        <v>85151602</v>
      </c>
      <c r="B17653" s="63" t="s">
        <v>18279</v>
      </c>
    </row>
    <row r="17654" spans="1:2" x14ac:dyDescent="0.25">
      <c r="A17654" s="62">
        <v>85151603</v>
      </c>
      <c r="B17654" s="63" t="s">
        <v>18280</v>
      </c>
    </row>
    <row r="17655" spans="1:2" x14ac:dyDescent="0.25">
      <c r="A17655" s="62">
        <v>85151604</v>
      </c>
      <c r="B17655" s="63" t="s">
        <v>18281</v>
      </c>
    </row>
    <row r="17656" spans="1:2" x14ac:dyDescent="0.25">
      <c r="A17656" s="62">
        <v>85151605</v>
      </c>
      <c r="B17656" s="63" t="s">
        <v>18282</v>
      </c>
    </row>
    <row r="17657" spans="1:2" x14ac:dyDescent="0.25">
      <c r="A17657" s="62">
        <v>85151606</v>
      </c>
      <c r="B17657" s="63" t="s">
        <v>18283</v>
      </c>
    </row>
    <row r="17658" spans="1:2" x14ac:dyDescent="0.25">
      <c r="A17658" s="62">
        <v>85151607</v>
      </c>
      <c r="B17658" s="63" t="s">
        <v>18284</v>
      </c>
    </row>
    <row r="17659" spans="1:2" x14ac:dyDescent="0.25">
      <c r="A17659" s="62">
        <v>85151701</v>
      </c>
      <c r="B17659" s="63" t="s">
        <v>18285</v>
      </c>
    </row>
    <row r="17660" spans="1:2" x14ac:dyDescent="0.25">
      <c r="A17660" s="62">
        <v>85151702</v>
      </c>
      <c r="B17660" s="63" t="s">
        <v>18286</v>
      </c>
    </row>
    <row r="17661" spans="1:2" x14ac:dyDescent="0.25">
      <c r="A17661" s="62">
        <v>85151703</v>
      </c>
      <c r="B17661" s="63" t="s">
        <v>18287</v>
      </c>
    </row>
    <row r="17662" spans="1:2" x14ac:dyDescent="0.25">
      <c r="A17662" s="62">
        <v>85151704</v>
      </c>
      <c r="B17662" s="63" t="s">
        <v>18288</v>
      </c>
    </row>
    <row r="17663" spans="1:2" x14ac:dyDescent="0.25">
      <c r="A17663" s="62">
        <v>85151705</v>
      </c>
      <c r="B17663" s="63" t="s">
        <v>18289</v>
      </c>
    </row>
    <row r="17664" spans="1:2" x14ac:dyDescent="0.25">
      <c r="A17664" s="62">
        <v>86101501</v>
      </c>
      <c r="B17664" s="63" t="s">
        <v>18290</v>
      </c>
    </row>
    <row r="17665" spans="1:2" x14ac:dyDescent="0.25">
      <c r="A17665" s="62">
        <v>86101502</v>
      </c>
      <c r="B17665" s="63" t="s">
        <v>18291</v>
      </c>
    </row>
    <row r="17666" spans="1:2" x14ac:dyDescent="0.25">
      <c r="A17666" s="62">
        <v>86101503</v>
      </c>
      <c r="B17666" s="63" t="s">
        <v>18292</v>
      </c>
    </row>
    <row r="17667" spans="1:2" x14ac:dyDescent="0.25">
      <c r="A17667" s="62">
        <v>86101504</v>
      </c>
      <c r="B17667" s="63" t="s">
        <v>18293</v>
      </c>
    </row>
    <row r="17668" spans="1:2" x14ac:dyDescent="0.25">
      <c r="A17668" s="62">
        <v>86101505</v>
      </c>
      <c r="B17668" s="63" t="s">
        <v>18294</v>
      </c>
    </row>
    <row r="17669" spans="1:2" x14ac:dyDescent="0.25">
      <c r="A17669" s="62">
        <v>86101506</v>
      </c>
      <c r="B17669" s="63" t="s">
        <v>18295</v>
      </c>
    </row>
    <row r="17670" spans="1:2" x14ac:dyDescent="0.25">
      <c r="A17670" s="62">
        <v>86101507</v>
      </c>
      <c r="B17670" s="63" t="s">
        <v>18296</v>
      </c>
    </row>
    <row r="17671" spans="1:2" x14ac:dyDescent="0.25">
      <c r="A17671" s="62">
        <v>86101508</v>
      </c>
      <c r="B17671" s="63" t="s">
        <v>18297</v>
      </c>
    </row>
    <row r="17672" spans="1:2" x14ac:dyDescent="0.25">
      <c r="A17672" s="62">
        <v>86101509</v>
      </c>
      <c r="B17672" s="63" t="s">
        <v>18298</v>
      </c>
    </row>
    <row r="17673" spans="1:2" x14ac:dyDescent="0.25">
      <c r="A17673" s="62">
        <v>86101601</v>
      </c>
      <c r="B17673" s="63" t="s">
        <v>18299</v>
      </c>
    </row>
    <row r="17674" spans="1:2" x14ac:dyDescent="0.25">
      <c r="A17674" s="62">
        <v>86101602</v>
      </c>
      <c r="B17674" s="63" t="s">
        <v>18300</v>
      </c>
    </row>
    <row r="17675" spans="1:2" x14ac:dyDescent="0.25">
      <c r="A17675" s="62">
        <v>86101603</v>
      </c>
      <c r="B17675" s="63" t="s">
        <v>18301</v>
      </c>
    </row>
    <row r="17676" spans="1:2" x14ac:dyDescent="0.25">
      <c r="A17676" s="62">
        <v>86101604</v>
      </c>
      <c r="B17676" s="63" t="s">
        <v>18302</v>
      </c>
    </row>
    <row r="17677" spans="1:2" x14ac:dyDescent="0.25">
      <c r="A17677" s="62">
        <v>86101605</v>
      </c>
      <c r="B17677" s="63" t="s">
        <v>18303</v>
      </c>
    </row>
    <row r="17678" spans="1:2" x14ac:dyDescent="0.25">
      <c r="A17678" s="62">
        <v>86101606</v>
      </c>
      <c r="B17678" s="63" t="s">
        <v>18304</v>
      </c>
    </row>
    <row r="17679" spans="1:2" x14ac:dyDescent="0.25">
      <c r="A17679" s="62">
        <v>86101607</v>
      </c>
      <c r="B17679" s="63" t="s">
        <v>18305</v>
      </c>
    </row>
    <row r="17680" spans="1:2" x14ac:dyDescent="0.25">
      <c r="A17680" s="62">
        <v>86101608</v>
      </c>
      <c r="B17680" s="63" t="s">
        <v>18306</v>
      </c>
    </row>
    <row r="17681" spans="1:2" x14ac:dyDescent="0.25">
      <c r="A17681" s="62">
        <v>86101609</v>
      </c>
      <c r="B17681" s="63" t="s">
        <v>18307</v>
      </c>
    </row>
    <row r="17682" spans="1:2" x14ac:dyDescent="0.25">
      <c r="A17682" s="62">
        <v>86101610</v>
      </c>
      <c r="B17682" s="63" t="s">
        <v>18308</v>
      </c>
    </row>
    <row r="17683" spans="1:2" x14ac:dyDescent="0.25">
      <c r="A17683" s="62">
        <v>86101701</v>
      </c>
      <c r="B17683" s="63" t="s">
        <v>18309</v>
      </c>
    </row>
    <row r="17684" spans="1:2" x14ac:dyDescent="0.25">
      <c r="A17684" s="62">
        <v>86101702</v>
      </c>
      <c r="B17684" s="63" t="s">
        <v>18310</v>
      </c>
    </row>
    <row r="17685" spans="1:2" x14ac:dyDescent="0.25">
      <c r="A17685" s="62">
        <v>86101703</v>
      </c>
      <c r="B17685" s="63" t="s">
        <v>18311</v>
      </c>
    </row>
    <row r="17686" spans="1:2" x14ac:dyDescent="0.25">
      <c r="A17686" s="62">
        <v>86101704</v>
      </c>
      <c r="B17686" s="63" t="s">
        <v>18312</v>
      </c>
    </row>
    <row r="17687" spans="1:2" x14ac:dyDescent="0.25">
      <c r="A17687" s="62">
        <v>86101705</v>
      </c>
      <c r="B17687" s="63" t="s">
        <v>18313</v>
      </c>
    </row>
    <row r="17688" spans="1:2" x14ac:dyDescent="0.25">
      <c r="A17688" s="62">
        <v>86101706</v>
      </c>
      <c r="B17688" s="63" t="s">
        <v>18314</v>
      </c>
    </row>
    <row r="17689" spans="1:2" x14ac:dyDescent="0.25">
      <c r="A17689" s="62">
        <v>86101707</v>
      </c>
      <c r="B17689" s="63" t="s">
        <v>18315</v>
      </c>
    </row>
    <row r="17690" spans="1:2" x14ac:dyDescent="0.25">
      <c r="A17690" s="62">
        <v>86101708</v>
      </c>
      <c r="B17690" s="63" t="s">
        <v>18316</v>
      </c>
    </row>
    <row r="17691" spans="1:2" x14ac:dyDescent="0.25">
      <c r="A17691" s="62">
        <v>86101709</v>
      </c>
      <c r="B17691" s="63" t="s">
        <v>18317</v>
      </c>
    </row>
    <row r="17692" spans="1:2" x14ac:dyDescent="0.25">
      <c r="A17692" s="62">
        <v>86101710</v>
      </c>
      <c r="B17692" s="63" t="s">
        <v>18318</v>
      </c>
    </row>
    <row r="17693" spans="1:2" x14ac:dyDescent="0.25">
      <c r="A17693" s="62">
        <v>86101711</v>
      </c>
      <c r="B17693" s="63" t="s">
        <v>18319</v>
      </c>
    </row>
    <row r="17694" spans="1:2" x14ac:dyDescent="0.25">
      <c r="A17694" s="62">
        <v>86101712</v>
      </c>
      <c r="B17694" s="63" t="s">
        <v>18320</v>
      </c>
    </row>
    <row r="17695" spans="1:2" x14ac:dyDescent="0.25">
      <c r="A17695" s="62">
        <v>86101713</v>
      </c>
      <c r="B17695" s="63" t="s">
        <v>18321</v>
      </c>
    </row>
    <row r="17696" spans="1:2" x14ac:dyDescent="0.25">
      <c r="A17696" s="62">
        <v>86101714</v>
      </c>
      <c r="B17696" s="63" t="s">
        <v>18322</v>
      </c>
    </row>
    <row r="17697" spans="1:2" x14ac:dyDescent="0.25">
      <c r="A17697" s="62">
        <v>86101715</v>
      </c>
      <c r="B17697" s="63" t="s">
        <v>18323</v>
      </c>
    </row>
    <row r="17698" spans="1:2" x14ac:dyDescent="0.25">
      <c r="A17698" s="62">
        <v>86101716</v>
      </c>
      <c r="B17698" s="63" t="s">
        <v>18324</v>
      </c>
    </row>
    <row r="17699" spans="1:2" x14ac:dyDescent="0.25">
      <c r="A17699" s="62">
        <v>86101801</v>
      </c>
      <c r="B17699" s="63" t="s">
        <v>18325</v>
      </c>
    </row>
    <row r="17700" spans="1:2" x14ac:dyDescent="0.25">
      <c r="A17700" s="62">
        <v>86101802</v>
      </c>
      <c r="B17700" s="63" t="s">
        <v>18326</v>
      </c>
    </row>
    <row r="17701" spans="1:2" x14ac:dyDescent="0.25">
      <c r="A17701" s="62">
        <v>86101803</v>
      </c>
      <c r="B17701" s="63" t="s">
        <v>18327</v>
      </c>
    </row>
    <row r="17702" spans="1:2" x14ac:dyDescent="0.25">
      <c r="A17702" s="62">
        <v>86101804</v>
      </c>
      <c r="B17702" s="63" t="s">
        <v>18328</v>
      </c>
    </row>
    <row r="17703" spans="1:2" x14ac:dyDescent="0.25">
      <c r="A17703" s="62">
        <v>86101805</v>
      </c>
      <c r="B17703" s="63" t="s">
        <v>18329</v>
      </c>
    </row>
    <row r="17704" spans="1:2" x14ac:dyDescent="0.25">
      <c r="A17704" s="62">
        <v>86101806</v>
      </c>
      <c r="B17704" s="63" t="s">
        <v>18330</v>
      </c>
    </row>
    <row r="17705" spans="1:2" x14ac:dyDescent="0.25">
      <c r="A17705" s="62">
        <v>86101807</v>
      </c>
      <c r="B17705" s="63" t="s">
        <v>18331</v>
      </c>
    </row>
    <row r="17706" spans="1:2" x14ac:dyDescent="0.25">
      <c r="A17706" s="62">
        <v>86101808</v>
      </c>
      <c r="B17706" s="63" t="s">
        <v>18332</v>
      </c>
    </row>
    <row r="17707" spans="1:2" x14ac:dyDescent="0.25">
      <c r="A17707" s="62">
        <v>86101809</v>
      </c>
      <c r="B17707" s="63" t="s">
        <v>18333</v>
      </c>
    </row>
    <row r="17708" spans="1:2" x14ac:dyDescent="0.25">
      <c r="A17708" s="62">
        <v>86111501</v>
      </c>
      <c r="B17708" s="63" t="s">
        <v>18334</v>
      </c>
    </row>
    <row r="17709" spans="1:2" x14ac:dyDescent="0.25">
      <c r="A17709" s="62">
        <v>86111502</v>
      </c>
      <c r="B17709" s="63" t="s">
        <v>18335</v>
      </c>
    </row>
    <row r="17710" spans="1:2" x14ac:dyDescent="0.25">
      <c r="A17710" s="62">
        <v>86111503</v>
      </c>
      <c r="B17710" s="63" t="s">
        <v>18336</v>
      </c>
    </row>
    <row r="17711" spans="1:2" x14ac:dyDescent="0.25">
      <c r="A17711" s="62">
        <v>86111504</v>
      </c>
      <c r="B17711" s="63" t="s">
        <v>18337</v>
      </c>
    </row>
    <row r="17712" spans="1:2" x14ac:dyDescent="0.25">
      <c r="A17712" s="62">
        <v>86111505</v>
      </c>
      <c r="B17712" s="63" t="s">
        <v>18338</v>
      </c>
    </row>
    <row r="17713" spans="1:2" x14ac:dyDescent="0.25">
      <c r="A17713" s="62">
        <v>86111601</v>
      </c>
      <c r="B17713" s="63" t="s">
        <v>18339</v>
      </c>
    </row>
    <row r="17714" spans="1:2" x14ac:dyDescent="0.25">
      <c r="A17714" s="62">
        <v>86111602</v>
      </c>
      <c r="B17714" s="63" t="s">
        <v>18340</v>
      </c>
    </row>
    <row r="17715" spans="1:2" x14ac:dyDescent="0.25">
      <c r="A17715" s="62">
        <v>86111603</v>
      </c>
      <c r="B17715" s="63" t="s">
        <v>18341</v>
      </c>
    </row>
    <row r="17716" spans="1:2" x14ac:dyDescent="0.25">
      <c r="A17716" s="62">
        <v>86111604</v>
      </c>
      <c r="B17716" s="63" t="s">
        <v>18342</v>
      </c>
    </row>
    <row r="17717" spans="1:2" x14ac:dyDescent="0.25">
      <c r="A17717" s="62">
        <v>86111701</v>
      </c>
      <c r="B17717" s="63" t="s">
        <v>18343</v>
      </c>
    </row>
    <row r="17718" spans="1:2" x14ac:dyDescent="0.25">
      <c r="A17718" s="62">
        <v>86111702</v>
      </c>
      <c r="B17718" s="63" t="s">
        <v>18344</v>
      </c>
    </row>
    <row r="17719" spans="1:2" x14ac:dyDescent="0.25">
      <c r="A17719" s="62">
        <v>86111801</v>
      </c>
      <c r="B17719" s="63" t="s">
        <v>18345</v>
      </c>
    </row>
    <row r="17720" spans="1:2" x14ac:dyDescent="0.25">
      <c r="A17720" s="62">
        <v>86111802</v>
      </c>
      <c r="B17720" s="63" t="s">
        <v>18346</v>
      </c>
    </row>
    <row r="17721" spans="1:2" x14ac:dyDescent="0.25">
      <c r="A17721" s="62">
        <v>86121501</v>
      </c>
      <c r="B17721" s="63" t="s">
        <v>18347</v>
      </c>
    </row>
    <row r="17722" spans="1:2" x14ac:dyDescent="0.25">
      <c r="A17722" s="62">
        <v>86121502</v>
      </c>
      <c r="B17722" s="63" t="s">
        <v>18348</v>
      </c>
    </row>
    <row r="17723" spans="1:2" x14ac:dyDescent="0.25">
      <c r="A17723" s="62">
        <v>86121503</v>
      </c>
      <c r="B17723" s="63" t="s">
        <v>18349</v>
      </c>
    </row>
    <row r="17724" spans="1:2" x14ac:dyDescent="0.25">
      <c r="A17724" s="62">
        <v>86121504</v>
      </c>
      <c r="B17724" s="63" t="s">
        <v>18350</v>
      </c>
    </row>
    <row r="17725" spans="1:2" x14ac:dyDescent="0.25">
      <c r="A17725" s="62">
        <v>86121601</v>
      </c>
      <c r="B17725" s="63" t="s">
        <v>18351</v>
      </c>
    </row>
    <row r="17726" spans="1:2" x14ac:dyDescent="0.25">
      <c r="A17726" s="62">
        <v>86121602</v>
      </c>
      <c r="B17726" s="63" t="s">
        <v>18352</v>
      </c>
    </row>
    <row r="17727" spans="1:2" x14ac:dyDescent="0.25">
      <c r="A17727" s="62">
        <v>86121701</v>
      </c>
      <c r="B17727" s="63" t="s">
        <v>18353</v>
      </c>
    </row>
    <row r="17728" spans="1:2" x14ac:dyDescent="0.25">
      <c r="A17728" s="62">
        <v>86121702</v>
      </c>
      <c r="B17728" s="63" t="s">
        <v>18354</v>
      </c>
    </row>
    <row r="17729" spans="1:2" x14ac:dyDescent="0.25">
      <c r="A17729" s="62">
        <v>86121802</v>
      </c>
      <c r="B17729" s="63" t="s">
        <v>18355</v>
      </c>
    </row>
    <row r="17730" spans="1:2" x14ac:dyDescent="0.25">
      <c r="A17730" s="62">
        <v>86121803</v>
      </c>
      <c r="B17730" s="63" t="s">
        <v>18356</v>
      </c>
    </row>
    <row r="17731" spans="1:2" x14ac:dyDescent="0.25">
      <c r="A17731" s="62">
        <v>86121804</v>
      </c>
      <c r="B17731" s="63" t="s">
        <v>18357</v>
      </c>
    </row>
    <row r="17732" spans="1:2" x14ac:dyDescent="0.25">
      <c r="A17732" s="62">
        <v>86131501</v>
      </c>
      <c r="B17732" s="63" t="s">
        <v>18358</v>
      </c>
    </row>
    <row r="17733" spans="1:2" x14ac:dyDescent="0.25">
      <c r="A17733" s="62">
        <v>86131502</v>
      </c>
      <c r="B17733" s="63" t="s">
        <v>18359</v>
      </c>
    </row>
    <row r="17734" spans="1:2" x14ac:dyDescent="0.25">
      <c r="A17734" s="62">
        <v>86131503</v>
      </c>
      <c r="B17734" s="63" t="s">
        <v>15882</v>
      </c>
    </row>
    <row r="17735" spans="1:2" x14ac:dyDescent="0.25">
      <c r="A17735" s="62">
        <v>86131504</v>
      </c>
      <c r="B17735" s="63" t="s">
        <v>18360</v>
      </c>
    </row>
    <row r="17736" spans="1:2" x14ac:dyDescent="0.25">
      <c r="A17736" s="62">
        <v>86131601</v>
      </c>
      <c r="B17736" s="63" t="s">
        <v>18361</v>
      </c>
    </row>
    <row r="17737" spans="1:2" x14ac:dyDescent="0.25">
      <c r="A17737" s="62">
        <v>86131602</v>
      </c>
      <c r="B17737" s="63" t="s">
        <v>18362</v>
      </c>
    </row>
    <row r="17738" spans="1:2" x14ac:dyDescent="0.25">
      <c r="A17738" s="62">
        <v>86131603</v>
      </c>
      <c r="B17738" s="63" t="s">
        <v>18363</v>
      </c>
    </row>
    <row r="17739" spans="1:2" x14ac:dyDescent="0.25">
      <c r="A17739" s="62">
        <v>86131701</v>
      </c>
      <c r="B17739" s="63" t="s">
        <v>18364</v>
      </c>
    </row>
    <row r="17740" spans="1:2" x14ac:dyDescent="0.25">
      <c r="A17740" s="62">
        <v>86131702</v>
      </c>
      <c r="B17740" s="63" t="s">
        <v>18365</v>
      </c>
    </row>
    <row r="17741" spans="1:2" x14ac:dyDescent="0.25">
      <c r="A17741" s="62">
        <v>86131703</v>
      </c>
      <c r="B17741" s="63" t="s">
        <v>18366</v>
      </c>
    </row>
    <row r="17742" spans="1:2" x14ac:dyDescent="0.25">
      <c r="A17742" s="62">
        <v>86131801</v>
      </c>
      <c r="B17742" s="63" t="s">
        <v>18367</v>
      </c>
    </row>
    <row r="17743" spans="1:2" x14ac:dyDescent="0.25">
      <c r="A17743" s="62">
        <v>86131802</v>
      </c>
      <c r="B17743" s="63" t="s">
        <v>18368</v>
      </c>
    </row>
    <row r="17744" spans="1:2" x14ac:dyDescent="0.25">
      <c r="A17744" s="62">
        <v>86131803</v>
      </c>
      <c r="B17744" s="63" t="s">
        <v>18369</v>
      </c>
    </row>
    <row r="17745" spans="1:2" x14ac:dyDescent="0.25">
      <c r="A17745" s="62">
        <v>86131804</v>
      </c>
      <c r="B17745" s="63" t="s">
        <v>18370</v>
      </c>
    </row>
    <row r="17746" spans="1:2" x14ac:dyDescent="0.25">
      <c r="A17746" s="62">
        <v>86131901</v>
      </c>
      <c r="B17746" s="63" t="s">
        <v>18371</v>
      </c>
    </row>
    <row r="17747" spans="1:2" x14ac:dyDescent="0.25">
      <c r="A17747" s="62">
        <v>86131902</v>
      </c>
      <c r="B17747" s="63" t="s">
        <v>18372</v>
      </c>
    </row>
    <row r="17748" spans="1:2" x14ac:dyDescent="0.25">
      <c r="A17748" s="62">
        <v>86131903</v>
      </c>
      <c r="B17748" s="63" t="s">
        <v>18373</v>
      </c>
    </row>
    <row r="17749" spans="1:2" x14ac:dyDescent="0.25">
      <c r="A17749" s="62">
        <v>86131904</v>
      </c>
      <c r="B17749" s="63" t="s">
        <v>18374</v>
      </c>
    </row>
    <row r="17750" spans="1:2" x14ac:dyDescent="0.25">
      <c r="A17750" s="62">
        <v>86141501</v>
      </c>
      <c r="B17750" s="63" t="s">
        <v>18375</v>
      </c>
    </row>
    <row r="17751" spans="1:2" x14ac:dyDescent="0.25">
      <c r="A17751" s="62">
        <v>86141502</v>
      </c>
      <c r="B17751" s="63" t="s">
        <v>18376</v>
      </c>
    </row>
    <row r="17752" spans="1:2" x14ac:dyDescent="0.25">
      <c r="A17752" s="62">
        <v>86141503</v>
      </c>
      <c r="B17752" s="63" t="s">
        <v>18377</v>
      </c>
    </row>
    <row r="17753" spans="1:2" x14ac:dyDescent="0.25">
      <c r="A17753" s="62">
        <v>86141504</v>
      </c>
      <c r="B17753" s="63" t="s">
        <v>18378</v>
      </c>
    </row>
    <row r="17754" spans="1:2" x14ac:dyDescent="0.25">
      <c r="A17754" s="62">
        <v>86141601</v>
      </c>
      <c r="B17754" s="63" t="s">
        <v>18379</v>
      </c>
    </row>
    <row r="17755" spans="1:2" x14ac:dyDescent="0.25">
      <c r="A17755" s="62">
        <v>86141602</v>
      </c>
      <c r="B17755" s="63" t="s">
        <v>18380</v>
      </c>
    </row>
    <row r="17756" spans="1:2" x14ac:dyDescent="0.25">
      <c r="A17756" s="62">
        <v>86141603</v>
      </c>
      <c r="B17756" s="63" t="s">
        <v>18381</v>
      </c>
    </row>
    <row r="17757" spans="1:2" x14ac:dyDescent="0.25">
      <c r="A17757" s="62">
        <v>86141701</v>
      </c>
      <c r="B17757" s="63" t="s">
        <v>18382</v>
      </c>
    </row>
    <row r="17758" spans="1:2" x14ac:dyDescent="0.25">
      <c r="A17758" s="62">
        <v>86141702</v>
      </c>
      <c r="B17758" s="63" t="s">
        <v>18383</v>
      </c>
    </row>
    <row r="17759" spans="1:2" x14ac:dyDescent="0.25">
      <c r="A17759" s="62">
        <v>86141703</v>
      </c>
      <c r="B17759" s="63" t="s">
        <v>18384</v>
      </c>
    </row>
    <row r="17760" spans="1:2" x14ac:dyDescent="0.25">
      <c r="A17760" s="62">
        <v>86141704</v>
      </c>
      <c r="B17760" s="63" t="s">
        <v>18385</v>
      </c>
    </row>
    <row r="17761" spans="1:2" x14ac:dyDescent="0.25">
      <c r="A17761" s="62">
        <v>90101501</v>
      </c>
      <c r="B17761" s="63" t="s">
        <v>18386</v>
      </c>
    </row>
    <row r="17762" spans="1:2" x14ac:dyDescent="0.25">
      <c r="A17762" s="62">
        <v>90101502</v>
      </c>
      <c r="B17762" s="63" t="s">
        <v>18387</v>
      </c>
    </row>
    <row r="17763" spans="1:2" x14ac:dyDescent="0.25">
      <c r="A17763" s="62">
        <v>90101503</v>
      </c>
      <c r="B17763" s="63" t="s">
        <v>18388</v>
      </c>
    </row>
    <row r="17764" spans="1:2" x14ac:dyDescent="0.25">
      <c r="A17764" s="62">
        <v>90101504</v>
      </c>
      <c r="B17764" s="63" t="s">
        <v>18389</v>
      </c>
    </row>
    <row r="17765" spans="1:2" x14ac:dyDescent="0.25">
      <c r="A17765" s="62">
        <v>90101601</v>
      </c>
      <c r="B17765" s="63" t="s">
        <v>18390</v>
      </c>
    </row>
    <row r="17766" spans="1:2" x14ac:dyDescent="0.25">
      <c r="A17766" s="62">
        <v>90101602</v>
      </c>
      <c r="B17766" s="63" t="s">
        <v>18391</v>
      </c>
    </row>
    <row r="17767" spans="1:2" x14ac:dyDescent="0.25">
      <c r="A17767" s="62">
        <v>90101603</v>
      </c>
      <c r="B17767" s="63" t="s">
        <v>18392</v>
      </c>
    </row>
    <row r="17768" spans="1:2" x14ac:dyDescent="0.25">
      <c r="A17768" s="62">
        <v>90101604</v>
      </c>
      <c r="B17768" s="63" t="s">
        <v>86</v>
      </c>
    </row>
    <row r="17769" spans="1:2" x14ac:dyDescent="0.25">
      <c r="A17769" s="62">
        <v>90101701</v>
      </c>
      <c r="B17769" s="63" t="s">
        <v>18393</v>
      </c>
    </row>
    <row r="17770" spans="1:2" x14ac:dyDescent="0.25">
      <c r="A17770" s="62">
        <v>90101801</v>
      </c>
      <c r="B17770" s="63" t="s">
        <v>18394</v>
      </c>
    </row>
    <row r="17771" spans="1:2" x14ac:dyDescent="0.25">
      <c r="A17771" s="62">
        <v>90101802</v>
      </c>
      <c r="B17771" s="63" t="s">
        <v>83</v>
      </c>
    </row>
    <row r="17772" spans="1:2" x14ac:dyDescent="0.25">
      <c r="A17772" s="62">
        <v>90111501</v>
      </c>
      <c r="B17772" s="63" t="s">
        <v>18395</v>
      </c>
    </row>
    <row r="17773" spans="1:2" x14ac:dyDescent="0.25">
      <c r="A17773" s="62">
        <v>90111502</v>
      </c>
      <c r="B17773" s="63" t="s">
        <v>18396</v>
      </c>
    </row>
    <row r="17774" spans="1:2" x14ac:dyDescent="0.25">
      <c r="A17774" s="62">
        <v>90111503</v>
      </c>
      <c r="B17774" s="63" t="s">
        <v>18397</v>
      </c>
    </row>
    <row r="17775" spans="1:2" x14ac:dyDescent="0.25">
      <c r="A17775" s="62">
        <v>90111504</v>
      </c>
      <c r="B17775" s="63" t="s">
        <v>18398</v>
      </c>
    </row>
    <row r="17776" spans="1:2" x14ac:dyDescent="0.25">
      <c r="A17776" s="62">
        <v>90111601</v>
      </c>
      <c r="B17776" s="63" t="s">
        <v>18399</v>
      </c>
    </row>
    <row r="17777" spans="1:2" x14ac:dyDescent="0.25">
      <c r="A17777" s="62">
        <v>90111602</v>
      </c>
      <c r="B17777" s="63" t="s">
        <v>18400</v>
      </c>
    </row>
    <row r="17778" spans="1:2" x14ac:dyDescent="0.25">
      <c r="A17778" s="62">
        <v>90111603</v>
      </c>
      <c r="B17778" s="63" t="s">
        <v>18401</v>
      </c>
    </row>
    <row r="17779" spans="1:2" x14ac:dyDescent="0.25">
      <c r="A17779" s="62">
        <v>90111604</v>
      </c>
      <c r="B17779" s="63" t="s">
        <v>4623</v>
      </c>
    </row>
    <row r="17780" spans="1:2" x14ac:dyDescent="0.25">
      <c r="A17780" s="62">
        <v>90111701</v>
      </c>
      <c r="B17780" s="63" t="s">
        <v>18402</v>
      </c>
    </row>
    <row r="17781" spans="1:2" x14ac:dyDescent="0.25">
      <c r="A17781" s="62">
        <v>90111702</v>
      </c>
      <c r="B17781" s="63" t="s">
        <v>18403</v>
      </c>
    </row>
    <row r="17782" spans="1:2" x14ac:dyDescent="0.25">
      <c r="A17782" s="62">
        <v>90111703</v>
      </c>
      <c r="B17782" s="63" t="s">
        <v>18404</v>
      </c>
    </row>
    <row r="17783" spans="1:2" x14ac:dyDescent="0.25">
      <c r="A17783" s="62">
        <v>90111801</v>
      </c>
      <c r="B17783" s="63" t="s">
        <v>18405</v>
      </c>
    </row>
    <row r="17784" spans="1:2" x14ac:dyDescent="0.25">
      <c r="A17784" s="62">
        <v>90111802</v>
      </c>
      <c r="B17784" s="63" t="s">
        <v>18406</v>
      </c>
    </row>
    <row r="17785" spans="1:2" x14ac:dyDescent="0.25">
      <c r="A17785" s="62">
        <v>90111803</v>
      </c>
      <c r="B17785" s="63" t="s">
        <v>18407</v>
      </c>
    </row>
    <row r="17786" spans="1:2" x14ac:dyDescent="0.25">
      <c r="A17786" s="62">
        <v>90121501</v>
      </c>
      <c r="B17786" s="63" t="s">
        <v>18408</v>
      </c>
    </row>
    <row r="17787" spans="1:2" x14ac:dyDescent="0.25">
      <c r="A17787" s="62">
        <v>90121502</v>
      </c>
      <c r="B17787" s="63" t="s">
        <v>18409</v>
      </c>
    </row>
    <row r="17788" spans="1:2" x14ac:dyDescent="0.25">
      <c r="A17788" s="62">
        <v>90121503</v>
      </c>
      <c r="B17788" s="63" t="s">
        <v>18410</v>
      </c>
    </row>
    <row r="17789" spans="1:2" x14ac:dyDescent="0.25">
      <c r="A17789" s="62">
        <v>90121601</v>
      </c>
      <c r="B17789" s="63" t="s">
        <v>18411</v>
      </c>
    </row>
    <row r="17790" spans="1:2" x14ac:dyDescent="0.25">
      <c r="A17790" s="62">
        <v>90121602</v>
      </c>
      <c r="B17790" s="63" t="s">
        <v>18412</v>
      </c>
    </row>
    <row r="17791" spans="1:2" x14ac:dyDescent="0.25">
      <c r="A17791" s="62">
        <v>90121701</v>
      </c>
      <c r="B17791" s="63" t="s">
        <v>18413</v>
      </c>
    </row>
    <row r="17792" spans="1:2" x14ac:dyDescent="0.25">
      <c r="A17792" s="62">
        <v>90121702</v>
      </c>
      <c r="B17792" s="63" t="s">
        <v>18414</v>
      </c>
    </row>
    <row r="17793" spans="1:2" x14ac:dyDescent="0.25">
      <c r="A17793" s="62">
        <v>90131501</v>
      </c>
      <c r="B17793" s="63" t="s">
        <v>18415</v>
      </c>
    </row>
    <row r="17794" spans="1:2" x14ac:dyDescent="0.25">
      <c r="A17794" s="62">
        <v>90131502</v>
      </c>
      <c r="B17794" s="63" t="s">
        <v>18416</v>
      </c>
    </row>
    <row r="17795" spans="1:2" x14ac:dyDescent="0.25">
      <c r="A17795" s="62">
        <v>90131503</v>
      </c>
      <c r="B17795" s="63" t="s">
        <v>18417</v>
      </c>
    </row>
    <row r="17796" spans="1:2" x14ac:dyDescent="0.25">
      <c r="A17796" s="62">
        <v>90131504</v>
      </c>
      <c r="B17796" s="63" t="s">
        <v>18418</v>
      </c>
    </row>
    <row r="17797" spans="1:2" x14ac:dyDescent="0.25">
      <c r="A17797" s="62">
        <v>90131601</v>
      </c>
      <c r="B17797" s="63" t="s">
        <v>18419</v>
      </c>
    </row>
    <row r="17798" spans="1:2" x14ac:dyDescent="0.25">
      <c r="A17798" s="62">
        <v>90131602</v>
      </c>
      <c r="B17798" s="63" t="s">
        <v>18420</v>
      </c>
    </row>
    <row r="17799" spans="1:2" x14ac:dyDescent="0.25">
      <c r="A17799" s="62">
        <v>90141501</v>
      </c>
      <c r="B17799" s="63" t="s">
        <v>18421</v>
      </c>
    </row>
    <row r="17800" spans="1:2" x14ac:dyDescent="0.25">
      <c r="A17800" s="62">
        <v>90141502</v>
      </c>
      <c r="B17800" s="63" t="s">
        <v>60</v>
      </c>
    </row>
    <row r="17801" spans="1:2" x14ac:dyDescent="0.25">
      <c r="A17801" s="62">
        <v>90141503</v>
      </c>
      <c r="B17801" s="63" t="s">
        <v>18422</v>
      </c>
    </row>
    <row r="17802" spans="1:2" x14ac:dyDescent="0.25">
      <c r="A17802" s="62">
        <v>90141601</v>
      </c>
      <c r="B17802" s="63" t="s">
        <v>18423</v>
      </c>
    </row>
    <row r="17803" spans="1:2" x14ac:dyDescent="0.25">
      <c r="A17803" s="62">
        <v>90141602</v>
      </c>
      <c r="B17803" s="63" t="s">
        <v>18424</v>
      </c>
    </row>
    <row r="17804" spans="1:2" x14ac:dyDescent="0.25">
      <c r="A17804" s="62">
        <v>90141603</v>
      </c>
      <c r="B17804" s="63" t="s">
        <v>18425</v>
      </c>
    </row>
    <row r="17805" spans="1:2" x14ac:dyDescent="0.25">
      <c r="A17805" s="62">
        <v>90141701</v>
      </c>
      <c r="B17805" s="63" t="s">
        <v>18426</v>
      </c>
    </row>
    <row r="17806" spans="1:2" x14ac:dyDescent="0.25">
      <c r="A17806" s="62">
        <v>90141702</v>
      </c>
      <c r="B17806" s="63" t="s">
        <v>18427</v>
      </c>
    </row>
    <row r="17807" spans="1:2" x14ac:dyDescent="0.25">
      <c r="A17807" s="62">
        <v>90141703</v>
      </c>
      <c r="B17807" s="63" t="s">
        <v>18428</v>
      </c>
    </row>
    <row r="17808" spans="1:2" x14ac:dyDescent="0.25">
      <c r="A17808" s="62">
        <v>90151501</v>
      </c>
      <c r="B17808" s="63" t="s">
        <v>18429</v>
      </c>
    </row>
    <row r="17809" spans="1:2" x14ac:dyDescent="0.25">
      <c r="A17809" s="62">
        <v>90151502</v>
      </c>
      <c r="B17809" s="63" t="s">
        <v>18430</v>
      </c>
    </row>
    <row r="17810" spans="1:2" x14ac:dyDescent="0.25">
      <c r="A17810" s="62">
        <v>90151503</v>
      </c>
      <c r="B17810" s="63" t="s">
        <v>18431</v>
      </c>
    </row>
    <row r="17811" spans="1:2" x14ac:dyDescent="0.25">
      <c r="A17811" s="62">
        <v>90151601</v>
      </c>
      <c r="B17811" s="63" t="s">
        <v>18432</v>
      </c>
    </row>
    <row r="17812" spans="1:2" x14ac:dyDescent="0.25">
      <c r="A17812" s="62">
        <v>90151602</v>
      </c>
      <c r="B17812" s="63" t="s">
        <v>18433</v>
      </c>
    </row>
    <row r="17813" spans="1:2" x14ac:dyDescent="0.25">
      <c r="A17813" s="62">
        <v>90151603</v>
      </c>
      <c r="B17813" s="63" t="s">
        <v>18434</v>
      </c>
    </row>
    <row r="17814" spans="1:2" x14ac:dyDescent="0.25">
      <c r="A17814" s="62">
        <v>90151701</v>
      </c>
      <c r="B17814" s="63" t="s">
        <v>18435</v>
      </c>
    </row>
    <row r="17815" spans="1:2" x14ac:dyDescent="0.25">
      <c r="A17815" s="62">
        <v>90151702</v>
      </c>
      <c r="B17815" s="63" t="s">
        <v>18436</v>
      </c>
    </row>
    <row r="17816" spans="1:2" x14ac:dyDescent="0.25">
      <c r="A17816" s="62">
        <v>90151703</v>
      </c>
      <c r="B17816" s="63" t="s">
        <v>18437</v>
      </c>
    </row>
    <row r="17817" spans="1:2" x14ac:dyDescent="0.25">
      <c r="A17817" s="62">
        <v>90151801</v>
      </c>
      <c r="B17817" s="63" t="s">
        <v>18438</v>
      </c>
    </row>
    <row r="17818" spans="1:2" x14ac:dyDescent="0.25">
      <c r="A17818" s="62">
        <v>90151802</v>
      </c>
      <c r="B17818" s="63" t="s">
        <v>18439</v>
      </c>
    </row>
    <row r="17819" spans="1:2" x14ac:dyDescent="0.25">
      <c r="A17819" s="62">
        <v>90151803</v>
      </c>
      <c r="B17819" s="63" t="s">
        <v>18440</v>
      </c>
    </row>
    <row r="17820" spans="1:2" x14ac:dyDescent="0.25">
      <c r="A17820" s="62">
        <v>90151901</v>
      </c>
      <c r="B17820" s="63" t="s">
        <v>18441</v>
      </c>
    </row>
    <row r="17821" spans="1:2" x14ac:dyDescent="0.25">
      <c r="A17821" s="62">
        <v>90151902</v>
      </c>
      <c r="B17821" s="63" t="s">
        <v>18442</v>
      </c>
    </row>
    <row r="17822" spans="1:2" x14ac:dyDescent="0.25">
      <c r="A17822" s="62">
        <v>90151903</v>
      </c>
      <c r="B17822" s="63" t="s">
        <v>18443</v>
      </c>
    </row>
    <row r="17823" spans="1:2" x14ac:dyDescent="0.25">
      <c r="A17823" s="62">
        <v>90152001</v>
      </c>
      <c r="B17823" s="63" t="s">
        <v>18444</v>
      </c>
    </row>
    <row r="17824" spans="1:2" x14ac:dyDescent="0.25">
      <c r="A17824" s="62">
        <v>90152002</v>
      </c>
      <c r="B17824" s="63" t="s">
        <v>18445</v>
      </c>
    </row>
    <row r="17825" spans="1:2" x14ac:dyDescent="0.25">
      <c r="A17825" s="62">
        <v>90152101</v>
      </c>
      <c r="B17825" s="63" t="s">
        <v>18446</v>
      </c>
    </row>
    <row r="17826" spans="1:2" x14ac:dyDescent="0.25">
      <c r="A17826" s="62">
        <v>91101501</v>
      </c>
      <c r="B17826" s="63" t="s">
        <v>18447</v>
      </c>
    </row>
    <row r="17827" spans="1:2" x14ac:dyDescent="0.25">
      <c r="A17827" s="62">
        <v>91101502</v>
      </c>
      <c r="B17827" s="63" t="s">
        <v>18448</v>
      </c>
    </row>
    <row r="17828" spans="1:2" x14ac:dyDescent="0.25">
      <c r="A17828" s="62">
        <v>91101503</v>
      </c>
      <c r="B17828" s="63" t="s">
        <v>18449</v>
      </c>
    </row>
    <row r="17829" spans="1:2" x14ac:dyDescent="0.25">
      <c r="A17829" s="62">
        <v>91101504</v>
      </c>
      <c r="B17829" s="63" t="s">
        <v>18450</v>
      </c>
    </row>
    <row r="17830" spans="1:2" x14ac:dyDescent="0.25">
      <c r="A17830" s="62">
        <v>91101505</v>
      </c>
      <c r="B17830" s="63" t="s">
        <v>18451</v>
      </c>
    </row>
    <row r="17831" spans="1:2" x14ac:dyDescent="0.25">
      <c r="A17831" s="62">
        <v>91101601</v>
      </c>
      <c r="B17831" s="63" t="s">
        <v>18452</v>
      </c>
    </row>
    <row r="17832" spans="1:2" x14ac:dyDescent="0.25">
      <c r="A17832" s="62">
        <v>91101602</v>
      </c>
      <c r="B17832" s="63" t="s">
        <v>18453</v>
      </c>
    </row>
    <row r="17833" spans="1:2" x14ac:dyDescent="0.25">
      <c r="A17833" s="62">
        <v>91101603</v>
      </c>
      <c r="B17833" s="63" t="s">
        <v>18454</v>
      </c>
    </row>
    <row r="17834" spans="1:2" x14ac:dyDescent="0.25">
      <c r="A17834" s="62">
        <v>91101604</v>
      </c>
      <c r="B17834" s="63" t="s">
        <v>18455</v>
      </c>
    </row>
    <row r="17835" spans="1:2" x14ac:dyDescent="0.25">
      <c r="A17835" s="62">
        <v>91101605</v>
      </c>
      <c r="B17835" s="63" t="s">
        <v>18456</v>
      </c>
    </row>
    <row r="17836" spans="1:2" x14ac:dyDescent="0.25">
      <c r="A17836" s="62">
        <v>91101701</v>
      </c>
      <c r="B17836" s="63" t="s">
        <v>18457</v>
      </c>
    </row>
    <row r="17837" spans="1:2" x14ac:dyDescent="0.25">
      <c r="A17837" s="62">
        <v>91101702</v>
      </c>
      <c r="B17837" s="63" t="s">
        <v>18458</v>
      </c>
    </row>
    <row r="17838" spans="1:2" x14ac:dyDescent="0.25">
      <c r="A17838" s="62">
        <v>91101801</v>
      </c>
      <c r="B17838" s="63" t="s">
        <v>18459</v>
      </c>
    </row>
    <row r="17839" spans="1:2" x14ac:dyDescent="0.25">
      <c r="A17839" s="62">
        <v>91101802</v>
      </c>
      <c r="B17839" s="63" t="s">
        <v>18460</v>
      </c>
    </row>
    <row r="17840" spans="1:2" x14ac:dyDescent="0.25">
      <c r="A17840" s="62">
        <v>91101803</v>
      </c>
      <c r="B17840" s="63" t="s">
        <v>18461</v>
      </c>
    </row>
    <row r="17841" spans="1:2" x14ac:dyDescent="0.25">
      <c r="A17841" s="62">
        <v>91101901</v>
      </c>
      <c r="B17841" s="63" t="s">
        <v>18462</v>
      </c>
    </row>
    <row r="17842" spans="1:2" x14ac:dyDescent="0.25">
      <c r="A17842" s="62">
        <v>91101902</v>
      </c>
      <c r="B17842" s="63" t="s">
        <v>18463</v>
      </c>
    </row>
    <row r="17843" spans="1:2" x14ac:dyDescent="0.25">
      <c r="A17843" s="62">
        <v>91101903</v>
      </c>
      <c r="B17843" s="63" t="s">
        <v>18464</v>
      </c>
    </row>
    <row r="17844" spans="1:2" x14ac:dyDescent="0.25">
      <c r="A17844" s="62">
        <v>91111501</v>
      </c>
      <c r="B17844" s="63" t="s">
        <v>18465</v>
      </c>
    </row>
    <row r="17845" spans="1:2" x14ac:dyDescent="0.25">
      <c r="A17845" s="62">
        <v>91111502</v>
      </c>
      <c r="B17845" s="63" t="s">
        <v>653</v>
      </c>
    </row>
    <row r="17846" spans="1:2" x14ac:dyDescent="0.25">
      <c r="A17846" s="62">
        <v>91111503</v>
      </c>
      <c r="B17846" s="63" t="s">
        <v>18466</v>
      </c>
    </row>
    <row r="17847" spans="1:2" x14ac:dyDescent="0.25">
      <c r="A17847" s="62">
        <v>91111504</v>
      </c>
      <c r="B17847" s="63" t="s">
        <v>18467</v>
      </c>
    </row>
    <row r="17848" spans="1:2" x14ac:dyDescent="0.25">
      <c r="A17848" s="62">
        <v>91111601</v>
      </c>
      <c r="B17848" s="63" t="s">
        <v>18468</v>
      </c>
    </row>
    <row r="17849" spans="1:2" x14ac:dyDescent="0.25">
      <c r="A17849" s="62">
        <v>91111602</v>
      </c>
      <c r="B17849" s="63" t="s">
        <v>18469</v>
      </c>
    </row>
    <row r="17850" spans="1:2" x14ac:dyDescent="0.25">
      <c r="A17850" s="62">
        <v>91111603</v>
      </c>
      <c r="B17850" s="63" t="s">
        <v>18470</v>
      </c>
    </row>
    <row r="17851" spans="1:2" x14ac:dyDescent="0.25">
      <c r="A17851" s="62">
        <v>91111701</v>
      </c>
      <c r="B17851" s="63" t="s">
        <v>18471</v>
      </c>
    </row>
    <row r="17852" spans="1:2" x14ac:dyDescent="0.25">
      <c r="A17852" s="62">
        <v>91111702</v>
      </c>
      <c r="B17852" s="63" t="s">
        <v>18472</v>
      </c>
    </row>
    <row r="17853" spans="1:2" x14ac:dyDescent="0.25">
      <c r="A17853" s="62">
        <v>91111703</v>
      </c>
      <c r="B17853" s="63" t="s">
        <v>18473</v>
      </c>
    </row>
    <row r="17854" spans="1:2" x14ac:dyDescent="0.25">
      <c r="A17854" s="62">
        <v>91111801</v>
      </c>
      <c r="B17854" s="63" t="s">
        <v>18474</v>
      </c>
    </row>
    <row r="17855" spans="1:2" x14ac:dyDescent="0.25">
      <c r="A17855" s="62">
        <v>91111802</v>
      </c>
      <c r="B17855" s="63" t="s">
        <v>18475</v>
      </c>
    </row>
    <row r="17856" spans="1:2" x14ac:dyDescent="0.25">
      <c r="A17856" s="62">
        <v>91111803</v>
      </c>
      <c r="B17856" s="63" t="s">
        <v>18476</v>
      </c>
    </row>
    <row r="17857" spans="1:2" x14ac:dyDescent="0.25">
      <c r="A17857" s="62">
        <v>91111804</v>
      </c>
      <c r="B17857" s="63" t="s">
        <v>18477</v>
      </c>
    </row>
    <row r="17858" spans="1:2" x14ac:dyDescent="0.25">
      <c r="A17858" s="62">
        <v>91111901</v>
      </c>
      <c r="B17858" s="63" t="s">
        <v>18478</v>
      </c>
    </row>
    <row r="17859" spans="1:2" x14ac:dyDescent="0.25">
      <c r="A17859" s="62">
        <v>91111902</v>
      </c>
      <c r="B17859" s="63" t="s">
        <v>18479</v>
      </c>
    </row>
    <row r="17860" spans="1:2" x14ac:dyDescent="0.25">
      <c r="A17860" s="62">
        <v>91111903</v>
      </c>
      <c r="B17860" s="63" t="s">
        <v>18480</v>
      </c>
    </row>
    <row r="17861" spans="1:2" x14ac:dyDescent="0.25">
      <c r="A17861" s="62">
        <v>91111904</v>
      </c>
      <c r="B17861" s="63" t="s">
        <v>18481</v>
      </c>
    </row>
    <row r="17862" spans="1:2" x14ac:dyDescent="0.25">
      <c r="A17862" s="62">
        <v>92101501</v>
      </c>
      <c r="B17862" s="63" t="s">
        <v>18482</v>
      </c>
    </row>
    <row r="17863" spans="1:2" x14ac:dyDescent="0.25">
      <c r="A17863" s="62">
        <v>92101502</v>
      </c>
      <c r="B17863" s="63" t="s">
        <v>18483</v>
      </c>
    </row>
    <row r="17864" spans="1:2" x14ac:dyDescent="0.25">
      <c r="A17864" s="62">
        <v>92101503</v>
      </c>
      <c r="B17864" s="63" t="s">
        <v>18484</v>
      </c>
    </row>
    <row r="17865" spans="1:2" x14ac:dyDescent="0.25">
      <c r="A17865" s="62">
        <v>92101504</v>
      </c>
      <c r="B17865" s="63" t="s">
        <v>18485</v>
      </c>
    </row>
    <row r="17866" spans="1:2" x14ac:dyDescent="0.25">
      <c r="A17866" s="62">
        <v>92101601</v>
      </c>
      <c r="B17866" s="63" t="s">
        <v>18486</v>
      </c>
    </row>
    <row r="17867" spans="1:2" x14ac:dyDescent="0.25">
      <c r="A17867" s="62">
        <v>92101602</v>
      </c>
      <c r="B17867" s="63" t="s">
        <v>18487</v>
      </c>
    </row>
    <row r="17868" spans="1:2" x14ac:dyDescent="0.25">
      <c r="A17868" s="62">
        <v>92101603</v>
      </c>
      <c r="B17868" s="63" t="s">
        <v>18488</v>
      </c>
    </row>
    <row r="17869" spans="1:2" x14ac:dyDescent="0.25">
      <c r="A17869" s="62">
        <v>92101604</v>
      </c>
      <c r="B17869" s="63" t="s">
        <v>18489</v>
      </c>
    </row>
    <row r="17870" spans="1:2" x14ac:dyDescent="0.25">
      <c r="A17870" s="62">
        <v>92101701</v>
      </c>
      <c r="B17870" s="63" t="s">
        <v>18490</v>
      </c>
    </row>
    <row r="17871" spans="1:2" x14ac:dyDescent="0.25">
      <c r="A17871" s="62">
        <v>92101702</v>
      </c>
      <c r="B17871" s="63" t="s">
        <v>18491</v>
      </c>
    </row>
    <row r="17872" spans="1:2" x14ac:dyDescent="0.25">
      <c r="A17872" s="62">
        <v>92101703</v>
      </c>
      <c r="B17872" s="63" t="s">
        <v>18492</v>
      </c>
    </row>
    <row r="17873" spans="1:2" x14ac:dyDescent="0.25">
      <c r="A17873" s="62">
        <v>92101704</v>
      </c>
      <c r="B17873" s="63" t="s">
        <v>18493</v>
      </c>
    </row>
    <row r="17874" spans="1:2" x14ac:dyDescent="0.25">
      <c r="A17874" s="62">
        <v>92101801</v>
      </c>
      <c r="B17874" s="63" t="s">
        <v>18494</v>
      </c>
    </row>
    <row r="17875" spans="1:2" x14ac:dyDescent="0.25">
      <c r="A17875" s="62">
        <v>92101802</v>
      </c>
      <c r="B17875" s="63" t="s">
        <v>18495</v>
      </c>
    </row>
    <row r="17876" spans="1:2" x14ac:dyDescent="0.25">
      <c r="A17876" s="62">
        <v>92101803</v>
      </c>
      <c r="B17876" s="63" t="s">
        <v>18496</v>
      </c>
    </row>
    <row r="17877" spans="1:2" x14ac:dyDescent="0.25">
      <c r="A17877" s="62">
        <v>92101804</v>
      </c>
      <c r="B17877" s="63" t="s">
        <v>18497</v>
      </c>
    </row>
    <row r="17878" spans="1:2" x14ac:dyDescent="0.25">
      <c r="A17878" s="62">
        <v>92101805</v>
      </c>
      <c r="B17878" s="63" t="s">
        <v>18498</v>
      </c>
    </row>
    <row r="17879" spans="1:2" x14ac:dyDescent="0.25">
      <c r="A17879" s="62">
        <v>92101901</v>
      </c>
      <c r="B17879" s="63" t="s">
        <v>18499</v>
      </c>
    </row>
    <row r="17880" spans="1:2" x14ac:dyDescent="0.25">
      <c r="A17880" s="62">
        <v>92101902</v>
      </c>
      <c r="B17880" s="63" t="s">
        <v>18500</v>
      </c>
    </row>
    <row r="17881" spans="1:2" x14ac:dyDescent="0.25">
      <c r="A17881" s="62">
        <v>92101903</v>
      </c>
      <c r="B17881" s="63" t="s">
        <v>18501</v>
      </c>
    </row>
    <row r="17882" spans="1:2" x14ac:dyDescent="0.25">
      <c r="A17882" s="62">
        <v>92101904</v>
      </c>
      <c r="B17882" s="63" t="s">
        <v>18502</v>
      </c>
    </row>
    <row r="17883" spans="1:2" x14ac:dyDescent="0.25">
      <c r="A17883" s="62">
        <v>92111501</v>
      </c>
      <c r="B17883" s="63" t="s">
        <v>18503</v>
      </c>
    </row>
    <row r="17884" spans="1:2" x14ac:dyDescent="0.25">
      <c r="A17884" s="62">
        <v>92111502</v>
      </c>
      <c r="B17884" s="63" t="s">
        <v>18504</v>
      </c>
    </row>
    <row r="17885" spans="1:2" x14ac:dyDescent="0.25">
      <c r="A17885" s="62">
        <v>92111503</v>
      </c>
      <c r="B17885" s="63" t="s">
        <v>18505</v>
      </c>
    </row>
    <row r="17886" spans="1:2" x14ac:dyDescent="0.25">
      <c r="A17886" s="62">
        <v>92111504</v>
      </c>
      <c r="B17886" s="63" t="s">
        <v>18506</v>
      </c>
    </row>
    <row r="17887" spans="1:2" x14ac:dyDescent="0.25">
      <c r="A17887" s="62">
        <v>92111505</v>
      </c>
      <c r="B17887" s="63" t="s">
        <v>18507</v>
      </c>
    </row>
    <row r="17888" spans="1:2" x14ac:dyDescent="0.25">
      <c r="A17888" s="62">
        <v>92111506</v>
      </c>
      <c r="B17888" s="63" t="s">
        <v>18508</v>
      </c>
    </row>
    <row r="17889" spans="1:2" x14ac:dyDescent="0.25">
      <c r="A17889" s="62">
        <v>92111507</v>
      </c>
      <c r="B17889" s="63" t="s">
        <v>18509</v>
      </c>
    </row>
    <row r="17890" spans="1:2" x14ac:dyDescent="0.25">
      <c r="A17890" s="62">
        <v>92111601</v>
      </c>
      <c r="B17890" s="63" t="s">
        <v>18510</v>
      </c>
    </row>
    <row r="17891" spans="1:2" x14ac:dyDescent="0.25">
      <c r="A17891" s="62">
        <v>92111602</v>
      </c>
      <c r="B17891" s="63" t="s">
        <v>18511</v>
      </c>
    </row>
    <row r="17892" spans="1:2" x14ac:dyDescent="0.25">
      <c r="A17892" s="62">
        <v>92111603</v>
      </c>
      <c r="B17892" s="63" t="s">
        <v>18512</v>
      </c>
    </row>
    <row r="17893" spans="1:2" x14ac:dyDescent="0.25">
      <c r="A17893" s="62">
        <v>92111604</v>
      </c>
      <c r="B17893" s="63" t="s">
        <v>18513</v>
      </c>
    </row>
    <row r="17894" spans="1:2" x14ac:dyDescent="0.25">
      <c r="A17894" s="62">
        <v>92111605</v>
      </c>
      <c r="B17894" s="63" t="s">
        <v>18514</v>
      </c>
    </row>
    <row r="17895" spans="1:2" x14ac:dyDescent="0.25">
      <c r="A17895" s="62">
        <v>92111606</v>
      </c>
      <c r="B17895" s="63" t="s">
        <v>18515</v>
      </c>
    </row>
    <row r="17896" spans="1:2" x14ac:dyDescent="0.25">
      <c r="A17896" s="62">
        <v>92111701</v>
      </c>
      <c r="B17896" s="63" t="s">
        <v>18516</v>
      </c>
    </row>
    <row r="17897" spans="1:2" x14ac:dyDescent="0.25">
      <c r="A17897" s="62">
        <v>92111702</v>
      </c>
      <c r="B17897" s="63" t="s">
        <v>18517</v>
      </c>
    </row>
    <row r="17898" spans="1:2" x14ac:dyDescent="0.25">
      <c r="A17898" s="62">
        <v>92111703</v>
      </c>
      <c r="B17898" s="63" t="s">
        <v>18518</v>
      </c>
    </row>
    <row r="17899" spans="1:2" x14ac:dyDescent="0.25">
      <c r="A17899" s="62">
        <v>92111704</v>
      </c>
      <c r="B17899" s="63" t="s">
        <v>18519</v>
      </c>
    </row>
    <row r="17900" spans="1:2" x14ac:dyDescent="0.25">
      <c r="A17900" s="62">
        <v>92111705</v>
      </c>
      <c r="B17900" s="63" t="s">
        <v>18520</v>
      </c>
    </row>
    <row r="17901" spans="1:2" x14ac:dyDescent="0.25">
      <c r="A17901" s="62">
        <v>92111706</v>
      </c>
      <c r="B17901" s="63" t="s">
        <v>18521</v>
      </c>
    </row>
    <row r="17902" spans="1:2" x14ac:dyDescent="0.25">
      <c r="A17902" s="62">
        <v>92111707</v>
      </c>
      <c r="B17902" s="63" t="s">
        <v>18522</v>
      </c>
    </row>
    <row r="17903" spans="1:2" x14ac:dyDescent="0.25">
      <c r="A17903" s="62">
        <v>92111708</v>
      </c>
      <c r="B17903" s="63" t="s">
        <v>18523</v>
      </c>
    </row>
    <row r="17904" spans="1:2" x14ac:dyDescent="0.25">
      <c r="A17904" s="62">
        <v>92111801</v>
      </c>
      <c r="B17904" s="63" t="s">
        <v>18524</v>
      </c>
    </row>
    <row r="17905" spans="1:2" x14ac:dyDescent="0.25">
      <c r="A17905" s="62">
        <v>92111802</v>
      </c>
      <c r="B17905" s="63" t="s">
        <v>18525</v>
      </c>
    </row>
    <row r="17906" spans="1:2" x14ac:dyDescent="0.25">
      <c r="A17906" s="62">
        <v>92111803</v>
      </c>
      <c r="B17906" s="63" t="s">
        <v>18526</v>
      </c>
    </row>
    <row r="17907" spans="1:2" x14ac:dyDescent="0.25">
      <c r="A17907" s="62">
        <v>92111804</v>
      </c>
      <c r="B17907" s="63" t="s">
        <v>18527</v>
      </c>
    </row>
    <row r="17908" spans="1:2" x14ac:dyDescent="0.25">
      <c r="A17908" s="62">
        <v>92111805</v>
      </c>
      <c r="B17908" s="63" t="s">
        <v>18528</v>
      </c>
    </row>
    <row r="17909" spans="1:2" x14ac:dyDescent="0.25">
      <c r="A17909" s="62">
        <v>92111806</v>
      </c>
      <c r="B17909" s="63" t="s">
        <v>18529</v>
      </c>
    </row>
    <row r="17910" spans="1:2" x14ac:dyDescent="0.25">
      <c r="A17910" s="62">
        <v>92111807</v>
      </c>
      <c r="B17910" s="63" t="s">
        <v>18530</v>
      </c>
    </row>
    <row r="17911" spans="1:2" x14ac:dyDescent="0.25">
      <c r="A17911" s="62">
        <v>92111808</v>
      </c>
      <c r="B17911" s="63" t="s">
        <v>18531</v>
      </c>
    </row>
    <row r="17912" spans="1:2" x14ac:dyDescent="0.25">
      <c r="A17912" s="62">
        <v>92111809</v>
      </c>
      <c r="B17912" s="63" t="s">
        <v>18532</v>
      </c>
    </row>
    <row r="17913" spans="1:2" x14ac:dyDescent="0.25">
      <c r="A17913" s="62">
        <v>92111810</v>
      </c>
      <c r="B17913" s="63" t="s">
        <v>18533</v>
      </c>
    </row>
    <row r="17914" spans="1:2" x14ac:dyDescent="0.25">
      <c r="A17914" s="62">
        <v>92111901</v>
      </c>
      <c r="B17914" s="63" t="s">
        <v>18534</v>
      </c>
    </row>
    <row r="17915" spans="1:2" x14ac:dyDescent="0.25">
      <c r="A17915" s="62">
        <v>92111902</v>
      </c>
      <c r="B17915" s="63" t="s">
        <v>18535</v>
      </c>
    </row>
    <row r="17916" spans="1:2" x14ac:dyDescent="0.25">
      <c r="A17916" s="62">
        <v>92111903</v>
      </c>
      <c r="B17916" s="63" t="s">
        <v>18536</v>
      </c>
    </row>
    <row r="17917" spans="1:2" x14ac:dyDescent="0.25">
      <c r="A17917" s="62">
        <v>92111904</v>
      </c>
      <c r="B17917" s="63" t="s">
        <v>18537</v>
      </c>
    </row>
    <row r="17918" spans="1:2" x14ac:dyDescent="0.25">
      <c r="A17918" s="62">
        <v>92111905</v>
      </c>
      <c r="B17918" s="63" t="s">
        <v>18538</v>
      </c>
    </row>
    <row r="17919" spans="1:2" x14ac:dyDescent="0.25">
      <c r="A17919" s="62">
        <v>92112001</v>
      </c>
      <c r="B17919" s="63" t="s">
        <v>18539</v>
      </c>
    </row>
    <row r="17920" spans="1:2" x14ac:dyDescent="0.25">
      <c r="A17920" s="62">
        <v>92112002</v>
      </c>
      <c r="B17920" s="63" t="s">
        <v>18540</v>
      </c>
    </row>
    <row r="17921" spans="1:2" x14ac:dyDescent="0.25">
      <c r="A17921" s="62">
        <v>92112003</v>
      </c>
      <c r="B17921" s="63" t="s">
        <v>18541</v>
      </c>
    </row>
    <row r="17922" spans="1:2" x14ac:dyDescent="0.25">
      <c r="A17922" s="62">
        <v>92112004</v>
      </c>
      <c r="B17922" s="63" t="s">
        <v>18542</v>
      </c>
    </row>
    <row r="17923" spans="1:2" x14ac:dyDescent="0.25">
      <c r="A17923" s="62">
        <v>92112101</v>
      </c>
      <c r="B17923" s="63" t="s">
        <v>18543</v>
      </c>
    </row>
    <row r="17924" spans="1:2" x14ac:dyDescent="0.25">
      <c r="A17924" s="62">
        <v>92112102</v>
      </c>
      <c r="B17924" s="63" t="s">
        <v>18544</v>
      </c>
    </row>
    <row r="17925" spans="1:2" x14ac:dyDescent="0.25">
      <c r="A17925" s="62">
        <v>92112103</v>
      </c>
      <c r="B17925" s="63" t="s">
        <v>18545</v>
      </c>
    </row>
    <row r="17926" spans="1:2" x14ac:dyDescent="0.25">
      <c r="A17926" s="62">
        <v>92112201</v>
      </c>
      <c r="B17926" s="63" t="s">
        <v>18546</v>
      </c>
    </row>
    <row r="17927" spans="1:2" x14ac:dyDescent="0.25">
      <c r="A17927" s="62">
        <v>92112202</v>
      </c>
      <c r="B17927" s="63" t="s">
        <v>18547</v>
      </c>
    </row>
    <row r="17928" spans="1:2" x14ac:dyDescent="0.25">
      <c r="A17928" s="62">
        <v>92112203</v>
      </c>
      <c r="B17928" s="63" t="s">
        <v>18548</v>
      </c>
    </row>
    <row r="17929" spans="1:2" x14ac:dyDescent="0.25">
      <c r="A17929" s="62">
        <v>92112204</v>
      </c>
      <c r="B17929" s="63" t="s">
        <v>18549</v>
      </c>
    </row>
    <row r="17930" spans="1:2" x14ac:dyDescent="0.25">
      <c r="A17930" s="62">
        <v>92112205</v>
      </c>
      <c r="B17930" s="63" t="s">
        <v>18550</v>
      </c>
    </row>
    <row r="17931" spans="1:2" x14ac:dyDescent="0.25">
      <c r="A17931" s="62">
        <v>92112206</v>
      </c>
      <c r="B17931" s="63" t="s">
        <v>18551</v>
      </c>
    </row>
    <row r="17932" spans="1:2" x14ac:dyDescent="0.25">
      <c r="A17932" s="62">
        <v>92112207</v>
      </c>
      <c r="B17932" s="63" t="s">
        <v>18552</v>
      </c>
    </row>
    <row r="17933" spans="1:2" x14ac:dyDescent="0.25">
      <c r="A17933" s="62">
        <v>92112301</v>
      </c>
      <c r="B17933" s="63" t="s">
        <v>18553</v>
      </c>
    </row>
    <row r="17934" spans="1:2" x14ac:dyDescent="0.25">
      <c r="A17934" s="62">
        <v>92112302</v>
      </c>
      <c r="B17934" s="63" t="s">
        <v>18554</v>
      </c>
    </row>
    <row r="17935" spans="1:2" x14ac:dyDescent="0.25">
      <c r="A17935" s="62">
        <v>92112303</v>
      </c>
      <c r="B17935" s="63" t="s">
        <v>18555</v>
      </c>
    </row>
    <row r="17936" spans="1:2" x14ac:dyDescent="0.25">
      <c r="A17936" s="62">
        <v>92112401</v>
      </c>
      <c r="B17936" s="63" t="s">
        <v>18556</v>
      </c>
    </row>
    <row r="17937" spans="1:2" x14ac:dyDescent="0.25">
      <c r="A17937" s="62">
        <v>92112402</v>
      </c>
      <c r="B17937" s="63" t="s">
        <v>18557</v>
      </c>
    </row>
    <row r="17938" spans="1:2" x14ac:dyDescent="0.25">
      <c r="A17938" s="62">
        <v>92112403</v>
      </c>
      <c r="B17938" s="63" t="s">
        <v>18558</v>
      </c>
    </row>
    <row r="17939" spans="1:2" x14ac:dyDescent="0.25">
      <c r="A17939" s="62">
        <v>92112404</v>
      </c>
      <c r="B17939" s="63" t="s">
        <v>18559</v>
      </c>
    </row>
    <row r="17940" spans="1:2" x14ac:dyDescent="0.25">
      <c r="A17940" s="62">
        <v>92112405</v>
      </c>
      <c r="B17940" s="63" t="s">
        <v>18560</v>
      </c>
    </row>
    <row r="17941" spans="1:2" x14ac:dyDescent="0.25">
      <c r="A17941" s="62">
        <v>92121501</v>
      </c>
      <c r="B17941" s="63" t="s">
        <v>18561</v>
      </c>
    </row>
    <row r="17942" spans="1:2" x14ac:dyDescent="0.25">
      <c r="A17942" s="62">
        <v>92121502</v>
      </c>
      <c r="B17942" s="63" t="s">
        <v>18562</v>
      </c>
    </row>
    <row r="17943" spans="1:2" x14ac:dyDescent="0.25">
      <c r="A17943" s="62">
        <v>92121503</v>
      </c>
      <c r="B17943" s="63" t="s">
        <v>18563</v>
      </c>
    </row>
    <row r="17944" spans="1:2" x14ac:dyDescent="0.25">
      <c r="A17944" s="62">
        <v>92121504</v>
      </c>
      <c r="B17944" s="63" t="s">
        <v>18564</v>
      </c>
    </row>
    <row r="17945" spans="1:2" x14ac:dyDescent="0.25">
      <c r="A17945" s="62">
        <v>92121601</v>
      </c>
      <c r="B17945" s="63" t="s">
        <v>18565</v>
      </c>
    </row>
    <row r="17946" spans="1:2" x14ac:dyDescent="0.25">
      <c r="A17946" s="62">
        <v>92121602</v>
      </c>
      <c r="B17946" s="63" t="s">
        <v>18566</v>
      </c>
    </row>
    <row r="17947" spans="1:2" x14ac:dyDescent="0.25">
      <c r="A17947" s="62">
        <v>92121603</v>
      </c>
      <c r="B17947" s="63" t="s">
        <v>18567</v>
      </c>
    </row>
    <row r="17948" spans="1:2" x14ac:dyDescent="0.25">
      <c r="A17948" s="62">
        <v>92121604</v>
      </c>
      <c r="B17948" s="63" t="s">
        <v>18568</v>
      </c>
    </row>
    <row r="17949" spans="1:2" x14ac:dyDescent="0.25">
      <c r="A17949" s="62">
        <v>92121701</v>
      </c>
      <c r="B17949" s="63" t="s">
        <v>18569</v>
      </c>
    </row>
    <row r="17950" spans="1:2" x14ac:dyDescent="0.25">
      <c r="A17950" s="62">
        <v>92121702</v>
      </c>
      <c r="B17950" s="63" t="s">
        <v>18570</v>
      </c>
    </row>
    <row r="17951" spans="1:2" x14ac:dyDescent="0.25">
      <c r="A17951" s="62">
        <v>92121703</v>
      </c>
      <c r="B17951" s="63" t="s">
        <v>18571</v>
      </c>
    </row>
    <row r="17952" spans="1:2" x14ac:dyDescent="0.25">
      <c r="A17952" s="62">
        <v>92121704</v>
      </c>
      <c r="B17952" s="63" t="s">
        <v>18572</v>
      </c>
    </row>
    <row r="17953" spans="1:2" x14ac:dyDescent="0.25">
      <c r="A17953" s="62">
        <v>93101501</v>
      </c>
      <c r="B17953" s="63" t="s">
        <v>18573</v>
      </c>
    </row>
    <row r="17954" spans="1:2" x14ac:dyDescent="0.25">
      <c r="A17954" s="62">
        <v>93101502</v>
      </c>
      <c r="B17954" s="63" t="s">
        <v>18574</v>
      </c>
    </row>
    <row r="17955" spans="1:2" x14ac:dyDescent="0.25">
      <c r="A17955" s="62">
        <v>93101503</v>
      </c>
      <c r="B17955" s="63" t="s">
        <v>18575</v>
      </c>
    </row>
    <row r="17956" spans="1:2" x14ac:dyDescent="0.25">
      <c r="A17956" s="62">
        <v>93101504</v>
      </c>
      <c r="B17956" s="63" t="s">
        <v>18576</v>
      </c>
    </row>
    <row r="17957" spans="1:2" x14ac:dyDescent="0.25">
      <c r="A17957" s="62">
        <v>93101505</v>
      </c>
      <c r="B17957" s="63" t="s">
        <v>18577</v>
      </c>
    </row>
    <row r="17958" spans="1:2" x14ac:dyDescent="0.25">
      <c r="A17958" s="62">
        <v>93101506</v>
      </c>
      <c r="B17958" s="63" t="s">
        <v>18578</v>
      </c>
    </row>
    <row r="17959" spans="1:2" x14ac:dyDescent="0.25">
      <c r="A17959" s="62">
        <v>93101601</v>
      </c>
      <c r="B17959" s="63" t="s">
        <v>18579</v>
      </c>
    </row>
    <row r="17960" spans="1:2" x14ac:dyDescent="0.25">
      <c r="A17960" s="62">
        <v>93101602</v>
      </c>
      <c r="B17960" s="63" t="s">
        <v>18580</v>
      </c>
    </row>
    <row r="17961" spans="1:2" x14ac:dyDescent="0.25">
      <c r="A17961" s="62">
        <v>93101603</v>
      </c>
      <c r="B17961" s="63" t="s">
        <v>18581</v>
      </c>
    </row>
    <row r="17962" spans="1:2" x14ac:dyDescent="0.25">
      <c r="A17962" s="62">
        <v>93101604</v>
      </c>
      <c r="B17962" s="63" t="s">
        <v>18582</v>
      </c>
    </row>
    <row r="17963" spans="1:2" x14ac:dyDescent="0.25">
      <c r="A17963" s="62">
        <v>93101605</v>
      </c>
      <c r="B17963" s="63" t="s">
        <v>18583</v>
      </c>
    </row>
    <row r="17964" spans="1:2" x14ac:dyDescent="0.25">
      <c r="A17964" s="62">
        <v>93101606</v>
      </c>
      <c r="B17964" s="63" t="s">
        <v>18584</v>
      </c>
    </row>
    <row r="17965" spans="1:2" x14ac:dyDescent="0.25">
      <c r="A17965" s="62">
        <v>93101607</v>
      </c>
      <c r="B17965" s="63" t="s">
        <v>18585</v>
      </c>
    </row>
    <row r="17966" spans="1:2" x14ac:dyDescent="0.25">
      <c r="A17966" s="62">
        <v>93101608</v>
      </c>
      <c r="B17966" s="63" t="s">
        <v>18586</v>
      </c>
    </row>
    <row r="17967" spans="1:2" x14ac:dyDescent="0.25">
      <c r="A17967" s="62">
        <v>93101701</v>
      </c>
      <c r="B17967" s="63" t="s">
        <v>18587</v>
      </c>
    </row>
    <row r="17968" spans="1:2" x14ac:dyDescent="0.25">
      <c r="A17968" s="62">
        <v>93101702</v>
      </c>
      <c r="B17968" s="63" t="s">
        <v>18588</v>
      </c>
    </row>
    <row r="17969" spans="1:2" x14ac:dyDescent="0.25">
      <c r="A17969" s="62">
        <v>93101703</v>
      </c>
      <c r="B17969" s="63" t="s">
        <v>18589</v>
      </c>
    </row>
    <row r="17970" spans="1:2" x14ac:dyDescent="0.25">
      <c r="A17970" s="62">
        <v>93101704</v>
      </c>
      <c r="B17970" s="63" t="s">
        <v>18590</v>
      </c>
    </row>
    <row r="17971" spans="1:2" x14ac:dyDescent="0.25">
      <c r="A17971" s="62">
        <v>93101705</v>
      </c>
      <c r="B17971" s="63" t="s">
        <v>18591</v>
      </c>
    </row>
    <row r="17972" spans="1:2" x14ac:dyDescent="0.25">
      <c r="A17972" s="62">
        <v>93101706</v>
      </c>
      <c r="B17972" s="63" t="s">
        <v>18592</v>
      </c>
    </row>
    <row r="17973" spans="1:2" x14ac:dyDescent="0.25">
      <c r="A17973" s="62">
        <v>93101707</v>
      </c>
      <c r="B17973" s="63" t="s">
        <v>18593</v>
      </c>
    </row>
    <row r="17974" spans="1:2" x14ac:dyDescent="0.25">
      <c r="A17974" s="62">
        <v>93111501</v>
      </c>
      <c r="B17974" s="63" t="s">
        <v>18594</v>
      </c>
    </row>
    <row r="17975" spans="1:2" x14ac:dyDescent="0.25">
      <c r="A17975" s="62">
        <v>93111502</v>
      </c>
      <c r="B17975" s="63" t="s">
        <v>18595</v>
      </c>
    </row>
    <row r="17976" spans="1:2" x14ac:dyDescent="0.25">
      <c r="A17976" s="62">
        <v>93111503</v>
      </c>
      <c r="B17976" s="63" t="s">
        <v>18596</v>
      </c>
    </row>
    <row r="17977" spans="1:2" x14ac:dyDescent="0.25">
      <c r="A17977" s="62">
        <v>93111504</v>
      </c>
      <c r="B17977" s="63" t="s">
        <v>18597</v>
      </c>
    </row>
    <row r="17978" spans="1:2" x14ac:dyDescent="0.25">
      <c r="A17978" s="62">
        <v>93111505</v>
      </c>
      <c r="B17978" s="63" t="s">
        <v>18598</v>
      </c>
    </row>
    <row r="17979" spans="1:2" x14ac:dyDescent="0.25">
      <c r="A17979" s="62">
        <v>93111506</v>
      </c>
      <c r="B17979" s="63" t="s">
        <v>18599</v>
      </c>
    </row>
    <row r="17980" spans="1:2" x14ac:dyDescent="0.25">
      <c r="A17980" s="62">
        <v>93111507</v>
      </c>
      <c r="B17980" s="63" t="s">
        <v>18600</v>
      </c>
    </row>
    <row r="17981" spans="1:2" x14ac:dyDescent="0.25">
      <c r="A17981" s="62">
        <v>93111601</v>
      </c>
      <c r="B17981" s="63" t="s">
        <v>18601</v>
      </c>
    </row>
    <row r="17982" spans="1:2" x14ac:dyDescent="0.25">
      <c r="A17982" s="62">
        <v>93111602</v>
      </c>
      <c r="B17982" s="63" t="s">
        <v>18602</v>
      </c>
    </row>
    <row r="17983" spans="1:2" x14ac:dyDescent="0.25">
      <c r="A17983" s="62">
        <v>93111603</v>
      </c>
      <c r="B17983" s="63" t="s">
        <v>18603</v>
      </c>
    </row>
    <row r="17984" spans="1:2" x14ac:dyDescent="0.25">
      <c r="A17984" s="62">
        <v>93111604</v>
      </c>
      <c r="B17984" s="63" t="s">
        <v>18604</v>
      </c>
    </row>
    <row r="17985" spans="1:2" x14ac:dyDescent="0.25">
      <c r="A17985" s="62">
        <v>93111605</v>
      </c>
      <c r="B17985" s="63" t="s">
        <v>18605</v>
      </c>
    </row>
    <row r="17986" spans="1:2" x14ac:dyDescent="0.25">
      <c r="A17986" s="62">
        <v>93111606</v>
      </c>
      <c r="B17986" s="63" t="s">
        <v>18606</v>
      </c>
    </row>
    <row r="17987" spans="1:2" x14ac:dyDescent="0.25">
      <c r="A17987" s="62">
        <v>93111607</v>
      </c>
      <c r="B17987" s="63" t="s">
        <v>18607</v>
      </c>
    </row>
    <row r="17988" spans="1:2" x14ac:dyDescent="0.25">
      <c r="A17988" s="62">
        <v>93111608</v>
      </c>
      <c r="B17988" s="63" t="s">
        <v>18608</v>
      </c>
    </row>
    <row r="17989" spans="1:2" x14ac:dyDescent="0.25">
      <c r="A17989" s="62">
        <v>93121501</v>
      </c>
      <c r="B17989" s="63" t="s">
        <v>18609</v>
      </c>
    </row>
    <row r="17990" spans="1:2" x14ac:dyDescent="0.25">
      <c r="A17990" s="62">
        <v>93121502</v>
      </c>
      <c r="B17990" s="63" t="s">
        <v>18610</v>
      </c>
    </row>
    <row r="17991" spans="1:2" x14ac:dyDescent="0.25">
      <c r="A17991" s="62">
        <v>93121503</v>
      </c>
      <c r="B17991" s="63" t="s">
        <v>18611</v>
      </c>
    </row>
    <row r="17992" spans="1:2" x14ac:dyDescent="0.25">
      <c r="A17992" s="62">
        <v>93121504</v>
      </c>
      <c r="B17992" s="63" t="s">
        <v>18612</v>
      </c>
    </row>
    <row r="17993" spans="1:2" x14ac:dyDescent="0.25">
      <c r="A17993" s="62">
        <v>93121505</v>
      </c>
      <c r="B17993" s="63" t="s">
        <v>18613</v>
      </c>
    </row>
    <row r="17994" spans="1:2" x14ac:dyDescent="0.25">
      <c r="A17994" s="62">
        <v>93121506</v>
      </c>
      <c r="B17994" s="63" t="s">
        <v>18614</v>
      </c>
    </row>
    <row r="17995" spans="1:2" x14ac:dyDescent="0.25">
      <c r="A17995" s="62">
        <v>93121507</v>
      </c>
      <c r="B17995" s="63" t="s">
        <v>18615</v>
      </c>
    </row>
    <row r="17996" spans="1:2" x14ac:dyDescent="0.25">
      <c r="A17996" s="62">
        <v>93121508</v>
      </c>
      <c r="B17996" s="63" t="s">
        <v>18616</v>
      </c>
    </row>
    <row r="17997" spans="1:2" x14ac:dyDescent="0.25">
      <c r="A17997" s="62">
        <v>93121509</v>
      </c>
      <c r="B17997" s="63" t="s">
        <v>18617</v>
      </c>
    </row>
    <row r="17998" spans="1:2" x14ac:dyDescent="0.25">
      <c r="A17998" s="62">
        <v>93121601</v>
      </c>
      <c r="B17998" s="63" t="s">
        <v>18618</v>
      </c>
    </row>
    <row r="17999" spans="1:2" x14ac:dyDescent="0.25">
      <c r="A17999" s="62">
        <v>93121602</v>
      </c>
      <c r="B17999" s="63" t="s">
        <v>18619</v>
      </c>
    </row>
    <row r="18000" spans="1:2" x14ac:dyDescent="0.25">
      <c r="A18000" s="62">
        <v>93121603</v>
      </c>
      <c r="B18000" s="63" t="s">
        <v>18620</v>
      </c>
    </row>
    <row r="18001" spans="1:2" x14ac:dyDescent="0.25">
      <c r="A18001" s="62">
        <v>93121604</v>
      </c>
      <c r="B18001" s="63" t="s">
        <v>18621</v>
      </c>
    </row>
    <row r="18002" spans="1:2" x14ac:dyDescent="0.25">
      <c r="A18002" s="62">
        <v>93121605</v>
      </c>
      <c r="B18002" s="63" t="s">
        <v>18622</v>
      </c>
    </row>
    <row r="18003" spans="1:2" x14ac:dyDescent="0.25">
      <c r="A18003" s="62">
        <v>93121606</v>
      </c>
      <c r="B18003" s="63" t="s">
        <v>18623</v>
      </c>
    </row>
    <row r="18004" spans="1:2" x14ac:dyDescent="0.25">
      <c r="A18004" s="62">
        <v>93121607</v>
      </c>
      <c r="B18004" s="63" t="s">
        <v>18624</v>
      </c>
    </row>
    <row r="18005" spans="1:2" x14ac:dyDescent="0.25">
      <c r="A18005" s="62">
        <v>93121608</v>
      </c>
      <c r="B18005" s="63" t="s">
        <v>18625</v>
      </c>
    </row>
    <row r="18006" spans="1:2" x14ac:dyDescent="0.25">
      <c r="A18006" s="62">
        <v>93121609</v>
      </c>
      <c r="B18006" s="63" t="s">
        <v>18626</v>
      </c>
    </row>
    <row r="18007" spans="1:2" x14ac:dyDescent="0.25">
      <c r="A18007" s="62">
        <v>93121610</v>
      </c>
      <c r="B18007" s="63" t="s">
        <v>18627</v>
      </c>
    </row>
    <row r="18008" spans="1:2" x14ac:dyDescent="0.25">
      <c r="A18008" s="62">
        <v>93121611</v>
      </c>
      <c r="B18008" s="63" t="s">
        <v>18628</v>
      </c>
    </row>
    <row r="18009" spans="1:2" x14ac:dyDescent="0.25">
      <c r="A18009" s="62">
        <v>93121612</v>
      </c>
      <c r="B18009" s="63" t="s">
        <v>18629</v>
      </c>
    </row>
    <row r="18010" spans="1:2" x14ac:dyDescent="0.25">
      <c r="A18010" s="62">
        <v>93121613</v>
      </c>
      <c r="B18010" s="63" t="s">
        <v>18630</v>
      </c>
    </row>
    <row r="18011" spans="1:2" x14ac:dyDescent="0.25">
      <c r="A18011" s="62">
        <v>93121614</v>
      </c>
      <c r="B18011" s="63" t="s">
        <v>18631</v>
      </c>
    </row>
    <row r="18012" spans="1:2" x14ac:dyDescent="0.25">
      <c r="A18012" s="62">
        <v>93121615</v>
      </c>
      <c r="B18012" s="63" t="s">
        <v>18632</v>
      </c>
    </row>
    <row r="18013" spans="1:2" x14ac:dyDescent="0.25">
      <c r="A18013" s="62">
        <v>93121701</v>
      </c>
      <c r="B18013" s="63" t="s">
        <v>18633</v>
      </c>
    </row>
    <row r="18014" spans="1:2" x14ac:dyDescent="0.25">
      <c r="A18014" s="62">
        <v>93121702</v>
      </c>
      <c r="B18014" s="63" t="s">
        <v>18634</v>
      </c>
    </row>
    <row r="18015" spans="1:2" x14ac:dyDescent="0.25">
      <c r="A18015" s="62">
        <v>93121703</v>
      </c>
      <c r="B18015" s="63" t="s">
        <v>18635</v>
      </c>
    </row>
    <row r="18016" spans="1:2" x14ac:dyDescent="0.25">
      <c r="A18016" s="62">
        <v>93121704</v>
      </c>
      <c r="B18016" s="63" t="s">
        <v>18636</v>
      </c>
    </row>
    <row r="18017" spans="1:2" x14ac:dyDescent="0.25">
      <c r="A18017" s="62">
        <v>93121705</v>
      </c>
      <c r="B18017" s="63" t="s">
        <v>18637</v>
      </c>
    </row>
    <row r="18018" spans="1:2" x14ac:dyDescent="0.25">
      <c r="A18018" s="62">
        <v>93121706</v>
      </c>
      <c r="B18018" s="63" t="s">
        <v>18638</v>
      </c>
    </row>
    <row r="18019" spans="1:2" x14ac:dyDescent="0.25">
      <c r="A18019" s="62">
        <v>93121707</v>
      </c>
      <c r="B18019" s="63" t="s">
        <v>18639</v>
      </c>
    </row>
    <row r="18020" spans="1:2" x14ac:dyDescent="0.25">
      <c r="A18020" s="62">
        <v>93121708</v>
      </c>
      <c r="B18020" s="63" t="s">
        <v>18640</v>
      </c>
    </row>
    <row r="18021" spans="1:2" x14ac:dyDescent="0.25">
      <c r="A18021" s="62">
        <v>93121709</v>
      </c>
      <c r="B18021" s="63" t="s">
        <v>18641</v>
      </c>
    </row>
    <row r="18022" spans="1:2" x14ac:dyDescent="0.25">
      <c r="A18022" s="62">
        <v>93121710</v>
      </c>
      <c r="B18022" s="63" t="s">
        <v>18642</v>
      </c>
    </row>
    <row r="18023" spans="1:2" x14ac:dyDescent="0.25">
      <c r="A18023" s="62">
        <v>93121711</v>
      </c>
      <c r="B18023" s="63" t="s">
        <v>18643</v>
      </c>
    </row>
    <row r="18024" spans="1:2" x14ac:dyDescent="0.25">
      <c r="A18024" s="62">
        <v>93131501</v>
      </c>
      <c r="B18024" s="63" t="s">
        <v>18644</v>
      </c>
    </row>
    <row r="18025" spans="1:2" x14ac:dyDescent="0.25">
      <c r="A18025" s="62">
        <v>93131502</v>
      </c>
      <c r="B18025" s="63" t="s">
        <v>18645</v>
      </c>
    </row>
    <row r="18026" spans="1:2" x14ac:dyDescent="0.25">
      <c r="A18026" s="62">
        <v>93131503</v>
      </c>
      <c r="B18026" s="63" t="s">
        <v>18646</v>
      </c>
    </row>
    <row r="18027" spans="1:2" x14ac:dyDescent="0.25">
      <c r="A18027" s="62">
        <v>93131504</v>
      </c>
      <c r="B18027" s="63" t="s">
        <v>18647</v>
      </c>
    </row>
    <row r="18028" spans="1:2" x14ac:dyDescent="0.25">
      <c r="A18028" s="62">
        <v>93131505</v>
      </c>
      <c r="B18028" s="63" t="s">
        <v>18648</v>
      </c>
    </row>
    <row r="18029" spans="1:2" x14ac:dyDescent="0.25">
      <c r="A18029" s="62">
        <v>93131506</v>
      </c>
      <c r="B18029" s="63" t="s">
        <v>18649</v>
      </c>
    </row>
    <row r="18030" spans="1:2" x14ac:dyDescent="0.25">
      <c r="A18030" s="62">
        <v>93131507</v>
      </c>
      <c r="B18030" s="63" t="s">
        <v>18650</v>
      </c>
    </row>
    <row r="18031" spans="1:2" x14ac:dyDescent="0.25">
      <c r="A18031" s="62">
        <v>93131601</v>
      </c>
      <c r="B18031" s="63" t="s">
        <v>18651</v>
      </c>
    </row>
    <row r="18032" spans="1:2" x14ac:dyDescent="0.25">
      <c r="A18032" s="62">
        <v>93131602</v>
      </c>
      <c r="B18032" s="63" t="s">
        <v>18652</v>
      </c>
    </row>
    <row r="18033" spans="1:2" x14ac:dyDescent="0.25">
      <c r="A18033" s="62">
        <v>93131603</v>
      </c>
      <c r="B18033" s="63" t="s">
        <v>18653</v>
      </c>
    </row>
    <row r="18034" spans="1:2" x14ac:dyDescent="0.25">
      <c r="A18034" s="62">
        <v>93131604</v>
      </c>
      <c r="B18034" s="63" t="s">
        <v>18654</v>
      </c>
    </row>
    <row r="18035" spans="1:2" x14ac:dyDescent="0.25">
      <c r="A18035" s="62">
        <v>93131605</v>
      </c>
      <c r="B18035" s="63" t="s">
        <v>18655</v>
      </c>
    </row>
    <row r="18036" spans="1:2" x14ac:dyDescent="0.25">
      <c r="A18036" s="62">
        <v>93131606</v>
      </c>
      <c r="B18036" s="63" t="s">
        <v>18656</v>
      </c>
    </row>
    <row r="18037" spans="1:2" x14ac:dyDescent="0.25">
      <c r="A18037" s="62">
        <v>93131607</v>
      </c>
      <c r="B18037" s="63" t="s">
        <v>18657</v>
      </c>
    </row>
    <row r="18038" spans="1:2" x14ac:dyDescent="0.25">
      <c r="A18038" s="62">
        <v>93131608</v>
      </c>
      <c r="B18038" s="63" t="s">
        <v>18658</v>
      </c>
    </row>
    <row r="18039" spans="1:2" x14ac:dyDescent="0.25">
      <c r="A18039" s="62">
        <v>93131609</v>
      </c>
      <c r="B18039" s="63" t="s">
        <v>18659</v>
      </c>
    </row>
    <row r="18040" spans="1:2" x14ac:dyDescent="0.25">
      <c r="A18040" s="62">
        <v>93131610</v>
      </c>
      <c r="B18040" s="63" t="s">
        <v>18660</v>
      </c>
    </row>
    <row r="18041" spans="1:2" x14ac:dyDescent="0.25">
      <c r="A18041" s="62">
        <v>93131611</v>
      </c>
      <c r="B18041" s="63" t="s">
        <v>18661</v>
      </c>
    </row>
    <row r="18042" spans="1:2" x14ac:dyDescent="0.25">
      <c r="A18042" s="62">
        <v>93131612</v>
      </c>
      <c r="B18042" s="63" t="s">
        <v>18662</v>
      </c>
    </row>
    <row r="18043" spans="1:2" x14ac:dyDescent="0.25">
      <c r="A18043" s="62">
        <v>93131613</v>
      </c>
      <c r="B18043" s="63" t="s">
        <v>18663</v>
      </c>
    </row>
    <row r="18044" spans="1:2" x14ac:dyDescent="0.25">
      <c r="A18044" s="62">
        <v>93131701</v>
      </c>
      <c r="B18044" s="63" t="s">
        <v>18664</v>
      </c>
    </row>
    <row r="18045" spans="1:2" x14ac:dyDescent="0.25">
      <c r="A18045" s="62">
        <v>93131702</v>
      </c>
      <c r="B18045" s="63" t="s">
        <v>18665</v>
      </c>
    </row>
    <row r="18046" spans="1:2" x14ac:dyDescent="0.25">
      <c r="A18046" s="62">
        <v>93131703</v>
      </c>
      <c r="B18046" s="63" t="s">
        <v>18666</v>
      </c>
    </row>
    <row r="18047" spans="1:2" x14ac:dyDescent="0.25">
      <c r="A18047" s="62">
        <v>93131704</v>
      </c>
      <c r="B18047" s="63" t="s">
        <v>18667</v>
      </c>
    </row>
    <row r="18048" spans="1:2" x14ac:dyDescent="0.25">
      <c r="A18048" s="62">
        <v>93131705</v>
      </c>
      <c r="B18048" s="63" t="s">
        <v>18668</v>
      </c>
    </row>
    <row r="18049" spans="1:2" x14ac:dyDescent="0.25">
      <c r="A18049" s="62">
        <v>93131801</v>
      </c>
      <c r="B18049" s="63" t="s">
        <v>18669</v>
      </c>
    </row>
    <row r="18050" spans="1:2" x14ac:dyDescent="0.25">
      <c r="A18050" s="62">
        <v>93131802</v>
      </c>
      <c r="B18050" s="63" t="s">
        <v>18670</v>
      </c>
    </row>
    <row r="18051" spans="1:2" x14ac:dyDescent="0.25">
      <c r="A18051" s="62">
        <v>93131803</v>
      </c>
      <c r="B18051" s="63" t="s">
        <v>18671</v>
      </c>
    </row>
    <row r="18052" spans="1:2" x14ac:dyDescent="0.25">
      <c r="A18052" s="62">
        <v>93141501</v>
      </c>
      <c r="B18052" s="63" t="s">
        <v>18672</v>
      </c>
    </row>
    <row r="18053" spans="1:2" x14ac:dyDescent="0.25">
      <c r="A18053" s="62">
        <v>93141502</v>
      </c>
      <c r="B18053" s="63" t="s">
        <v>18673</v>
      </c>
    </row>
    <row r="18054" spans="1:2" x14ac:dyDescent="0.25">
      <c r="A18054" s="62">
        <v>93141503</v>
      </c>
      <c r="B18054" s="63" t="s">
        <v>18674</v>
      </c>
    </row>
    <row r="18055" spans="1:2" x14ac:dyDescent="0.25">
      <c r="A18055" s="62">
        <v>93141504</v>
      </c>
      <c r="B18055" s="63" t="s">
        <v>18675</v>
      </c>
    </row>
    <row r="18056" spans="1:2" x14ac:dyDescent="0.25">
      <c r="A18056" s="62">
        <v>93141505</v>
      </c>
      <c r="B18056" s="63" t="s">
        <v>18676</v>
      </c>
    </row>
    <row r="18057" spans="1:2" x14ac:dyDescent="0.25">
      <c r="A18057" s="62">
        <v>93141506</v>
      </c>
      <c r="B18057" s="63" t="s">
        <v>18677</v>
      </c>
    </row>
    <row r="18058" spans="1:2" x14ac:dyDescent="0.25">
      <c r="A18058" s="62">
        <v>93141507</v>
      </c>
      <c r="B18058" s="63" t="s">
        <v>18678</v>
      </c>
    </row>
    <row r="18059" spans="1:2" x14ac:dyDescent="0.25">
      <c r="A18059" s="62">
        <v>93141508</v>
      </c>
      <c r="B18059" s="63" t="s">
        <v>18679</v>
      </c>
    </row>
    <row r="18060" spans="1:2" x14ac:dyDescent="0.25">
      <c r="A18060" s="62">
        <v>93141509</v>
      </c>
      <c r="B18060" s="63" t="s">
        <v>18680</v>
      </c>
    </row>
    <row r="18061" spans="1:2" x14ac:dyDescent="0.25">
      <c r="A18061" s="62">
        <v>93141510</v>
      </c>
      <c r="B18061" s="63" t="s">
        <v>18681</v>
      </c>
    </row>
    <row r="18062" spans="1:2" x14ac:dyDescent="0.25">
      <c r="A18062" s="62">
        <v>93141511</v>
      </c>
      <c r="B18062" s="63" t="s">
        <v>18682</v>
      </c>
    </row>
    <row r="18063" spans="1:2" x14ac:dyDescent="0.25">
      <c r="A18063" s="62">
        <v>93141512</v>
      </c>
      <c r="B18063" s="63" t="s">
        <v>18683</v>
      </c>
    </row>
    <row r="18064" spans="1:2" x14ac:dyDescent="0.25">
      <c r="A18064" s="62">
        <v>93141513</v>
      </c>
      <c r="B18064" s="63" t="s">
        <v>18684</v>
      </c>
    </row>
    <row r="18065" spans="1:2" x14ac:dyDescent="0.25">
      <c r="A18065" s="62">
        <v>93141514</v>
      </c>
      <c r="B18065" s="63" t="s">
        <v>18685</v>
      </c>
    </row>
    <row r="18066" spans="1:2" x14ac:dyDescent="0.25">
      <c r="A18066" s="62">
        <v>93141601</v>
      </c>
      <c r="B18066" s="63" t="s">
        <v>18686</v>
      </c>
    </row>
    <row r="18067" spans="1:2" x14ac:dyDescent="0.25">
      <c r="A18067" s="62">
        <v>93141602</v>
      </c>
      <c r="B18067" s="63" t="s">
        <v>18687</v>
      </c>
    </row>
    <row r="18068" spans="1:2" x14ac:dyDescent="0.25">
      <c r="A18068" s="62">
        <v>93141603</v>
      </c>
      <c r="B18068" s="63" t="s">
        <v>18688</v>
      </c>
    </row>
    <row r="18069" spans="1:2" x14ac:dyDescent="0.25">
      <c r="A18069" s="62">
        <v>93141604</v>
      </c>
      <c r="B18069" s="63" t="s">
        <v>18689</v>
      </c>
    </row>
    <row r="18070" spans="1:2" x14ac:dyDescent="0.25">
      <c r="A18070" s="62">
        <v>93141605</v>
      </c>
      <c r="B18070" s="63" t="s">
        <v>18690</v>
      </c>
    </row>
    <row r="18071" spans="1:2" x14ac:dyDescent="0.25">
      <c r="A18071" s="62">
        <v>93141606</v>
      </c>
      <c r="B18071" s="63" t="s">
        <v>18691</v>
      </c>
    </row>
    <row r="18072" spans="1:2" x14ac:dyDescent="0.25">
      <c r="A18072" s="62">
        <v>93141607</v>
      </c>
      <c r="B18072" s="63" t="s">
        <v>18692</v>
      </c>
    </row>
    <row r="18073" spans="1:2" x14ac:dyDescent="0.25">
      <c r="A18073" s="62">
        <v>93141608</v>
      </c>
      <c r="B18073" s="63" t="s">
        <v>18693</v>
      </c>
    </row>
    <row r="18074" spans="1:2" x14ac:dyDescent="0.25">
      <c r="A18074" s="62">
        <v>93141609</v>
      </c>
      <c r="B18074" s="63" t="s">
        <v>18694</v>
      </c>
    </row>
    <row r="18075" spans="1:2" x14ac:dyDescent="0.25">
      <c r="A18075" s="62">
        <v>93141610</v>
      </c>
      <c r="B18075" s="63" t="s">
        <v>18695</v>
      </c>
    </row>
    <row r="18076" spans="1:2" x14ac:dyDescent="0.25">
      <c r="A18076" s="62">
        <v>93141611</v>
      </c>
      <c r="B18076" s="63" t="s">
        <v>18696</v>
      </c>
    </row>
    <row r="18077" spans="1:2" x14ac:dyDescent="0.25">
      <c r="A18077" s="62">
        <v>93141612</v>
      </c>
      <c r="B18077" s="63" t="s">
        <v>18697</v>
      </c>
    </row>
    <row r="18078" spans="1:2" x14ac:dyDescent="0.25">
      <c r="A18078" s="62">
        <v>93141613</v>
      </c>
      <c r="B18078" s="63" t="s">
        <v>18698</v>
      </c>
    </row>
    <row r="18079" spans="1:2" x14ac:dyDescent="0.25">
      <c r="A18079" s="62">
        <v>93141701</v>
      </c>
      <c r="B18079" s="63" t="s">
        <v>18699</v>
      </c>
    </row>
    <row r="18080" spans="1:2" x14ac:dyDescent="0.25">
      <c r="A18080" s="62">
        <v>93141702</v>
      </c>
      <c r="B18080" s="63" t="s">
        <v>18700</v>
      </c>
    </row>
    <row r="18081" spans="1:2" x14ac:dyDescent="0.25">
      <c r="A18081" s="62">
        <v>93141703</v>
      </c>
      <c r="B18081" s="63" t="s">
        <v>18701</v>
      </c>
    </row>
    <row r="18082" spans="1:2" x14ac:dyDescent="0.25">
      <c r="A18082" s="62">
        <v>93141704</v>
      </c>
      <c r="B18082" s="63" t="s">
        <v>18702</v>
      </c>
    </row>
    <row r="18083" spans="1:2" x14ac:dyDescent="0.25">
      <c r="A18083" s="62">
        <v>93141705</v>
      </c>
      <c r="B18083" s="63" t="s">
        <v>18703</v>
      </c>
    </row>
    <row r="18084" spans="1:2" x14ac:dyDescent="0.25">
      <c r="A18084" s="62">
        <v>93141706</v>
      </c>
      <c r="B18084" s="63" t="s">
        <v>18704</v>
      </c>
    </row>
    <row r="18085" spans="1:2" x14ac:dyDescent="0.25">
      <c r="A18085" s="62">
        <v>93141707</v>
      </c>
      <c r="B18085" s="63" t="s">
        <v>18705</v>
      </c>
    </row>
    <row r="18086" spans="1:2" x14ac:dyDescent="0.25">
      <c r="A18086" s="62">
        <v>93141708</v>
      </c>
      <c r="B18086" s="63" t="s">
        <v>18706</v>
      </c>
    </row>
    <row r="18087" spans="1:2" x14ac:dyDescent="0.25">
      <c r="A18087" s="62">
        <v>93141709</v>
      </c>
      <c r="B18087" s="63" t="s">
        <v>18707</v>
      </c>
    </row>
    <row r="18088" spans="1:2" x14ac:dyDescent="0.25">
      <c r="A18088" s="62">
        <v>93141710</v>
      </c>
      <c r="B18088" s="63" t="s">
        <v>18708</v>
      </c>
    </row>
    <row r="18089" spans="1:2" x14ac:dyDescent="0.25">
      <c r="A18089" s="62">
        <v>93141711</v>
      </c>
      <c r="B18089" s="63" t="s">
        <v>18709</v>
      </c>
    </row>
    <row r="18090" spans="1:2" x14ac:dyDescent="0.25">
      <c r="A18090" s="62">
        <v>93141712</v>
      </c>
      <c r="B18090" s="63" t="s">
        <v>18710</v>
      </c>
    </row>
    <row r="18091" spans="1:2" x14ac:dyDescent="0.25">
      <c r="A18091" s="62">
        <v>93141713</v>
      </c>
      <c r="B18091" s="63" t="s">
        <v>18711</v>
      </c>
    </row>
    <row r="18092" spans="1:2" x14ac:dyDescent="0.25">
      <c r="A18092" s="62">
        <v>93141714</v>
      </c>
      <c r="B18092" s="63" t="s">
        <v>18712</v>
      </c>
    </row>
    <row r="18093" spans="1:2" x14ac:dyDescent="0.25">
      <c r="A18093" s="62">
        <v>93141801</v>
      </c>
      <c r="B18093" s="63" t="s">
        <v>18713</v>
      </c>
    </row>
    <row r="18094" spans="1:2" x14ac:dyDescent="0.25">
      <c r="A18094" s="62">
        <v>93141802</v>
      </c>
      <c r="B18094" s="63" t="s">
        <v>18714</v>
      </c>
    </row>
    <row r="18095" spans="1:2" x14ac:dyDescent="0.25">
      <c r="A18095" s="62">
        <v>93141803</v>
      </c>
      <c r="B18095" s="63" t="s">
        <v>18715</v>
      </c>
    </row>
    <row r="18096" spans="1:2" x14ac:dyDescent="0.25">
      <c r="A18096" s="62">
        <v>93141804</v>
      </c>
      <c r="B18096" s="63" t="s">
        <v>18716</v>
      </c>
    </row>
    <row r="18097" spans="1:2" x14ac:dyDescent="0.25">
      <c r="A18097" s="62">
        <v>93141805</v>
      </c>
      <c r="B18097" s="63" t="s">
        <v>18717</v>
      </c>
    </row>
    <row r="18098" spans="1:2" x14ac:dyDescent="0.25">
      <c r="A18098" s="62">
        <v>93141806</v>
      </c>
      <c r="B18098" s="63" t="s">
        <v>18718</v>
      </c>
    </row>
    <row r="18099" spans="1:2" x14ac:dyDescent="0.25">
      <c r="A18099" s="62">
        <v>93141807</v>
      </c>
      <c r="B18099" s="63" t="s">
        <v>18719</v>
      </c>
    </row>
    <row r="18100" spans="1:2" x14ac:dyDescent="0.25">
      <c r="A18100" s="62">
        <v>93141808</v>
      </c>
      <c r="B18100" s="63" t="s">
        <v>18720</v>
      </c>
    </row>
    <row r="18101" spans="1:2" x14ac:dyDescent="0.25">
      <c r="A18101" s="62">
        <v>93141810</v>
      </c>
      <c r="B18101" s="63" t="s">
        <v>18721</v>
      </c>
    </row>
    <row r="18102" spans="1:2" x14ac:dyDescent="0.25">
      <c r="A18102" s="62">
        <v>93141811</v>
      </c>
      <c r="B18102" s="63" t="s">
        <v>18722</v>
      </c>
    </row>
    <row r="18103" spans="1:2" x14ac:dyDescent="0.25">
      <c r="A18103" s="62">
        <v>93141812</v>
      </c>
      <c r="B18103" s="63" t="s">
        <v>18723</v>
      </c>
    </row>
    <row r="18104" spans="1:2" x14ac:dyDescent="0.25">
      <c r="A18104" s="62">
        <v>93141813</v>
      </c>
      <c r="B18104" s="63" t="s">
        <v>18724</v>
      </c>
    </row>
    <row r="18105" spans="1:2" x14ac:dyDescent="0.25">
      <c r="A18105" s="62">
        <v>93141814</v>
      </c>
      <c r="B18105" s="63" t="s">
        <v>18725</v>
      </c>
    </row>
    <row r="18106" spans="1:2" x14ac:dyDescent="0.25">
      <c r="A18106" s="62">
        <v>93141901</v>
      </c>
      <c r="B18106" s="63" t="s">
        <v>18726</v>
      </c>
    </row>
    <row r="18107" spans="1:2" x14ac:dyDescent="0.25">
      <c r="A18107" s="62">
        <v>93141902</v>
      </c>
      <c r="B18107" s="63" t="s">
        <v>18727</v>
      </c>
    </row>
    <row r="18108" spans="1:2" x14ac:dyDescent="0.25">
      <c r="A18108" s="62">
        <v>93141903</v>
      </c>
      <c r="B18108" s="63" t="s">
        <v>18728</v>
      </c>
    </row>
    <row r="18109" spans="1:2" x14ac:dyDescent="0.25">
      <c r="A18109" s="62">
        <v>93141904</v>
      </c>
      <c r="B18109" s="63" t="s">
        <v>18729</v>
      </c>
    </row>
    <row r="18110" spans="1:2" x14ac:dyDescent="0.25">
      <c r="A18110" s="62">
        <v>93141905</v>
      </c>
      <c r="B18110" s="63" t="s">
        <v>18730</v>
      </c>
    </row>
    <row r="18111" spans="1:2" x14ac:dyDescent="0.25">
      <c r="A18111" s="62">
        <v>93141906</v>
      </c>
      <c r="B18111" s="63" t="s">
        <v>18731</v>
      </c>
    </row>
    <row r="18112" spans="1:2" x14ac:dyDescent="0.25">
      <c r="A18112" s="62">
        <v>93141907</v>
      </c>
      <c r="B18112" s="63" t="s">
        <v>18732</v>
      </c>
    </row>
    <row r="18113" spans="1:2" x14ac:dyDescent="0.25">
      <c r="A18113" s="62">
        <v>93141908</v>
      </c>
      <c r="B18113" s="63" t="s">
        <v>18733</v>
      </c>
    </row>
    <row r="18114" spans="1:2" x14ac:dyDescent="0.25">
      <c r="A18114" s="62">
        <v>93141909</v>
      </c>
      <c r="B18114" s="63" t="s">
        <v>18734</v>
      </c>
    </row>
    <row r="18115" spans="1:2" x14ac:dyDescent="0.25">
      <c r="A18115" s="62">
        <v>93141910</v>
      </c>
      <c r="B18115" s="63" t="s">
        <v>18735</v>
      </c>
    </row>
    <row r="18116" spans="1:2" x14ac:dyDescent="0.25">
      <c r="A18116" s="62">
        <v>93142001</v>
      </c>
      <c r="B18116" s="63" t="s">
        <v>18736</v>
      </c>
    </row>
    <row r="18117" spans="1:2" x14ac:dyDescent="0.25">
      <c r="A18117" s="62">
        <v>93142002</v>
      </c>
      <c r="B18117" s="63" t="s">
        <v>18737</v>
      </c>
    </row>
    <row r="18118" spans="1:2" x14ac:dyDescent="0.25">
      <c r="A18118" s="62">
        <v>93142003</v>
      </c>
      <c r="B18118" s="63" t="s">
        <v>18738</v>
      </c>
    </row>
    <row r="18119" spans="1:2" x14ac:dyDescent="0.25">
      <c r="A18119" s="62">
        <v>93142004</v>
      </c>
      <c r="B18119" s="63" t="s">
        <v>18739</v>
      </c>
    </row>
    <row r="18120" spans="1:2" x14ac:dyDescent="0.25">
      <c r="A18120" s="62">
        <v>93142005</v>
      </c>
      <c r="B18120" s="63" t="s">
        <v>18740</v>
      </c>
    </row>
    <row r="18121" spans="1:2" x14ac:dyDescent="0.25">
      <c r="A18121" s="62">
        <v>93142006</v>
      </c>
      <c r="B18121" s="63" t="s">
        <v>18741</v>
      </c>
    </row>
    <row r="18122" spans="1:2" x14ac:dyDescent="0.25">
      <c r="A18122" s="62">
        <v>93142007</v>
      </c>
      <c r="B18122" s="63" t="s">
        <v>18742</v>
      </c>
    </row>
    <row r="18123" spans="1:2" x14ac:dyDescent="0.25">
      <c r="A18123" s="62">
        <v>93142008</v>
      </c>
      <c r="B18123" s="63" t="s">
        <v>18743</v>
      </c>
    </row>
    <row r="18124" spans="1:2" x14ac:dyDescent="0.25">
      <c r="A18124" s="62">
        <v>93142009</v>
      </c>
      <c r="B18124" s="63" t="s">
        <v>18744</v>
      </c>
    </row>
    <row r="18125" spans="1:2" x14ac:dyDescent="0.25">
      <c r="A18125" s="62">
        <v>93142101</v>
      </c>
      <c r="B18125" s="63" t="s">
        <v>18745</v>
      </c>
    </row>
    <row r="18126" spans="1:2" x14ac:dyDescent="0.25">
      <c r="A18126" s="62">
        <v>93142102</v>
      </c>
      <c r="B18126" s="63" t="s">
        <v>18746</v>
      </c>
    </row>
    <row r="18127" spans="1:2" x14ac:dyDescent="0.25">
      <c r="A18127" s="62">
        <v>93142103</v>
      </c>
      <c r="B18127" s="63" t="s">
        <v>18747</v>
      </c>
    </row>
    <row r="18128" spans="1:2" x14ac:dyDescent="0.25">
      <c r="A18128" s="62">
        <v>93142104</v>
      </c>
      <c r="B18128" s="63" t="s">
        <v>18748</v>
      </c>
    </row>
    <row r="18129" spans="1:2" x14ac:dyDescent="0.25">
      <c r="A18129" s="62">
        <v>93151501</v>
      </c>
      <c r="B18129" s="63" t="s">
        <v>18749</v>
      </c>
    </row>
    <row r="18130" spans="1:2" x14ac:dyDescent="0.25">
      <c r="A18130" s="62">
        <v>93151502</v>
      </c>
      <c r="B18130" s="63" t="s">
        <v>18750</v>
      </c>
    </row>
    <row r="18131" spans="1:2" x14ac:dyDescent="0.25">
      <c r="A18131" s="62">
        <v>93151503</v>
      </c>
      <c r="B18131" s="63" t="s">
        <v>18751</v>
      </c>
    </row>
    <row r="18132" spans="1:2" x14ac:dyDescent="0.25">
      <c r="A18132" s="62">
        <v>93151504</v>
      </c>
      <c r="B18132" s="63" t="s">
        <v>18752</v>
      </c>
    </row>
    <row r="18133" spans="1:2" x14ac:dyDescent="0.25">
      <c r="A18133" s="62">
        <v>93151505</v>
      </c>
      <c r="B18133" s="63" t="s">
        <v>18753</v>
      </c>
    </row>
    <row r="18134" spans="1:2" x14ac:dyDescent="0.25">
      <c r="A18134" s="62">
        <v>93151506</v>
      </c>
      <c r="B18134" s="63" t="s">
        <v>18754</v>
      </c>
    </row>
    <row r="18135" spans="1:2" x14ac:dyDescent="0.25">
      <c r="A18135" s="62">
        <v>93151507</v>
      </c>
      <c r="B18135" s="63" t="s">
        <v>18755</v>
      </c>
    </row>
    <row r="18136" spans="1:2" x14ac:dyDescent="0.25">
      <c r="A18136" s="62">
        <v>93151508</v>
      </c>
      <c r="B18136" s="63" t="s">
        <v>18756</v>
      </c>
    </row>
    <row r="18137" spans="1:2" x14ac:dyDescent="0.25">
      <c r="A18137" s="62">
        <v>93151509</v>
      </c>
      <c r="B18137" s="63" t="s">
        <v>18757</v>
      </c>
    </row>
    <row r="18138" spans="1:2" x14ac:dyDescent="0.25">
      <c r="A18138" s="62">
        <v>93151510</v>
      </c>
      <c r="B18138" s="63" t="s">
        <v>18758</v>
      </c>
    </row>
    <row r="18139" spans="1:2" x14ac:dyDescent="0.25">
      <c r="A18139" s="62">
        <v>93151511</v>
      </c>
      <c r="B18139" s="63" t="s">
        <v>18759</v>
      </c>
    </row>
    <row r="18140" spans="1:2" x14ac:dyDescent="0.25">
      <c r="A18140" s="62">
        <v>93151512</v>
      </c>
      <c r="B18140" s="63" t="s">
        <v>18760</v>
      </c>
    </row>
    <row r="18141" spans="1:2" x14ac:dyDescent="0.25">
      <c r="A18141" s="62">
        <v>93151513</v>
      </c>
      <c r="B18141" s="63" t="s">
        <v>18761</v>
      </c>
    </row>
    <row r="18142" spans="1:2" x14ac:dyDescent="0.25">
      <c r="A18142" s="62">
        <v>93151514</v>
      </c>
      <c r="B18142" s="63" t="s">
        <v>18762</v>
      </c>
    </row>
    <row r="18143" spans="1:2" x14ac:dyDescent="0.25">
      <c r="A18143" s="62">
        <v>93151515</v>
      </c>
      <c r="B18143" s="63" t="s">
        <v>18763</v>
      </c>
    </row>
    <row r="18144" spans="1:2" x14ac:dyDescent="0.25">
      <c r="A18144" s="62">
        <v>93151601</v>
      </c>
      <c r="B18144" s="63" t="s">
        <v>18764</v>
      </c>
    </row>
    <row r="18145" spans="1:2" x14ac:dyDescent="0.25">
      <c r="A18145" s="62">
        <v>93151602</v>
      </c>
      <c r="B18145" s="63" t="s">
        <v>18765</v>
      </c>
    </row>
    <row r="18146" spans="1:2" x14ac:dyDescent="0.25">
      <c r="A18146" s="62">
        <v>93151603</v>
      </c>
      <c r="B18146" s="63" t="s">
        <v>18766</v>
      </c>
    </row>
    <row r="18147" spans="1:2" x14ac:dyDescent="0.25">
      <c r="A18147" s="62">
        <v>93151604</v>
      </c>
      <c r="B18147" s="63" t="s">
        <v>18767</v>
      </c>
    </row>
    <row r="18148" spans="1:2" x14ac:dyDescent="0.25">
      <c r="A18148" s="62">
        <v>93151605</v>
      </c>
      <c r="B18148" s="63" t="s">
        <v>18768</v>
      </c>
    </row>
    <row r="18149" spans="1:2" x14ac:dyDescent="0.25">
      <c r="A18149" s="62">
        <v>93151606</v>
      </c>
      <c r="B18149" s="63" t="s">
        <v>18769</v>
      </c>
    </row>
    <row r="18150" spans="1:2" x14ac:dyDescent="0.25">
      <c r="A18150" s="62">
        <v>93151607</v>
      </c>
      <c r="B18150" s="63" t="s">
        <v>18770</v>
      </c>
    </row>
    <row r="18151" spans="1:2" x14ac:dyDescent="0.25">
      <c r="A18151" s="62">
        <v>93151608</v>
      </c>
      <c r="B18151" s="63" t="s">
        <v>18771</v>
      </c>
    </row>
    <row r="18152" spans="1:2" x14ac:dyDescent="0.25">
      <c r="A18152" s="62">
        <v>93151609</v>
      </c>
      <c r="B18152" s="63" t="s">
        <v>18772</v>
      </c>
    </row>
    <row r="18153" spans="1:2" x14ac:dyDescent="0.25">
      <c r="A18153" s="62">
        <v>93151610</v>
      </c>
      <c r="B18153" s="63" t="s">
        <v>18773</v>
      </c>
    </row>
    <row r="18154" spans="1:2" x14ac:dyDescent="0.25">
      <c r="A18154" s="62">
        <v>93151611</v>
      </c>
      <c r="B18154" s="63" t="s">
        <v>18774</v>
      </c>
    </row>
    <row r="18155" spans="1:2" x14ac:dyDescent="0.25">
      <c r="A18155" s="62">
        <v>93151701</v>
      </c>
      <c r="B18155" s="63" t="s">
        <v>18775</v>
      </c>
    </row>
    <row r="18156" spans="1:2" x14ac:dyDescent="0.25">
      <c r="A18156" s="62">
        <v>93151702</v>
      </c>
      <c r="B18156" s="63" t="s">
        <v>18776</v>
      </c>
    </row>
    <row r="18157" spans="1:2" x14ac:dyDescent="0.25">
      <c r="A18157" s="62">
        <v>93161501</v>
      </c>
      <c r="B18157" s="63" t="s">
        <v>18777</v>
      </c>
    </row>
    <row r="18158" spans="1:2" x14ac:dyDescent="0.25">
      <c r="A18158" s="62">
        <v>93161502</v>
      </c>
      <c r="B18158" s="63" t="s">
        <v>18778</v>
      </c>
    </row>
    <row r="18159" spans="1:2" x14ac:dyDescent="0.25">
      <c r="A18159" s="62">
        <v>93161503</v>
      </c>
      <c r="B18159" s="63" t="s">
        <v>18779</v>
      </c>
    </row>
    <row r="18160" spans="1:2" x14ac:dyDescent="0.25">
      <c r="A18160" s="62">
        <v>93161504</v>
      </c>
      <c r="B18160" s="63" t="s">
        <v>18780</v>
      </c>
    </row>
    <row r="18161" spans="1:2" x14ac:dyDescent="0.25">
      <c r="A18161" s="62">
        <v>93161601</v>
      </c>
      <c r="B18161" s="63" t="s">
        <v>18781</v>
      </c>
    </row>
    <row r="18162" spans="1:2" x14ac:dyDescent="0.25">
      <c r="A18162" s="62">
        <v>93161602</v>
      </c>
      <c r="B18162" s="63" t="s">
        <v>18782</v>
      </c>
    </row>
    <row r="18163" spans="1:2" x14ac:dyDescent="0.25">
      <c r="A18163" s="62">
        <v>93161603</v>
      </c>
      <c r="B18163" s="63" t="s">
        <v>18783</v>
      </c>
    </row>
    <row r="18164" spans="1:2" x14ac:dyDescent="0.25">
      <c r="A18164" s="62">
        <v>93161604</v>
      </c>
      <c r="B18164" s="63" t="s">
        <v>18784</v>
      </c>
    </row>
    <row r="18165" spans="1:2" x14ac:dyDescent="0.25">
      <c r="A18165" s="62">
        <v>93161605</v>
      </c>
      <c r="B18165" s="63" t="s">
        <v>18785</v>
      </c>
    </row>
    <row r="18166" spans="1:2" x14ac:dyDescent="0.25">
      <c r="A18166" s="62">
        <v>93161606</v>
      </c>
      <c r="B18166" s="63" t="s">
        <v>18786</v>
      </c>
    </row>
    <row r="18167" spans="1:2" x14ac:dyDescent="0.25">
      <c r="A18167" s="62">
        <v>93161607</v>
      </c>
      <c r="B18167" s="63" t="s">
        <v>18787</v>
      </c>
    </row>
    <row r="18168" spans="1:2" x14ac:dyDescent="0.25">
      <c r="A18168" s="62">
        <v>93161701</v>
      </c>
      <c r="B18168" s="63" t="s">
        <v>18788</v>
      </c>
    </row>
    <row r="18169" spans="1:2" x14ac:dyDescent="0.25">
      <c r="A18169" s="62">
        <v>93161702</v>
      </c>
      <c r="B18169" s="63" t="s">
        <v>18789</v>
      </c>
    </row>
    <row r="18170" spans="1:2" x14ac:dyDescent="0.25">
      <c r="A18170" s="62">
        <v>93161703</v>
      </c>
      <c r="B18170" s="63" t="s">
        <v>18790</v>
      </c>
    </row>
    <row r="18171" spans="1:2" x14ac:dyDescent="0.25">
      <c r="A18171" s="62">
        <v>93161704</v>
      </c>
      <c r="B18171" s="63" t="s">
        <v>18791</v>
      </c>
    </row>
    <row r="18172" spans="1:2" x14ac:dyDescent="0.25">
      <c r="A18172" s="62">
        <v>93161801</v>
      </c>
      <c r="B18172" s="63" t="s">
        <v>18792</v>
      </c>
    </row>
    <row r="18173" spans="1:2" x14ac:dyDescent="0.25">
      <c r="A18173" s="62">
        <v>93161802</v>
      </c>
      <c r="B18173" s="63" t="s">
        <v>18793</v>
      </c>
    </row>
    <row r="18174" spans="1:2" x14ac:dyDescent="0.25">
      <c r="A18174" s="62">
        <v>93161803</v>
      </c>
      <c r="B18174" s="63" t="s">
        <v>18794</v>
      </c>
    </row>
    <row r="18175" spans="1:2" x14ac:dyDescent="0.25">
      <c r="A18175" s="62">
        <v>93161804</v>
      </c>
      <c r="B18175" s="63" t="s">
        <v>18795</v>
      </c>
    </row>
    <row r="18176" spans="1:2" x14ac:dyDescent="0.25">
      <c r="A18176" s="62">
        <v>93161805</v>
      </c>
      <c r="B18176" s="63" t="s">
        <v>18796</v>
      </c>
    </row>
    <row r="18177" spans="1:2" x14ac:dyDescent="0.25">
      <c r="A18177" s="62">
        <v>93161806</v>
      </c>
      <c r="B18177" s="63" t="s">
        <v>18797</v>
      </c>
    </row>
    <row r="18178" spans="1:2" x14ac:dyDescent="0.25">
      <c r="A18178" s="62">
        <v>93161807</v>
      </c>
      <c r="B18178" s="63" t="s">
        <v>18798</v>
      </c>
    </row>
    <row r="18179" spans="1:2" x14ac:dyDescent="0.25">
      <c r="A18179" s="62">
        <v>93161808</v>
      </c>
      <c r="B18179" s="63" t="s">
        <v>18799</v>
      </c>
    </row>
    <row r="18180" spans="1:2" x14ac:dyDescent="0.25">
      <c r="A18180" s="62">
        <v>93171501</v>
      </c>
      <c r="B18180" s="63" t="s">
        <v>18800</v>
      </c>
    </row>
    <row r="18181" spans="1:2" x14ac:dyDescent="0.25">
      <c r="A18181" s="62">
        <v>93171502</v>
      </c>
      <c r="B18181" s="63" t="s">
        <v>18801</v>
      </c>
    </row>
    <row r="18182" spans="1:2" x14ac:dyDescent="0.25">
      <c r="A18182" s="62">
        <v>93171503</v>
      </c>
      <c r="B18182" s="63" t="s">
        <v>18802</v>
      </c>
    </row>
    <row r="18183" spans="1:2" x14ac:dyDescent="0.25">
      <c r="A18183" s="62">
        <v>93171504</v>
      </c>
      <c r="B18183" s="63" t="s">
        <v>18803</v>
      </c>
    </row>
    <row r="18184" spans="1:2" x14ac:dyDescent="0.25">
      <c r="A18184" s="62">
        <v>93171601</v>
      </c>
      <c r="B18184" s="63" t="s">
        <v>18804</v>
      </c>
    </row>
    <row r="18185" spans="1:2" x14ac:dyDescent="0.25">
      <c r="A18185" s="62">
        <v>93171602</v>
      </c>
      <c r="B18185" s="63" t="s">
        <v>18805</v>
      </c>
    </row>
    <row r="18186" spans="1:2" x14ac:dyDescent="0.25">
      <c r="A18186" s="62">
        <v>93171603</v>
      </c>
      <c r="B18186" s="63" t="s">
        <v>18806</v>
      </c>
    </row>
    <row r="18187" spans="1:2" x14ac:dyDescent="0.25">
      <c r="A18187" s="62">
        <v>93171604</v>
      </c>
      <c r="B18187" s="63" t="s">
        <v>18807</v>
      </c>
    </row>
    <row r="18188" spans="1:2" x14ac:dyDescent="0.25">
      <c r="A18188" s="62">
        <v>93171701</v>
      </c>
      <c r="B18188" s="63" t="s">
        <v>18808</v>
      </c>
    </row>
    <row r="18189" spans="1:2" x14ac:dyDescent="0.25">
      <c r="A18189" s="62">
        <v>93171702</v>
      </c>
      <c r="B18189" s="63" t="s">
        <v>18809</v>
      </c>
    </row>
    <row r="18190" spans="1:2" x14ac:dyDescent="0.25">
      <c r="A18190" s="62">
        <v>93171703</v>
      </c>
      <c r="B18190" s="63" t="s">
        <v>18810</v>
      </c>
    </row>
    <row r="18191" spans="1:2" x14ac:dyDescent="0.25">
      <c r="A18191" s="62">
        <v>93171801</v>
      </c>
      <c r="B18191" s="63" t="s">
        <v>18811</v>
      </c>
    </row>
    <row r="18192" spans="1:2" x14ac:dyDescent="0.25">
      <c r="A18192" s="62">
        <v>93171802</v>
      </c>
      <c r="B18192" s="63" t="s">
        <v>18812</v>
      </c>
    </row>
    <row r="18193" spans="1:2" x14ac:dyDescent="0.25">
      <c r="A18193" s="62">
        <v>93171803</v>
      </c>
      <c r="B18193" s="63" t="s">
        <v>18813</v>
      </c>
    </row>
    <row r="18194" spans="1:2" x14ac:dyDescent="0.25">
      <c r="A18194" s="62">
        <v>94101501</v>
      </c>
      <c r="B18194" s="63" t="s">
        <v>18814</v>
      </c>
    </row>
    <row r="18195" spans="1:2" x14ac:dyDescent="0.25">
      <c r="A18195" s="62">
        <v>94101502</v>
      </c>
      <c r="B18195" s="63" t="s">
        <v>18815</v>
      </c>
    </row>
    <row r="18196" spans="1:2" x14ac:dyDescent="0.25">
      <c r="A18196" s="62">
        <v>94101503</v>
      </c>
      <c r="B18196" s="63" t="s">
        <v>18816</v>
      </c>
    </row>
    <row r="18197" spans="1:2" x14ac:dyDescent="0.25">
      <c r="A18197" s="62">
        <v>94101504</v>
      </c>
      <c r="B18197" s="63" t="s">
        <v>18817</v>
      </c>
    </row>
    <row r="18198" spans="1:2" x14ac:dyDescent="0.25">
      <c r="A18198" s="62">
        <v>94101505</v>
      </c>
      <c r="B18198" s="63" t="s">
        <v>18818</v>
      </c>
    </row>
    <row r="18199" spans="1:2" x14ac:dyDescent="0.25">
      <c r="A18199" s="62">
        <v>94101601</v>
      </c>
      <c r="B18199" s="63" t="s">
        <v>18819</v>
      </c>
    </row>
    <row r="18200" spans="1:2" x14ac:dyDescent="0.25">
      <c r="A18200" s="62">
        <v>94101602</v>
      </c>
      <c r="B18200" s="63" t="s">
        <v>18820</v>
      </c>
    </row>
    <row r="18201" spans="1:2" x14ac:dyDescent="0.25">
      <c r="A18201" s="62">
        <v>94101603</v>
      </c>
      <c r="B18201" s="63" t="s">
        <v>18821</v>
      </c>
    </row>
    <row r="18202" spans="1:2" x14ac:dyDescent="0.25">
      <c r="A18202" s="62">
        <v>94101604</v>
      </c>
      <c r="B18202" s="63" t="s">
        <v>18822</v>
      </c>
    </row>
    <row r="18203" spans="1:2" x14ac:dyDescent="0.25">
      <c r="A18203" s="62">
        <v>94101605</v>
      </c>
      <c r="B18203" s="63" t="s">
        <v>18823</v>
      </c>
    </row>
    <row r="18204" spans="1:2" x14ac:dyDescent="0.25">
      <c r="A18204" s="62">
        <v>94101606</v>
      </c>
      <c r="B18204" s="63" t="s">
        <v>18824</v>
      </c>
    </row>
    <row r="18205" spans="1:2" x14ac:dyDescent="0.25">
      <c r="A18205" s="62">
        <v>94101607</v>
      </c>
      <c r="B18205" s="63" t="s">
        <v>18825</v>
      </c>
    </row>
    <row r="18206" spans="1:2" x14ac:dyDescent="0.25">
      <c r="A18206" s="62">
        <v>94101608</v>
      </c>
      <c r="B18206" s="63" t="s">
        <v>18826</v>
      </c>
    </row>
    <row r="18207" spans="1:2" x14ac:dyDescent="0.25">
      <c r="A18207" s="62">
        <v>94101609</v>
      </c>
      <c r="B18207" s="63" t="s">
        <v>18827</v>
      </c>
    </row>
    <row r="18208" spans="1:2" x14ac:dyDescent="0.25">
      <c r="A18208" s="62">
        <v>94101610</v>
      </c>
      <c r="B18208" s="63" t="s">
        <v>18828</v>
      </c>
    </row>
    <row r="18209" spans="1:2" x14ac:dyDescent="0.25">
      <c r="A18209" s="62">
        <v>94101701</v>
      </c>
      <c r="B18209" s="63" t="s">
        <v>18829</v>
      </c>
    </row>
    <row r="18210" spans="1:2" x14ac:dyDescent="0.25">
      <c r="A18210" s="62">
        <v>94101702</v>
      </c>
      <c r="B18210" s="63" t="s">
        <v>18830</v>
      </c>
    </row>
    <row r="18211" spans="1:2" x14ac:dyDescent="0.25">
      <c r="A18211" s="62">
        <v>94101703</v>
      </c>
      <c r="B18211" s="63" t="s">
        <v>18831</v>
      </c>
    </row>
    <row r="18212" spans="1:2" x14ac:dyDescent="0.25">
      <c r="A18212" s="62">
        <v>94101704</v>
      </c>
      <c r="B18212" s="63" t="s">
        <v>18832</v>
      </c>
    </row>
    <row r="18213" spans="1:2" x14ac:dyDescent="0.25">
      <c r="A18213" s="62">
        <v>94101705</v>
      </c>
      <c r="B18213" s="63" t="s">
        <v>18833</v>
      </c>
    </row>
    <row r="18214" spans="1:2" x14ac:dyDescent="0.25">
      <c r="A18214" s="62">
        <v>94101801</v>
      </c>
      <c r="B18214" s="63" t="s">
        <v>18834</v>
      </c>
    </row>
    <row r="18215" spans="1:2" x14ac:dyDescent="0.25">
      <c r="A18215" s="62">
        <v>94101802</v>
      </c>
      <c r="B18215" s="63" t="s">
        <v>18835</v>
      </c>
    </row>
    <row r="18216" spans="1:2" x14ac:dyDescent="0.25">
      <c r="A18216" s="62">
        <v>94101803</v>
      </c>
      <c r="B18216" s="63" t="s">
        <v>18836</v>
      </c>
    </row>
    <row r="18217" spans="1:2" x14ac:dyDescent="0.25">
      <c r="A18217" s="62">
        <v>94101804</v>
      </c>
      <c r="B18217" s="63" t="s">
        <v>18837</v>
      </c>
    </row>
    <row r="18218" spans="1:2" x14ac:dyDescent="0.25">
      <c r="A18218" s="62">
        <v>94101805</v>
      </c>
      <c r="B18218" s="63" t="s">
        <v>18838</v>
      </c>
    </row>
    <row r="18219" spans="1:2" x14ac:dyDescent="0.25">
      <c r="A18219" s="62">
        <v>94101806</v>
      </c>
      <c r="B18219" s="63" t="s">
        <v>18839</v>
      </c>
    </row>
    <row r="18220" spans="1:2" x14ac:dyDescent="0.25">
      <c r="A18220" s="62">
        <v>94101807</v>
      </c>
      <c r="B18220" s="63" t="s">
        <v>18840</v>
      </c>
    </row>
    <row r="18221" spans="1:2" x14ac:dyDescent="0.25">
      <c r="A18221" s="62">
        <v>94101808</v>
      </c>
      <c r="B18221" s="63" t="s">
        <v>18841</v>
      </c>
    </row>
    <row r="18222" spans="1:2" x14ac:dyDescent="0.25">
      <c r="A18222" s="62">
        <v>94101809</v>
      </c>
      <c r="B18222" s="63" t="s">
        <v>18842</v>
      </c>
    </row>
    <row r="18223" spans="1:2" x14ac:dyDescent="0.25">
      <c r="A18223" s="62">
        <v>94101810</v>
      </c>
      <c r="B18223" s="63" t="s">
        <v>18843</v>
      </c>
    </row>
    <row r="18224" spans="1:2" x14ac:dyDescent="0.25">
      <c r="A18224" s="62">
        <v>94111701</v>
      </c>
      <c r="B18224" s="63" t="s">
        <v>18844</v>
      </c>
    </row>
    <row r="18225" spans="1:2" x14ac:dyDescent="0.25">
      <c r="A18225" s="62">
        <v>94111702</v>
      </c>
      <c r="B18225" s="63" t="s">
        <v>18845</v>
      </c>
    </row>
    <row r="18226" spans="1:2" x14ac:dyDescent="0.25">
      <c r="A18226" s="62">
        <v>94111703</v>
      </c>
      <c r="B18226" s="63" t="s">
        <v>18846</v>
      </c>
    </row>
    <row r="18227" spans="1:2" x14ac:dyDescent="0.25">
      <c r="A18227" s="62">
        <v>94111704</v>
      </c>
      <c r="B18227" s="63" t="s">
        <v>18847</v>
      </c>
    </row>
    <row r="18228" spans="1:2" x14ac:dyDescent="0.25">
      <c r="A18228" s="62">
        <v>94111801</v>
      </c>
      <c r="B18228" s="63" t="s">
        <v>18848</v>
      </c>
    </row>
    <row r="18229" spans="1:2" x14ac:dyDescent="0.25">
      <c r="A18229" s="62">
        <v>94111802</v>
      </c>
      <c r="B18229" s="63" t="s">
        <v>18849</v>
      </c>
    </row>
    <row r="18230" spans="1:2" x14ac:dyDescent="0.25">
      <c r="A18230" s="62">
        <v>94111803</v>
      </c>
      <c r="B18230" s="63" t="s">
        <v>18850</v>
      </c>
    </row>
    <row r="18231" spans="1:2" x14ac:dyDescent="0.25">
      <c r="A18231" s="62">
        <v>94111804</v>
      </c>
      <c r="B18231" s="63" t="s">
        <v>18851</v>
      </c>
    </row>
    <row r="18232" spans="1:2" x14ac:dyDescent="0.25">
      <c r="A18232" s="62">
        <v>94111901</v>
      </c>
      <c r="B18232" s="63" t="s">
        <v>18852</v>
      </c>
    </row>
    <row r="18233" spans="1:2" x14ac:dyDescent="0.25">
      <c r="A18233" s="62">
        <v>94111902</v>
      </c>
      <c r="B18233" s="63" t="s">
        <v>18853</v>
      </c>
    </row>
    <row r="18234" spans="1:2" x14ac:dyDescent="0.25">
      <c r="A18234" s="62">
        <v>94111903</v>
      </c>
      <c r="B18234" s="63" t="s">
        <v>18854</v>
      </c>
    </row>
    <row r="18235" spans="1:2" x14ac:dyDescent="0.25">
      <c r="A18235" s="62">
        <v>94112001</v>
      </c>
      <c r="B18235" s="63" t="s">
        <v>18855</v>
      </c>
    </row>
    <row r="18236" spans="1:2" x14ac:dyDescent="0.25">
      <c r="A18236" s="62">
        <v>94112002</v>
      </c>
      <c r="B18236" s="63" t="s">
        <v>18856</v>
      </c>
    </row>
    <row r="18237" spans="1:2" x14ac:dyDescent="0.25">
      <c r="A18237" s="62">
        <v>94112003</v>
      </c>
      <c r="B18237" s="63" t="s">
        <v>18857</v>
      </c>
    </row>
    <row r="18238" spans="1:2" x14ac:dyDescent="0.25">
      <c r="A18238" s="62">
        <v>94112004</v>
      </c>
      <c r="B18238" s="63" t="s">
        <v>18858</v>
      </c>
    </row>
    <row r="18239" spans="1:2" x14ac:dyDescent="0.25">
      <c r="A18239" s="62">
        <v>94112005</v>
      </c>
      <c r="B18239" s="63" t="s">
        <v>18859</v>
      </c>
    </row>
    <row r="18240" spans="1:2" x14ac:dyDescent="0.25">
      <c r="A18240" s="62">
        <v>94121501</v>
      </c>
      <c r="B18240" s="63" t="s">
        <v>18860</v>
      </c>
    </row>
    <row r="18241" spans="1:2" x14ac:dyDescent="0.25">
      <c r="A18241" s="62">
        <v>94121502</v>
      </c>
      <c r="B18241" s="63" t="s">
        <v>18861</v>
      </c>
    </row>
    <row r="18242" spans="1:2" x14ac:dyDescent="0.25">
      <c r="A18242" s="62">
        <v>94121503</v>
      </c>
      <c r="B18242" s="63" t="s">
        <v>18862</v>
      </c>
    </row>
    <row r="18243" spans="1:2" x14ac:dyDescent="0.25">
      <c r="A18243" s="62">
        <v>94121504</v>
      </c>
      <c r="B18243" s="63" t="s">
        <v>18863</v>
      </c>
    </row>
    <row r="18244" spans="1:2" x14ac:dyDescent="0.25">
      <c r="A18244" s="62">
        <v>94121505</v>
      </c>
      <c r="B18244" s="63" t="s">
        <v>18864</v>
      </c>
    </row>
    <row r="18245" spans="1:2" x14ac:dyDescent="0.25">
      <c r="A18245" s="62">
        <v>94121506</v>
      </c>
      <c r="B18245" s="63" t="s">
        <v>18865</v>
      </c>
    </row>
    <row r="18246" spans="1:2" x14ac:dyDescent="0.25">
      <c r="A18246" s="62">
        <v>94121507</v>
      </c>
      <c r="B18246" s="63" t="s">
        <v>18866</v>
      </c>
    </row>
    <row r="18247" spans="1:2" x14ac:dyDescent="0.25">
      <c r="A18247" s="62">
        <v>94121508</v>
      </c>
      <c r="B18247" s="63" t="s">
        <v>18867</v>
      </c>
    </row>
    <row r="18248" spans="1:2" x14ac:dyDescent="0.25">
      <c r="A18248" s="62">
        <v>94121509</v>
      </c>
      <c r="B18248" s="63" t="s">
        <v>18868</v>
      </c>
    </row>
    <row r="18249" spans="1:2" x14ac:dyDescent="0.25">
      <c r="A18249" s="62">
        <v>94121510</v>
      </c>
      <c r="B18249" s="63" t="s">
        <v>18869</v>
      </c>
    </row>
    <row r="18250" spans="1:2" x14ac:dyDescent="0.25">
      <c r="A18250" s="62">
        <v>94121511</v>
      </c>
      <c r="B18250" s="63" t="s">
        <v>18870</v>
      </c>
    </row>
    <row r="18251" spans="1:2" x14ac:dyDescent="0.25">
      <c r="A18251" s="62">
        <v>94121512</v>
      </c>
      <c r="B18251" s="63" t="s">
        <v>18871</v>
      </c>
    </row>
    <row r="18252" spans="1:2" x14ac:dyDescent="0.25">
      <c r="A18252" s="62">
        <v>94121513</v>
      </c>
      <c r="B18252" s="63" t="s">
        <v>18872</v>
      </c>
    </row>
    <row r="18253" spans="1:2" x14ac:dyDescent="0.25">
      <c r="A18253" s="62">
        <v>94121514</v>
      </c>
      <c r="B18253" s="63" t="s">
        <v>18873</v>
      </c>
    </row>
    <row r="18254" spans="1:2" x14ac:dyDescent="0.25">
      <c r="A18254" s="62">
        <v>94121601</v>
      </c>
      <c r="B18254" s="63" t="s">
        <v>18874</v>
      </c>
    </row>
    <row r="18255" spans="1:2" x14ac:dyDescent="0.25">
      <c r="A18255" s="62">
        <v>94121602</v>
      </c>
      <c r="B18255" s="63" t="s">
        <v>18875</v>
      </c>
    </row>
    <row r="18256" spans="1:2" x14ac:dyDescent="0.25">
      <c r="A18256" s="62">
        <v>94121603</v>
      </c>
      <c r="B18256" s="63" t="s">
        <v>18876</v>
      </c>
    </row>
    <row r="18257" spans="1:2" x14ac:dyDescent="0.25">
      <c r="A18257" s="62">
        <v>94121604</v>
      </c>
      <c r="B18257" s="63" t="s">
        <v>18877</v>
      </c>
    </row>
    <row r="18258" spans="1:2" x14ac:dyDescent="0.25">
      <c r="A18258" s="62">
        <v>94121605</v>
      </c>
      <c r="B18258" s="63" t="s">
        <v>18878</v>
      </c>
    </row>
    <row r="18259" spans="1:2" x14ac:dyDescent="0.25">
      <c r="A18259" s="62">
        <v>94121606</v>
      </c>
      <c r="B18259" s="63" t="s">
        <v>18879</v>
      </c>
    </row>
    <row r="18260" spans="1:2" x14ac:dyDescent="0.25">
      <c r="A18260" s="62">
        <v>94121607</v>
      </c>
      <c r="B18260" s="63" t="s">
        <v>18880</v>
      </c>
    </row>
    <row r="18261" spans="1:2" x14ac:dyDescent="0.25">
      <c r="A18261" s="62">
        <v>94121701</v>
      </c>
      <c r="B18261" s="63" t="s">
        <v>18881</v>
      </c>
    </row>
    <row r="18262" spans="1:2" x14ac:dyDescent="0.25">
      <c r="A18262" s="62">
        <v>94121702</v>
      </c>
      <c r="B18262" s="63" t="s">
        <v>18882</v>
      </c>
    </row>
    <row r="18263" spans="1:2" x14ac:dyDescent="0.25">
      <c r="A18263" s="62">
        <v>94121703</v>
      </c>
      <c r="B18263" s="63" t="s">
        <v>18883</v>
      </c>
    </row>
    <row r="18264" spans="1:2" x14ac:dyDescent="0.25">
      <c r="A18264" s="62">
        <v>94121704</v>
      </c>
      <c r="B18264" s="63" t="s">
        <v>18884</v>
      </c>
    </row>
    <row r="18265" spans="1:2" x14ac:dyDescent="0.25">
      <c r="A18265" s="62">
        <v>94121801</v>
      </c>
      <c r="B18265" s="63" t="s">
        <v>18885</v>
      </c>
    </row>
    <row r="18266" spans="1:2" x14ac:dyDescent="0.25">
      <c r="A18266" s="62">
        <v>94121802</v>
      </c>
      <c r="B18266" s="63" t="s">
        <v>18886</v>
      </c>
    </row>
    <row r="18267" spans="1:2" x14ac:dyDescent="0.25">
      <c r="A18267" s="62">
        <v>94121803</v>
      </c>
      <c r="B18267" s="63" t="s">
        <v>18887</v>
      </c>
    </row>
    <row r="18268" spans="1:2" x14ac:dyDescent="0.25">
      <c r="A18268" s="62">
        <v>94121804</v>
      </c>
      <c r="B18268" s="63" t="s">
        <v>18888</v>
      </c>
    </row>
    <row r="18269" spans="1:2" x14ac:dyDescent="0.25">
      <c r="A18269" s="62">
        <v>94121805</v>
      </c>
      <c r="B18269" s="63" t="s">
        <v>18889</v>
      </c>
    </row>
    <row r="18270" spans="1:2" x14ac:dyDescent="0.25">
      <c r="A18270" s="62">
        <v>94131501</v>
      </c>
      <c r="B18270" s="63" t="s">
        <v>18890</v>
      </c>
    </row>
    <row r="18271" spans="1:2" x14ac:dyDescent="0.25">
      <c r="A18271" s="62">
        <v>94131502</v>
      </c>
      <c r="B18271" s="63" t="s">
        <v>18891</v>
      </c>
    </row>
    <row r="18272" spans="1:2" x14ac:dyDescent="0.25">
      <c r="A18272" s="62">
        <v>94131503</v>
      </c>
      <c r="B18272" s="63" t="s">
        <v>18892</v>
      </c>
    </row>
    <row r="18273" spans="1:2" x14ac:dyDescent="0.25">
      <c r="A18273" s="62">
        <v>94131504</v>
      </c>
      <c r="B18273" s="63" t="s">
        <v>18893</v>
      </c>
    </row>
    <row r="18274" spans="1:2" x14ac:dyDescent="0.25">
      <c r="A18274" s="62">
        <v>94131601</v>
      </c>
      <c r="B18274" s="63" t="s">
        <v>18894</v>
      </c>
    </row>
    <row r="18275" spans="1:2" x14ac:dyDescent="0.25">
      <c r="A18275" s="62">
        <v>94131602</v>
      </c>
      <c r="B18275" s="63" t="s">
        <v>18895</v>
      </c>
    </row>
    <row r="18276" spans="1:2" x14ac:dyDescent="0.25">
      <c r="A18276" s="62">
        <v>94131603</v>
      </c>
      <c r="B18276" s="63" t="s">
        <v>18896</v>
      </c>
    </row>
    <row r="18277" spans="1:2" x14ac:dyDescent="0.25">
      <c r="A18277" s="62">
        <v>94131604</v>
      </c>
      <c r="B18277" s="63" t="s">
        <v>18897</v>
      </c>
    </row>
    <row r="18278" spans="1:2" x14ac:dyDescent="0.25">
      <c r="A18278" s="62">
        <v>94131605</v>
      </c>
      <c r="B18278" s="63" t="s">
        <v>18898</v>
      </c>
    </row>
    <row r="18279" spans="1:2" x14ac:dyDescent="0.25">
      <c r="A18279" s="62">
        <v>94131606</v>
      </c>
      <c r="B18279" s="63" t="s">
        <v>18899</v>
      </c>
    </row>
    <row r="18280" spans="1:2" x14ac:dyDescent="0.25">
      <c r="A18280" s="62">
        <v>94131607</v>
      </c>
      <c r="B18280" s="63" t="s">
        <v>18900</v>
      </c>
    </row>
    <row r="18281" spans="1:2" x14ac:dyDescent="0.25">
      <c r="A18281" s="62">
        <v>94131608</v>
      </c>
      <c r="B18281" s="63" t="s">
        <v>18901</v>
      </c>
    </row>
    <row r="18282" spans="1:2" x14ac:dyDescent="0.25">
      <c r="A18282" s="62">
        <v>94131701</v>
      </c>
      <c r="B18282" s="63" t="s">
        <v>18902</v>
      </c>
    </row>
    <row r="18283" spans="1:2" x14ac:dyDescent="0.25">
      <c r="A18283" s="62">
        <v>94131702</v>
      </c>
      <c r="B18283" s="63" t="s">
        <v>18903</v>
      </c>
    </row>
    <row r="18284" spans="1:2" x14ac:dyDescent="0.25">
      <c r="A18284" s="62">
        <v>94131703</v>
      </c>
      <c r="B18284" s="63" t="s">
        <v>18904</v>
      </c>
    </row>
    <row r="18285" spans="1:2" x14ac:dyDescent="0.25">
      <c r="A18285" s="62">
        <v>94131704</v>
      </c>
      <c r="B18285" s="63" t="s">
        <v>18905</v>
      </c>
    </row>
    <row r="18286" spans="1:2" x14ac:dyDescent="0.25">
      <c r="A18286" s="62">
        <v>94131801</v>
      </c>
      <c r="B18286" s="63" t="s">
        <v>18906</v>
      </c>
    </row>
    <row r="18287" spans="1:2" x14ac:dyDescent="0.25">
      <c r="A18287" s="62">
        <v>94131802</v>
      </c>
      <c r="B18287" s="63" t="s">
        <v>18907</v>
      </c>
    </row>
    <row r="18288" spans="1:2" x14ac:dyDescent="0.25">
      <c r="A18288" s="62">
        <v>94131803</v>
      </c>
      <c r="B18288" s="63" t="s">
        <v>18908</v>
      </c>
    </row>
    <row r="18289" spans="1:2" x14ac:dyDescent="0.25">
      <c r="A18289" s="62">
        <v>94131804</v>
      </c>
      <c r="B18289" s="63" t="s">
        <v>18909</v>
      </c>
    </row>
    <row r="18290" spans="1:2" x14ac:dyDescent="0.25">
      <c r="A18290" s="62">
        <v>94131805</v>
      </c>
      <c r="B18290" s="63" t="s">
        <v>18910</v>
      </c>
    </row>
    <row r="18291" spans="1:2" x14ac:dyDescent="0.25">
      <c r="A18291" s="62">
        <v>94131901</v>
      </c>
      <c r="B18291" s="63" t="s">
        <v>18911</v>
      </c>
    </row>
    <row r="18292" spans="1:2" x14ac:dyDescent="0.25">
      <c r="A18292" s="62">
        <v>94131902</v>
      </c>
      <c r="B18292" s="63" t="s">
        <v>18912</v>
      </c>
    </row>
    <row r="18293" spans="1:2" x14ac:dyDescent="0.25">
      <c r="A18293" s="62">
        <v>94131903</v>
      </c>
      <c r="B18293" s="63" t="s">
        <v>18913</v>
      </c>
    </row>
    <row r="18294" spans="1:2" x14ac:dyDescent="0.25">
      <c r="A18294" s="62">
        <v>94132001</v>
      </c>
      <c r="B18294" s="63" t="s">
        <v>18914</v>
      </c>
    </row>
    <row r="18295" spans="1:2" x14ac:dyDescent="0.25">
      <c r="A18295" s="62">
        <v>94132002</v>
      </c>
      <c r="B18295" s="63" t="s">
        <v>18915</v>
      </c>
    </row>
    <row r="18296" spans="1:2" x14ac:dyDescent="0.25">
      <c r="A18296" s="62">
        <v>94132003</v>
      </c>
      <c r="B18296" s="63" t="s">
        <v>18916</v>
      </c>
    </row>
    <row r="18297" spans="1:2" x14ac:dyDescent="0.25">
      <c r="A18297" s="62">
        <v>94132004</v>
      </c>
      <c r="B18297" s="63" t="s">
        <v>18917</v>
      </c>
    </row>
    <row r="18298" spans="1:2" x14ac:dyDescent="0.25">
      <c r="A18298" s="62">
        <v>94132005</v>
      </c>
      <c r="B18298" s="63" t="s">
        <v>18918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RESUMEN</vt:lpstr>
      <vt:lpstr>PACC</vt:lpstr>
      <vt:lpstr>UNSPSC</vt:lpstr>
      <vt:lpstr>PACC!Print_Area</vt:lpstr>
      <vt:lpstr>TotalEstColumnName</vt:lpstr>
      <vt:lpstr>TotalEstColumnValue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Brea Peña</dc:creator>
  <cp:lastModifiedBy>Jose Brea Peña</cp:lastModifiedBy>
  <dcterms:created xsi:type="dcterms:W3CDTF">2023-02-02T15:09:26Z</dcterms:created>
  <dcterms:modified xsi:type="dcterms:W3CDTF">2023-02-02T15:36:25Z</dcterms:modified>
</cp:coreProperties>
</file>